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3A774345-4B81-42B3-907A-4EB7B3555C76}" xr6:coauthVersionLast="36" xr6:coauthVersionMax="47" xr10:uidLastSave="{00000000-0000-0000-0000-000000000000}"/>
  <bookViews>
    <workbookView xWindow="-120" yWindow="-120" windowWidth="29040" windowHeight="15750" tabRatio="712" activeTab="3" xr2:uid="{00000000-000D-0000-FFFF-FFFF00000000}"/>
  </bookViews>
  <sheets>
    <sheet name="Planung" sheetId="22" r:id="rId1"/>
    <sheet name="proof" sheetId="25" state="hidden" r:id="rId2"/>
    <sheet name="Pairings" sheetId="13" state="hidden" r:id="rId3"/>
    <sheet name="Vorrunde" sheetId="6" r:id="rId4"/>
    <sheet name="Endrunde 1" sheetId="21" r:id="rId5"/>
    <sheet name="Endrunde 2" sheetId="32" r:id="rId6"/>
    <sheet name="DirVergleich_A" sheetId="10" state="hidden" r:id="rId7"/>
    <sheet name="DirVergleich_B" sheetId="31" state="hidden" r:id="rId8"/>
    <sheet name="Endrunde 3" sheetId="26" r:id="rId9"/>
    <sheet name="Endrunde 4" sheetId="27" r:id="rId10"/>
    <sheet name="Sprache" sheetId="9" r:id="rId11"/>
    <sheet name="Einstellungen" sheetId="14" r:id="rId12"/>
    <sheet name="Info" sheetId="16" r:id="rId13"/>
    <sheet name="Calc1" sheetId="3" state="hidden" r:id="rId14"/>
    <sheet name="Calc2" sheetId="17" state="hidden" r:id="rId15"/>
    <sheet name="CalcE1" sheetId="28" state="hidden" r:id="rId16"/>
    <sheet name="CalcE2" sheetId="29" state="hidden" r:id="rId17"/>
    <sheet name="CalcE3" sheetId="30" state="hidden" r:id="rId18"/>
    <sheet name="CalcE4" sheetId="33" state="hidden" r:id="rId19"/>
    <sheet name="CalcE5" sheetId="34" state="hidden" r:id="rId20"/>
  </sheets>
  <calcPr calcId="191029" concurrentCalc="0"/>
</workbook>
</file>

<file path=xl/calcChain.xml><?xml version="1.0" encoding="utf-8"?>
<calcChain xmlns="http://schemas.openxmlformats.org/spreadsheetml/2006/main">
  <c r="Q72" i="17" l="1"/>
  <c r="F12" i="17"/>
  <c r="Q71" i="17"/>
  <c r="F11" i="17"/>
  <c r="Q69" i="17"/>
  <c r="F9" i="17"/>
  <c r="Q70" i="17"/>
  <c r="F10" i="17"/>
  <c r="F13" i="17"/>
  <c r="Q72" i="3"/>
  <c r="F12" i="3"/>
  <c r="Q71" i="3"/>
  <c r="F11" i="3"/>
  <c r="Q69" i="3"/>
  <c r="F9" i="3"/>
  <c r="Q70" i="3"/>
  <c r="F10" i="3"/>
  <c r="F13" i="3"/>
  <c r="F14" i="3"/>
  <c r="I6" i="22" a="1"/>
  <c r="I12" i="22"/>
  <c r="L12" i="22"/>
  <c r="K6" i="22" a="1"/>
  <c r="K12" i="22"/>
  <c r="N12" i="22"/>
  <c r="Y18" i="34"/>
  <c r="Y17" i="34"/>
  <c r="Y18" i="33"/>
  <c r="Y19" i="33"/>
  <c r="Y20" i="33"/>
  <c r="Y17" i="33"/>
  <c r="Q66" i="34"/>
  <c r="Q67" i="34"/>
  <c r="V89" i="33"/>
  <c r="W89" i="33"/>
  <c r="X89" i="33"/>
  <c r="Y89" i="33"/>
  <c r="V90" i="33"/>
  <c r="W90" i="33"/>
  <c r="X90" i="33"/>
  <c r="Y90" i="33"/>
  <c r="V91" i="33"/>
  <c r="W91" i="33"/>
  <c r="X91" i="33"/>
  <c r="Y91" i="33"/>
  <c r="V92" i="33"/>
  <c r="W92" i="33"/>
  <c r="X92" i="33"/>
  <c r="Y92" i="33"/>
  <c r="V93" i="33"/>
  <c r="W93" i="33"/>
  <c r="X93" i="33"/>
  <c r="Y93" i="33"/>
  <c r="V94" i="33"/>
  <c r="W94" i="33"/>
  <c r="X94" i="33"/>
  <c r="Y94" i="33"/>
  <c r="V95" i="33"/>
  <c r="W95" i="33"/>
  <c r="X95" i="33"/>
  <c r="Y95" i="33"/>
  <c r="V96" i="33"/>
  <c r="W96" i="33"/>
  <c r="X96" i="33"/>
  <c r="Y96" i="33"/>
  <c r="V97" i="33"/>
  <c r="W97" i="33"/>
  <c r="X97" i="33"/>
  <c r="Y97" i="33"/>
  <c r="V98" i="33"/>
  <c r="W98" i="33"/>
  <c r="X98" i="33"/>
  <c r="Y98" i="33"/>
  <c r="V99" i="33"/>
  <c r="W99" i="33"/>
  <c r="X99" i="33"/>
  <c r="Y99" i="33"/>
  <c r="M29" i="27"/>
  <c r="M30" i="27"/>
  <c r="M31" i="27"/>
  <c r="M32" i="27"/>
  <c r="M33" i="27"/>
  <c r="M34" i="27"/>
  <c r="M35" i="27"/>
  <c r="M36" i="27"/>
  <c r="V135" i="34"/>
  <c r="W135" i="34"/>
  <c r="X135" i="34"/>
  <c r="Y135" i="34"/>
  <c r="AA135" i="34"/>
  <c r="AA207" i="34"/>
  <c r="AB207" i="34"/>
  <c r="Z207" i="34"/>
  <c r="V134" i="34"/>
  <c r="W134" i="34"/>
  <c r="X134" i="34"/>
  <c r="Y134" i="34"/>
  <c r="AA134" i="34"/>
  <c r="AA206" i="34"/>
  <c r="AB206" i="34"/>
  <c r="Z206" i="34"/>
  <c r="V133" i="34"/>
  <c r="W133" i="34"/>
  <c r="X133" i="34"/>
  <c r="Y133" i="34"/>
  <c r="AA133" i="34"/>
  <c r="AA205" i="34"/>
  <c r="AB205" i="34"/>
  <c r="Z205" i="34"/>
  <c r="V132" i="34"/>
  <c r="W132" i="34"/>
  <c r="X132" i="34"/>
  <c r="Y132" i="34"/>
  <c r="AA132" i="34"/>
  <c r="AA204" i="34"/>
  <c r="AB204" i="34"/>
  <c r="Z204" i="34"/>
  <c r="V131" i="34"/>
  <c r="W131" i="34"/>
  <c r="X131" i="34"/>
  <c r="Y131" i="34"/>
  <c r="AA131" i="34"/>
  <c r="AA203" i="34"/>
  <c r="AB203" i="34"/>
  <c r="Z203" i="34"/>
  <c r="V130" i="34"/>
  <c r="W130" i="34"/>
  <c r="X130" i="34"/>
  <c r="Y130" i="34"/>
  <c r="AA130" i="34"/>
  <c r="AA202" i="34"/>
  <c r="AB202" i="34"/>
  <c r="Z202" i="34"/>
  <c r="V129" i="34"/>
  <c r="W129" i="34"/>
  <c r="X129" i="34"/>
  <c r="Y129" i="34"/>
  <c r="AA129" i="34"/>
  <c r="AA201" i="34"/>
  <c r="AB201" i="34"/>
  <c r="Z201" i="34"/>
  <c r="V128" i="34"/>
  <c r="W128" i="34"/>
  <c r="X128" i="34"/>
  <c r="Y128" i="34"/>
  <c r="AA128" i="34"/>
  <c r="AA200" i="34"/>
  <c r="AB200" i="34"/>
  <c r="Z200" i="34"/>
  <c r="V127" i="34"/>
  <c r="W127" i="34"/>
  <c r="X127" i="34"/>
  <c r="Y127" i="34"/>
  <c r="AA127" i="34"/>
  <c r="AA199" i="34"/>
  <c r="AB199" i="34"/>
  <c r="Z199" i="34"/>
  <c r="V126" i="34"/>
  <c r="W126" i="34"/>
  <c r="X126" i="34"/>
  <c r="Y126" i="34"/>
  <c r="AA126" i="34"/>
  <c r="AA198" i="34"/>
  <c r="AB198" i="34"/>
  <c r="Z198" i="34"/>
  <c r="V125" i="34"/>
  <c r="W125" i="34"/>
  <c r="X125" i="34"/>
  <c r="Y125" i="34"/>
  <c r="AA125" i="34"/>
  <c r="AA197" i="34"/>
  <c r="AB197" i="34"/>
  <c r="Z197" i="34"/>
  <c r="V124" i="34"/>
  <c r="W124" i="34"/>
  <c r="X124" i="34"/>
  <c r="Y124" i="34"/>
  <c r="AA124" i="34"/>
  <c r="AA196" i="34"/>
  <c r="AB196" i="34"/>
  <c r="Z196" i="34"/>
  <c r="V123" i="34"/>
  <c r="W123" i="34"/>
  <c r="X123" i="34"/>
  <c r="Y123" i="34"/>
  <c r="AA123" i="34"/>
  <c r="AA195" i="34"/>
  <c r="AB195" i="34"/>
  <c r="Z195" i="34"/>
  <c r="V122" i="34"/>
  <c r="W122" i="34"/>
  <c r="X122" i="34"/>
  <c r="Y122" i="34"/>
  <c r="AA122" i="34"/>
  <c r="AA194" i="34"/>
  <c r="AB194" i="34"/>
  <c r="Z194" i="34"/>
  <c r="V121" i="34"/>
  <c r="W121" i="34"/>
  <c r="X121" i="34"/>
  <c r="Y121" i="34"/>
  <c r="AA121" i="34"/>
  <c r="AA193" i="34"/>
  <c r="AB193" i="34"/>
  <c r="Z193" i="34"/>
  <c r="V120" i="34"/>
  <c r="W120" i="34"/>
  <c r="X120" i="34"/>
  <c r="Y120" i="34"/>
  <c r="AA120" i="34"/>
  <c r="AA192" i="34"/>
  <c r="AB192" i="34"/>
  <c r="Z192" i="34"/>
  <c r="V119" i="34"/>
  <c r="W119" i="34"/>
  <c r="X119" i="34"/>
  <c r="Y119" i="34"/>
  <c r="AA119" i="34"/>
  <c r="AA191" i="34"/>
  <c r="AB191" i="34"/>
  <c r="Z191" i="34"/>
  <c r="V118" i="34"/>
  <c r="W118" i="34"/>
  <c r="X118" i="34"/>
  <c r="Y118" i="34"/>
  <c r="AA118" i="34"/>
  <c r="AA190" i="34"/>
  <c r="AB190" i="34"/>
  <c r="Z190" i="34"/>
  <c r="V117" i="34"/>
  <c r="W117" i="34"/>
  <c r="X117" i="34"/>
  <c r="Y117" i="34"/>
  <c r="AA117" i="34"/>
  <c r="AA189" i="34"/>
  <c r="AB189" i="34"/>
  <c r="Z189" i="34"/>
  <c r="V116" i="34"/>
  <c r="W116" i="34"/>
  <c r="X116" i="34"/>
  <c r="Y116" i="34"/>
  <c r="AA116" i="34"/>
  <c r="AA188" i="34"/>
  <c r="AB188" i="34"/>
  <c r="Z188" i="34"/>
  <c r="V115" i="34"/>
  <c r="W115" i="34"/>
  <c r="X115" i="34"/>
  <c r="Y115" i="34"/>
  <c r="AA115" i="34"/>
  <c r="AA187" i="34"/>
  <c r="AB187" i="34"/>
  <c r="Z187" i="34"/>
  <c r="V114" i="34"/>
  <c r="W114" i="34"/>
  <c r="X114" i="34"/>
  <c r="Y114" i="34"/>
  <c r="AA114" i="34"/>
  <c r="AA186" i="34"/>
  <c r="AB186" i="34"/>
  <c r="Z186" i="34"/>
  <c r="V113" i="34"/>
  <c r="W113" i="34"/>
  <c r="X113" i="34"/>
  <c r="Y113" i="34"/>
  <c r="AA113" i="34"/>
  <c r="AA185" i="34"/>
  <c r="AB185" i="34"/>
  <c r="Z185" i="34"/>
  <c r="V112" i="34"/>
  <c r="W112" i="34"/>
  <c r="X112" i="34"/>
  <c r="Y112" i="34"/>
  <c r="AA112" i="34"/>
  <c r="AA184" i="34"/>
  <c r="AB184" i="34"/>
  <c r="Z184" i="34"/>
  <c r="V111" i="34"/>
  <c r="W111" i="34"/>
  <c r="X111" i="34"/>
  <c r="Y111" i="34"/>
  <c r="AA111" i="34"/>
  <c r="AA183" i="34"/>
  <c r="AB183" i="34"/>
  <c r="Z183" i="34"/>
  <c r="V110" i="34"/>
  <c r="W110" i="34"/>
  <c r="X110" i="34"/>
  <c r="Y110" i="34"/>
  <c r="AA110" i="34"/>
  <c r="AA182" i="34"/>
  <c r="AB182" i="34"/>
  <c r="Z182" i="34"/>
  <c r="V109" i="34"/>
  <c r="W109" i="34"/>
  <c r="X109" i="34"/>
  <c r="Y109" i="34"/>
  <c r="AA109" i="34"/>
  <c r="AA181" i="34"/>
  <c r="AB181" i="34"/>
  <c r="Z181" i="34"/>
  <c r="V108" i="34"/>
  <c r="W108" i="34"/>
  <c r="X108" i="34"/>
  <c r="Y108" i="34"/>
  <c r="AA108" i="34"/>
  <c r="AA180" i="34"/>
  <c r="AB180" i="34"/>
  <c r="Z180" i="34"/>
  <c r="V107" i="34"/>
  <c r="W107" i="34"/>
  <c r="X107" i="34"/>
  <c r="Y107" i="34"/>
  <c r="AA107" i="34"/>
  <c r="AA179" i="34"/>
  <c r="AB179" i="34"/>
  <c r="Z179" i="34"/>
  <c r="V106" i="34"/>
  <c r="W106" i="34"/>
  <c r="X106" i="34"/>
  <c r="Y106" i="34"/>
  <c r="AA106" i="34"/>
  <c r="AA178" i="34"/>
  <c r="AB178" i="34"/>
  <c r="Z178" i="34"/>
  <c r="V105" i="34"/>
  <c r="W105" i="34"/>
  <c r="X105" i="34"/>
  <c r="Y105" i="34"/>
  <c r="AA105" i="34"/>
  <c r="AA177" i="34"/>
  <c r="AB177" i="34"/>
  <c r="Z177" i="34"/>
  <c r="V104" i="34"/>
  <c r="W104" i="34"/>
  <c r="X104" i="34"/>
  <c r="Y104" i="34"/>
  <c r="AA104" i="34"/>
  <c r="AA176" i="34"/>
  <c r="AB176" i="34"/>
  <c r="Z176" i="34"/>
  <c r="V103" i="34"/>
  <c r="W103" i="34"/>
  <c r="X103" i="34"/>
  <c r="Y103" i="34"/>
  <c r="AA103" i="34"/>
  <c r="AA175" i="34"/>
  <c r="AB175" i="34"/>
  <c r="Z175" i="34"/>
  <c r="V102" i="34"/>
  <c r="W102" i="34"/>
  <c r="X102" i="34"/>
  <c r="Y102" i="34"/>
  <c r="AA102" i="34"/>
  <c r="AA174" i="34"/>
  <c r="AB174" i="34"/>
  <c r="Z174" i="34"/>
  <c r="V101" i="34"/>
  <c r="W101" i="34"/>
  <c r="X101" i="34"/>
  <c r="Y101" i="34"/>
  <c r="AA101" i="34"/>
  <c r="AA173" i="34"/>
  <c r="AB173" i="34"/>
  <c r="Z173" i="34"/>
  <c r="V100" i="34"/>
  <c r="W100" i="34"/>
  <c r="X100" i="34"/>
  <c r="Y100" i="34"/>
  <c r="AA100" i="34"/>
  <c r="AA172" i="34"/>
  <c r="AB172" i="34"/>
  <c r="Z172" i="34"/>
  <c r="V99" i="34"/>
  <c r="W99" i="34"/>
  <c r="X99" i="34"/>
  <c r="Y99" i="34"/>
  <c r="AA99" i="34"/>
  <c r="AA171" i="34"/>
  <c r="AB171" i="34"/>
  <c r="Z171" i="34"/>
  <c r="V98" i="34"/>
  <c r="W98" i="34"/>
  <c r="X98" i="34"/>
  <c r="Y98" i="34"/>
  <c r="AA98" i="34"/>
  <c r="AA170" i="34"/>
  <c r="AB170" i="34"/>
  <c r="Z170" i="34"/>
  <c r="V97" i="34"/>
  <c r="W97" i="34"/>
  <c r="X97" i="34"/>
  <c r="Y97" i="34"/>
  <c r="AA97" i="34"/>
  <c r="AA169" i="34"/>
  <c r="AB169" i="34"/>
  <c r="Z169" i="34"/>
  <c r="V96" i="34"/>
  <c r="W96" i="34"/>
  <c r="X96" i="34"/>
  <c r="Y96" i="34"/>
  <c r="AA96" i="34"/>
  <c r="AA168" i="34"/>
  <c r="AB168" i="34"/>
  <c r="Z168" i="34"/>
  <c r="V95" i="34"/>
  <c r="W95" i="34"/>
  <c r="X95" i="34"/>
  <c r="Y95" i="34"/>
  <c r="AA95" i="34"/>
  <c r="AA167" i="34"/>
  <c r="AB167" i="34"/>
  <c r="Z167" i="34"/>
  <c r="V94" i="34"/>
  <c r="W94" i="34"/>
  <c r="X94" i="34"/>
  <c r="Y94" i="34"/>
  <c r="AA94" i="34"/>
  <c r="AA166" i="34"/>
  <c r="AB166" i="34"/>
  <c r="Z166" i="34"/>
  <c r="V93" i="34"/>
  <c r="W93" i="34"/>
  <c r="X93" i="34"/>
  <c r="Y93" i="34"/>
  <c r="AA93" i="34"/>
  <c r="AA165" i="34"/>
  <c r="AB165" i="34"/>
  <c r="Z165" i="34"/>
  <c r="V92" i="34"/>
  <c r="W92" i="34"/>
  <c r="X92" i="34"/>
  <c r="Y92" i="34"/>
  <c r="AA92" i="34"/>
  <c r="AA164" i="34"/>
  <c r="AB164" i="34"/>
  <c r="Z164" i="34"/>
  <c r="V91" i="34"/>
  <c r="W91" i="34"/>
  <c r="X91" i="34"/>
  <c r="Y91" i="34"/>
  <c r="AA91" i="34"/>
  <c r="AA163" i="34"/>
  <c r="AB163" i="34"/>
  <c r="Z163" i="34"/>
  <c r="V90" i="34"/>
  <c r="W90" i="34"/>
  <c r="X90" i="34"/>
  <c r="Y90" i="34"/>
  <c r="AA90" i="34"/>
  <c r="AA162" i="34"/>
  <c r="AB162" i="34"/>
  <c r="Z162" i="34"/>
  <c r="V89" i="34"/>
  <c r="W89" i="34"/>
  <c r="X89" i="34"/>
  <c r="Y89" i="34"/>
  <c r="AA89" i="34"/>
  <c r="AA161" i="34"/>
  <c r="AB161" i="34"/>
  <c r="Z161" i="34"/>
  <c r="AF135" i="34"/>
  <c r="AE135" i="34"/>
  <c r="AB135" i="34"/>
  <c r="Z135" i="34"/>
  <c r="AF134" i="34"/>
  <c r="AE134" i="34"/>
  <c r="AB134" i="34"/>
  <c r="Z134" i="34"/>
  <c r="AF133" i="34"/>
  <c r="AE133" i="34"/>
  <c r="AB133" i="34"/>
  <c r="Z133" i="34"/>
  <c r="AF132" i="34"/>
  <c r="AE132" i="34"/>
  <c r="AB132" i="34"/>
  <c r="Z132" i="34"/>
  <c r="AF131" i="34"/>
  <c r="AE131" i="34"/>
  <c r="AB131" i="34"/>
  <c r="Z131" i="34"/>
  <c r="AF130" i="34"/>
  <c r="AE130" i="34"/>
  <c r="AB130" i="34"/>
  <c r="Z130" i="34"/>
  <c r="AF129" i="34"/>
  <c r="AE129" i="34"/>
  <c r="AB129" i="34"/>
  <c r="Z129" i="34"/>
  <c r="AF128" i="34"/>
  <c r="AE128" i="34"/>
  <c r="AB128" i="34"/>
  <c r="Z128" i="34"/>
  <c r="AF127" i="34"/>
  <c r="AE127" i="34"/>
  <c r="AB127" i="34"/>
  <c r="Z127" i="34"/>
  <c r="AF126" i="34"/>
  <c r="AE126" i="34"/>
  <c r="AB126" i="34"/>
  <c r="Z126" i="34"/>
  <c r="AF125" i="34"/>
  <c r="AE125" i="34"/>
  <c r="AB125" i="34"/>
  <c r="Z125" i="34"/>
  <c r="AF124" i="34"/>
  <c r="AE124" i="34"/>
  <c r="AB124" i="34"/>
  <c r="Z124" i="34"/>
  <c r="AF123" i="34"/>
  <c r="AE123" i="34"/>
  <c r="AB123" i="34"/>
  <c r="Z123" i="34"/>
  <c r="AF122" i="34"/>
  <c r="AE122" i="34"/>
  <c r="AB122" i="34"/>
  <c r="Z122" i="34"/>
  <c r="AF121" i="34"/>
  <c r="AE121" i="34"/>
  <c r="AB121" i="34"/>
  <c r="Z121" i="34"/>
  <c r="AF120" i="34"/>
  <c r="AE120" i="34"/>
  <c r="AB120" i="34"/>
  <c r="Z120" i="34"/>
  <c r="AF119" i="34"/>
  <c r="AE119" i="34"/>
  <c r="AB119" i="34"/>
  <c r="Z119" i="34"/>
  <c r="AF118" i="34"/>
  <c r="AE118" i="34"/>
  <c r="AB118" i="34"/>
  <c r="Z118" i="34"/>
  <c r="AF117" i="34"/>
  <c r="AE117" i="34"/>
  <c r="AB117" i="34"/>
  <c r="Z117" i="34"/>
  <c r="AF116" i="34"/>
  <c r="AE116" i="34"/>
  <c r="AB116" i="34"/>
  <c r="Z116" i="34"/>
  <c r="AF115" i="34"/>
  <c r="AE115" i="34"/>
  <c r="AB115" i="34"/>
  <c r="Z115" i="34"/>
  <c r="AF114" i="34"/>
  <c r="AE114" i="34"/>
  <c r="AB114" i="34"/>
  <c r="Z114" i="34"/>
  <c r="AF113" i="34"/>
  <c r="AE113" i="34"/>
  <c r="AB113" i="34"/>
  <c r="Z113" i="34"/>
  <c r="AF112" i="34"/>
  <c r="AE112" i="34"/>
  <c r="AB112" i="34"/>
  <c r="Z112" i="34"/>
  <c r="AF111" i="34"/>
  <c r="AE111" i="34"/>
  <c r="AB111" i="34"/>
  <c r="Z111" i="34"/>
  <c r="AF110" i="34"/>
  <c r="AE110" i="34"/>
  <c r="AB110" i="34"/>
  <c r="Z110" i="34"/>
  <c r="AF109" i="34"/>
  <c r="AE109" i="34"/>
  <c r="AB109" i="34"/>
  <c r="Z109" i="34"/>
  <c r="AF108" i="34"/>
  <c r="AE108" i="34"/>
  <c r="AB108" i="34"/>
  <c r="Z108" i="34"/>
  <c r="AF107" i="34"/>
  <c r="AE107" i="34"/>
  <c r="AB107" i="34"/>
  <c r="Z107" i="34"/>
  <c r="AF106" i="34"/>
  <c r="AE106" i="34"/>
  <c r="AB106" i="34"/>
  <c r="Z106" i="34"/>
  <c r="AF105" i="34"/>
  <c r="AE105" i="34"/>
  <c r="AB105" i="34"/>
  <c r="Z105" i="34"/>
  <c r="AF104" i="34"/>
  <c r="AE104" i="34"/>
  <c r="AB104" i="34"/>
  <c r="Z104" i="34"/>
  <c r="AF103" i="34"/>
  <c r="AE103" i="34"/>
  <c r="AB103" i="34"/>
  <c r="Z103" i="34"/>
  <c r="AF102" i="34"/>
  <c r="AE102" i="34"/>
  <c r="AB102" i="34"/>
  <c r="Z102" i="34"/>
  <c r="AF101" i="34"/>
  <c r="AE101" i="34"/>
  <c r="AB101" i="34"/>
  <c r="Z101" i="34"/>
  <c r="AF100" i="34"/>
  <c r="AE100" i="34"/>
  <c r="AB100" i="34"/>
  <c r="Z100" i="34"/>
  <c r="AF99" i="34"/>
  <c r="AE99" i="34"/>
  <c r="AB99" i="34"/>
  <c r="Z99" i="34"/>
  <c r="AF98" i="34"/>
  <c r="AE98" i="34"/>
  <c r="AB98" i="34"/>
  <c r="Z98" i="34"/>
  <c r="AF97" i="34"/>
  <c r="AE97" i="34"/>
  <c r="AB97" i="34"/>
  <c r="Z97" i="34"/>
  <c r="AF96" i="34"/>
  <c r="AE96" i="34"/>
  <c r="AB96" i="34"/>
  <c r="Z96" i="34"/>
  <c r="AF95" i="34"/>
  <c r="AE95" i="34"/>
  <c r="AB95" i="34"/>
  <c r="Z95" i="34"/>
  <c r="AF94" i="34"/>
  <c r="AE94" i="34"/>
  <c r="AB94" i="34"/>
  <c r="Z94" i="34"/>
  <c r="AF93" i="34"/>
  <c r="AE93" i="34"/>
  <c r="AB93" i="34"/>
  <c r="Z93" i="34"/>
  <c r="AF92" i="34"/>
  <c r="AE92" i="34"/>
  <c r="AB92" i="34"/>
  <c r="Z92" i="34"/>
  <c r="AF91" i="34"/>
  <c r="AE91" i="34"/>
  <c r="AB91" i="34"/>
  <c r="Z91" i="34"/>
  <c r="AF90" i="34"/>
  <c r="AE90" i="34"/>
  <c r="AB90" i="34"/>
  <c r="Z90" i="34"/>
  <c r="AF89" i="34"/>
  <c r="AE89" i="34"/>
  <c r="AB89" i="34"/>
  <c r="Z89" i="34"/>
  <c r="Q72" i="34"/>
  <c r="Q71" i="34"/>
  <c r="Q70" i="34"/>
  <c r="Q69" i="34"/>
  <c r="Q68" i="34"/>
  <c r="F12" i="34"/>
  <c r="BR60" i="34"/>
  <c r="F11" i="34"/>
  <c r="BZ51" i="34"/>
  <c r="F10" i="34"/>
  <c r="BY51" i="34"/>
  <c r="F9" i="34"/>
  <c r="BX51" i="34"/>
  <c r="F8" i="34"/>
  <c r="BW51" i="34"/>
  <c r="AI15" i="34"/>
  <c r="BR59" i="34"/>
  <c r="CA51" i="34"/>
  <c r="BR58" i="34"/>
  <c r="BR57" i="34"/>
  <c r="BR56" i="34"/>
  <c r="BR37" i="34"/>
  <c r="CA29" i="34"/>
  <c r="BR36" i="34"/>
  <c r="BR35" i="34"/>
  <c r="BR34" i="34"/>
  <c r="BR49" i="34"/>
  <c r="BZ29" i="34"/>
  <c r="BR48" i="34"/>
  <c r="BY29" i="34"/>
  <c r="BR47" i="34"/>
  <c r="BX29" i="34"/>
  <c r="BR46" i="34"/>
  <c r="BR45" i="34"/>
  <c r="CA40" i="34"/>
  <c r="BZ40" i="34"/>
  <c r="BY40" i="34"/>
  <c r="BX40" i="34"/>
  <c r="BW40" i="34"/>
  <c r="BR38" i="34"/>
  <c r="BW29" i="34"/>
  <c r="C38" i="34"/>
  <c r="C37" i="34"/>
  <c r="C36" i="34"/>
  <c r="C35" i="34"/>
  <c r="C34" i="34"/>
  <c r="C25" i="34"/>
  <c r="C24" i="34"/>
  <c r="C23" i="34"/>
  <c r="C22" i="34"/>
  <c r="C21" i="34"/>
  <c r="V135" i="33"/>
  <c r="W135" i="33"/>
  <c r="X135" i="33"/>
  <c r="Y135" i="33"/>
  <c r="AA135" i="33"/>
  <c r="AA207" i="33"/>
  <c r="AB207" i="33"/>
  <c r="Z207" i="33"/>
  <c r="V134" i="33"/>
  <c r="W134" i="33"/>
  <c r="X134" i="33"/>
  <c r="Y134" i="33"/>
  <c r="AA134" i="33"/>
  <c r="AA206" i="33"/>
  <c r="AB206" i="33"/>
  <c r="Z206" i="33"/>
  <c r="V133" i="33"/>
  <c r="W133" i="33"/>
  <c r="X133" i="33"/>
  <c r="Y133" i="33"/>
  <c r="AA133" i="33"/>
  <c r="AA205" i="33"/>
  <c r="AB205" i="33"/>
  <c r="Z205" i="33"/>
  <c r="V132" i="33"/>
  <c r="W132" i="33"/>
  <c r="X132" i="33"/>
  <c r="Y132" i="33"/>
  <c r="AA132" i="33"/>
  <c r="AA204" i="33"/>
  <c r="AB204" i="33"/>
  <c r="Z204" i="33"/>
  <c r="V131" i="33"/>
  <c r="W131" i="33"/>
  <c r="X131" i="33"/>
  <c r="Y131" i="33"/>
  <c r="AA131" i="33"/>
  <c r="AA203" i="33"/>
  <c r="AB203" i="33"/>
  <c r="Z203" i="33"/>
  <c r="V130" i="33"/>
  <c r="W130" i="33"/>
  <c r="X130" i="33"/>
  <c r="Y130" i="33"/>
  <c r="AA130" i="33"/>
  <c r="AA202" i="33"/>
  <c r="AB202" i="33"/>
  <c r="Z202" i="33"/>
  <c r="V129" i="33"/>
  <c r="W129" i="33"/>
  <c r="X129" i="33"/>
  <c r="Y129" i="33"/>
  <c r="AA129" i="33"/>
  <c r="AA201" i="33"/>
  <c r="AB201" i="33"/>
  <c r="Z201" i="33"/>
  <c r="V128" i="33"/>
  <c r="W128" i="33"/>
  <c r="X128" i="33"/>
  <c r="Y128" i="33"/>
  <c r="AA128" i="33"/>
  <c r="AA200" i="33"/>
  <c r="AB200" i="33"/>
  <c r="Z200" i="33"/>
  <c r="V127" i="33"/>
  <c r="W127" i="33"/>
  <c r="X127" i="33"/>
  <c r="Y127" i="33"/>
  <c r="AA127" i="33"/>
  <c r="AA199" i="33"/>
  <c r="AB199" i="33"/>
  <c r="Z199" i="33"/>
  <c r="V126" i="33"/>
  <c r="W126" i="33"/>
  <c r="X126" i="33"/>
  <c r="Y126" i="33"/>
  <c r="AA126" i="33"/>
  <c r="AA198" i="33"/>
  <c r="AB198" i="33"/>
  <c r="Z198" i="33"/>
  <c r="V125" i="33"/>
  <c r="W125" i="33"/>
  <c r="X125" i="33"/>
  <c r="Y125" i="33"/>
  <c r="AA125" i="33"/>
  <c r="AA197" i="33"/>
  <c r="AB197" i="33"/>
  <c r="Z197" i="33"/>
  <c r="V124" i="33"/>
  <c r="W124" i="33"/>
  <c r="X124" i="33"/>
  <c r="Y124" i="33"/>
  <c r="AA124" i="33"/>
  <c r="AA196" i="33"/>
  <c r="AB196" i="33"/>
  <c r="Z196" i="33"/>
  <c r="V123" i="33"/>
  <c r="W123" i="33"/>
  <c r="X123" i="33"/>
  <c r="Y123" i="33"/>
  <c r="AA123" i="33"/>
  <c r="AA195" i="33"/>
  <c r="AB195" i="33"/>
  <c r="Z195" i="33"/>
  <c r="V122" i="33"/>
  <c r="W122" i="33"/>
  <c r="X122" i="33"/>
  <c r="Y122" i="33"/>
  <c r="AA122" i="33"/>
  <c r="AA194" i="33"/>
  <c r="AB194" i="33"/>
  <c r="Z194" i="33"/>
  <c r="V121" i="33"/>
  <c r="W121" i="33"/>
  <c r="X121" i="33"/>
  <c r="Y121" i="33"/>
  <c r="AA121" i="33"/>
  <c r="AA193" i="33"/>
  <c r="AB193" i="33"/>
  <c r="Z193" i="33"/>
  <c r="V120" i="33"/>
  <c r="W120" i="33"/>
  <c r="X120" i="33"/>
  <c r="Y120" i="33"/>
  <c r="AA120" i="33"/>
  <c r="AA192" i="33"/>
  <c r="AB192" i="33"/>
  <c r="Z192" i="33"/>
  <c r="V119" i="33"/>
  <c r="W119" i="33"/>
  <c r="X119" i="33"/>
  <c r="Y119" i="33"/>
  <c r="AA119" i="33"/>
  <c r="AA191" i="33"/>
  <c r="AB191" i="33"/>
  <c r="Z191" i="33"/>
  <c r="V118" i="33"/>
  <c r="W118" i="33"/>
  <c r="X118" i="33"/>
  <c r="Y118" i="33"/>
  <c r="AA118" i="33"/>
  <c r="AA190" i="33"/>
  <c r="AB190" i="33"/>
  <c r="Z190" i="33"/>
  <c r="V117" i="33"/>
  <c r="W117" i="33"/>
  <c r="X117" i="33"/>
  <c r="Y117" i="33"/>
  <c r="AA117" i="33"/>
  <c r="AA189" i="33"/>
  <c r="AB189" i="33"/>
  <c r="Z189" i="33"/>
  <c r="V116" i="33"/>
  <c r="W116" i="33"/>
  <c r="X116" i="33"/>
  <c r="Y116" i="33"/>
  <c r="AA116" i="33"/>
  <c r="AA188" i="33"/>
  <c r="AB188" i="33"/>
  <c r="Z188" i="33"/>
  <c r="V115" i="33"/>
  <c r="W115" i="33"/>
  <c r="X115" i="33"/>
  <c r="Y115" i="33"/>
  <c r="AA115" i="33"/>
  <c r="AA187" i="33"/>
  <c r="AB187" i="33"/>
  <c r="Z187" i="33"/>
  <c r="V114" i="33"/>
  <c r="W114" i="33"/>
  <c r="X114" i="33"/>
  <c r="Y114" i="33"/>
  <c r="AA114" i="33"/>
  <c r="AA186" i="33"/>
  <c r="AB186" i="33"/>
  <c r="Z186" i="33"/>
  <c r="V113" i="33"/>
  <c r="W113" i="33"/>
  <c r="X113" i="33"/>
  <c r="Y113" i="33"/>
  <c r="AA113" i="33"/>
  <c r="AA185" i="33"/>
  <c r="AB185" i="33"/>
  <c r="Z185" i="33"/>
  <c r="V112" i="33"/>
  <c r="W112" i="33"/>
  <c r="X112" i="33"/>
  <c r="Y112" i="33"/>
  <c r="AA112" i="33"/>
  <c r="AA184" i="33"/>
  <c r="AB184" i="33"/>
  <c r="Z184" i="33"/>
  <c r="V111" i="33"/>
  <c r="W111" i="33"/>
  <c r="X111" i="33"/>
  <c r="Y111" i="33"/>
  <c r="AA111" i="33"/>
  <c r="AA183" i="33"/>
  <c r="AB183" i="33"/>
  <c r="Z183" i="33"/>
  <c r="V110" i="33"/>
  <c r="W110" i="33"/>
  <c r="X110" i="33"/>
  <c r="Y110" i="33"/>
  <c r="AA110" i="33"/>
  <c r="AA182" i="33"/>
  <c r="AB182" i="33"/>
  <c r="Z182" i="33"/>
  <c r="V109" i="33"/>
  <c r="W109" i="33"/>
  <c r="X109" i="33"/>
  <c r="Y109" i="33"/>
  <c r="AA109" i="33"/>
  <c r="AA181" i="33"/>
  <c r="AB181" i="33"/>
  <c r="Z181" i="33"/>
  <c r="V108" i="33"/>
  <c r="W108" i="33"/>
  <c r="X108" i="33"/>
  <c r="Y108" i="33"/>
  <c r="AA108" i="33"/>
  <c r="AA180" i="33"/>
  <c r="AB180" i="33"/>
  <c r="Z180" i="33"/>
  <c r="V107" i="33"/>
  <c r="W107" i="33"/>
  <c r="X107" i="33"/>
  <c r="Y107" i="33"/>
  <c r="AA107" i="33"/>
  <c r="AA179" i="33"/>
  <c r="AB179" i="33"/>
  <c r="Z179" i="33"/>
  <c r="V106" i="33"/>
  <c r="W106" i="33"/>
  <c r="X106" i="33"/>
  <c r="Y106" i="33"/>
  <c r="AA106" i="33"/>
  <c r="AA178" i="33"/>
  <c r="AB178" i="33"/>
  <c r="Z178" i="33"/>
  <c r="V105" i="33"/>
  <c r="W105" i="33"/>
  <c r="X105" i="33"/>
  <c r="Y105" i="33"/>
  <c r="AA105" i="33"/>
  <c r="AA177" i="33"/>
  <c r="AB177" i="33"/>
  <c r="Z177" i="33"/>
  <c r="V104" i="33"/>
  <c r="W104" i="33"/>
  <c r="X104" i="33"/>
  <c r="Y104" i="33"/>
  <c r="AA104" i="33"/>
  <c r="AA176" i="33"/>
  <c r="AB176" i="33"/>
  <c r="Z176" i="33"/>
  <c r="V103" i="33"/>
  <c r="W103" i="33"/>
  <c r="X103" i="33"/>
  <c r="Y103" i="33"/>
  <c r="AA103" i="33"/>
  <c r="AA175" i="33"/>
  <c r="AB175" i="33"/>
  <c r="Z175" i="33"/>
  <c r="V102" i="33"/>
  <c r="W102" i="33"/>
  <c r="X102" i="33"/>
  <c r="Y102" i="33"/>
  <c r="AA102" i="33"/>
  <c r="AA174" i="33"/>
  <c r="AB174" i="33"/>
  <c r="Z174" i="33"/>
  <c r="V101" i="33"/>
  <c r="W101" i="33"/>
  <c r="X101" i="33"/>
  <c r="Y101" i="33"/>
  <c r="AA101" i="33"/>
  <c r="AA173" i="33"/>
  <c r="AB173" i="33"/>
  <c r="Z173" i="33"/>
  <c r="V100" i="33"/>
  <c r="W100" i="33"/>
  <c r="X100" i="33"/>
  <c r="Y100" i="33"/>
  <c r="AA100" i="33"/>
  <c r="AA172" i="33"/>
  <c r="AB172" i="33"/>
  <c r="Z172" i="33"/>
  <c r="AA92" i="33"/>
  <c r="AA164" i="33"/>
  <c r="AB164" i="33"/>
  <c r="Z164" i="33"/>
  <c r="AA91" i="33"/>
  <c r="AA163" i="33"/>
  <c r="AB163" i="33"/>
  <c r="Z163" i="33"/>
  <c r="AA89" i="33"/>
  <c r="AA161" i="33"/>
  <c r="AB161" i="33"/>
  <c r="Z161" i="33"/>
  <c r="AF135" i="33"/>
  <c r="AE135" i="33"/>
  <c r="AB135" i="33"/>
  <c r="Z135" i="33"/>
  <c r="AF134" i="33"/>
  <c r="AE134" i="33"/>
  <c r="AB134" i="33"/>
  <c r="Z134" i="33"/>
  <c r="AF133" i="33"/>
  <c r="AE133" i="33"/>
  <c r="AB133" i="33"/>
  <c r="Z133" i="33"/>
  <c r="AF132" i="33"/>
  <c r="AE132" i="33"/>
  <c r="AB132" i="33"/>
  <c r="Z132" i="33"/>
  <c r="AF131" i="33"/>
  <c r="AE131" i="33"/>
  <c r="AB131" i="33"/>
  <c r="Z131" i="33"/>
  <c r="AF130" i="33"/>
  <c r="AE130" i="33"/>
  <c r="AB130" i="33"/>
  <c r="Z130" i="33"/>
  <c r="AF129" i="33"/>
  <c r="AE129" i="33"/>
  <c r="AB129" i="33"/>
  <c r="Z129" i="33"/>
  <c r="AF128" i="33"/>
  <c r="AE128" i="33"/>
  <c r="AB128" i="33"/>
  <c r="Z128" i="33"/>
  <c r="AF127" i="33"/>
  <c r="AE127" i="33"/>
  <c r="AB127" i="33"/>
  <c r="Z127" i="33"/>
  <c r="AF126" i="33"/>
  <c r="AE126" i="33"/>
  <c r="AB126" i="33"/>
  <c r="Z126" i="33"/>
  <c r="AF125" i="33"/>
  <c r="AE125" i="33"/>
  <c r="AB125" i="33"/>
  <c r="Z125" i="33"/>
  <c r="AF124" i="33"/>
  <c r="AE124" i="33"/>
  <c r="AB124" i="33"/>
  <c r="Z124" i="33"/>
  <c r="AF123" i="33"/>
  <c r="AE123" i="33"/>
  <c r="AB123" i="33"/>
  <c r="Z123" i="33"/>
  <c r="AF122" i="33"/>
  <c r="AE122" i="33"/>
  <c r="AB122" i="33"/>
  <c r="Z122" i="33"/>
  <c r="AF121" i="33"/>
  <c r="AE121" i="33"/>
  <c r="AB121" i="33"/>
  <c r="Z121" i="33"/>
  <c r="AF120" i="33"/>
  <c r="AE120" i="33"/>
  <c r="AB120" i="33"/>
  <c r="Z120" i="33"/>
  <c r="AF119" i="33"/>
  <c r="AE119" i="33"/>
  <c r="AB119" i="33"/>
  <c r="Z119" i="33"/>
  <c r="AF118" i="33"/>
  <c r="AE118" i="33"/>
  <c r="AB118" i="33"/>
  <c r="Z118" i="33"/>
  <c r="AF117" i="33"/>
  <c r="AE117" i="33"/>
  <c r="AB117" i="33"/>
  <c r="Z117" i="33"/>
  <c r="AF116" i="33"/>
  <c r="AE116" i="33"/>
  <c r="AB116" i="33"/>
  <c r="Z116" i="33"/>
  <c r="AF115" i="33"/>
  <c r="AE115" i="33"/>
  <c r="AB115" i="33"/>
  <c r="Z115" i="33"/>
  <c r="AF114" i="33"/>
  <c r="AE114" i="33"/>
  <c r="AB114" i="33"/>
  <c r="Z114" i="33"/>
  <c r="AF113" i="33"/>
  <c r="AE113" i="33"/>
  <c r="AB113" i="33"/>
  <c r="Z113" i="33"/>
  <c r="AF112" i="33"/>
  <c r="AE112" i="33"/>
  <c r="AB112" i="33"/>
  <c r="Z112" i="33"/>
  <c r="AF111" i="33"/>
  <c r="AE111" i="33"/>
  <c r="AB111" i="33"/>
  <c r="Z111" i="33"/>
  <c r="AF110" i="33"/>
  <c r="AE110" i="33"/>
  <c r="AB110" i="33"/>
  <c r="Z110" i="33"/>
  <c r="AF109" i="33"/>
  <c r="AE109" i="33"/>
  <c r="AB109" i="33"/>
  <c r="Z109" i="33"/>
  <c r="AF108" i="33"/>
  <c r="AE108" i="33"/>
  <c r="AB108" i="33"/>
  <c r="Z108" i="33"/>
  <c r="AF107" i="33"/>
  <c r="AE107" i="33"/>
  <c r="AB107" i="33"/>
  <c r="Z107" i="33"/>
  <c r="AF106" i="33"/>
  <c r="AE106" i="33"/>
  <c r="AB106" i="33"/>
  <c r="Z106" i="33"/>
  <c r="AF105" i="33"/>
  <c r="AE105" i="33"/>
  <c r="AB105" i="33"/>
  <c r="Z105" i="33"/>
  <c r="AF104" i="33"/>
  <c r="AE104" i="33"/>
  <c r="AB104" i="33"/>
  <c r="Z104" i="33"/>
  <c r="AF103" i="33"/>
  <c r="AE103" i="33"/>
  <c r="AB103" i="33"/>
  <c r="Z103" i="33"/>
  <c r="AF102" i="33"/>
  <c r="AE102" i="33"/>
  <c r="AB102" i="33"/>
  <c r="Z102" i="33"/>
  <c r="AF101" i="33"/>
  <c r="AE101" i="33"/>
  <c r="AB101" i="33"/>
  <c r="Z101" i="33"/>
  <c r="AF100" i="33"/>
  <c r="AE100" i="33"/>
  <c r="AB100" i="33"/>
  <c r="Z100" i="33"/>
  <c r="AB99" i="33"/>
  <c r="Z99" i="33"/>
  <c r="AB98" i="33"/>
  <c r="Z98" i="33"/>
  <c r="AB97" i="33"/>
  <c r="Z97" i="33"/>
  <c r="AB96" i="33"/>
  <c r="Z96" i="33"/>
  <c r="AB95" i="33"/>
  <c r="Z95" i="33"/>
  <c r="AB94" i="33"/>
  <c r="Z94" i="33"/>
  <c r="AF92" i="33"/>
  <c r="AE92" i="33"/>
  <c r="AB92" i="33"/>
  <c r="Z92" i="33"/>
  <c r="AF91" i="33"/>
  <c r="AE91" i="33"/>
  <c r="AB91" i="33"/>
  <c r="Z91" i="33"/>
  <c r="AF89" i="33"/>
  <c r="AE89" i="33"/>
  <c r="AB89" i="33"/>
  <c r="Z89" i="33"/>
  <c r="Q72" i="33"/>
  <c r="Q71" i="33"/>
  <c r="Q70" i="33"/>
  <c r="Q69" i="33"/>
  <c r="Q68" i="33"/>
  <c r="F12" i="33"/>
  <c r="BR60" i="33"/>
  <c r="F11" i="33"/>
  <c r="BZ51" i="33"/>
  <c r="F10" i="33"/>
  <c r="BY51" i="33"/>
  <c r="F9" i="33"/>
  <c r="BX51" i="33"/>
  <c r="F8" i="33"/>
  <c r="BW51" i="33"/>
  <c r="AI15" i="33"/>
  <c r="BR59" i="33"/>
  <c r="CA51" i="33"/>
  <c r="BR58" i="33"/>
  <c r="BR57" i="33"/>
  <c r="BR56" i="33"/>
  <c r="BR37" i="33"/>
  <c r="CA29" i="33"/>
  <c r="BR36" i="33"/>
  <c r="BR35" i="33"/>
  <c r="BR34" i="33"/>
  <c r="BR49" i="33"/>
  <c r="BZ29" i="33"/>
  <c r="BR48" i="33"/>
  <c r="BY29" i="33"/>
  <c r="BR47" i="33"/>
  <c r="BX29" i="33"/>
  <c r="BR46" i="33"/>
  <c r="BR45" i="33"/>
  <c r="CA40" i="33"/>
  <c r="BZ40" i="33"/>
  <c r="BY40" i="33"/>
  <c r="BX40" i="33"/>
  <c r="BW40" i="33"/>
  <c r="BR38" i="33"/>
  <c r="BW29" i="33"/>
  <c r="C38" i="33"/>
  <c r="C37" i="33"/>
  <c r="C36" i="33"/>
  <c r="C35" i="33"/>
  <c r="C34" i="33"/>
  <c r="C25" i="33"/>
  <c r="C24" i="33"/>
  <c r="C23" i="33"/>
  <c r="C22" i="33"/>
  <c r="C21" i="33"/>
  <c r="Q38" i="27"/>
  <c r="Q31" i="27"/>
  <c r="E61" i="9"/>
  <c r="X41" i="27"/>
  <c r="X40" i="27"/>
  <c r="AF39" i="27"/>
  <c r="AE39" i="27"/>
  <c r="AA39" i="27"/>
  <c r="Z39" i="27"/>
  <c r="W39" i="27"/>
  <c r="V39" i="27"/>
  <c r="U39" i="27"/>
  <c r="T39" i="27"/>
  <c r="S39" i="27"/>
  <c r="E59" i="9"/>
  <c r="AD38" i="27"/>
  <c r="X36" i="27"/>
  <c r="X35" i="27"/>
  <c r="X34" i="27"/>
  <c r="X33" i="27"/>
  <c r="AF32" i="27"/>
  <c r="AE32" i="27"/>
  <c r="AA32" i="27"/>
  <c r="Z32" i="27"/>
  <c r="W32" i="27"/>
  <c r="V32" i="27"/>
  <c r="U32" i="27"/>
  <c r="T32" i="27"/>
  <c r="S32" i="27"/>
  <c r="AD31" i="27"/>
  <c r="B13" i="17"/>
  <c r="B13" i="3"/>
  <c r="B14" i="3"/>
  <c r="P77" i="22"/>
  <c r="C10" i="32"/>
  <c r="C22" i="32"/>
  <c r="I20" i="22"/>
  <c r="L20" i="22"/>
  <c r="K20" i="22"/>
  <c r="N20" i="22"/>
  <c r="C19" i="32"/>
  <c r="K20" i="32"/>
  <c r="K21" i="32"/>
  <c r="F24" i="32"/>
  <c r="F23" i="32"/>
  <c r="U16" i="22"/>
  <c r="E24" i="32"/>
  <c r="E23" i="32"/>
  <c r="G29" i="32"/>
  <c r="F29" i="32"/>
  <c r="G26" i="32"/>
  <c r="N24" i="32"/>
  <c r="N23" i="32"/>
  <c r="K23" i="32"/>
  <c r="N18" i="32"/>
  <c r="K18" i="32"/>
  <c r="N17" i="32"/>
  <c r="K17" i="32"/>
  <c r="N16" i="32"/>
  <c r="K16" i="32"/>
  <c r="N15" i="32"/>
  <c r="K15" i="32"/>
  <c r="N14" i="32"/>
  <c r="K14" i="32"/>
  <c r="N13" i="32"/>
  <c r="K13" i="32"/>
  <c r="N12" i="32"/>
  <c r="K12" i="32"/>
  <c r="E12" i="32"/>
  <c r="M11" i="32"/>
  <c r="J11" i="32"/>
  <c r="G11" i="32"/>
  <c r="E11" i="32"/>
  <c r="D11" i="32"/>
  <c r="C11" i="32"/>
  <c r="P9" i="32"/>
  <c r="G7" i="32"/>
  <c r="E5" i="32"/>
  <c r="E4" i="32"/>
  <c r="E3" i="32"/>
  <c r="E2" i="32"/>
  <c r="N20" i="21"/>
  <c r="K17" i="21"/>
  <c r="N17" i="21"/>
  <c r="K18" i="21"/>
  <c r="N18" i="21"/>
  <c r="K19" i="21"/>
  <c r="N19" i="21"/>
  <c r="Q64" i="3"/>
  <c r="F4" i="3"/>
  <c r="Q65" i="3"/>
  <c r="F5" i="3"/>
  <c r="Q66" i="3"/>
  <c r="F6" i="3"/>
  <c r="Q67" i="3"/>
  <c r="F7" i="3"/>
  <c r="Q68" i="3"/>
  <c r="F8" i="3"/>
  <c r="Q64" i="17"/>
  <c r="F4" i="17"/>
  <c r="Q65" i="17"/>
  <c r="F5" i="17"/>
  <c r="Q66" i="17"/>
  <c r="F6" i="17"/>
  <c r="Q67" i="17"/>
  <c r="F7" i="17"/>
  <c r="Q68" i="17"/>
  <c r="F8" i="17"/>
  <c r="I6" i="22"/>
  <c r="L6" i="22"/>
  <c r="K6" i="22"/>
  <c r="N6" i="22"/>
  <c r="F6" i="22"/>
  <c r="C3" i="25"/>
  <c r="I7" i="22"/>
  <c r="L7" i="22"/>
  <c r="K7" i="22"/>
  <c r="N7" i="22"/>
  <c r="E7" i="22" a="1"/>
  <c r="E7" i="22"/>
  <c r="U18" i="22"/>
  <c r="F7" i="22"/>
  <c r="C4" i="25"/>
  <c r="I8" i="22"/>
  <c r="L8" i="22"/>
  <c r="K8" i="22"/>
  <c r="N8" i="22"/>
  <c r="E8" i="22" a="1"/>
  <c r="E8" i="22"/>
  <c r="F8" i="22"/>
  <c r="C5" i="25"/>
  <c r="I9" i="22"/>
  <c r="L9" i="22"/>
  <c r="K9" i="22"/>
  <c r="N9" i="22"/>
  <c r="E9" i="22" a="1"/>
  <c r="E9" i="22"/>
  <c r="F9" i="22"/>
  <c r="C6" i="25"/>
  <c r="I10" i="22"/>
  <c r="L10" i="22"/>
  <c r="K10" i="22"/>
  <c r="N10" i="22"/>
  <c r="E10" i="22" a="1"/>
  <c r="E10" i="22"/>
  <c r="F10" i="22"/>
  <c r="C7" i="25"/>
  <c r="I11" i="22"/>
  <c r="L11" i="22"/>
  <c r="K11" i="22"/>
  <c r="N11" i="22"/>
  <c r="E11" i="22" a="1"/>
  <c r="E11" i="22"/>
  <c r="F11" i="22"/>
  <c r="C8" i="25"/>
  <c r="E12" i="22" a="1"/>
  <c r="E12" i="22"/>
  <c r="F12" i="22"/>
  <c r="C9" i="25"/>
  <c r="I13" i="22"/>
  <c r="L13" i="22"/>
  <c r="K13" i="22"/>
  <c r="N13" i="22"/>
  <c r="E13" i="22" a="1"/>
  <c r="E13" i="22"/>
  <c r="F13" i="22"/>
  <c r="C10" i="25"/>
  <c r="I14" i="22"/>
  <c r="L14" i="22"/>
  <c r="K14" i="22"/>
  <c r="N14" i="22"/>
  <c r="E14" i="22" a="1"/>
  <c r="E14" i="22"/>
  <c r="F14" i="22"/>
  <c r="C11" i="25"/>
  <c r="I15" i="22"/>
  <c r="L15" i="22"/>
  <c r="K15" i="22"/>
  <c r="N15" i="22"/>
  <c r="E15" i="22" a="1"/>
  <c r="E15" i="22"/>
  <c r="F15" i="22"/>
  <c r="C12" i="25"/>
  <c r="I16" i="22"/>
  <c r="L16" i="22"/>
  <c r="K16" i="22"/>
  <c r="N16" i="22"/>
  <c r="E16" i="22" a="1"/>
  <c r="E16" i="22"/>
  <c r="F16" i="22"/>
  <c r="C13" i="25"/>
  <c r="I17" i="22"/>
  <c r="L17" i="22"/>
  <c r="K17" i="22"/>
  <c r="N17" i="22"/>
  <c r="E17" i="22" a="1"/>
  <c r="E17" i="22"/>
  <c r="F17" i="22"/>
  <c r="C14" i="25"/>
  <c r="I18" i="22"/>
  <c r="L18" i="22"/>
  <c r="K18" i="22"/>
  <c r="N18" i="22"/>
  <c r="E18" i="22" a="1"/>
  <c r="E18" i="22"/>
  <c r="F18" i="22"/>
  <c r="C15" i="25"/>
  <c r="I19" i="22"/>
  <c r="L19" i="22"/>
  <c r="K19" i="22"/>
  <c r="N19" i="22"/>
  <c r="E19" i="22" a="1"/>
  <c r="E19" i="22"/>
  <c r="F19" i="22"/>
  <c r="C16" i="25"/>
  <c r="E20" i="22" a="1"/>
  <c r="E20" i="22"/>
  <c r="F20" i="22"/>
  <c r="C17" i="25"/>
  <c r="I21" i="22"/>
  <c r="L21" i="22"/>
  <c r="K21" i="22"/>
  <c r="N21" i="22"/>
  <c r="E21" i="22" a="1"/>
  <c r="E21" i="22"/>
  <c r="F21" i="22"/>
  <c r="C18" i="25"/>
  <c r="I22" i="22"/>
  <c r="L22" i="22"/>
  <c r="K22" i="22"/>
  <c r="N22" i="22"/>
  <c r="E22" i="22" a="1"/>
  <c r="E22" i="22"/>
  <c r="F22" i="22"/>
  <c r="C19" i="25"/>
  <c r="I23" i="22"/>
  <c r="L23" i="22"/>
  <c r="K23" i="22"/>
  <c r="N23" i="22"/>
  <c r="E23" i="22" a="1"/>
  <c r="E23" i="22"/>
  <c r="F23" i="22"/>
  <c r="C20" i="25"/>
  <c r="I24" i="22"/>
  <c r="L24" i="22"/>
  <c r="K24" i="22"/>
  <c r="N24" i="22"/>
  <c r="E24" i="22" a="1"/>
  <c r="E24" i="22"/>
  <c r="F24" i="22"/>
  <c r="C21" i="25"/>
  <c r="I25" i="22"/>
  <c r="L25" i="22"/>
  <c r="K25" i="22"/>
  <c r="N25" i="22"/>
  <c r="E25" i="22" a="1"/>
  <c r="E25" i="22"/>
  <c r="F25" i="22"/>
  <c r="C22" i="25"/>
  <c r="I26" i="22"/>
  <c r="L26" i="22"/>
  <c r="K26" i="22"/>
  <c r="N26" i="22"/>
  <c r="E26" i="22" a="1"/>
  <c r="E26" i="22"/>
  <c r="F26" i="22"/>
  <c r="C23" i="25"/>
  <c r="I27" i="22"/>
  <c r="L27" i="22"/>
  <c r="K27" i="22"/>
  <c r="N27" i="22"/>
  <c r="E27" i="22" a="1"/>
  <c r="E27" i="22"/>
  <c r="F27" i="22"/>
  <c r="C24" i="25"/>
  <c r="I28" i="22"/>
  <c r="L28" i="22"/>
  <c r="K28" i="22"/>
  <c r="N28" i="22"/>
  <c r="E28" i="22" a="1"/>
  <c r="E28" i="22"/>
  <c r="F28" i="22"/>
  <c r="C25" i="25"/>
  <c r="I29" i="22"/>
  <c r="L29" i="22"/>
  <c r="K29" i="22"/>
  <c r="N29" i="22"/>
  <c r="E29" i="22" a="1"/>
  <c r="E29" i="22"/>
  <c r="F29" i="22"/>
  <c r="C26" i="25"/>
  <c r="I30" i="22"/>
  <c r="L30" i="22"/>
  <c r="K30" i="22"/>
  <c r="N30" i="22"/>
  <c r="E30" i="22" a="1"/>
  <c r="E30" i="22"/>
  <c r="F30" i="22"/>
  <c r="C27" i="25"/>
  <c r="I31" i="22"/>
  <c r="L31" i="22"/>
  <c r="K31" i="22"/>
  <c r="N31" i="22"/>
  <c r="E31" i="22" a="1"/>
  <c r="E31" i="22"/>
  <c r="F31" i="22"/>
  <c r="C28" i="25"/>
  <c r="I32" i="22"/>
  <c r="L32" i="22"/>
  <c r="K32" i="22"/>
  <c r="N32" i="22"/>
  <c r="E32" i="22" a="1"/>
  <c r="E32" i="22"/>
  <c r="F32" i="22"/>
  <c r="C29" i="25"/>
  <c r="I33" i="22"/>
  <c r="L33" i="22"/>
  <c r="K33" i="22"/>
  <c r="N33" i="22"/>
  <c r="E33" i="22" a="1"/>
  <c r="E33" i="22"/>
  <c r="F33" i="22"/>
  <c r="C30" i="25"/>
  <c r="I34" i="22"/>
  <c r="L34" i="22"/>
  <c r="K34" i="22"/>
  <c r="N34" i="22"/>
  <c r="E34" i="22" a="1"/>
  <c r="E34" i="22"/>
  <c r="F34" i="22"/>
  <c r="C31" i="25"/>
  <c r="I35" i="22"/>
  <c r="L35" i="22"/>
  <c r="K35" i="22"/>
  <c r="N35" i="22"/>
  <c r="E35" i="22" a="1"/>
  <c r="E35" i="22"/>
  <c r="F35" i="22"/>
  <c r="C32" i="25"/>
  <c r="I36" i="22"/>
  <c r="L36" i="22"/>
  <c r="K36" i="22"/>
  <c r="N36" i="22"/>
  <c r="E36" i="22" a="1"/>
  <c r="E36" i="22"/>
  <c r="F36" i="22"/>
  <c r="C33" i="25"/>
  <c r="I37" i="22"/>
  <c r="L37" i="22"/>
  <c r="K37" i="22"/>
  <c r="N37" i="22"/>
  <c r="E37" i="22" a="1"/>
  <c r="E37" i="22"/>
  <c r="F37" i="22"/>
  <c r="C34" i="25"/>
  <c r="I38" i="22"/>
  <c r="L38" i="22"/>
  <c r="K38" i="22"/>
  <c r="N38" i="22"/>
  <c r="E38" i="22" a="1"/>
  <c r="E38" i="22"/>
  <c r="F38" i="22"/>
  <c r="C35" i="25"/>
  <c r="I39" i="22"/>
  <c r="L39" i="22"/>
  <c r="K39" i="22"/>
  <c r="N39" i="22"/>
  <c r="E39" i="22" a="1"/>
  <c r="E39" i="22"/>
  <c r="F39" i="22"/>
  <c r="C36" i="25"/>
  <c r="I40" i="22"/>
  <c r="L40" i="22"/>
  <c r="K40" i="22"/>
  <c r="N40" i="22"/>
  <c r="E40" i="22" a="1"/>
  <c r="E40" i="22"/>
  <c r="F40" i="22"/>
  <c r="C37" i="25"/>
  <c r="I41" i="22"/>
  <c r="L41" i="22"/>
  <c r="K41" i="22"/>
  <c r="N41" i="22"/>
  <c r="E41" i="22" a="1"/>
  <c r="E41" i="22"/>
  <c r="F41" i="22"/>
  <c r="C38" i="25"/>
  <c r="I42" i="22"/>
  <c r="L42" i="22"/>
  <c r="K42" i="22"/>
  <c r="N42" i="22"/>
  <c r="E42" i="22" a="1"/>
  <c r="E42" i="22"/>
  <c r="F42" i="22"/>
  <c r="C39" i="25"/>
  <c r="I43" i="22"/>
  <c r="L43" i="22"/>
  <c r="K43" i="22"/>
  <c r="N43" i="22"/>
  <c r="E43" i="22" a="1"/>
  <c r="E43" i="22"/>
  <c r="F43" i="22"/>
  <c r="C40" i="25"/>
  <c r="I44" i="22"/>
  <c r="L44" i="22"/>
  <c r="K44" i="22"/>
  <c r="N44" i="22"/>
  <c r="E44" i="22" a="1"/>
  <c r="E44" i="22"/>
  <c r="F44" i="22"/>
  <c r="C41" i="25"/>
  <c r="I45" i="22"/>
  <c r="L45" i="22"/>
  <c r="K45" i="22"/>
  <c r="N45" i="22"/>
  <c r="E45" i="22" a="1"/>
  <c r="E45" i="22"/>
  <c r="F45" i="22"/>
  <c r="C42" i="25"/>
  <c r="I46" i="22"/>
  <c r="L46" i="22"/>
  <c r="K46" i="22"/>
  <c r="N46" i="22"/>
  <c r="E46" i="22" a="1"/>
  <c r="E46" i="22"/>
  <c r="F46" i="22"/>
  <c r="C43" i="25"/>
  <c r="I47" i="22"/>
  <c r="L47" i="22"/>
  <c r="K47" i="22"/>
  <c r="N47" i="22"/>
  <c r="E47" i="22" a="1"/>
  <c r="E47" i="22"/>
  <c r="F47" i="22"/>
  <c r="C44" i="25"/>
  <c r="I48" i="22"/>
  <c r="L48" i="22"/>
  <c r="K48" i="22"/>
  <c r="N48" i="22"/>
  <c r="E48" i="22" a="1"/>
  <c r="E48" i="22"/>
  <c r="F48" i="22"/>
  <c r="C45" i="25"/>
  <c r="I49" i="22"/>
  <c r="L49" i="22"/>
  <c r="K49" i="22"/>
  <c r="N49" i="22"/>
  <c r="E49" i="22" a="1"/>
  <c r="E49" i="22"/>
  <c r="F49" i="22"/>
  <c r="C46" i="25"/>
  <c r="I50" i="22"/>
  <c r="L50" i="22"/>
  <c r="K50" i="22"/>
  <c r="N50" i="22"/>
  <c r="E50" i="22" a="1"/>
  <c r="E50" i="22"/>
  <c r="F50" i="22"/>
  <c r="C47" i="25"/>
  <c r="I51" i="22"/>
  <c r="L51" i="22"/>
  <c r="K51" i="22"/>
  <c r="N51" i="22"/>
  <c r="E51" i="22" a="1"/>
  <c r="E51" i="22"/>
  <c r="F51" i="22"/>
  <c r="C48" i="25"/>
  <c r="I52" i="22"/>
  <c r="L52" i="22"/>
  <c r="K52" i="22"/>
  <c r="N52" i="22"/>
  <c r="E52" i="22" a="1"/>
  <c r="E52" i="22"/>
  <c r="F52" i="22"/>
  <c r="C49" i="25"/>
  <c r="I53" i="22"/>
  <c r="L53" i="22"/>
  <c r="K53" i="22"/>
  <c r="N53" i="22"/>
  <c r="E53" i="22" a="1"/>
  <c r="E53" i="22"/>
  <c r="F53" i="22"/>
  <c r="C50" i="25"/>
  <c r="I54" i="22"/>
  <c r="L54" i="22"/>
  <c r="K54" i="22"/>
  <c r="N54" i="22"/>
  <c r="E54" i="22" a="1"/>
  <c r="E54" i="22"/>
  <c r="F54" i="22"/>
  <c r="C51" i="25"/>
  <c r="I55" i="22"/>
  <c r="L55" i="22"/>
  <c r="K55" i="22"/>
  <c r="N55" i="22"/>
  <c r="E55" i="22" a="1"/>
  <c r="E55" i="22"/>
  <c r="F55" i="22"/>
  <c r="C52" i="25"/>
  <c r="I56" i="22"/>
  <c r="L56" i="22"/>
  <c r="K56" i="22"/>
  <c r="N56" i="22"/>
  <c r="E56" i="22" a="1"/>
  <c r="E56" i="22"/>
  <c r="F56" i="22"/>
  <c r="C53" i="25"/>
  <c r="I57" i="22"/>
  <c r="L57" i="22"/>
  <c r="K57" i="22"/>
  <c r="N57" i="22"/>
  <c r="E57" i="22" a="1"/>
  <c r="E57" i="22"/>
  <c r="F57" i="22"/>
  <c r="C54" i="25"/>
  <c r="I58" i="22"/>
  <c r="L58" i="22"/>
  <c r="K58" i="22"/>
  <c r="N58" i="22"/>
  <c r="E58" i="22" a="1"/>
  <c r="E58" i="22"/>
  <c r="F58" i="22"/>
  <c r="C55" i="25"/>
  <c r="I59" i="22"/>
  <c r="L59" i="22"/>
  <c r="K59" i="22"/>
  <c r="N59" i="22"/>
  <c r="E59" i="22" a="1"/>
  <c r="E59" i="22"/>
  <c r="F59" i="22"/>
  <c r="C56" i="25"/>
  <c r="I60" i="22"/>
  <c r="L60" i="22"/>
  <c r="K60" i="22"/>
  <c r="N60" i="22"/>
  <c r="E60" i="22" a="1"/>
  <c r="E60" i="22"/>
  <c r="F60" i="22"/>
  <c r="C57" i="25"/>
  <c r="I61" i="22"/>
  <c r="L61" i="22"/>
  <c r="K61" i="22"/>
  <c r="N61" i="22"/>
  <c r="E61" i="22" a="1"/>
  <c r="E61" i="22"/>
  <c r="F61" i="22"/>
  <c r="C58" i="25"/>
  <c r="I62" i="22"/>
  <c r="L62" i="22"/>
  <c r="K62" i="22"/>
  <c r="N62" i="22"/>
  <c r="E62" i="22" a="1"/>
  <c r="E62" i="22"/>
  <c r="F62" i="22"/>
  <c r="C59" i="25"/>
  <c r="I63" i="22"/>
  <c r="L63" i="22"/>
  <c r="K63" i="22"/>
  <c r="N63" i="22"/>
  <c r="E63" i="22" a="1"/>
  <c r="E63" i="22"/>
  <c r="F63" i="22"/>
  <c r="C60" i="25"/>
  <c r="I64" i="22"/>
  <c r="L64" i="22"/>
  <c r="K64" i="22"/>
  <c r="N64" i="22"/>
  <c r="E64" i="22" a="1"/>
  <c r="E64" i="22"/>
  <c r="F64" i="22"/>
  <c r="C61" i="25"/>
  <c r="I65" i="22"/>
  <c r="L65" i="22"/>
  <c r="K65" i="22"/>
  <c r="N65" i="22"/>
  <c r="E65" i="22" a="1"/>
  <c r="E65" i="22"/>
  <c r="F65" i="22"/>
  <c r="C62" i="25"/>
  <c r="I66" i="22"/>
  <c r="L66" i="22"/>
  <c r="K66" i="22"/>
  <c r="N66" i="22"/>
  <c r="E66" i="22" a="1"/>
  <c r="E66" i="22"/>
  <c r="F66" i="22"/>
  <c r="C63" i="25"/>
  <c r="I67" i="22"/>
  <c r="L67" i="22"/>
  <c r="K67" i="22"/>
  <c r="N67" i="22"/>
  <c r="E67" i="22" a="1"/>
  <c r="E67" i="22"/>
  <c r="F67" i="22"/>
  <c r="C64" i="25"/>
  <c r="I68" i="22"/>
  <c r="L68" i="22"/>
  <c r="K68" i="22"/>
  <c r="N68" i="22"/>
  <c r="E68" i="22" a="1"/>
  <c r="E68" i="22"/>
  <c r="F68" i="22"/>
  <c r="C65" i="25"/>
  <c r="I69" i="22"/>
  <c r="L69" i="22"/>
  <c r="K69" i="22"/>
  <c r="N69" i="22"/>
  <c r="E69" i="22" a="1"/>
  <c r="E69" i="22"/>
  <c r="F69" i="22"/>
  <c r="C66" i="25"/>
  <c r="I70" i="22"/>
  <c r="L70" i="22"/>
  <c r="K70" i="22"/>
  <c r="N70" i="22"/>
  <c r="E70" i="22" a="1"/>
  <c r="E70" i="22"/>
  <c r="F70" i="22"/>
  <c r="C67" i="25"/>
  <c r="I71" i="22"/>
  <c r="L71" i="22"/>
  <c r="K71" i="22"/>
  <c r="N71" i="22"/>
  <c r="E71" i="22" a="1"/>
  <c r="E71" i="22"/>
  <c r="F71" i="22"/>
  <c r="C68" i="25"/>
  <c r="I72" i="22"/>
  <c r="L72" i="22"/>
  <c r="K72" i="22"/>
  <c r="N72" i="22"/>
  <c r="E72" i="22" a="1"/>
  <c r="E72" i="22"/>
  <c r="F72" i="22"/>
  <c r="C69" i="25"/>
  <c r="I73" i="22"/>
  <c r="L73" i="22"/>
  <c r="K73" i="22"/>
  <c r="N73" i="22"/>
  <c r="E73" i="22" a="1"/>
  <c r="E73" i="22"/>
  <c r="F73" i="22"/>
  <c r="C70" i="25"/>
  <c r="I74" i="22"/>
  <c r="L74" i="22"/>
  <c r="K74" i="22"/>
  <c r="N74" i="22"/>
  <c r="E74" i="22" a="1"/>
  <c r="E74" i="22"/>
  <c r="F74" i="22"/>
  <c r="C71" i="25"/>
  <c r="I75" i="22"/>
  <c r="L75" i="22"/>
  <c r="K75" i="22"/>
  <c r="N75" i="22"/>
  <c r="E75" i="22" a="1"/>
  <c r="E75" i="22"/>
  <c r="F75" i="22"/>
  <c r="C72" i="25"/>
  <c r="I76" i="22"/>
  <c r="L76" i="22"/>
  <c r="K76" i="22"/>
  <c r="N76" i="22"/>
  <c r="E76" i="22" a="1"/>
  <c r="E76" i="22"/>
  <c r="F76" i="22"/>
  <c r="C73" i="25"/>
  <c r="I77" i="22"/>
  <c r="L77" i="22"/>
  <c r="K77" i="22"/>
  <c r="N77" i="22"/>
  <c r="E77" i="22" a="1"/>
  <c r="E77" i="22"/>
  <c r="F77" i="22"/>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E2" i="25"/>
  <c r="B3" i="31"/>
  <c r="G43" i="31"/>
  <c r="F43" i="31"/>
  <c r="E43" i="31"/>
  <c r="D43" i="31"/>
  <c r="C43" i="31"/>
  <c r="G31" i="31"/>
  <c r="F31" i="31"/>
  <c r="E31" i="31"/>
  <c r="D31" i="31"/>
  <c r="C31" i="31"/>
  <c r="G19" i="31"/>
  <c r="F19" i="31"/>
  <c r="E19" i="31"/>
  <c r="D19" i="31"/>
  <c r="C19" i="31"/>
  <c r="G7" i="31"/>
  <c r="F7" i="31"/>
  <c r="E7" i="31"/>
  <c r="D7" i="31"/>
  <c r="C7" i="31"/>
  <c r="B4" i="31"/>
  <c r="B2" i="31"/>
  <c r="V64" i="3"/>
  <c r="V65" i="3"/>
  <c r="V66" i="3"/>
  <c r="V67" i="3"/>
  <c r="F12" i="6"/>
  <c r="H12" i="6"/>
  <c r="W64" i="3"/>
  <c r="X64" i="3"/>
  <c r="F13" i="6"/>
  <c r="H13" i="6"/>
  <c r="W65" i="3"/>
  <c r="X65" i="3"/>
  <c r="F14" i="6"/>
  <c r="H14" i="6"/>
  <c r="W66" i="3"/>
  <c r="X66" i="3"/>
  <c r="F15" i="6"/>
  <c r="H15" i="6"/>
  <c r="W67" i="3"/>
  <c r="X67" i="3"/>
  <c r="F16" i="6"/>
  <c r="H16" i="6"/>
  <c r="V68" i="3"/>
  <c r="W68" i="3"/>
  <c r="X68" i="3"/>
  <c r="F17" i="6"/>
  <c r="H17" i="6"/>
  <c r="V69" i="3"/>
  <c r="W69" i="3"/>
  <c r="X69" i="3"/>
  <c r="F18" i="6"/>
  <c r="H18" i="6"/>
  <c r="V70" i="3"/>
  <c r="W70" i="3"/>
  <c r="X70" i="3"/>
  <c r="F19" i="6"/>
  <c r="H19" i="6"/>
  <c r="V71" i="3"/>
  <c r="W71" i="3"/>
  <c r="X71" i="3"/>
  <c r="F20" i="6"/>
  <c r="H20" i="6"/>
  <c r="V72" i="3"/>
  <c r="W72" i="3"/>
  <c r="X72" i="3"/>
  <c r="F21" i="6"/>
  <c r="H21" i="6"/>
  <c r="V73" i="3"/>
  <c r="W73" i="3"/>
  <c r="X73" i="3"/>
  <c r="F22" i="6"/>
  <c r="H22" i="6"/>
  <c r="V74" i="3"/>
  <c r="W74" i="3"/>
  <c r="X74" i="3"/>
  <c r="F23" i="6"/>
  <c r="H23" i="6"/>
  <c r="V75" i="3"/>
  <c r="W75" i="3"/>
  <c r="X75" i="3"/>
  <c r="F24" i="6"/>
  <c r="H24" i="6"/>
  <c r="V76" i="3"/>
  <c r="W76" i="3"/>
  <c r="X76" i="3"/>
  <c r="F25" i="6"/>
  <c r="H25" i="6"/>
  <c r="V77" i="3"/>
  <c r="W77" i="3"/>
  <c r="X77" i="3"/>
  <c r="F26" i="6"/>
  <c r="H26" i="6"/>
  <c r="V78" i="3"/>
  <c r="W78" i="3"/>
  <c r="X78" i="3"/>
  <c r="F27" i="6"/>
  <c r="H27" i="6"/>
  <c r="V79" i="3"/>
  <c r="W79" i="3"/>
  <c r="X79" i="3"/>
  <c r="F28" i="6"/>
  <c r="H28" i="6"/>
  <c r="V80" i="3"/>
  <c r="W80" i="3"/>
  <c r="X80" i="3"/>
  <c r="F29" i="6"/>
  <c r="H29" i="6"/>
  <c r="V81" i="3"/>
  <c r="W81" i="3"/>
  <c r="X81" i="3"/>
  <c r="F30" i="6"/>
  <c r="H30" i="6"/>
  <c r="V82" i="3"/>
  <c r="W82" i="3"/>
  <c r="X82" i="3"/>
  <c r="F31" i="6"/>
  <c r="H31" i="6"/>
  <c r="V83" i="3"/>
  <c r="W83" i="3"/>
  <c r="X83" i="3"/>
  <c r="F32" i="6"/>
  <c r="H32" i="6"/>
  <c r="V84" i="3"/>
  <c r="W84" i="3"/>
  <c r="X84" i="3"/>
  <c r="F33" i="6"/>
  <c r="H33" i="6"/>
  <c r="V85" i="3"/>
  <c r="W85" i="3"/>
  <c r="X85" i="3"/>
  <c r="F34" i="6"/>
  <c r="H34" i="6"/>
  <c r="V86" i="3"/>
  <c r="W86" i="3"/>
  <c r="X86" i="3"/>
  <c r="F35" i="6"/>
  <c r="H35" i="6"/>
  <c r="V87" i="3"/>
  <c r="W87" i="3"/>
  <c r="X87" i="3"/>
  <c r="F36" i="6"/>
  <c r="H36" i="6"/>
  <c r="V88" i="3"/>
  <c r="W88" i="3"/>
  <c r="X88" i="3"/>
  <c r="F37" i="6"/>
  <c r="H37" i="6"/>
  <c r="V89" i="3"/>
  <c r="W89" i="3"/>
  <c r="X89" i="3"/>
  <c r="F38" i="6"/>
  <c r="H38" i="6"/>
  <c r="V90" i="3"/>
  <c r="W90" i="3"/>
  <c r="X90" i="3"/>
  <c r="F39" i="6"/>
  <c r="H39" i="6"/>
  <c r="V91" i="3"/>
  <c r="W91" i="3"/>
  <c r="X91" i="3"/>
  <c r="F40" i="6"/>
  <c r="H40" i="6"/>
  <c r="V92" i="3"/>
  <c r="W92" i="3"/>
  <c r="X92" i="3"/>
  <c r="F41" i="6"/>
  <c r="H41" i="6"/>
  <c r="V93" i="3"/>
  <c r="W93" i="3"/>
  <c r="X93" i="3"/>
  <c r="F42" i="6"/>
  <c r="H42" i="6"/>
  <c r="V94" i="3"/>
  <c r="W94" i="3"/>
  <c r="X94" i="3"/>
  <c r="F43" i="6"/>
  <c r="H43" i="6"/>
  <c r="V95" i="3"/>
  <c r="W95" i="3"/>
  <c r="X95" i="3"/>
  <c r="F44" i="6"/>
  <c r="H44" i="6"/>
  <c r="V96" i="3"/>
  <c r="W96" i="3"/>
  <c r="X96" i="3"/>
  <c r="F45" i="6"/>
  <c r="H45" i="6"/>
  <c r="V97" i="3"/>
  <c r="W97" i="3"/>
  <c r="X97" i="3"/>
  <c r="F46" i="6"/>
  <c r="H46" i="6"/>
  <c r="V98" i="3"/>
  <c r="W98" i="3"/>
  <c r="X98" i="3"/>
  <c r="F47" i="6"/>
  <c r="H47" i="6"/>
  <c r="V99" i="3"/>
  <c r="W99" i="3"/>
  <c r="X99" i="3"/>
  <c r="F48" i="6"/>
  <c r="H48" i="6"/>
  <c r="V100" i="3"/>
  <c r="W100" i="3"/>
  <c r="X100" i="3"/>
  <c r="F49" i="6"/>
  <c r="H49" i="6"/>
  <c r="V101" i="3"/>
  <c r="W101" i="3"/>
  <c r="X101" i="3"/>
  <c r="F50" i="6"/>
  <c r="H50" i="6"/>
  <c r="V102" i="3"/>
  <c r="W102" i="3"/>
  <c r="X102" i="3"/>
  <c r="F51" i="6"/>
  <c r="H51" i="6"/>
  <c r="V103" i="3"/>
  <c r="W103" i="3"/>
  <c r="X103" i="3"/>
  <c r="F52" i="6"/>
  <c r="H52" i="6"/>
  <c r="V104" i="3"/>
  <c r="W104" i="3"/>
  <c r="X104" i="3"/>
  <c r="F53" i="6"/>
  <c r="H53" i="6"/>
  <c r="V105" i="3"/>
  <c r="W105" i="3"/>
  <c r="X105" i="3"/>
  <c r="F54" i="6"/>
  <c r="H54" i="6"/>
  <c r="V106" i="3"/>
  <c r="W106" i="3"/>
  <c r="X106" i="3"/>
  <c r="F55" i="6"/>
  <c r="H55" i="6"/>
  <c r="V107" i="3"/>
  <c r="W107" i="3"/>
  <c r="X107" i="3"/>
  <c r="F56" i="6"/>
  <c r="H56" i="6"/>
  <c r="V108" i="3"/>
  <c r="W108" i="3"/>
  <c r="X108" i="3"/>
  <c r="F57" i="6"/>
  <c r="H57" i="6"/>
  <c r="V109" i="3"/>
  <c r="W109" i="3"/>
  <c r="X109" i="3"/>
  <c r="F58" i="6"/>
  <c r="H58" i="6"/>
  <c r="V110" i="3"/>
  <c r="W110" i="3"/>
  <c r="X110" i="3"/>
  <c r="F59" i="6"/>
  <c r="H59" i="6"/>
  <c r="V111" i="3"/>
  <c r="W111" i="3"/>
  <c r="X111" i="3"/>
  <c r="F60" i="6"/>
  <c r="H60" i="6"/>
  <c r="V112" i="3"/>
  <c r="W112" i="3"/>
  <c r="X112" i="3"/>
  <c r="F61" i="6"/>
  <c r="H61" i="6"/>
  <c r="V113" i="3"/>
  <c r="W113" i="3"/>
  <c r="X113" i="3"/>
  <c r="F62" i="6"/>
  <c r="H62" i="6"/>
  <c r="V114" i="3"/>
  <c r="W114" i="3"/>
  <c r="X114" i="3"/>
  <c r="F63" i="6"/>
  <c r="H63" i="6"/>
  <c r="V115" i="3"/>
  <c r="W115" i="3"/>
  <c r="X115" i="3"/>
  <c r="F64" i="6"/>
  <c r="H64" i="6"/>
  <c r="V116" i="3"/>
  <c r="W116" i="3"/>
  <c r="X116" i="3"/>
  <c r="F65" i="6"/>
  <c r="H65" i="6"/>
  <c r="V117" i="3"/>
  <c r="W117" i="3"/>
  <c r="X117" i="3"/>
  <c r="F66" i="6"/>
  <c r="H66" i="6"/>
  <c r="V118" i="3"/>
  <c r="W118" i="3"/>
  <c r="X118" i="3"/>
  <c r="F67" i="6"/>
  <c r="H67" i="6"/>
  <c r="V119" i="3"/>
  <c r="W119" i="3"/>
  <c r="X119" i="3"/>
  <c r="F68" i="6"/>
  <c r="H68" i="6"/>
  <c r="V120" i="3"/>
  <c r="W120" i="3"/>
  <c r="X120" i="3"/>
  <c r="F69" i="6"/>
  <c r="H69" i="6"/>
  <c r="V121" i="3"/>
  <c r="W121" i="3"/>
  <c r="X121" i="3"/>
  <c r="F70" i="6"/>
  <c r="H70" i="6"/>
  <c r="V122" i="3"/>
  <c r="W122" i="3"/>
  <c r="X122" i="3"/>
  <c r="F71" i="6"/>
  <c r="H71" i="6"/>
  <c r="V123" i="3"/>
  <c r="W123" i="3"/>
  <c r="X123" i="3"/>
  <c r="F72" i="6"/>
  <c r="H72" i="6"/>
  <c r="V124" i="3"/>
  <c r="W124" i="3"/>
  <c r="X124" i="3"/>
  <c r="F73" i="6"/>
  <c r="H73" i="6"/>
  <c r="V125" i="3"/>
  <c r="W125" i="3"/>
  <c r="X125" i="3"/>
  <c r="F74" i="6"/>
  <c r="H74" i="6"/>
  <c r="V126" i="3"/>
  <c r="W126" i="3"/>
  <c r="X126" i="3"/>
  <c r="F75" i="6"/>
  <c r="H75" i="6"/>
  <c r="V127" i="3"/>
  <c r="W127" i="3"/>
  <c r="X127" i="3"/>
  <c r="F76" i="6"/>
  <c r="H76" i="6"/>
  <c r="V128" i="3"/>
  <c r="W128" i="3"/>
  <c r="X128" i="3"/>
  <c r="F77" i="6"/>
  <c r="H77" i="6"/>
  <c r="V129" i="3"/>
  <c r="W129" i="3"/>
  <c r="X129" i="3"/>
  <c r="F78" i="6"/>
  <c r="H78" i="6"/>
  <c r="V130" i="3"/>
  <c r="W130" i="3"/>
  <c r="X130" i="3"/>
  <c r="F79" i="6"/>
  <c r="H79" i="6"/>
  <c r="V131" i="3"/>
  <c r="W131" i="3"/>
  <c r="X131" i="3"/>
  <c r="F80" i="6"/>
  <c r="H80" i="6"/>
  <c r="V132" i="3"/>
  <c r="W132" i="3"/>
  <c r="X132" i="3"/>
  <c r="F81" i="6"/>
  <c r="H81" i="6"/>
  <c r="V133" i="3"/>
  <c r="W133" i="3"/>
  <c r="X133" i="3"/>
  <c r="F82" i="6"/>
  <c r="H82" i="6"/>
  <c r="V134" i="3"/>
  <c r="W134" i="3"/>
  <c r="X134" i="3"/>
  <c r="F83" i="6"/>
  <c r="H83" i="6"/>
  <c r="V135" i="3"/>
  <c r="W135" i="3"/>
  <c r="X135"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G10" i="3"/>
  <c r="H10" i="3"/>
  <c r="I10" i="3"/>
  <c r="J23" i="3"/>
  <c r="H23" i="3"/>
  <c r="AE23" i="3"/>
  <c r="G11" i="3"/>
  <c r="H11" i="3"/>
  <c r="I11" i="3"/>
  <c r="J24" i="3"/>
  <c r="H24" i="3"/>
  <c r="AE24" i="3"/>
  <c r="G12" i="3"/>
  <c r="H12" i="3"/>
  <c r="I12" i="3"/>
  <c r="J25" i="3"/>
  <c r="H25" i="3"/>
  <c r="AE25" i="3"/>
  <c r="AA64" i="3"/>
  <c r="AE64" i="3"/>
  <c r="AA65" i="3"/>
  <c r="AE65" i="3"/>
  <c r="AA66" i="3"/>
  <c r="AE66" i="3"/>
  <c r="AA67" i="3"/>
  <c r="AE67" i="3"/>
  <c r="AA68" i="3"/>
  <c r="AE68" i="3"/>
  <c r="AA69" i="3"/>
  <c r="AE69" i="3"/>
  <c r="AA70" i="3"/>
  <c r="AE70" i="3"/>
  <c r="AA71" i="3"/>
  <c r="AE71" i="3"/>
  <c r="AA72" i="3"/>
  <c r="AE72" i="3"/>
  <c r="AA73" i="3"/>
  <c r="AE73" i="3"/>
  <c r="AA74" i="3"/>
  <c r="AE74" i="3"/>
  <c r="AA75" i="3"/>
  <c r="AE75" i="3"/>
  <c r="AA76" i="3"/>
  <c r="AE76" i="3"/>
  <c r="AA77" i="3"/>
  <c r="AE77" i="3"/>
  <c r="AA78" i="3"/>
  <c r="AE78" i="3"/>
  <c r="AA79" i="3"/>
  <c r="AE79" i="3"/>
  <c r="AA80" i="3"/>
  <c r="AE80" i="3"/>
  <c r="AA81" i="3"/>
  <c r="AE81" i="3"/>
  <c r="AA82" i="3"/>
  <c r="AE82" i="3"/>
  <c r="AA83" i="3"/>
  <c r="AE83" i="3"/>
  <c r="AA84" i="3"/>
  <c r="AE84" i="3"/>
  <c r="AA85" i="3"/>
  <c r="AE85" i="3"/>
  <c r="AA86" i="3"/>
  <c r="AE86" i="3"/>
  <c r="AA87" i="3"/>
  <c r="AE87" i="3"/>
  <c r="AA88" i="3"/>
  <c r="AE88" i="3"/>
  <c r="AA89" i="3"/>
  <c r="AE89" i="3"/>
  <c r="AA90" i="3"/>
  <c r="AE90" i="3"/>
  <c r="AA91" i="3"/>
  <c r="AE91" i="3"/>
  <c r="AA92" i="3"/>
  <c r="AE92" i="3"/>
  <c r="AA93" i="3"/>
  <c r="AE93" i="3"/>
  <c r="AA94" i="3"/>
  <c r="AE94" i="3"/>
  <c r="AA95" i="3"/>
  <c r="AE95" i="3"/>
  <c r="AA96" i="3"/>
  <c r="AE96" i="3"/>
  <c r="AA97" i="3"/>
  <c r="AE97" i="3"/>
  <c r="AA98" i="3"/>
  <c r="AE98" i="3"/>
  <c r="AA99" i="3"/>
  <c r="AE99" i="3"/>
  <c r="AA100" i="3"/>
  <c r="AE100" i="3"/>
  <c r="AA101" i="3"/>
  <c r="AE101" i="3"/>
  <c r="AA102" i="3"/>
  <c r="AE102" i="3"/>
  <c r="AA103" i="3"/>
  <c r="AE103" i="3"/>
  <c r="AA104" i="3"/>
  <c r="AE104" i="3"/>
  <c r="AA105" i="3"/>
  <c r="AE105" i="3"/>
  <c r="AA106" i="3"/>
  <c r="AE106" i="3"/>
  <c r="AA107" i="3"/>
  <c r="AE107" i="3"/>
  <c r="AA108" i="3"/>
  <c r="AE108" i="3"/>
  <c r="AA109" i="3"/>
  <c r="AE109" i="3"/>
  <c r="AA110" i="3"/>
  <c r="AE110" i="3"/>
  <c r="AA111" i="3"/>
  <c r="AE111" i="3"/>
  <c r="AA112" i="3"/>
  <c r="AE112" i="3"/>
  <c r="AA113" i="3"/>
  <c r="AE113" i="3"/>
  <c r="AA114" i="3"/>
  <c r="AE114" i="3"/>
  <c r="AA115" i="3"/>
  <c r="AE115" i="3"/>
  <c r="AA116" i="3"/>
  <c r="AE116" i="3"/>
  <c r="AA117" i="3"/>
  <c r="AE117" i="3"/>
  <c r="AA118" i="3"/>
  <c r="AE118" i="3"/>
  <c r="AA119" i="3"/>
  <c r="AE119" i="3"/>
  <c r="AA120" i="3"/>
  <c r="AE120" i="3"/>
  <c r="AA121" i="3"/>
  <c r="AE121" i="3"/>
  <c r="AA122" i="3"/>
  <c r="AE122" i="3"/>
  <c r="AA123" i="3"/>
  <c r="AE123" i="3"/>
  <c r="AA124" i="3"/>
  <c r="AE124" i="3"/>
  <c r="AA125" i="3"/>
  <c r="AE125" i="3"/>
  <c r="AA126" i="3"/>
  <c r="AE126" i="3"/>
  <c r="AA127" i="3"/>
  <c r="AE127" i="3"/>
  <c r="AA128" i="3"/>
  <c r="AE128" i="3"/>
  <c r="AA129" i="3"/>
  <c r="AE129" i="3"/>
  <c r="AA130" i="3"/>
  <c r="AE130" i="3"/>
  <c r="AA131" i="3"/>
  <c r="AE131" i="3"/>
  <c r="AA132" i="3"/>
  <c r="AE132" i="3"/>
  <c r="AA133" i="3"/>
  <c r="AE133" i="3"/>
  <c r="AA134" i="3"/>
  <c r="AE134" i="3"/>
  <c r="AA135" i="3"/>
  <c r="AE135"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J10" i="3"/>
  <c r="K23" i="3"/>
  <c r="J4" i="3"/>
  <c r="K17" i="3"/>
  <c r="J5" i="3"/>
  <c r="K18" i="3"/>
  <c r="J6" i="3"/>
  <c r="K19" i="3"/>
  <c r="J7" i="3"/>
  <c r="K20" i="3"/>
  <c r="J8" i="3"/>
  <c r="K21" i="3"/>
  <c r="J9" i="3"/>
  <c r="K22" i="3"/>
  <c r="J11" i="3"/>
  <c r="K24" i="3"/>
  <c r="J12" i="3"/>
  <c r="K25" i="3"/>
  <c r="AI15" i="3"/>
  <c r="L23" i="3"/>
  <c r="G4" i="3"/>
  <c r="H4" i="3"/>
  <c r="I4" i="3"/>
  <c r="J17" i="3"/>
  <c r="H17" i="3"/>
  <c r="L17" i="3"/>
  <c r="G5" i="3"/>
  <c r="H5" i="3"/>
  <c r="I5" i="3"/>
  <c r="J18" i="3"/>
  <c r="H18" i="3"/>
  <c r="L18" i="3"/>
  <c r="G6" i="3"/>
  <c r="H6" i="3"/>
  <c r="I6" i="3"/>
  <c r="J19" i="3"/>
  <c r="H19" i="3"/>
  <c r="L19" i="3"/>
  <c r="G7" i="3"/>
  <c r="H7" i="3"/>
  <c r="I7" i="3"/>
  <c r="J20" i="3"/>
  <c r="H20" i="3"/>
  <c r="L20" i="3"/>
  <c r="G8" i="3"/>
  <c r="H8" i="3"/>
  <c r="I8" i="3"/>
  <c r="J21" i="3"/>
  <c r="H21" i="3"/>
  <c r="L21" i="3"/>
  <c r="G9" i="3"/>
  <c r="H9" i="3"/>
  <c r="I9" i="3"/>
  <c r="J22" i="3"/>
  <c r="H22" i="3"/>
  <c r="L22" i="3"/>
  <c r="L24" i="3"/>
  <c r="L25" i="3"/>
  <c r="M23" i="3"/>
  <c r="N23" i="3" a="1"/>
  <c r="N23" i="3"/>
  <c r="O23" i="3"/>
  <c r="C23" i="3"/>
  <c r="E36" i="3" a="1"/>
  <c r="E36" i="3"/>
  <c r="F36" i="3" a="1"/>
  <c r="F36" i="3"/>
  <c r="G36" i="3" a="1"/>
  <c r="H36" i="3" a="1"/>
  <c r="I36" i="3" a="1"/>
  <c r="J36" i="3" a="1"/>
  <c r="K36" i="3" a="1"/>
  <c r="L36" i="3" a="1"/>
  <c r="P23" i="3"/>
  <c r="M17" i="3"/>
  <c r="N17" i="3" a="1"/>
  <c r="N17" i="3"/>
  <c r="P17" i="3"/>
  <c r="BR52" i="3"/>
  <c r="BT51" i="3"/>
  <c r="BT52" i="3"/>
  <c r="BU51" i="3"/>
  <c r="BU52" i="3"/>
  <c r="BV51" i="3"/>
  <c r="BV52" i="3"/>
  <c r="BW51" i="3"/>
  <c r="BW52" i="3"/>
  <c r="BX51" i="3"/>
  <c r="BX52" i="3"/>
  <c r="BY51" i="3"/>
  <c r="BY52" i="3"/>
  <c r="BZ51" i="3"/>
  <c r="BZ52" i="3"/>
  <c r="CA51"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R58" i="3"/>
  <c r="BS58" i="3"/>
  <c r="BT58" i="3"/>
  <c r="BU58" i="3"/>
  <c r="BV58" i="3"/>
  <c r="BW58" i="3"/>
  <c r="BX58" i="3"/>
  <c r="BZ58" i="3"/>
  <c r="CA58" i="3"/>
  <c r="BR59" i="3"/>
  <c r="BS59" i="3"/>
  <c r="BT59" i="3"/>
  <c r="BU59" i="3"/>
  <c r="BV59" i="3"/>
  <c r="BW59" i="3"/>
  <c r="BX59" i="3"/>
  <c r="BY59" i="3"/>
  <c r="CA59" i="3"/>
  <c r="BR60" i="3"/>
  <c r="BS60" i="3"/>
  <c r="BT60" i="3"/>
  <c r="BU60" i="3"/>
  <c r="BV60" i="3"/>
  <c r="BW60" i="3"/>
  <c r="BX60" i="3"/>
  <c r="BY60" i="3"/>
  <c r="BZ60" i="3"/>
  <c r="M36" i="3" a="1"/>
  <c r="M18" i="3"/>
  <c r="N18" i="3" a="1"/>
  <c r="N18" i="3"/>
  <c r="P18" i="3"/>
  <c r="N36" i="3" a="1"/>
  <c r="M19" i="3"/>
  <c r="N19" i="3" a="1"/>
  <c r="N19" i="3"/>
  <c r="P19" i="3"/>
  <c r="O36" i="3" a="1"/>
  <c r="M20" i="3"/>
  <c r="N20" i="3" a="1"/>
  <c r="N20" i="3"/>
  <c r="P20" i="3"/>
  <c r="P36" i="3" a="1"/>
  <c r="M21" i="3"/>
  <c r="N21" i="3" a="1"/>
  <c r="N21" i="3"/>
  <c r="P21" i="3"/>
  <c r="Q36" i="3" a="1"/>
  <c r="M22" i="3"/>
  <c r="N22" i="3" a="1"/>
  <c r="N22" i="3"/>
  <c r="C22" i="3"/>
  <c r="P22" i="3"/>
  <c r="R36" i="3" a="1"/>
  <c r="M24" i="3"/>
  <c r="N24" i="3" a="1"/>
  <c r="N24" i="3"/>
  <c r="P24" i="3"/>
  <c r="S36" i="3" a="1"/>
  <c r="M25" i="3"/>
  <c r="N25" i="3" a="1"/>
  <c r="N25" i="3"/>
  <c r="C25" i="3"/>
  <c r="P25" i="3"/>
  <c r="T36" i="3" a="1"/>
  <c r="Q23" i="3"/>
  <c r="U36" i="3" a="1"/>
  <c r="V36" i="3" a="1"/>
  <c r="W36" i="3" a="1"/>
  <c r="X36" i="3" a="1"/>
  <c r="Y36" i="3" a="1"/>
  <c r="Z36" i="3" a="1"/>
  <c r="AA36" i="3" a="1"/>
  <c r="AB36" i="3" a="1"/>
  <c r="R23" i="3"/>
  <c r="AC36" i="3" a="1"/>
  <c r="AD36" i="3" a="1"/>
  <c r="AE36" i="3" a="1"/>
  <c r="AF36" i="3" a="1"/>
  <c r="AG36" i="3" a="1"/>
  <c r="AH36" i="3" a="1"/>
  <c r="AI36" i="3" a="1"/>
  <c r="AJ36" i="3" a="1"/>
  <c r="S23" i="3"/>
  <c r="S17" i="3"/>
  <c r="AK36" i="3" a="1"/>
  <c r="S18" i="3"/>
  <c r="AL36" i="3" a="1"/>
  <c r="S19" i="3"/>
  <c r="AM36" i="3" a="1"/>
  <c r="S20" i="3"/>
  <c r="AN36" i="3" a="1"/>
  <c r="C21" i="3"/>
  <c r="S21" i="3"/>
  <c r="AO36" i="3" a="1"/>
  <c r="S22" i="3"/>
  <c r="AP36" i="3" a="1"/>
  <c r="S24" i="3"/>
  <c r="AQ36" i="3" a="1"/>
  <c r="S25" i="3"/>
  <c r="AR36" i="3" a="1"/>
  <c r="T23" i="3"/>
  <c r="T17" i="3"/>
  <c r="AS36" i="3" a="1"/>
  <c r="T18" i="3"/>
  <c r="AT36" i="3" a="1"/>
  <c r="T19" i="3"/>
  <c r="AU36" i="3" a="1"/>
  <c r="T20" i="3"/>
  <c r="AV36" i="3" a="1"/>
  <c r="T21" i="3"/>
  <c r="AW36" i="3" a="1"/>
  <c r="T22" i="3"/>
  <c r="AX36" i="3" a="1"/>
  <c r="T24" i="3"/>
  <c r="AY36" i="3" a="1"/>
  <c r="T25" i="3"/>
  <c r="AZ36" i="3" a="1"/>
  <c r="U23" i="3"/>
  <c r="BA36" i="3" a="1"/>
  <c r="BB36" i="3" a="1"/>
  <c r="BC36" i="3" a="1"/>
  <c r="BD36" i="3" a="1"/>
  <c r="BE36" i="3" a="1"/>
  <c r="BF36" i="3" a="1"/>
  <c r="BG36" i="3" a="1"/>
  <c r="BH36" i="3" a="1"/>
  <c r="V23" i="3"/>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29" i="3"/>
  <c r="BY30" i="3"/>
  <c r="BR36" i="3"/>
  <c r="BS36" i="3"/>
  <c r="BY41" i="3"/>
  <c r="BZ29" i="3"/>
  <c r="BZ30" i="3"/>
  <c r="BR37" i="3"/>
  <c r="BS37" i="3"/>
  <c r="BZ41" i="3"/>
  <c r="CA29" i="3"/>
  <c r="CA30" i="3"/>
  <c r="BR38"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S47" i="3"/>
  <c r="AT47" i="3"/>
  <c r="AU47" i="3"/>
  <c r="AV47" i="3"/>
  <c r="AW47" i="3"/>
  <c r="AX47" i="3"/>
  <c r="AY47" i="3"/>
  <c r="AZ47" i="3"/>
  <c r="BA47" i="3"/>
  <c r="BB47" i="3"/>
  <c r="BC47" i="3"/>
  <c r="BD47" i="3"/>
  <c r="BE47" i="3"/>
  <c r="BF47" i="3"/>
  <c r="BG47" i="3"/>
  <c r="BH47" i="3"/>
  <c r="BI47" i="3"/>
  <c r="BJ47" i="3"/>
  <c r="BK47" i="3"/>
  <c r="BL47" i="3"/>
  <c r="BM47" i="3"/>
  <c r="BN47" i="3"/>
  <c r="BO47" i="3"/>
  <c r="BP47"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O24" i="3"/>
  <c r="C24" i="3"/>
  <c r="O17" i="3"/>
  <c r="E37" i="3" a="1"/>
  <c r="E37" i="3"/>
  <c r="O18" i="3"/>
  <c r="F37" i="3" a="1"/>
  <c r="F37" i="3"/>
  <c r="O19" i="3"/>
  <c r="G37" i="3" a="1"/>
  <c r="O20" i="3"/>
  <c r="H37" i="3" a="1"/>
  <c r="O21" i="3"/>
  <c r="I37" i="3" a="1"/>
  <c r="O22" i="3"/>
  <c r="J37" i="3" a="1"/>
  <c r="K37" i="3" a="1"/>
  <c r="O25" i="3"/>
  <c r="L37" i="3" a="1"/>
  <c r="M37" i="3" a="1"/>
  <c r="N37" i="3" a="1"/>
  <c r="O37" i="3" a="1"/>
  <c r="P37" i="3" a="1"/>
  <c r="Q37" i="3" a="1"/>
  <c r="R37" i="3" a="1"/>
  <c r="S37" i="3" a="1"/>
  <c r="T37" i="3" a="1"/>
  <c r="Q24" i="3"/>
  <c r="Q17" i="3"/>
  <c r="U37" i="3" a="1"/>
  <c r="Q18" i="3"/>
  <c r="V37" i="3" a="1"/>
  <c r="Q19" i="3"/>
  <c r="W37" i="3" a="1"/>
  <c r="Q20" i="3"/>
  <c r="X37" i="3" a="1"/>
  <c r="Q21" i="3"/>
  <c r="Y37" i="3" a="1"/>
  <c r="Q22" i="3"/>
  <c r="Z37" i="3" a="1"/>
  <c r="AA37" i="3" a="1"/>
  <c r="Q25" i="3"/>
  <c r="AB37" i="3" a="1"/>
  <c r="R24" i="3"/>
  <c r="R17" i="3"/>
  <c r="AC37" i="3" a="1"/>
  <c r="R18" i="3"/>
  <c r="AD37" i="3" a="1"/>
  <c r="C19" i="3"/>
  <c r="R19" i="3"/>
  <c r="AE37" i="3" a="1"/>
  <c r="R20" i="3"/>
  <c r="AF37" i="3" a="1"/>
  <c r="R21" i="3"/>
  <c r="AG37" i="3" a="1"/>
  <c r="R22" i="3"/>
  <c r="AH37" i="3" a="1"/>
  <c r="AI37" i="3" a="1"/>
  <c r="R25" i="3"/>
  <c r="AJ37" i="3" a="1"/>
  <c r="AK37" i="3" a="1"/>
  <c r="AL37" i="3" a="1"/>
  <c r="AM37" i="3" a="1"/>
  <c r="AN37" i="3" a="1"/>
  <c r="AO37" i="3" a="1"/>
  <c r="AP37" i="3" a="1"/>
  <c r="AQ37" i="3" a="1"/>
  <c r="AR37" i="3" a="1"/>
  <c r="AS37" i="3" a="1"/>
  <c r="AT37" i="3" a="1"/>
  <c r="AU37" i="3" a="1"/>
  <c r="AV37" i="3" a="1"/>
  <c r="AW37" i="3" a="1"/>
  <c r="AX37" i="3" a="1"/>
  <c r="AY37" i="3" a="1"/>
  <c r="AZ37" i="3" a="1"/>
  <c r="U24" i="3"/>
  <c r="U17" i="3"/>
  <c r="BA37" i="3" a="1"/>
  <c r="U18" i="3"/>
  <c r="BB37" i="3" a="1"/>
  <c r="U19" i="3"/>
  <c r="BC37" i="3" a="1"/>
  <c r="U20" i="3"/>
  <c r="BD37" i="3" a="1"/>
  <c r="U21" i="3"/>
  <c r="BE37" i="3" a="1"/>
  <c r="U22" i="3"/>
  <c r="BF37" i="3" a="1"/>
  <c r="BG37" i="3" a="1"/>
  <c r="U25" i="3"/>
  <c r="BH37" i="3" a="1"/>
  <c r="V24" i="3"/>
  <c r="V17" i="3"/>
  <c r="BI37" i="3" a="1"/>
  <c r="V18" i="3"/>
  <c r="BJ37" i="3" a="1"/>
  <c r="V19" i="3"/>
  <c r="BK37" i="3" a="1"/>
  <c r="V20" i="3"/>
  <c r="BL37" i="3" a="1"/>
  <c r="V21" i="3"/>
  <c r="BM37" i="3" a="1"/>
  <c r="V22" i="3"/>
  <c r="BN37" i="3" a="1"/>
  <c r="BO37" i="3" a="1"/>
  <c r="V25" i="3"/>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BZ40" i="3"/>
  <c r="BR48"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CA40" i="3"/>
  <c r="BR49" i="3"/>
  <c r="BX40" i="3"/>
  <c r="BY40" i="3"/>
  <c r="BR46" i="3"/>
  <c r="BR47" i="3"/>
  <c r="E49" i="3" a="1"/>
  <c r="E49" i="3"/>
  <c r="F49" i="3" a="1"/>
  <c r="F49" i="3"/>
  <c r="G49" i="3" a="1"/>
  <c r="H49" i="3" a="1"/>
  <c r="I49" i="3" a="1"/>
  <c r="J49" i="3" a="1"/>
  <c r="K49" i="3" a="1"/>
  <c r="L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W64" i="17"/>
  <c r="X64" i="17"/>
  <c r="Y64" i="17"/>
  <c r="AA64" i="17"/>
  <c r="AE64" i="17"/>
  <c r="W65" i="17"/>
  <c r="X65" i="17"/>
  <c r="Y65" i="17"/>
  <c r="AA65" i="17"/>
  <c r="AE65" i="17"/>
  <c r="W66" i="17"/>
  <c r="X66" i="17"/>
  <c r="Y66" i="17"/>
  <c r="AA66" i="17"/>
  <c r="AE66" i="17"/>
  <c r="W67" i="17"/>
  <c r="X67" i="17"/>
  <c r="Y67" i="17"/>
  <c r="AA67" i="17"/>
  <c r="AE67" i="17"/>
  <c r="W68" i="17"/>
  <c r="X68" i="17"/>
  <c r="Y68" i="17"/>
  <c r="AA68" i="17"/>
  <c r="AE68" i="17"/>
  <c r="W69" i="17"/>
  <c r="X69" i="17"/>
  <c r="Y69" i="17"/>
  <c r="AA69" i="17"/>
  <c r="AE69" i="17"/>
  <c r="W70" i="17"/>
  <c r="X70" i="17"/>
  <c r="Y70" i="17"/>
  <c r="AA70" i="17"/>
  <c r="AE70" i="17"/>
  <c r="W71" i="17"/>
  <c r="X71" i="17"/>
  <c r="Y71" i="17"/>
  <c r="AA71" i="17"/>
  <c r="AE71" i="17"/>
  <c r="W72" i="17"/>
  <c r="X72" i="17"/>
  <c r="Y72" i="17"/>
  <c r="AA72" i="17"/>
  <c r="AE72" i="17"/>
  <c r="W73" i="17"/>
  <c r="X73" i="17"/>
  <c r="Y73" i="17"/>
  <c r="AA73" i="17"/>
  <c r="AE73" i="17"/>
  <c r="W74" i="17"/>
  <c r="X74" i="17"/>
  <c r="Y74" i="17"/>
  <c r="AA74" i="17"/>
  <c r="AE74" i="17"/>
  <c r="W75" i="17"/>
  <c r="X75" i="17"/>
  <c r="Y75" i="17"/>
  <c r="AA75" i="17"/>
  <c r="AE75" i="17"/>
  <c r="W76" i="17"/>
  <c r="X76" i="17"/>
  <c r="Y76" i="17"/>
  <c r="AA76" i="17"/>
  <c r="AE76" i="17"/>
  <c r="W77" i="17"/>
  <c r="X77" i="17"/>
  <c r="Y77" i="17"/>
  <c r="AA77" i="17"/>
  <c r="AE77" i="17"/>
  <c r="W78" i="17"/>
  <c r="X78" i="17"/>
  <c r="Y78" i="17"/>
  <c r="AA78" i="17"/>
  <c r="AE78" i="17"/>
  <c r="W79" i="17"/>
  <c r="X79" i="17"/>
  <c r="Y79" i="17"/>
  <c r="AA79" i="17"/>
  <c r="AE79" i="17"/>
  <c r="W80" i="17"/>
  <c r="X80" i="17"/>
  <c r="Y80" i="17"/>
  <c r="AA80" i="17"/>
  <c r="AE80" i="17"/>
  <c r="W81" i="17"/>
  <c r="X81" i="17"/>
  <c r="Y81" i="17"/>
  <c r="AA81" i="17"/>
  <c r="AE81" i="17"/>
  <c r="W82" i="17"/>
  <c r="X82" i="17"/>
  <c r="Y82" i="17"/>
  <c r="AA82" i="17"/>
  <c r="AE82" i="17"/>
  <c r="W83" i="17"/>
  <c r="X83" i="17"/>
  <c r="Y83" i="17"/>
  <c r="AA83" i="17"/>
  <c r="AE83" i="17"/>
  <c r="W84" i="17"/>
  <c r="X84" i="17"/>
  <c r="Y84" i="17"/>
  <c r="AA84" i="17"/>
  <c r="AE84" i="17"/>
  <c r="W85" i="17"/>
  <c r="X85" i="17"/>
  <c r="Y85" i="17"/>
  <c r="AA85" i="17"/>
  <c r="AE85" i="17"/>
  <c r="W86" i="17"/>
  <c r="X86" i="17"/>
  <c r="Y86" i="17"/>
  <c r="AA86" i="17"/>
  <c r="AE86" i="17"/>
  <c r="W87" i="17"/>
  <c r="X87" i="17"/>
  <c r="Y87" i="17"/>
  <c r="AA87" i="17"/>
  <c r="AE87" i="17"/>
  <c r="W88" i="17"/>
  <c r="X88" i="17"/>
  <c r="Y88" i="17"/>
  <c r="AA88" i="17"/>
  <c r="AE88" i="17"/>
  <c r="W89" i="17"/>
  <c r="X89" i="17"/>
  <c r="Y89" i="17"/>
  <c r="AA89" i="17"/>
  <c r="AE89" i="17"/>
  <c r="W90" i="17"/>
  <c r="X90" i="17"/>
  <c r="Y90" i="17"/>
  <c r="AA90" i="17"/>
  <c r="AE90" i="17"/>
  <c r="W91" i="17"/>
  <c r="X91" i="17"/>
  <c r="Y91" i="17"/>
  <c r="AA91" i="17"/>
  <c r="AE91" i="17"/>
  <c r="W92" i="17"/>
  <c r="X92" i="17"/>
  <c r="Y92" i="17"/>
  <c r="AA92" i="17"/>
  <c r="AE92" i="17"/>
  <c r="W93" i="17"/>
  <c r="X93" i="17"/>
  <c r="Y93" i="17"/>
  <c r="AA93" i="17"/>
  <c r="AE93" i="17"/>
  <c r="W94" i="17"/>
  <c r="X94" i="17"/>
  <c r="Y94" i="17"/>
  <c r="AA94" i="17"/>
  <c r="AE94" i="17"/>
  <c r="W95" i="17"/>
  <c r="X95" i="17"/>
  <c r="Y95" i="17"/>
  <c r="AA95" i="17"/>
  <c r="AE95" i="17"/>
  <c r="W96" i="17"/>
  <c r="X96" i="17"/>
  <c r="Y96" i="17"/>
  <c r="AA96" i="17"/>
  <c r="AE96" i="17"/>
  <c r="W97" i="17"/>
  <c r="X97" i="17"/>
  <c r="Y97" i="17"/>
  <c r="AA97" i="17"/>
  <c r="AE97" i="17"/>
  <c r="W98" i="17"/>
  <c r="X98" i="17"/>
  <c r="Y98" i="17"/>
  <c r="AA98" i="17"/>
  <c r="AE98" i="17"/>
  <c r="W99" i="17"/>
  <c r="X99" i="17"/>
  <c r="Y99" i="17"/>
  <c r="AA99" i="17"/>
  <c r="AE99" i="17"/>
  <c r="W100" i="17"/>
  <c r="X100" i="17"/>
  <c r="Y100" i="17"/>
  <c r="AA100" i="17"/>
  <c r="AE100" i="17"/>
  <c r="W101" i="17"/>
  <c r="X101" i="17"/>
  <c r="Y101" i="17"/>
  <c r="AA101" i="17"/>
  <c r="AE101" i="17"/>
  <c r="W102" i="17"/>
  <c r="X102" i="17"/>
  <c r="Y102" i="17"/>
  <c r="AA102" i="17"/>
  <c r="AE102" i="17"/>
  <c r="W103" i="17"/>
  <c r="X103" i="17"/>
  <c r="Y103" i="17"/>
  <c r="AA103" i="17"/>
  <c r="AE103" i="17"/>
  <c r="W104" i="17"/>
  <c r="X104" i="17"/>
  <c r="Y104" i="17"/>
  <c r="AA104" i="17"/>
  <c r="AE104" i="17"/>
  <c r="W105" i="17"/>
  <c r="X105" i="17"/>
  <c r="Y105" i="17"/>
  <c r="AA105" i="17"/>
  <c r="AE105" i="17"/>
  <c r="W106" i="17"/>
  <c r="X106" i="17"/>
  <c r="Y106" i="17"/>
  <c r="AA106" i="17"/>
  <c r="AE106" i="17"/>
  <c r="W107" i="17"/>
  <c r="X107" i="17"/>
  <c r="Y107" i="17"/>
  <c r="AA107" i="17"/>
  <c r="AE107" i="17"/>
  <c r="W108" i="17"/>
  <c r="X108" i="17"/>
  <c r="Y108" i="17"/>
  <c r="AA108" i="17"/>
  <c r="AE108" i="17"/>
  <c r="W109" i="17"/>
  <c r="X109" i="17"/>
  <c r="Y109" i="17"/>
  <c r="AA109" i="17"/>
  <c r="AE109" i="17"/>
  <c r="W110" i="17"/>
  <c r="X110" i="17"/>
  <c r="Y110" i="17"/>
  <c r="AA110" i="17"/>
  <c r="AE110" i="17"/>
  <c r="W111" i="17"/>
  <c r="X111" i="17"/>
  <c r="Y111" i="17"/>
  <c r="AA111" i="17"/>
  <c r="AE111" i="17"/>
  <c r="W112" i="17"/>
  <c r="X112" i="17"/>
  <c r="Y112" i="17"/>
  <c r="AA112" i="17"/>
  <c r="AE112" i="17"/>
  <c r="W113" i="17"/>
  <c r="X113" i="17"/>
  <c r="Y113" i="17"/>
  <c r="AA113" i="17"/>
  <c r="AE113" i="17"/>
  <c r="W114" i="17"/>
  <c r="X114" i="17"/>
  <c r="Y114" i="17"/>
  <c r="AA114" i="17"/>
  <c r="AE114" i="17"/>
  <c r="W115" i="17"/>
  <c r="X115" i="17"/>
  <c r="Y115" i="17"/>
  <c r="AA115" i="17"/>
  <c r="AE115" i="17"/>
  <c r="W116" i="17"/>
  <c r="X116" i="17"/>
  <c r="Y116" i="17"/>
  <c r="AA116" i="17"/>
  <c r="AE116" i="17"/>
  <c r="W117" i="17"/>
  <c r="X117" i="17"/>
  <c r="Y117" i="17"/>
  <c r="AA117" i="17"/>
  <c r="AE117" i="17"/>
  <c r="W118" i="17"/>
  <c r="X118" i="17"/>
  <c r="Y118" i="17"/>
  <c r="AA118" i="17"/>
  <c r="AE118" i="17"/>
  <c r="W119" i="17"/>
  <c r="X119" i="17"/>
  <c r="Y119" i="17"/>
  <c r="AA119" i="17"/>
  <c r="AE119" i="17"/>
  <c r="W120" i="17"/>
  <c r="X120" i="17"/>
  <c r="Y120" i="17"/>
  <c r="AA120" i="17"/>
  <c r="AE120" i="17"/>
  <c r="W121" i="17"/>
  <c r="X121" i="17"/>
  <c r="Y121" i="17"/>
  <c r="AA121" i="17"/>
  <c r="AE121" i="17"/>
  <c r="W122" i="17"/>
  <c r="X122" i="17"/>
  <c r="Y122" i="17"/>
  <c r="AA122" i="17"/>
  <c r="AE122" i="17"/>
  <c r="W123" i="17"/>
  <c r="X123" i="17"/>
  <c r="Y123" i="17"/>
  <c r="AA123" i="17"/>
  <c r="AE123" i="17"/>
  <c r="W124" i="17"/>
  <c r="X124" i="17"/>
  <c r="Y124" i="17"/>
  <c r="AA124" i="17"/>
  <c r="AE124" i="17"/>
  <c r="W125" i="17"/>
  <c r="X125" i="17"/>
  <c r="Y125" i="17"/>
  <c r="AA125" i="17"/>
  <c r="AE125" i="17"/>
  <c r="W126" i="17"/>
  <c r="X126" i="17"/>
  <c r="Y126" i="17"/>
  <c r="AA126" i="17"/>
  <c r="AE126" i="17"/>
  <c r="W127" i="17"/>
  <c r="X127" i="17"/>
  <c r="Y127" i="17"/>
  <c r="AA127" i="17"/>
  <c r="AE127" i="17"/>
  <c r="W128" i="17"/>
  <c r="X128" i="17"/>
  <c r="Y128" i="17"/>
  <c r="AA128" i="17"/>
  <c r="AE128" i="17"/>
  <c r="W129" i="17"/>
  <c r="X129" i="17"/>
  <c r="Y129" i="17"/>
  <c r="AA129" i="17"/>
  <c r="AE129" i="17"/>
  <c r="W130" i="17"/>
  <c r="X130" i="17"/>
  <c r="Y130" i="17"/>
  <c r="AA130" i="17"/>
  <c r="AE130" i="17"/>
  <c r="W131" i="17"/>
  <c r="X131" i="17"/>
  <c r="Y131" i="17"/>
  <c r="AA131" i="17"/>
  <c r="AE131" i="17"/>
  <c r="W132" i="17"/>
  <c r="X132" i="17"/>
  <c r="Y132" i="17"/>
  <c r="AA132" i="17"/>
  <c r="AE132" i="17"/>
  <c r="W133" i="17"/>
  <c r="X133" i="17"/>
  <c r="Y133" i="17"/>
  <c r="AA133" i="17"/>
  <c r="AE133" i="17"/>
  <c r="W134" i="17"/>
  <c r="X134" i="17"/>
  <c r="Y134" i="17"/>
  <c r="AA134" i="17"/>
  <c r="AE134" i="17"/>
  <c r="W135" i="17"/>
  <c r="X135" i="17"/>
  <c r="Y135" i="17"/>
  <c r="AA135" i="17"/>
  <c r="AE135"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AF124" i="17"/>
  <c r="AF125" i="17"/>
  <c r="AF126" i="17"/>
  <c r="AF127" i="17"/>
  <c r="AF128" i="17"/>
  <c r="AF129" i="17"/>
  <c r="AF130" i="17"/>
  <c r="AF131" i="17"/>
  <c r="AF132" i="17"/>
  <c r="AF133" i="17"/>
  <c r="AF134" i="17"/>
  <c r="AF135" i="17"/>
  <c r="J10" i="17"/>
  <c r="K23" i="17"/>
  <c r="J4" i="17"/>
  <c r="K17" i="17"/>
  <c r="J5" i="17"/>
  <c r="K18" i="17"/>
  <c r="J6" i="17"/>
  <c r="K19" i="17"/>
  <c r="J7" i="17"/>
  <c r="K20" i="17"/>
  <c r="J8" i="17"/>
  <c r="K21" i="17"/>
  <c r="J9" i="17"/>
  <c r="K22" i="17"/>
  <c r="J11" i="17"/>
  <c r="K24" i="17"/>
  <c r="J12" i="17"/>
  <c r="K25" i="17"/>
  <c r="AI15" i="17"/>
  <c r="G10" i="17"/>
  <c r="H10" i="17"/>
  <c r="I10" i="17"/>
  <c r="J23" i="17"/>
  <c r="H23" i="17"/>
  <c r="L23" i="17"/>
  <c r="G4" i="17"/>
  <c r="H4" i="17"/>
  <c r="I4" i="17"/>
  <c r="J17" i="17"/>
  <c r="H17" i="17"/>
  <c r="L17" i="17"/>
  <c r="G5" i="17"/>
  <c r="H5" i="17"/>
  <c r="I5" i="17"/>
  <c r="J18" i="17"/>
  <c r="H18" i="17"/>
  <c r="L18" i="17"/>
  <c r="G6" i="17"/>
  <c r="H6" i="17"/>
  <c r="I6" i="17"/>
  <c r="J19" i="17"/>
  <c r="H19" i="17"/>
  <c r="L19" i="17"/>
  <c r="G7" i="17"/>
  <c r="H7" i="17"/>
  <c r="I7" i="17"/>
  <c r="J20" i="17"/>
  <c r="H20" i="17"/>
  <c r="L20" i="17"/>
  <c r="G8" i="17"/>
  <c r="H8" i="17"/>
  <c r="I8" i="17"/>
  <c r="J21" i="17"/>
  <c r="H21" i="17"/>
  <c r="L21" i="17"/>
  <c r="G9" i="17"/>
  <c r="H9" i="17"/>
  <c r="I9" i="17"/>
  <c r="J22" i="17"/>
  <c r="H22" i="17"/>
  <c r="L22" i="17"/>
  <c r="G11" i="17"/>
  <c r="H11" i="17"/>
  <c r="I11" i="17"/>
  <c r="J24" i="17"/>
  <c r="H24" i="17"/>
  <c r="L24" i="17"/>
  <c r="G12" i="17"/>
  <c r="H12" i="17"/>
  <c r="I12" i="17"/>
  <c r="J25" i="17"/>
  <c r="H25" i="17"/>
  <c r="L25" i="17"/>
  <c r="M23" i="17"/>
  <c r="N23" i="17" a="1"/>
  <c r="N23" i="17"/>
  <c r="O23" i="17"/>
  <c r="C23" i="17"/>
  <c r="M17" i="17"/>
  <c r="N17" i="17" a="1"/>
  <c r="N17" i="17"/>
  <c r="O17" i="17"/>
  <c r="BT52" i="17"/>
  <c r="BU52" i="17"/>
  <c r="BV52" i="17"/>
  <c r="BW52" i="17"/>
  <c r="BX51" i="17"/>
  <c r="BX52" i="17"/>
  <c r="BY51" i="17"/>
  <c r="BY52" i="17"/>
  <c r="BZ51" i="17"/>
  <c r="BZ52" i="17"/>
  <c r="CA51"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R57" i="17"/>
  <c r="BS57" i="17"/>
  <c r="BT57" i="17"/>
  <c r="BU57" i="17"/>
  <c r="BV57" i="17"/>
  <c r="BW57" i="17"/>
  <c r="BY57" i="17"/>
  <c r="BZ57" i="17"/>
  <c r="CA57" i="17"/>
  <c r="BR58" i="17"/>
  <c r="BS58" i="17"/>
  <c r="BT58" i="17"/>
  <c r="BU58" i="17"/>
  <c r="BV58" i="17"/>
  <c r="BW58" i="17"/>
  <c r="BX58" i="17"/>
  <c r="BZ58" i="17"/>
  <c r="CA58" i="17"/>
  <c r="BR59" i="17"/>
  <c r="BS59" i="17"/>
  <c r="BT59" i="17"/>
  <c r="BU59" i="17"/>
  <c r="BV59" i="17"/>
  <c r="BW59" i="17"/>
  <c r="BX59" i="17"/>
  <c r="BY59" i="17"/>
  <c r="CA59" i="17"/>
  <c r="BR60" i="17"/>
  <c r="BS60" i="17"/>
  <c r="BT60" i="17"/>
  <c r="BU60" i="17"/>
  <c r="BV60" i="17"/>
  <c r="BW60" i="17"/>
  <c r="BX60" i="17"/>
  <c r="BY60" i="17"/>
  <c r="BZ60" i="17"/>
  <c r="E36" i="17" a="1"/>
  <c r="E36" i="17"/>
  <c r="M18" i="17"/>
  <c r="N18" i="17" a="1"/>
  <c r="N18" i="17"/>
  <c r="O18" i="17"/>
  <c r="F36" i="17" a="1"/>
  <c r="F36" i="17"/>
  <c r="M19" i="17"/>
  <c r="N19" i="17" a="1"/>
  <c r="N19" i="17"/>
  <c r="O19" i="17"/>
  <c r="G36" i="17" a="1"/>
  <c r="M20" i="17"/>
  <c r="N20" i="17" a="1"/>
  <c r="N20" i="17"/>
  <c r="O20" i="17"/>
  <c r="H36" i="17" a="1"/>
  <c r="M21" i="17"/>
  <c r="N21" i="17" a="1"/>
  <c r="N21" i="17"/>
  <c r="O21" i="17"/>
  <c r="I36" i="17" a="1"/>
  <c r="M22" i="17"/>
  <c r="N22" i="17" a="1"/>
  <c r="N22" i="17"/>
  <c r="O22" i="17"/>
  <c r="J36" i="17" a="1"/>
  <c r="M24" i="17"/>
  <c r="N24" i="17" a="1"/>
  <c r="N24" i="17"/>
  <c r="O24" i="17"/>
  <c r="K36" i="17" a="1"/>
  <c r="M25" i="17"/>
  <c r="N25" i="17" a="1"/>
  <c r="N25" i="17"/>
  <c r="O25" i="17"/>
  <c r="L36" i="17" a="1"/>
  <c r="P23" i="17"/>
  <c r="C17" i="17"/>
  <c r="P17" i="17"/>
  <c r="BR52" i="17"/>
  <c r="BT51" i="17"/>
  <c r="BU51" i="17"/>
  <c r="BV51" i="17"/>
  <c r="BW51" i="17"/>
  <c r="BR53" i="17"/>
  <c r="BS51" i="17"/>
  <c r="BR54" i="17"/>
  <c r="BR55" i="17"/>
  <c r="BR56" i="17"/>
  <c r="M36" i="17" a="1"/>
  <c r="P18" i="17"/>
  <c r="N36" i="17" a="1"/>
  <c r="C19" i="17"/>
  <c r="P19" i="17"/>
  <c r="O36" i="17" a="1"/>
  <c r="P20" i="17"/>
  <c r="P36" i="17" a="1"/>
  <c r="P21" i="17"/>
  <c r="Q36" i="17" a="1"/>
  <c r="C22" i="17"/>
  <c r="P22" i="17"/>
  <c r="R36" i="17" a="1"/>
  <c r="C24" i="17"/>
  <c r="P24" i="17"/>
  <c r="S36" i="17" a="1"/>
  <c r="P25" i="17"/>
  <c r="T36" i="17" a="1"/>
  <c r="Q23" i="17"/>
  <c r="Q17" i="17"/>
  <c r="U36" i="17" a="1"/>
  <c r="Q18" i="17"/>
  <c r="V36" i="17" a="1"/>
  <c r="Q19" i="17"/>
  <c r="W36" i="17" a="1"/>
  <c r="Q20" i="17"/>
  <c r="X36" i="17" a="1"/>
  <c r="Q21" i="17"/>
  <c r="Y36" i="17" a="1"/>
  <c r="Q22" i="17"/>
  <c r="Z36" i="17" a="1"/>
  <c r="Q24" i="17"/>
  <c r="AA36" i="17" a="1"/>
  <c r="Q25" i="17"/>
  <c r="AB36" i="17" a="1"/>
  <c r="R23" i="17"/>
  <c r="R17" i="17"/>
  <c r="AC36" i="17" a="1"/>
  <c r="C18" i="17"/>
  <c r="R18" i="17"/>
  <c r="AD36" i="17" a="1"/>
  <c r="R19" i="17"/>
  <c r="AE36" i="17" a="1"/>
  <c r="C20" i="17"/>
  <c r="R20" i="17"/>
  <c r="AF36" i="17" a="1"/>
  <c r="R21" i="17"/>
  <c r="AG36" i="17" a="1"/>
  <c r="R22" i="17"/>
  <c r="AH36" i="17" a="1"/>
  <c r="R24" i="17"/>
  <c r="AI36" i="17" a="1"/>
  <c r="R25" i="17"/>
  <c r="AJ36" i="17" a="1"/>
  <c r="S23" i="17"/>
  <c r="S17" i="17"/>
  <c r="AK36" i="17" a="1"/>
  <c r="S18" i="17"/>
  <c r="AL36" i="17" a="1"/>
  <c r="S19" i="17"/>
  <c r="AM36" i="17" a="1"/>
  <c r="S20" i="17"/>
  <c r="AN36" i="17" a="1"/>
  <c r="S21" i="17"/>
  <c r="AO36" i="17" a="1"/>
  <c r="S22" i="17"/>
  <c r="AP36" i="17" a="1"/>
  <c r="S24" i="17"/>
  <c r="AQ36" i="17" a="1"/>
  <c r="C25" i="17"/>
  <c r="S25" i="17"/>
  <c r="AR36" i="17" a="1"/>
  <c r="T23" i="17"/>
  <c r="T17" i="17"/>
  <c r="AS36" i="17" a="1"/>
  <c r="T18" i="17"/>
  <c r="AT36" i="17" a="1"/>
  <c r="T19" i="17"/>
  <c r="AU36" i="17" a="1"/>
  <c r="T20" i="17"/>
  <c r="AV36" i="17" a="1"/>
  <c r="T21" i="17"/>
  <c r="AW36" i="17" a="1"/>
  <c r="T22" i="17"/>
  <c r="AX36" i="17" a="1"/>
  <c r="T24" i="17"/>
  <c r="AY36" i="17" a="1"/>
  <c r="T25" i="17"/>
  <c r="AZ36" i="17" a="1"/>
  <c r="U23" i="17"/>
  <c r="U17" i="17"/>
  <c r="BA36" i="17" a="1"/>
  <c r="U18" i="17"/>
  <c r="BB36" i="17" a="1"/>
  <c r="U19" i="17"/>
  <c r="BC36" i="17" a="1"/>
  <c r="U20" i="17"/>
  <c r="BD36" i="17" a="1"/>
  <c r="U21" i="17"/>
  <c r="BE36" i="17" a="1"/>
  <c r="U22" i="17"/>
  <c r="BF36" i="17" a="1"/>
  <c r="U24" i="17"/>
  <c r="BG36" i="17" a="1"/>
  <c r="U25" i="17"/>
  <c r="BH36" i="17" a="1"/>
  <c r="V23" i="17"/>
  <c r="V17" i="17"/>
  <c r="BI36" i="17" a="1"/>
  <c r="V18" i="17"/>
  <c r="BJ36" i="17" a="1"/>
  <c r="V19" i="17"/>
  <c r="BK36" i="17" a="1"/>
  <c r="V20" i="17"/>
  <c r="BL36" i="17" a="1"/>
  <c r="V21" i="17"/>
  <c r="BM36" i="17" a="1"/>
  <c r="V22" i="17"/>
  <c r="BN36" i="17" a="1"/>
  <c r="V24" i="17"/>
  <c r="BO36" i="17" a="1"/>
  <c r="V25" i="17"/>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BT30" i="17"/>
  <c r="BS31" i="17"/>
  <c r="BT41" i="17"/>
  <c r="BU30" i="17"/>
  <c r="BS32" i="17"/>
  <c r="BU41" i="17"/>
  <c r="BV30" i="17"/>
  <c r="BS33" i="17"/>
  <c r="BV41" i="17"/>
  <c r="BW30" i="17"/>
  <c r="BS34" i="17"/>
  <c r="BW41" i="17"/>
  <c r="BX40" i="17"/>
  <c r="BX29" i="17"/>
  <c r="BX30" i="17"/>
  <c r="BR35" i="17"/>
  <c r="BS35" i="17"/>
  <c r="BX41" i="17"/>
  <c r="BY40" i="17"/>
  <c r="BY29" i="17"/>
  <c r="BY30" i="17"/>
  <c r="BR36" i="17"/>
  <c r="BS36" i="17"/>
  <c r="BY41" i="17"/>
  <c r="BZ40" i="17"/>
  <c r="BZ29" i="17"/>
  <c r="BZ30" i="17"/>
  <c r="BR37" i="17"/>
  <c r="BS37" i="17"/>
  <c r="BZ41" i="17"/>
  <c r="CA29" i="17"/>
  <c r="CA30" i="17"/>
  <c r="BR38"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R46" i="17"/>
  <c r="BS46" i="17"/>
  <c r="BT46" i="17"/>
  <c r="BU46" i="17"/>
  <c r="BV46" i="17"/>
  <c r="BW46" i="17"/>
  <c r="BY35" i="17"/>
  <c r="BX36" i="17"/>
  <c r="BY46" i="17"/>
  <c r="BZ35" i="17"/>
  <c r="BX37" i="17"/>
  <c r="BZ46" i="17"/>
  <c r="CA35" i="17"/>
  <c r="BX38" i="17"/>
  <c r="CA46" i="17"/>
  <c r="BR47" i="17"/>
  <c r="BS47" i="17"/>
  <c r="BT47" i="17"/>
  <c r="BU47" i="17"/>
  <c r="BV47" i="17"/>
  <c r="BW47" i="17"/>
  <c r="BX47" i="17"/>
  <c r="BZ36" i="17"/>
  <c r="BY37" i="17"/>
  <c r="BZ47" i="17"/>
  <c r="CA36" i="17"/>
  <c r="BY38" i="17"/>
  <c r="CA47" i="17"/>
  <c r="BR48" i="17"/>
  <c r="BS48" i="17"/>
  <c r="BT48" i="17"/>
  <c r="BU48" i="17"/>
  <c r="BV48" i="17"/>
  <c r="BW48" i="17"/>
  <c r="BX48" i="17"/>
  <c r="BY48" i="17"/>
  <c r="CA37" i="17"/>
  <c r="BZ38" i="17"/>
  <c r="CA48" i="17"/>
  <c r="BS49" i="17"/>
  <c r="BT49" i="17"/>
  <c r="BU49" i="17"/>
  <c r="BV49" i="17"/>
  <c r="BW49" i="17"/>
  <c r="BX49" i="17"/>
  <c r="BY49" i="17"/>
  <c r="BZ49" i="17"/>
  <c r="E47" i="17" a="1"/>
  <c r="E47" i="17"/>
  <c r="F47" i="17" a="1"/>
  <c r="F47" i="17"/>
  <c r="G47" i="17" a="1"/>
  <c r="H47" i="17" a="1"/>
  <c r="I47" i="17" a="1"/>
  <c r="J47" i="17" a="1"/>
  <c r="K47" i="17" a="1"/>
  <c r="L47" i="17" a="1"/>
  <c r="BR30" i="17"/>
  <c r="BT29" i="17"/>
  <c r="BR31" i="17"/>
  <c r="BS29" i="17"/>
  <c r="BU29" i="17"/>
  <c r="BR32" i="17"/>
  <c r="BV29" i="17"/>
  <c r="BR33" i="17"/>
  <c r="BW29" i="17"/>
  <c r="BR34" i="17"/>
  <c r="M47" i="17" a="1"/>
  <c r="N47" i="17" a="1"/>
  <c r="O47" i="17" a="1"/>
  <c r="P47" i="17" a="1"/>
  <c r="Q47" i="17" a="1"/>
  <c r="R47" i="17" a="1"/>
  <c r="S47" i="17" a="1"/>
  <c r="T47" i="17" a="1"/>
  <c r="CA40" i="17"/>
  <c r="BR49" i="17"/>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BR41" i="17"/>
  <c r="BS40" i="17"/>
  <c r="BT40" i="17"/>
  <c r="BU40" i="17"/>
  <c r="BV40" i="17"/>
  <c r="BW40" i="17"/>
  <c r="BR42" i="17"/>
  <c r="BR43" i="17"/>
  <c r="BR44" i="17"/>
  <c r="BR45" i="17"/>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W25" i="17"/>
  <c r="AE23" i="17"/>
  <c r="AE24" i="17"/>
  <c r="AE25" i="17"/>
  <c r="H35" i="22"/>
  <c r="E41" i="6"/>
  <c r="J41" i="6"/>
  <c r="B42" i="6"/>
  <c r="C42" i="6"/>
  <c r="G36" i="22"/>
  <c r="D42" i="6"/>
  <c r="H36" i="22"/>
  <c r="E42" i="6"/>
  <c r="J42" i="6"/>
  <c r="B43" i="6"/>
  <c r="C43" i="6"/>
  <c r="G37" i="22"/>
  <c r="D43" i="6"/>
  <c r="H37" i="22"/>
  <c r="E43" i="6"/>
  <c r="J43" i="6"/>
  <c r="B44" i="6"/>
  <c r="C44" i="6"/>
  <c r="G38" i="22"/>
  <c r="D44" i="6"/>
  <c r="H38" i="22"/>
  <c r="E44" i="6"/>
  <c r="J44" i="6"/>
  <c r="B45" i="6"/>
  <c r="C45" i="6"/>
  <c r="G39" i="22"/>
  <c r="D45" i="6"/>
  <c r="H39" i="22"/>
  <c r="E45" i="6"/>
  <c r="J45" i="6"/>
  <c r="B46" i="6"/>
  <c r="C46" i="6"/>
  <c r="G40" i="22"/>
  <c r="D46" i="6"/>
  <c r="H40" i="22"/>
  <c r="E46" i="6"/>
  <c r="J46" i="6"/>
  <c r="B47" i="6"/>
  <c r="C47" i="6"/>
  <c r="G41" i="22"/>
  <c r="D47" i="6"/>
  <c r="H41" i="22"/>
  <c r="E47" i="6"/>
  <c r="J47" i="6"/>
  <c r="B48" i="6"/>
  <c r="C48" i="6"/>
  <c r="G42" i="22"/>
  <c r="D48" i="6"/>
  <c r="H42" i="22"/>
  <c r="E48" i="6"/>
  <c r="J48" i="6"/>
  <c r="B49" i="6"/>
  <c r="C49" i="6"/>
  <c r="G43" i="22"/>
  <c r="D49" i="6"/>
  <c r="H43" i="22"/>
  <c r="E49" i="6"/>
  <c r="J49" i="6"/>
  <c r="B50" i="6"/>
  <c r="C50" i="6"/>
  <c r="G44" i="22"/>
  <c r="D50" i="6"/>
  <c r="H44" i="22"/>
  <c r="E50" i="6"/>
  <c r="J50" i="6"/>
  <c r="B51" i="6"/>
  <c r="C51" i="6"/>
  <c r="G45" i="22"/>
  <c r="D51" i="6"/>
  <c r="H45" i="22"/>
  <c r="E51" i="6"/>
  <c r="J51" i="6"/>
  <c r="B52" i="6"/>
  <c r="C52" i="6"/>
  <c r="G46" i="22"/>
  <c r="D52" i="6"/>
  <c r="H46" i="22"/>
  <c r="E52" i="6"/>
  <c r="J52" i="6"/>
  <c r="B53" i="6"/>
  <c r="C53" i="6"/>
  <c r="G47" i="22"/>
  <c r="D53" i="6"/>
  <c r="H47" i="22"/>
  <c r="E53" i="6"/>
  <c r="J53" i="6"/>
  <c r="H48" i="22"/>
  <c r="E54" i="6"/>
  <c r="J54" i="6"/>
  <c r="B55" i="6"/>
  <c r="C55" i="6"/>
  <c r="G49" i="22"/>
  <c r="D55" i="6"/>
  <c r="H49" i="22"/>
  <c r="E55" i="6"/>
  <c r="J55" i="6"/>
  <c r="B56" i="6"/>
  <c r="C56" i="6"/>
  <c r="G50" i="22"/>
  <c r="D56" i="6"/>
  <c r="H50" i="22"/>
  <c r="E56" i="6"/>
  <c r="J56" i="6"/>
  <c r="B57" i="6"/>
  <c r="C57" i="6"/>
  <c r="G51" i="22"/>
  <c r="D57" i="6"/>
  <c r="H51" i="22"/>
  <c r="E57" i="6"/>
  <c r="J57" i="6"/>
  <c r="B58" i="6"/>
  <c r="C58" i="6"/>
  <c r="G52" i="22"/>
  <c r="D58" i="6"/>
  <c r="H52" i="22"/>
  <c r="E58" i="6"/>
  <c r="J58" i="6"/>
  <c r="B59" i="6"/>
  <c r="C59" i="6"/>
  <c r="G53" i="22"/>
  <c r="D59" i="6"/>
  <c r="H53" i="22"/>
  <c r="E59" i="6"/>
  <c r="J59" i="6"/>
  <c r="B60" i="6"/>
  <c r="C60" i="6"/>
  <c r="G54" i="22"/>
  <c r="D60" i="6"/>
  <c r="H54" i="22"/>
  <c r="E60" i="6"/>
  <c r="J60" i="6"/>
  <c r="B61" i="6"/>
  <c r="C61" i="6"/>
  <c r="G55" i="22"/>
  <c r="D61" i="6"/>
  <c r="H55" i="22"/>
  <c r="E61" i="6"/>
  <c r="J61" i="6"/>
  <c r="B62" i="6"/>
  <c r="C62" i="6"/>
  <c r="G56" i="22"/>
  <c r="D62" i="6"/>
  <c r="H56" i="22"/>
  <c r="E62" i="6"/>
  <c r="J62" i="6"/>
  <c r="B63" i="6"/>
  <c r="C63" i="6"/>
  <c r="G57" i="22"/>
  <c r="D63" i="6"/>
  <c r="H57" i="22"/>
  <c r="E63" i="6"/>
  <c r="J63" i="6"/>
  <c r="B64" i="6"/>
  <c r="C64" i="6"/>
  <c r="G58" i="22"/>
  <c r="D64" i="6"/>
  <c r="H58" i="22"/>
  <c r="E64" i="6"/>
  <c r="J64" i="6"/>
  <c r="B65" i="6"/>
  <c r="C65" i="6"/>
  <c r="G59" i="22"/>
  <c r="D65" i="6"/>
  <c r="H59" i="22"/>
  <c r="E65" i="6"/>
  <c r="J65" i="6"/>
  <c r="B66" i="6"/>
  <c r="C66" i="6"/>
  <c r="G60" i="22"/>
  <c r="D66" i="6"/>
  <c r="H60" i="22"/>
  <c r="E66" i="6"/>
  <c r="J66" i="6"/>
  <c r="B67" i="6"/>
  <c r="C67" i="6"/>
  <c r="G61" i="22"/>
  <c r="D67" i="6"/>
  <c r="H61" i="22"/>
  <c r="E67" i="6"/>
  <c r="J67" i="6"/>
  <c r="B68" i="6"/>
  <c r="C68" i="6"/>
  <c r="G62" i="22"/>
  <c r="D68" i="6"/>
  <c r="H62" i="22"/>
  <c r="E68" i="6"/>
  <c r="J68" i="6"/>
  <c r="B69" i="6"/>
  <c r="C69" i="6"/>
  <c r="G63" i="22"/>
  <c r="D69" i="6"/>
  <c r="H63" i="22"/>
  <c r="E69" i="6"/>
  <c r="J69" i="6"/>
  <c r="B70" i="6"/>
  <c r="C70" i="6"/>
  <c r="G64" i="22"/>
  <c r="D70" i="6"/>
  <c r="H64" i="22"/>
  <c r="E70" i="6"/>
  <c r="J70" i="6"/>
  <c r="B71" i="6"/>
  <c r="C71" i="6"/>
  <c r="G65" i="22"/>
  <c r="D71" i="6"/>
  <c r="H65" i="22"/>
  <c r="E71" i="6"/>
  <c r="J71" i="6"/>
  <c r="B72" i="6"/>
  <c r="C72" i="6"/>
  <c r="G66" i="22"/>
  <c r="D72" i="6"/>
  <c r="H66" i="22"/>
  <c r="E72" i="6"/>
  <c r="J72" i="6"/>
  <c r="B73" i="6"/>
  <c r="C73" i="6"/>
  <c r="G67" i="22"/>
  <c r="D73" i="6"/>
  <c r="H67" i="22"/>
  <c r="E73" i="6"/>
  <c r="J73" i="6"/>
  <c r="B74" i="6"/>
  <c r="C74" i="6"/>
  <c r="G68" i="22"/>
  <c r="D74" i="6"/>
  <c r="H68" i="22"/>
  <c r="E74" i="6"/>
  <c r="J74" i="6"/>
  <c r="B75" i="6"/>
  <c r="C75" i="6"/>
  <c r="G69" i="22"/>
  <c r="D75" i="6"/>
  <c r="H69" i="22"/>
  <c r="E75" i="6"/>
  <c r="J75" i="6"/>
  <c r="B76" i="6"/>
  <c r="C76" i="6"/>
  <c r="G70" i="22"/>
  <c r="D76" i="6"/>
  <c r="H70" i="22"/>
  <c r="E76" i="6"/>
  <c r="J76" i="6"/>
  <c r="B77" i="6"/>
  <c r="C77" i="6"/>
  <c r="G71" i="22"/>
  <c r="D77" i="6"/>
  <c r="H71" i="22"/>
  <c r="E77" i="6"/>
  <c r="J77" i="6"/>
  <c r="B78" i="6"/>
  <c r="C78" i="6"/>
  <c r="G72" i="22"/>
  <c r="D78" i="6"/>
  <c r="H72" i="22"/>
  <c r="E78" i="6"/>
  <c r="J78" i="6"/>
  <c r="B79" i="6"/>
  <c r="C79" i="6"/>
  <c r="G73" i="22"/>
  <c r="D79" i="6"/>
  <c r="H73" i="22"/>
  <c r="E79" i="6"/>
  <c r="J79" i="6"/>
  <c r="B80" i="6"/>
  <c r="C80" i="6"/>
  <c r="G74" i="22"/>
  <c r="D80" i="6"/>
  <c r="H74" i="22"/>
  <c r="E80" i="6"/>
  <c r="J80" i="6"/>
  <c r="B81" i="6"/>
  <c r="C81" i="6"/>
  <c r="G75" i="22"/>
  <c r="D81" i="6"/>
  <c r="H75" i="22"/>
  <c r="E81" i="6"/>
  <c r="J81" i="6"/>
  <c r="B82" i="6"/>
  <c r="C82" i="6"/>
  <c r="G76" i="22"/>
  <c r="D82" i="6"/>
  <c r="H76" i="22"/>
  <c r="E82" i="6"/>
  <c r="J82" i="6"/>
  <c r="B83" i="6"/>
  <c r="C83" i="6"/>
  <c r="G77" i="22"/>
  <c r="D83" i="6"/>
  <c r="H77" i="22"/>
  <c r="E83" i="6"/>
  <c r="J83" i="6"/>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D25" i="17"/>
  <c r="E30" i="17" a="1"/>
  <c r="E30" i="17"/>
  <c r="F30" i="17" a="1"/>
  <c r="F30" i="17"/>
  <c r="G30" i="17" a="1"/>
  <c r="H30" i="17" a="1"/>
  <c r="I30" i="17" a="1"/>
  <c r="J30" i="17" a="1"/>
  <c r="K30" i="17" a="1"/>
  <c r="L30" i="17" a="1"/>
  <c r="M30" i="17" a="1"/>
  <c r="N30" i="17" a="1"/>
  <c r="O30" i="17" a="1"/>
  <c r="P30" i="17" a="1"/>
  <c r="Q30" i="17" a="1"/>
  <c r="R30" i="17" a="1"/>
  <c r="S30" i="17" a="1"/>
  <c r="T30" i="17" a="1"/>
  <c r="U30" i="17" a="1"/>
  <c r="V30" i="17" a="1"/>
  <c r="W30" i="17" a="1"/>
  <c r="X30" i="17" a="1"/>
  <c r="Y30" i="17" a="1"/>
  <c r="Z30" i="17" a="1"/>
  <c r="AA30" i="17" a="1"/>
  <c r="AB30" i="17" a="1"/>
  <c r="AC30" i="17" a="1"/>
  <c r="AD30" i="17" a="1"/>
  <c r="AE30" i="17" a="1"/>
  <c r="AF30" i="17" a="1"/>
  <c r="AG30" i="17" a="1"/>
  <c r="AH30" i="17" a="1"/>
  <c r="AI30" i="17" a="1"/>
  <c r="AJ30" i="17" a="1"/>
  <c r="AK30" i="17" a="1"/>
  <c r="AL30" i="17" a="1"/>
  <c r="AM30" i="17" a="1"/>
  <c r="AN30" i="17" a="1"/>
  <c r="AO30" i="17" a="1"/>
  <c r="AP30" i="17" a="1"/>
  <c r="AQ30" i="17" a="1"/>
  <c r="AR30" i="17" a="1"/>
  <c r="AS30" i="17" a="1"/>
  <c r="AT30" i="17" a="1"/>
  <c r="AU30" i="17" a="1"/>
  <c r="AV30" i="17" a="1"/>
  <c r="AW30" i="17" a="1"/>
  <c r="AX30" i="17" a="1"/>
  <c r="AY30" i="17" a="1"/>
  <c r="AZ30" i="17" a="1"/>
  <c r="BA30" i="17" a="1"/>
  <c r="BB30" i="17" a="1"/>
  <c r="BC30" i="17" a="1"/>
  <c r="BD30" i="17" a="1"/>
  <c r="BE30" i="17" a="1"/>
  <c r="BF30" i="17" a="1"/>
  <c r="BG30" i="17" a="1"/>
  <c r="BH30" i="17" a="1"/>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E31" i="17" a="1"/>
  <c r="E31" i="17"/>
  <c r="F31" i="17" a="1"/>
  <c r="F31" i="17"/>
  <c r="G31" i="17" a="1"/>
  <c r="H31" i="17" a="1"/>
  <c r="I31" i="17" a="1"/>
  <c r="J31" i="17" a="1"/>
  <c r="K31" i="17" a="1"/>
  <c r="L31" i="17" a="1"/>
  <c r="M31" i="17" a="1"/>
  <c r="N31" i="17" a="1"/>
  <c r="O31" i="17" a="1"/>
  <c r="P31" i="17" a="1"/>
  <c r="Q31" i="17" a="1"/>
  <c r="R31" i="17" a="1"/>
  <c r="S31" i="17" a="1"/>
  <c r="T31" i="17" a="1"/>
  <c r="U31" i="17" a="1"/>
  <c r="V31" i="17" a="1"/>
  <c r="W31" i="17" a="1"/>
  <c r="X31" i="17" a="1"/>
  <c r="Y31" i="17" a="1"/>
  <c r="Z31" i="17" a="1"/>
  <c r="AA31" i="17" a="1"/>
  <c r="AB31" i="17" a="1"/>
  <c r="AC31" i="17" a="1"/>
  <c r="AD31" i="17" a="1"/>
  <c r="AE31" i="17" a="1"/>
  <c r="AF31" i="17" a="1"/>
  <c r="AG31" i="17" a="1"/>
  <c r="AH31" i="17" a="1"/>
  <c r="AI31" i="17" a="1"/>
  <c r="AJ31" i="17" a="1"/>
  <c r="AK31" i="17" a="1"/>
  <c r="AL31" i="17" a="1"/>
  <c r="AM31" i="17" a="1"/>
  <c r="AN31" i="17" a="1"/>
  <c r="AO31" i="17" a="1"/>
  <c r="AP31" i="17" a="1"/>
  <c r="AQ31" i="17" a="1"/>
  <c r="AR31" i="17" a="1"/>
  <c r="AS31" i="17" a="1"/>
  <c r="AT31" i="17" a="1"/>
  <c r="AU31" i="17" a="1"/>
  <c r="AV31" i="17" a="1"/>
  <c r="AW31" i="17" a="1"/>
  <c r="AX31" i="17" a="1"/>
  <c r="AY31" i="17" a="1"/>
  <c r="AZ31" i="17" a="1"/>
  <c r="BA31" i="17" a="1"/>
  <c r="BB31" i="17" a="1"/>
  <c r="BC31" i="17" a="1"/>
  <c r="BD31" i="17" a="1"/>
  <c r="BE31" i="17" a="1"/>
  <c r="BF31" i="17" a="1"/>
  <c r="BG31" i="17" a="1"/>
  <c r="BH31" i="17" a="1"/>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E32" i="17" a="1"/>
  <c r="E32" i="17"/>
  <c r="F32" i="17" a="1"/>
  <c r="F32" i="17"/>
  <c r="G32" i="17" a="1"/>
  <c r="H32" i="17" a="1"/>
  <c r="I32" i="17" a="1"/>
  <c r="J32" i="17" a="1"/>
  <c r="K32" i="17" a="1"/>
  <c r="L32" i="17" a="1"/>
  <c r="M32" i="17" a="1"/>
  <c r="N32" i="17" a="1"/>
  <c r="O32" i="17" a="1"/>
  <c r="P32" i="17" a="1"/>
  <c r="Q32" i="17" a="1"/>
  <c r="R32" i="17" a="1"/>
  <c r="S32" i="17" a="1"/>
  <c r="T32" i="17" a="1"/>
  <c r="U32" i="17" a="1"/>
  <c r="V32" i="17" a="1"/>
  <c r="W32" i="17" a="1"/>
  <c r="X32" i="17" a="1"/>
  <c r="Y32" i="17" a="1"/>
  <c r="Z32" i="17" a="1"/>
  <c r="AA32" i="17" a="1"/>
  <c r="AB32" i="17" a="1"/>
  <c r="AC32" i="17" a="1"/>
  <c r="AD32" i="17" a="1"/>
  <c r="AE32" i="17" a="1"/>
  <c r="AF32" i="17" a="1"/>
  <c r="AG32" i="17" a="1"/>
  <c r="AH32" i="17" a="1"/>
  <c r="AI32" i="17" a="1"/>
  <c r="AJ32" i="17" a="1"/>
  <c r="AK32" i="17" a="1"/>
  <c r="AL32" i="17" a="1"/>
  <c r="AM32" i="17" a="1"/>
  <c r="AN32" i="17" a="1"/>
  <c r="AO32" i="17" a="1"/>
  <c r="AP32" i="17" a="1"/>
  <c r="AQ32" i="17" a="1"/>
  <c r="AR32" i="17" a="1"/>
  <c r="AS32" i="17" a="1"/>
  <c r="AT32" i="17" a="1"/>
  <c r="AU32" i="17" a="1"/>
  <c r="AV32" i="17" a="1"/>
  <c r="AW32" i="17" a="1"/>
  <c r="AX32" i="17" a="1"/>
  <c r="AY32" i="17" a="1"/>
  <c r="AZ32" i="17" a="1"/>
  <c r="BA32" i="17" a="1"/>
  <c r="BB32" i="17" a="1"/>
  <c r="BC32" i="17" a="1"/>
  <c r="BD32" i="17" a="1"/>
  <c r="BE32" i="17" a="1"/>
  <c r="BF32" i="17" a="1"/>
  <c r="BG32" i="17" a="1"/>
  <c r="BH32" i="17" a="1"/>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AC33" i="17" a="1"/>
  <c r="AD33" i="17" a="1"/>
  <c r="AE33" i="17" a="1"/>
  <c r="AF33" i="17" a="1"/>
  <c r="AG33" i="17" a="1"/>
  <c r="AH33" i="17" a="1"/>
  <c r="AI33" i="17" a="1"/>
  <c r="AJ33" i="17" a="1"/>
  <c r="AK33" i="17" a="1"/>
  <c r="AL33" i="17" a="1"/>
  <c r="AM33" i="17" a="1"/>
  <c r="AN33" i="17" a="1"/>
  <c r="AO33" i="17" a="1"/>
  <c r="AP33" i="17" a="1"/>
  <c r="AQ33" i="17" a="1"/>
  <c r="AR33" i="17" a="1"/>
  <c r="AS33" i="17" a="1"/>
  <c r="AT33" i="17" a="1"/>
  <c r="AU33" i="17" a="1"/>
  <c r="AV33" i="17" a="1"/>
  <c r="AW33" i="17" a="1"/>
  <c r="AX33" i="17" a="1"/>
  <c r="AY33" i="17" a="1"/>
  <c r="AZ33" i="17" a="1"/>
  <c r="BA33" i="17" a="1"/>
  <c r="BB33" i="17" a="1"/>
  <c r="BC33" i="17" a="1"/>
  <c r="BD33" i="17" a="1"/>
  <c r="BE33" i="17" a="1"/>
  <c r="BF33" i="17" a="1"/>
  <c r="BG33" i="17" a="1"/>
  <c r="BH33" i="17" a="1"/>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C21"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AC34" i="17" a="1"/>
  <c r="AD34" i="17" a="1"/>
  <c r="AE34" i="17" a="1"/>
  <c r="AF34" i="17" a="1"/>
  <c r="AG34" i="17" a="1"/>
  <c r="AH34" i="17" a="1"/>
  <c r="AI34" i="17" a="1"/>
  <c r="AJ34" i="17" a="1"/>
  <c r="AK34" i="17" a="1"/>
  <c r="AL34" i="17" a="1"/>
  <c r="AM34" i="17" a="1"/>
  <c r="AN34" i="17" a="1"/>
  <c r="AO34" i="17" a="1"/>
  <c r="AP34" i="17" a="1"/>
  <c r="AQ34" i="17" a="1"/>
  <c r="AR34" i="17" a="1"/>
  <c r="AS34" i="17" a="1"/>
  <c r="AT34" i="17" a="1"/>
  <c r="AU34" i="17" a="1"/>
  <c r="AV34" i="17" a="1"/>
  <c r="AW34" i="17" a="1"/>
  <c r="AX34" i="17" a="1"/>
  <c r="AY34" i="17" a="1"/>
  <c r="AZ34" i="17" a="1"/>
  <c r="BA34" i="17" a="1"/>
  <c r="BB34" i="17" a="1"/>
  <c r="BC34" i="17" a="1"/>
  <c r="BD34" i="17" a="1"/>
  <c r="BE34" i="17" a="1"/>
  <c r="BF34" i="17" a="1"/>
  <c r="BG34" i="17" a="1"/>
  <c r="BH34" i="17" a="1"/>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AG25" i="17"/>
  <c r="AE17" i="17"/>
  <c r="AE18" i="17"/>
  <c r="AE19" i="17"/>
  <c r="AE20" i="17"/>
  <c r="AE21" i="17"/>
  <c r="AE22" i="17"/>
  <c r="AF25" i="17"/>
  <c r="Y25" i="17"/>
  <c r="AH25" i="17"/>
  <c r="AD17" i="17"/>
  <c r="AG17" i="17"/>
  <c r="AF17" i="17"/>
  <c r="Y17" i="17"/>
  <c r="AH17" i="17"/>
  <c r="AD18" i="17"/>
  <c r="AG18" i="17"/>
  <c r="AF18" i="17"/>
  <c r="Y18" i="17"/>
  <c r="AH18" i="17"/>
  <c r="AD19" i="17"/>
  <c r="AG19" i="17"/>
  <c r="AF19" i="17"/>
  <c r="Y19" i="17"/>
  <c r="AH19" i="17"/>
  <c r="AD20" i="17"/>
  <c r="AG20" i="17"/>
  <c r="AF20" i="17"/>
  <c r="Y20" i="17"/>
  <c r="AH20" i="17"/>
  <c r="AD21" i="17"/>
  <c r="AG21" i="17"/>
  <c r="AF21" i="17"/>
  <c r="Y21" i="17"/>
  <c r="AH21" i="17"/>
  <c r="AD22" i="17"/>
  <c r="AG22" i="17"/>
  <c r="AF22" i="17"/>
  <c r="Y22" i="17"/>
  <c r="AH22" i="17"/>
  <c r="AD23" i="17"/>
  <c r="AG23" i="17"/>
  <c r="AF23" i="17"/>
  <c r="Y23" i="17"/>
  <c r="AH23" i="17"/>
  <c r="AD24" i="17"/>
  <c r="AG24" i="17"/>
  <c r="AF24" i="17"/>
  <c r="Y24" i="17"/>
  <c r="AH24" i="17"/>
  <c r="X25" i="17"/>
  <c r="X17" i="17"/>
  <c r="X18" i="17"/>
  <c r="X19" i="17"/>
  <c r="X20" i="17"/>
  <c r="X21" i="17"/>
  <c r="X22" i="17"/>
  <c r="X23" i="17"/>
  <c r="X24" i="17"/>
  <c r="E12" i="17"/>
  <c r="E9" i="17"/>
  <c r="E11" i="17"/>
  <c r="AO12" i="17"/>
  <c r="AO4" i="17"/>
  <c r="AO5" i="17"/>
  <c r="AO6" i="17"/>
  <c r="AO7" i="17"/>
  <c r="AO8" i="17"/>
  <c r="AO9" i="17"/>
  <c r="AO10" i="17"/>
  <c r="AO11" i="17"/>
  <c r="AP12" i="17"/>
  <c r="AP4" i="17"/>
  <c r="AP5" i="17"/>
  <c r="AP6" i="17"/>
  <c r="AP7" i="17"/>
  <c r="AP8" i="17"/>
  <c r="AP9" i="17"/>
  <c r="AP10" i="17"/>
  <c r="AP11" i="17"/>
  <c r="AM12" i="17"/>
  <c r="Q4" i="17"/>
  <c r="AG3" i="17"/>
  <c r="AG12" i="17"/>
  <c r="Z25" i="17"/>
  <c r="AI12" i="17"/>
  <c r="AG4" i="17"/>
  <c r="Z17" i="17"/>
  <c r="AI4" i="17"/>
  <c r="AG5" i="17"/>
  <c r="AI5" i="17"/>
  <c r="AG6" i="17"/>
  <c r="Z19" i="17"/>
  <c r="AI6" i="17"/>
  <c r="AG7" i="17"/>
  <c r="Z20" i="17"/>
  <c r="AI7" i="17"/>
  <c r="AG8" i="17"/>
  <c r="Z21" i="17"/>
  <c r="AI8" i="17"/>
  <c r="AG9" i="17"/>
  <c r="Z22" i="17"/>
  <c r="AI9" i="17"/>
  <c r="AG10" i="17"/>
  <c r="AI10" i="17"/>
  <c r="AG11" i="17"/>
  <c r="AI11" i="17"/>
  <c r="AJ12" i="17"/>
  <c r="E4" i="17"/>
  <c r="AJ4" i="17"/>
  <c r="AJ5" i="17"/>
  <c r="E6" i="17"/>
  <c r="AJ6" i="17"/>
  <c r="E7" i="17"/>
  <c r="AJ7" i="17"/>
  <c r="E8" i="17"/>
  <c r="AJ8" i="17"/>
  <c r="AJ9" i="17"/>
  <c r="AJ10" i="17"/>
  <c r="AJ11" i="17"/>
  <c r="AK12" i="17"/>
  <c r="AK4" i="17"/>
  <c r="AK5" i="17"/>
  <c r="AK6" i="17"/>
  <c r="AK7" i="17"/>
  <c r="AK8" i="17"/>
  <c r="AK9" i="17"/>
  <c r="AK10" i="17"/>
  <c r="AK11" i="17"/>
  <c r="AH12" i="17"/>
  <c r="P4" i="17"/>
  <c r="AB3" i="17"/>
  <c r="AB12" i="17"/>
  <c r="AD12" i="17"/>
  <c r="AB4" i="17"/>
  <c r="AD4" i="17"/>
  <c r="AB5" i="17"/>
  <c r="Z18" i="17"/>
  <c r="AD5" i="17"/>
  <c r="AB6" i="17"/>
  <c r="AD6" i="17"/>
  <c r="AB7" i="17"/>
  <c r="AD7" i="17"/>
  <c r="AB8" i="17"/>
  <c r="AD8" i="17"/>
  <c r="AB9" i="17"/>
  <c r="AD9" i="17"/>
  <c r="AB10" i="17"/>
  <c r="Z23" i="17"/>
  <c r="AD10" i="17"/>
  <c r="AB11" i="17"/>
  <c r="Z24" i="17"/>
  <c r="AD11" i="17"/>
  <c r="AE12" i="17"/>
  <c r="AE4" i="17"/>
  <c r="E5" i="17"/>
  <c r="AE5" i="17"/>
  <c r="AE6" i="17"/>
  <c r="AE7" i="17"/>
  <c r="AE8" i="17"/>
  <c r="AE9" i="17"/>
  <c r="E10"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5" i="3"/>
  <c r="AN5" i="3"/>
  <c r="AL4" i="3"/>
  <c r="AN4" i="3"/>
  <c r="AL6" i="3"/>
  <c r="AN6" i="3"/>
  <c r="AL7" i="3"/>
  <c r="AN7" i="3"/>
  <c r="AL8" i="3"/>
  <c r="AN8" i="3"/>
  <c r="AL9" i="3"/>
  <c r="AN9" i="3"/>
  <c r="AL10" i="3"/>
  <c r="AN10" i="3"/>
  <c r="AL11" i="3"/>
  <c r="AN11" i="3"/>
  <c r="AL12" i="3"/>
  <c r="AN12" i="3"/>
  <c r="M49" i="3" a="1"/>
  <c r="M49" i="3"/>
  <c r="N49" i="3" a="1"/>
  <c r="N49" i="3"/>
  <c r="O49" i="3" a="1"/>
  <c r="P49" i="3" a="1"/>
  <c r="Q49" i="3" a="1"/>
  <c r="R49" i="3" a="1"/>
  <c r="S49" i="3" a="1"/>
  <c r="T49" i="3" a="1"/>
  <c r="O49" i="3"/>
  <c r="P49" i="3"/>
  <c r="Q49" i="3"/>
  <c r="R49" i="3"/>
  <c r="S49" i="3"/>
  <c r="T49" i="3"/>
  <c r="AB25" i="3"/>
  <c r="W25" i="3"/>
  <c r="E30" i="3" a="1"/>
  <c r="E30" i="3"/>
  <c r="F30" i="3" a="1"/>
  <c r="F30" i="3"/>
  <c r="G30" i="3" a="1"/>
  <c r="H30" i="3" a="1"/>
  <c r="I30" i="3" a="1"/>
  <c r="J30" i="3" a="1"/>
  <c r="K30" i="3" a="1"/>
  <c r="L30" i="3" a="1"/>
  <c r="M30" i="3" a="1"/>
  <c r="N30" i="3" a="1"/>
  <c r="O30" i="3" a="1"/>
  <c r="P30" i="3" a="1"/>
  <c r="Q30" i="3" a="1"/>
  <c r="R30" i="3" a="1"/>
  <c r="S30" i="3" a="1"/>
  <c r="T30" i="3" a="1"/>
  <c r="U30" i="3" a="1"/>
  <c r="V30" i="3" a="1"/>
  <c r="W30" i="3" a="1"/>
  <c r="X30" i="3" a="1"/>
  <c r="Y30" i="3" a="1"/>
  <c r="Z30" i="3" a="1"/>
  <c r="AA30" i="3" a="1"/>
  <c r="AB30" i="3" a="1"/>
  <c r="AC30" i="3" a="1"/>
  <c r="AD30" i="3" a="1"/>
  <c r="AE30" i="3" a="1"/>
  <c r="AF30" i="3" a="1"/>
  <c r="AG30" i="3" a="1"/>
  <c r="AH30" i="3" a="1"/>
  <c r="AI30" i="3" a="1"/>
  <c r="AJ30" i="3" a="1"/>
  <c r="AK30" i="3" a="1"/>
  <c r="AL30" i="3" a="1"/>
  <c r="AM30" i="3" a="1"/>
  <c r="AN30" i="3" a="1"/>
  <c r="AO30" i="3" a="1"/>
  <c r="AP30" i="3" a="1"/>
  <c r="AQ30" i="3" a="1"/>
  <c r="AR30" i="3" a="1"/>
  <c r="AS30" i="3" a="1"/>
  <c r="AT30" i="3" a="1"/>
  <c r="AU30" i="3" a="1"/>
  <c r="AV30" i="3" a="1"/>
  <c r="AW30" i="3" a="1"/>
  <c r="AX30" i="3" a="1"/>
  <c r="AY30" i="3" a="1"/>
  <c r="AZ30" i="3" a="1"/>
  <c r="BA30" i="3" a="1"/>
  <c r="BB30" i="3" a="1"/>
  <c r="BC30" i="3" a="1"/>
  <c r="BD30" i="3" a="1"/>
  <c r="BE30" i="3" a="1"/>
  <c r="BF30" i="3" a="1"/>
  <c r="BG30" i="3" a="1"/>
  <c r="BH30" i="3" a="1"/>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E31" i="3" a="1"/>
  <c r="E31" i="3"/>
  <c r="F31" i="3" a="1"/>
  <c r="F31" i="3"/>
  <c r="G31" i="3" a="1"/>
  <c r="H31" i="3" a="1"/>
  <c r="I31" i="3" a="1"/>
  <c r="J31" i="3" a="1"/>
  <c r="K31" i="3" a="1"/>
  <c r="L31" i="3" a="1"/>
  <c r="M31" i="3" a="1"/>
  <c r="N31" i="3" a="1"/>
  <c r="O31" i="3" a="1"/>
  <c r="P31" i="3" a="1"/>
  <c r="Q31" i="3" a="1"/>
  <c r="R31" i="3" a="1"/>
  <c r="S31" i="3" a="1"/>
  <c r="T31" i="3" a="1"/>
  <c r="U31" i="3" a="1"/>
  <c r="V31" i="3" a="1"/>
  <c r="W31" i="3" a="1"/>
  <c r="X31" i="3" a="1"/>
  <c r="Y31" i="3" a="1"/>
  <c r="Z31" i="3" a="1"/>
  <c r="AA31" i="3" a="1"/>
  <c r="AB31" i="3" a="1"/>
  <c r="AC31" i="3" a="1"/>
  <c r="AD31" i="3" a="1"/>
  <c r="AE31" i="3" a="1"/>
  <c r="AF31" i="3" a="1"/>
  <c r="AG31" i="3" a="1"/>
  <c r="AH31" i="3" a="1"/>
  <c r="AI31" i="3" a="1"/>
  <c r="AJ31" i="3" a="1"/>
  <c r="AK31" i="3" a="1"/>
  <c r="AL31" i="3" a="1"/>
  <c r="AM31" i="3" a="1"/>
  <c r="AN31" i="3" a="1"/>
  <c r="AO31" i="3" a="1"/>
  <c r="AP31" i="3" a="1"/>
  <c r="AQ31" i="3" a="1"/>
  <c r="AR31" i="3" a="1"/>
  <c r="AS31" i="3" a="1"/>
  <c r="AT31" i="3" a="1"/>
  <c r="AU31" i="3" a="1"/>
  <c r="AV31" i="3" a="1"/>
  <c r="AW31" i="3" a="1"/>
  <c r="AX31" i="3" a="1"/>
  <c r="AY31" i="3" a="1"/>
  <c r="AZ31" i="3" a="1"/>
  <c r="BA31" i="3" a="1"/>
  <c r="BB31" i="3" a="1"/>
  <c r="BC31" i="3" a="1"/>
  <c r="BD31" i="3" a="1"/>
  <c r="BE31" i="3" a="1"/>
  <c r="BF31" i="3" a="1"/>
  <c r="BG31" i="3" a="1"/>
  <c r="BH31" i="3" a="1"/>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E32" i="3" a="1"/>
  <c r="E32" i="3"/>
  <c r="F32" i="3" a="1"/>
  <c r="F32" i="3"/>
  <c r="G32" i="3" a="1"/>
  <c r="H32" i="3" a="1"/>
  <c r="I32" i="3" a="1"/>
  <c r="J32" i="3" a="1"/>
  <c r="K32" i="3" a="1"/>
  <c r="L32" i="3" a="1"/>
  <c r="M32" i="3" a="1"/>
  <c r="N32" i="3" a="1"/>
  <c r="O32" i="3" a="1"/>
  <c r="P32" i="3" a="1"/>
  <c r="Q32" i="3" a="1"/>
  <c r="R32" i="3" a="1"/>
  <c r="S32" i="3" a="1"/>
  <c r="T32" i="3" a="1"/>
  <c r="U32" i="3" a="1"/>
  <c r="V32" i="3" a="1"/>
  <c r="W32" i="3" a="1"/>
  <c r="X32" i="3" a="1"/>
  <c r="Y32" i="3" a="1"/>
  <c r="Z32" i="3" a="1"/>
  <c r="AA32" i="3" a="1"/>
  <c r="AB32" i="3" a="1"/>
  <c r="AC32" i="3" a="1"/>
  <c r="AD32" i="3" a="1"/>
  <c r="AE32" i="3" a="1"/>
  <c r="AF32" i="3" a="1"/>
  <c r="AG32" i="3" a="1"/>
  <c r="AH32" i="3" a="1"/>
  <c r="AI32" i="3" a="1"/>
  <c r="AJ32" i="3" a="1"/>
  <c r="AK32" i="3" a="1"/>
  <c r="AL32" i="3" a="1"/>
  <c r="AM32" i="3" a="1"/>
  <c r="AN32" i="3" a="1"/>
  <c r="AO32" i="3" a="1"/>
  <c r="AP32" i="3" a="1"/>
  <c r="AQ32" i="3" a="1"/>
  <c r="AR32" i="3" a="1"/>
  <c r="AS32" i="3" a="1"/>
  <c r="AT32" i="3" a="1"/>
  <c r="AU32" i="3" a="1"/>
  <c r="AV32" i="3" a="1"/>
  <c r="AW32" i="3" a="1"/>
  <c r="AX32" i="3" a="1"/>
  <c r="AY32" i="3" a="1"/>
  <c r="AZ32" i="3" a="1"/>
  <c r="BA32" i="3" a="1"/>
  <c r="BB32" i="3" a="1"/>
  <c r="BC32" i="3" a="1"/>
  <c r="BD32" i="3" a="1"/>
  <c r="BE32" i="3" a="1"/>
  <c r="BF32" i="3" a="1"/>
  <c r="BG32" i="3" a="1"/>
  <c r="BH32" i="3" a="1"/>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E33" i="3" a="1"/>
  <c r="E33" i="3"/>
  <c r="F33" i="3" a="1"/>
  <c r="F33" i="3"/>
  <c r="G33" i="3" a="1"/>
  <c r="H33" i="3" a="1"/>
  <c r="I33" i="3" a="1"/>
  <c r="J33" i="3" a="1"/>
  <c r="K33" i="3" a="1"/>
  <c r="L33" i="3" a="1"/>
  <c r="M33" i="3" a="1"/>
  <c r="N33" i="3" a="1"/>
  <c r="O33" i="3" a="1"/>
  <c r="P33" i="3" a="1"/>
  <c r="Q33" i="3" a="1"/>
  <c r="R33" i="3" a="1"/>
  <c r="S33" i="3" a="1"/>
  <c r="T33" i="3" a="1"/>
  <c r="U33" i="3" a="1"/>
  <c r="V33" i="3" a="1"/>
  <c r="W33" i="3" a="1"/>
  <c r="X33" i="3" a="1"/>
  <c r="Y33" i="3" a="1"/>
  <c r="Z33" i="3" a="1"/>
  <c r="AA33" i="3" a="1"/>
  <c r="AB33" i="3" a="1"/>
  <c r="AC33" i="3" a="1"/>
  <c r="AD33" i="3" a="1"/>
  <c r="AE33" i="3" a="1"/>
  <c r="AF33" i="3" a="1"/>
  <c r="AG33" i="3" a="1"/>
  <c r="AH33" i="3" a="1"/>
  <c r="AI33" i="3" a="1"/>
  <c r="AJ33" i="3" a="1"/>
  <c r="AK33" i="3" a="1"/>
  <c r="AL33" i="3" a="1"/>
  <c r="AM33" i="3" a="1"/>
  <c r="AN33" i="3" a="1"/>
  <c r="AO33" i="3" a="1"/>
  <c r="AP33" i="3" a="1"/>
  <c r="AQ33" i="3" a="1"/>
  <c r="AR33" i="3" a="1"/>
  <c r="AS33" i="3" a="1"/>
  <c r="AT33" i="3" a="1"/>
  <c r="AU33" i="3" a="1"/>
  <c r="AV33" i="3" a="1"/>
  <c r="AW33" i="3" a="1"/>
  <c r="AX33" i="3" a="1"/>
  <c r="AY33" i="3" a="1"/>
  <c r="AZ33" i="3" a="1"/>
  <c r="BA33" i="3" a="1"/>
  <c r="BB33" i="3" a="1"/>
  <c r="BC33" i="3" a="1"/>
  <c r="BD33" i="3" a="1"/>
  <c r="BE33" i="3" a="1"/>
  <c r="BF33" i="3" a="1"/>
  <c r="BG33" i="3" a="1"/>
  <c r="BH33" i="3" a="1"/>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E34" i="3" a="1"/>
  <c r="E34" i="3"/>
  <c r="F34" i="3" a="1"/>
  <c r="F34" i="3"/>
  <c r="G34" i="3" a="1"/>
  <c r="H34" i="3" a="1"/>
  <c r="I34" i="3" a="1"/>
  <c r="J34" i="3" a="1"/>
  <c r="K34" i="3" a="1"/>
  <c r="L34" i="3" a="1"/>
  <c r="M34" i="3" a="1"/>
  <c r="N34" i="3" a="1"/>
  <c r="O34" i="3" a="1"/>
  <c r="P34" i="3" a="1"/>
  <c r="Q34" i="3" a="1"/>
  <c r="R34" i="3" a="1"/>
  <c r="S34" i="3" a="1"/>
  <c r="T34" i="3" a="1"/>
  <c r="U34" i="3" a="1"/>
  <c r="V34" i="3" a="1"/>
  <c r="W34" i="3" a="1"/>
  <c r="X34" i="3" a="1"/>
  <c r="Y34" i="3" a="1"/>
  <c r="Z34" i="3" a="1"/>
  <c r="AA34" i="3" a="1"/>
  <c r="AB34" i="3" a="1"/>
  <c r="AC34" i="3" a="1"/>
  <c r="AD34" i="3" a="1"/>
  <c r="AE34" i="3" a="1"/>
  <c r="AF34" i="3" a="1"/>
  <c r="AG34" i="3" a="1"/>
  <c r="AH34" i="3" a="1"/>
  <c r="AI34" i="3" a="1"/>
  <c r="AJ34" i="3" a="1"/>
  <c r="AK34" i="3" a="1"/>
  <c r="AL34" i="3" a="1"/>
  <c r="AM34" i="3" a="1"/>
  <c r="AN34" i="3" a="1"/>
  <c r="AO34" i="3" a="1"/>
  <c r="AP34" i="3" a="1"/>
  <c r="AQ34" i="3" a="1"/>
  <c r="AR34" i="3" a="1"/>
  <c r="AS34" i="3" a="1"/>
  <c r="AT34" i="3" a="1"/>
  <c r="AU34" i="3" a="1"/>
  <c r="AV34" i="3" a="1"/>
  <c r="AW34" i="3" a="1"/>
  <c r="AX34" i="3" a="1"/>
  <c r="AY34" i="3" a="1"/>
  <c r="AZ34" i="3" a="1"/>
  <c r="BA34" i="3" a="1"/>
  <c r="BB34" i="3" a="1"/>
  <c r="BC34" i="3" a="1"/>
  <c r="BD34" i="3" a="1"/>
  <c r="BE34" i="3" a="1"/>
  <c r="BF34" i="3" a="1"/>
  <c r="BG34" i="3" a="1"/>
  <c r="BH34" i="3" a="1"/>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AK47" i="3" a="1"/>
  <c r="AK47" i="3"/>
  <c r="AL47" i="3" a="1"/>
  <c r="AL47" i="3"/>
  <c r="AM47" i="3" a="1"/>
  <c r="AN47" i="3" a="1"/>
  <c r="AO47" i="3" a="1"/>
  <c r="AP47" i="3" a="1"/>
  <c r="AQ47" i="3" a="1"/>
  <c r="AR47" i="3" a="1"/>
  <c r="AM47" i="3"/>
  <c r="AN47" i="3"/>
  <c r="AO47" i="3"/>
  <c r="AP47" i="3"/>
  <c r="AQ47" i="3"/>
  <c r="AR47" i="3"/>
  <c r="AB23" i="3"/>
  <c r="W23" i="3"/>
  <c r="AC48" i="3" a="1"/>
  <c r="AC48" i="3"/>
  <c r="AD48" i="3" a="1"/>
  <c r="AD48" i="3"/>
  <c r="AE48" i="3" a="1"/>
  <c r="AF48" i="3" a="1"/>
  <c r="AG48" i="3" a="1"/>
  <c r="AH48" i="3" a="1"/>
  <c r="AI48" i="3" a="1"/>
  <c r="AJ48" i="3" a="1"/>
  <c r="AE48" i="3"/>
  <c r="AF48" i="3"/>
  <c r="AG48" i="3"/>
  <c r="AH48" i="3"/>
  <c r="AI48" i="3"/>
  <c r="AJ48" i="3"/>
  <c r="AB24" i="3"/>
  <c r="W24" i="3"/>
  <c r="X25" i="3"/>
  <c r="X17" i="3"/>
  <c r="X18" i="3"/>
  <c r="X19" i="3"/>
  <c r="X20" i="3"/>
  <c r="X21" i="3"/>
  <c r="X22" i="3"/>
  <c r="X23" i="3"/>
  <c r="X24" i="3"/>
  <c r="AD25" i="3"/>
  <c r="AG25" i="3"/>
  <c r="AE17" i="3"/>
  <c r="AE18" i="3"/>
  <c r="AE19" i="3"/>
  <c r="AE20" i="3"/>
  <c r="AE21" i="3"/>
  <c r="AE22" i="3"/>
  <c r="AF25" i="3"/>
  <c r="AH25" i="3"/>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E12" i="3"/>
  <c r="E11" i="3"/>
  <c r="AO5" i="3"/>
  <c r="AO6" i="3"/>
  <c r="AO7" i="3"/>
  <c r="AO8" i="3"/>
  <c r="AO9" i="3"/>
  <c r="AO10" i="3"/>
  <c r="AO11" i="3"/>
  <c r="AO12" i="3"/>
  <c r="AO4" i="3"/>
  <c r="Q4" i="3"/>
  <c r="AG3" i="3"/>
  <c r="AG5" i="3"/>
  <c r="AI5" i="3"/>
  <c r="AG4" i="3"/>
  <c r="C17" i="3"/>
  <c r="C18" i="3"/>
  <c r="C20" i="3"/>
  <c r="AI4" i="3"/>
  <c r="AG6" i="3"/>
  <c r="AI6" i="3"/>
  <c r="AG7" i="3"/>
  <c r="AI7" i="3"/>
  <c r="AG8" i="3"/>
  <c r="AG9" i="3"/>
  <c r="AI9" i="3"/>
  <c r="AG10" i="3"/>
  <c r="AG11" i="3"/>
  <c r="AI11" i="3"/>
  <c r="AG12" i="3"/>
  <c r="AI12" i="3"/>
  <c r="Y23" i="3"/>
  <c r="P4" i="3"/>
  <c r="AB3" i="3"/>
  <c r="AB5" i="3"/>
  <c r="AD5" i="3"/>
  <c r="AB4" i="3"/>
  <c r="AD4" i="3"/>
  <c r="AB6" i="3"/>
  <c r="AB7" i="3"/>
  <c r="AD7" i="3"/>
  <c r="AB8" i="3"/>
  <c r="AD8" i="3"/>
  <c r="AB9" i="3"/>
  <c r="AD9" i="3"/>
  <c r="AB10" i="3"/>
  <c r="AD10" i="3"/>
  <c r="AB11" i="3"/>
  <c r="AB12" i="3"/>
  <c r="AD12" i="3"/>
  <c r="O4" i="3"/>
  <c r="W3" i="3"/>
  <c r="W5" i="3"/>
  <c r="Z18" i="3"/>
  <c r="Y5" i="3"/>
  <c r="W4" i="3"/>
  <c r="Z17" i="3"/>
  <c r="Y4" i="3"/>
  <c r="W6" i="3"/>
  <c r="Y6" i="3"/>
  <c r="W7" i="3"/>
  <c r="Y7" i="3"/>
  <c r="W8" i="3"/>
  <c r="Y8" i="3"/>
  <c r="W9" i="3"/>
  <c r="W10" i="3"/>
  <c r="Y10" i="3"/>
  <c r="W11" i="3"/>
  <c r="Y11" i="3"/>
  <c r="W12" i="3"/>
  <c r="Y19" i="3"/>
  <c r="Y20" i="3"/>
  <c r="Y21" i="3"/>
  <c r="Y22" i="3"/>
  <c r="Y24" i="3"/>
  <c r="Y25" i="3"/>
  <c r="Y18" i="3"/>
  <c r="Y17" i="3"/>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24" i="17"/>
  <c r="AB124" i="17"/>
  <c r="Z125" i="17"/>
  <c r="AB125" i="17"/>
  <c r="Z126" i="17"/>
  <c r="AB126" i="17"/>
  <c r="Z127" i="17"/>
  <c r="AB127" i="17"/>
  <c r="Z128" i="17"/>
  <c r="AB128" i="17"/>
  <c r="Z129" i="17"/>
  <c r="AB129" i="17"/>
  <c r="Z130" i="17"/>
  <c r="AB130" i="17"/>
  <c r="Z131" i="17"/>
  <c r="AB131" i="17"/>
  <c r="Z132" i="17"/>
  <c r="AB132" i="17"/>
  <c r="Z133" i="17"/>
  <c r="AB133" i="17"/>
  <c r="Z134" i="17"/>
  <c r="AB134" i="17"/>
  <c r="Z135" i="17"/>
  <c r="AB135" i="17"/>
  <c r="Z135" i="3"/>
  <c r="AB135"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24" i="3"/>
  <c r="AB124" i="3"/>
  <c r="Z125" i="3"/>
  <c r="AB125" i="3"/>
  <c r="Z126" i="3"/>
  <c r="AB126" i="3"/>
  <c r="Z127" i="3"/>
  <c r="AB127" i="3"/>
  <c r="Z128" i="3"/>
  <c r="AB128" i="3"/>
  <c r="Z129" i="3"/>
  <c r="AB129" i="3"/>
  <c r="Z130" i="3"/>
  <c r="AB130" i="3"/>
  <c r="Z131" i="3"/>
  <c r="AB131" i="3"/>
  <c r="Z132" i="3"/>
  <c r="AB132" i="3"/>
  <c r="Z133" i="3"/>
  <c r="AB133" i="3"/>
  <c r="Z134" i="3"/>
  <c r="AB134" i="3"/>
  <c r="K5" i="17"/>
  <c r="K6" i="17"/>
  <c r="K7" i="17"/>
  <c r="K8" i="17"/>
  <c r="K9" i="17"/>
  <c r="K10" i="17"/>
  <c r="K11" i="17"/>
  <c r="K12" i="17"/>
  <c r="D4" i="17"/>
  <c r="D5" i="17"/>
  <c r="D6" i="17"/>
  <c r="D7" i="17"/>
  <c r="D8" i="17"/>
  <c r="D9" i="17"/>
  <c r="D10" i="17"/>
  <c r="D11"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Z167" i="17"/>
  <c r="Z168" i="17"/>
  <c r="Z169" i="17"/>
  <c r="AA166" i="17"/>
  <c r="AB166" i="17"/>
  <c r="AA167" i="17"/>
  <c r="AB167" i="17"/>
  <c r="AA168" i="17"/>
  <c r="AB168"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Z196" i="17"/>
  <c r="AA196" i="17"/>
  <c r="AB196" i="17"/>
  <c r="Z197" i="17"/>
  <c r="AA197" i="17"/>
  <c r="AB197" i="17"/>
  <c r="Z198" i="17"/>
  <c r="AA198" i="17"/>
  <c r="AB198" i="17"/>
  <c r="Z199" i="17"/>
  <c r="AA199" i="17"/>
  <c r="AB199" i="17"/>
  <c r="Z200" i="17"/>
  <c r="AA200" i="17"/>
  <c r="AB200" i="17"/>
  <c r="Z201" i="17"/>
  <c r="AA201" i="17"/>
  <c r="AB201" i="17"/>
  <c r="Z202" i="17"/>
  <c r="AA202" i="17"/>
  <c r="AB202" i="17"/>
  <c r="Z203" i="17"/>
  <c r="AA203" i="17"/>
  <c r="AB203" i="17"/>
  <c r="Z204" i="17"/>
  <c r="AA204" i="17"/>
  <c r="AB204" i="17"/>
  <c r="Z205" i="17"/>
  <c r="AA205" i="17"/>
  <c r="AB205" i="17"/>
  <c r="Z206" i="17"/>
  <c r="AA206" i="17"/>
  <c r="AB206" i="17"/>
  <c r="Z207" i="17"/>
  <c r="AA207" i="17"/>
  <c r="AB207" i="17"/>
  <c r="T32" i="6"/>
  <c r="T31" i="6"/>
  <c r="T30" i="6"/>
  <c r="T33" i="6"/>
  <c r="K5" i="3"/>
  <c r="K6" i="3"/>
  <c r="K7" i="3"/>
  <c r="K8" i="3"/>
  <c r="K9" i="3"/>
  <c r="K10" i="3"/>
  <c r="K11" i="3"/>
  <c r="K12" i="3"/>
  <c r="L4" i="3"/>
  <c r="M4" i="3"/>
  <c r="N4" i="3"/>
  <c r="L5" i="3"/>
  <c r="M5" i="3"/>
  <c r="N5" i="3"/>
  <c r="L6" i="3"/>
  <c r="M6" i="3"/>
  <c r="N6" i="3"/>
  <c r="L7" i="3"/>
  <c r="M7" i="3"/>
  <c r="N7" i="3"/>
  <c r="L8" i="3"/>
  <c r="M8" i="3"/>
  <c r="N8" i="3"/>
  <c r="L9" i="3"/>
  <c r="M9" i="3"/>
  <c r="N9" i="3"/>
  <c r="L10" i="3"/>
  <c r="M10" i="3"/>
  <c r="N10" i="3"/>
  <c r="L11" i="3"/>
  <c r="M11" i="3"/>
  <c r="N11" i="3"/>
  <c r="L12" i="3"/>
  <c r="M12" i="3"/>
  <c r="N12" i="3"/>
  <c r="Z64" i="3"/>
  <c r="Z65" i="3"/>
  <c r="Z66" i="3"/>
  <c r="AB64" i="3"/>
  <c r="AB65"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Z167" i="3"/>
  <c r="Z168" i="3"/>
  <c r="Z169" i="3"/>
  <c r="AA166" i="3"/>
  <c r="AB166" i="3"/>
  <c r="AA167" i="3"/>
  <c r="AB167" i="3"/>
  <c r="AA168" i="3"/>
  <c r="AB168"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Z196" i="3"/>
  <c r="AA196" i="3"/>
  <c r="AB196" i="3"/>
  <c r="Z197" i="3"/>
  <c r="AA197" i="3"/>
  <c r="AB197" i="3"/>
  <c r="Z198" i="3"/>
  <c r="AA198" i="3"/>
  <c r="AB198" i="3"/>
  <c r="Z199" i="3"/>
  <c r="AA199" i="3"/>
  <c r="AB199" i="3"/>
  <c r="Z200" i="3"/>
  <c r="AA200" i="3"/>
  <c r="AB200" i="3"/>
  <c r="Z201" i="3"/>
  <c r="AA201" i="3"/>
  <c r="AB201" i="3"/>
  <c r="Z202" i="3"/>
  <c r="AA202" i="3"/>
  <c r="AB202" i="3"/>
  <c r="Z203" i="3"/>
  <c r="AA203" i="3"/>
  <c r="AB203" i="3"/>
  <c r="Z204" i="3"/>
  <c r="AA204" i="3"/>
  <c r="AB204" i="3"/>
  <c r="Z205" i="3"/>
  <c r="AA205" i="3"/>
  <c r="AB205" i="3"/>
  <c r="Z206" i="3"/>
  <c r="AA206" i="3"/>
  <c r="AB206" i="3"/>
  <c r="Z207" i="3"/>
  <c r="AA207" i="3"/>
  <c r="AB207" i="3"/>
  <c r="T19" i="6"/>
  <c r="T18" i="6"/>
  <c r="T17" i="6"/>
  <c r="T20" i="6"/>
  <c r="AK33" i="6"/>
  <c r="AK32" i="6"/>
  <c r="AK31" i="6"/>
  <c r="AK30" i="6"/>
  <c r="AK20" i="6"/>
  <c r="AK19" i="6"/>
  <c r="AK18" i="6"/>
  <c r="AK17" i="6"/>
  <c r="BW40" i="3"/>
  <c r="BR45" i="3"/>
  <c r="BR41" i="3"/>
  <c r="BS40" i="3"/>
  <c r="BT40" i="3"/>
  <c r="BU40" i="3"/>
  <c r="BV40" i="3"/>
  <c r="BR42" i="3"/>
  <c r="BR43" i="3"/>
  <c r="BR44" i="3"/>
  <c r="AI15" i="30"/>
  <c r="AI15" i="29"/>
  <c r="AI15" i="28"/>
  <c r="AP12" i="3"/>
  <c r="AP4" i="3"/>
  <c r="AP5" i="3"/>
  <c r="AP6" i="3"/>
  <c r="AP7" i="3"/>
  <c r="AP8" i="3"/>
  <c r="AP9" i="3"/>
  <c r="AP10" i="3"/>
  <c r="AP11" i="3"/>
  <c r="AM12" i="3"/>
  <c r="AM11" i="3"/>
  <c r="AM10" i="3"/>
  <c r="AM9" i="3"/>
  <c r="AM8" i="3"/>
  <c r="AM7" i="3"/>
  <c r="AM6" i="3"/>
  <c r="AM5" i="3"/>
  <c r="AM4" i="3"/>
  <c r="Q18" i="22"/>
  <c r="C3" i="9"/>
  <c r="C4" i="9"/>
  <c r="E89" i="9"/>
  <c r="E90" i="9"/>
  <c r="E49" i="9"/>
  <c r="AG7" i="6"/>
  <c r="E78" i="9"/>
  <c r="E58" i="9"/>
  <c r="Q17" i="27"/>
  <c r="AD17" i="27"/>
  <c r="Q24" i="27"/>
  <c r="AD24" i="27"/>
  <c r="Y18" i="30"/>
  <c r="Y19" i="30"/>
  <c r="Y20" i="30"/>
  <c r="Y17" i="30"/>
  <c r="Y18" i="29"/>
  <c r="Y19" i="29"/>
  <c r="Y20" i="29"/>
  <c r="Y17" i="29"/>
  <c r="Y17" i="28"/>
  <c r="Y18" i="28"/>
  <c r="Y19" i="28"/>
  <c r="Y20" i="28"/>
  <c r="E73" i="9"/>
  <c r="X29" i="27"/>
  <c r="X28" i="27"/>
  <c r="X27" i="27"/>
  <c r="X26" i="27"/>
  <c r="AF25" i="27"/>
  <c r="E10" i="9"/>
  <c r="AE25" i="27"/>
  <c r="E27" i="9"/>
  <c r="AA25" i="27"/>
  <c r="E26" i="9"/>
  <c r="Z25" i="27"/>
  <c r="E25" i="9"/>
  <c r="W25" i="27"/>
  <c r="E24" i="9"/>
  <c r="V25" i="27"/>
  <c r="E23" i="9"/>
  <c r="U25" i="27"/>
  <c r="E22" i="9"/>
  <c r="T25" i="27"/>
  <c r="E21" i="9"/>
  <c r="S25" i="27"/>
  <c r="X22" i="27"/>
  <c r="X21" i="27"/>
  <c r="X20" i="27"/>
  <c r="X19" i="27"/>
  <c r="AF18" i="27"/>
  <c r="AE18" i="27"/>
  <c r="AA18" i="27"/>
  <c r="Z18" i="27"/>
  <c r="W18" i="27"/>
  <c r="V18" i="27"/>
  <c r="U18" i="27"/>
  <c r="T18" i="27"/>
  <c r="S18"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Q72" i="30"/>
  <c r="Q71" i="30"/>
  <c r="Q70" i="30"/>
  <c r="Q69" i="30"/>
  <c r="Q68"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C38" i="30"/>
  <c r="C37" i="30"/>
  <c r="C36" i="30"/>
  <c r="C35" i="30"/>
  <c r="C34"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Q72" i="29"/>
  <c r="Q71" i="29"/>
  <c r="Q70" i="29"/>
  <c r="Q69" i="29"/>
  <c r="Q68"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C38" i="29"/>
  <c r="C37" i="29"/>
  <c r="C36" i="29"/>
  <c r="C35" i="29"/>
  <c r="C34" i="29"/>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E81" i="9"/>
  <c r="H40"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Q72" i="28"/>
  <c r="Q71" i="28"/>
  <c r="Q70"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R37" i="28"/>
  <c r="CA29" i="28"/>
  <c r="BR38" i="28"/>
  <c r="BZ29" i="28"/>
  <c r="BR36" i="28"/>
  <c r="BY29" i="28"/>
  <c r="BR49" i="28"/>
  <c r="BR48" i="28"/>
  <c r="BR47" i="28"/>
  <c r="BR46" i="28"/>
  <c r="BR45" i="28"/>
  <c r="BW40" i="28"/>
  <c r="BX40" i="28"/>
  <c r="CA40" i="28"/>
  <c r="BZ40" i="28"/>
  <c r="BY40" i="28"/>
  <c r="C38" i="28"/>
  <c r="C37" i="28"/>
  <c r="C36" i="28"/>
  <c r="C35" i="28"/>
  <c r="C34" i="28"/>
  <c r="I40" i="27"/>
  <c r="E29" i="9"/>
  <c r="I38" i="27"/>
  <c r="M16" i="27"/>
  <c r="M15" i="27"/>
  <c r="M14" i="27"/>
  <c r="M13" i="27"/>
  <c r="M12" i="27"/>
  <c r="E12" i="27"/>
  <c r="E15" i="9"/>
  <c r="L11" i="27"/>
  <c r="E14" i="9"/>
  <c r="I11" i="27"/>
  <c r="E48" i="9"/>
  <c r="E11" i="27"/>
  <c r="E39" i="9"/>
  <c r="D11" i="27"/>
  <c r="E9" i="9"/>
  <c r="C11" i="27"/>
  <c r="E55" i="9"/>
  <c r="C10" i="27"/>
  <c r="E20" i="9"/>
  <c r="O10" i="27"/>
  <c r="E19" i="9"/>
  <c r="L7" i="27"/>
  <c r="I5" i="27"/>
  <c r="I4" i="27"/>
  <c r="I3" i="27"/>
  <c r="I2" i="27"/>
  <c r="E16" i="26"/>
  <c r="E15" i="26"/>
  <c r="E88" i="9"/>
  <c r="Q17" i="22"/>
  <c r="E53" i="9"/>
  <c r="C10" i="26"/>
  <c r="E13" i="26"/>
  <c r="E12" i="26"/>
  <c r="G21" i="26"/>
  <c r="F21" i="26"/>
  <c r="G18" i="26"/>
  <c r="N16" i="26"/>
  <c r="K16" i="26"/>
  <c r="E83" i="9"/>
  <c r="F16" i="26"/>
  <c r="N15" i="26"/>
  <c r="K15" i="26"/>
  <c r="E82" i="9"/>
  <c r="F15" i="26"/>
  <c r="E54" i="9"/>
  <c r="C14" i="26"/>
  <c r="N13" i="26"/>
  <c r="K13" i="26"/>
  <c r="N12" i="26"/>
  <c r="K12" i="26"/>
  <c r="E63" i="9"/>
  <c r="M11" i="26"/>
  <c r="J11" i="26"/>
  <c r="G11" i="26"/>
  <c r="E11" i="26"/>
  <c r="D11" i="26"/>
  <c r="C11" i="26"/>
  <c r="P9" i="26"/>
  <c r="G7" i="26"/>
  <c r="E5" i="26"/>
  <c r="E4" i="26"/>
  <c r="E3" i="26"/>
  <c r="E2" i="26"/>
  <c r="E6" i="22"/>
  <c r="G26" i="22"/>
  <c r="G27" i="22"/>
  <c r="G28" i="22"/>
  <c r="G29" i="22"/>
  <c r="G30" i="22"/>
  <c r="G31" i="22"/>
  <c r="G33" i="22"/>
  <c r="G34" i="22"/>
  <c r="G6" i="22"/>
  <c r="G7"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6" i="22"/>
  <c r="AK24" i="6"/>
  <c r="AK14" i="6"/>
  <c r="AK26" i="6"/>
  <c r="AK15" i="6"/>
  <c r="AK16" i="6"/>
  <c r="AK12" i="6"/>
  <c r="AK13" i="6"/>
  <c r="E12" i="21"/>
  <c r="B13" i="6"/>
  <c r="B12" i="6"/>
  <c r="E91" i="9"/>
  <c r="E92" i="9"/>
  <c r="E93" i="9"/>
  <c r="E94" i="9"/>
  <c r="E95" i="9"/>
  <c r="E60" i="9"/>
  <c r="S11" i="22"/>
  <c r="E65" i="9"/>
  <c r="AJ7" i="6"/>
  <c r="AJ24" i="6"/>
  <c r="AL24" i="6"/>
  <c r="AJ11" i="6"/>
  <c r="AK11" i="6"/>
  <c r="AL11" i="6"/>
  <c r="AK29" i="6"/>
  <c r="AK28" i="6"/>
  <c r="AK27" i="6"/>
  <c r="AK25" i="6"/>
  <c r="E16" i="9"/>
  <c r="AJ23" i="6"/>
  <c r="AJ10" i="6"/>
  <c r="E87" i="9"/>
  <c r="Q16" i="22"/>
  <c r="E86" i="9"/>
  <c r="Q15" i="22"/>
  <c r="E84" i="9"/>
  <c r="E85" i="9"/>
  <c r="Q22" i="22"/>
  <c r="E80" i="9"/>
  <c r="D17" i="14"/>
  <c r="C10" i="21"/>
  <c r="C11" i="21"/>
  <c r="E56" i="9"/>
  <c r="B3" i="10"/>
  <c r="E40" i="9"/>
  <c r="M36" i="6"/>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9" i="22"/>
  <c r="C27"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5" i="21"/>
  <c r="F25" i="21"/>
  <c r="G7" i="21"/>
  <c r="E5" i="21"/>
  <c r="E4" i="21"/>
  <c r="E3" i="21"/>
  <c r="E2" i="21"/>
  <c r="G22" i="21"/>
  <c r="M11" i="21"/>
  <c r="N16" i="21"/>
  <c r="N15" i="21"/>
  <c r="N14" i="21"/>
  <c r="N13" i="21"/>
  <c r="N12" i="21"/>
  <c r="P9" i="21"/>
  <c r="J11" i="21"/>
  <c r="K13" i="21"/>
  <c r="K14" i="21"/>
  <c r="K15" i="21"/>
  <c r="K16" i="21"/>
  <c r="G11" i="21"/>
  <c r="D11" i="21"/>
  <c r="E11" i="21"/>
  <c r="K12" i="21"/>
  <c r="E28" i="9"/>
  <c r="E71" i="9"/>
  <c r="E7" i="9"/>
  <c r="E6" i="9"/>
  <c r="E11" i="6"/>
  <c r="E18" i="9"/>
  <c r="M7" i="6"/>
  <c r="T26" i="6"/>
  <c r="T27" i="6"/>
  <c r="T28" i="6"/>
  <c r="T29" i="6"/>
  <c r="M23" i="6"/>
  <c r="T25" i="6"/>
  <c r="W24" i="6"/>
  <c r="V24" i="6"/>
  <c r="S24" i="6"/>
  <c r="R24" i="6"/>
  <c r="Q24" i="6"/>
  <c r="P24" i="6"/>
  <c r="O24" i="6"/>
  <c r="M10" i="6"/>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E79" i="9"/>
  <c r="B17" i="14"/>
  <c r="E13" i="9"/>
  <c r="E67" i="9"/>
  <c r="E68" i="9"/>
  <c r="E12" i="9"/>
  <c r="E11" i="9"/>
  <c r="E8" i="9"/>
  <c r="E38" i="9"/>
  <c r="E70" i="9"/>
  <c r="E66" i="9"/>
  <c r="E72" i="9"/>
  <c r="E75" i="9"/>
  <c r="B15" i="14"/>
  <c r="B14" i="14"/>
  <c r="E74" i="9"/>
  <c r="B12" i="14"/>
  <c r="E77" i="9"/>
  <c r="B11" i="14"/>
  <c r="E76" i="9"/>
  <c r="B7" i="14"/>
  <c r="E96" i="9"/>
  <c r="E52" i="9"/>
  <c r="B4" i="14"/>
  <c r="E51" i="9"/>
  <c r="B1" i="14"/>
  <c r="E50" i="9"/>
  <c r="A1" i="13"/>
  <c r="D11" i="6"/>
  <c r="C11" i="6"/>
  <c r="E47" i="9"/>
  <c r="E46" i="9"/>
  <c r="B4" i="10"/>
  <c r="G43" i="10"/>
  <c r="G19" i="10"/>
  <c r="G31" i="10"/>
  <c r="G7" i="10"/>
  <c r="B2" i="10"/>
  <c r="F43" i="10"/>
  <c r="E43" i="10"/>
  <c r="D43" i="10"/>
  <c r="C43" i="10"/>
  <c r="F31" i="10"/>
  <c r="E31" i="10"/>
  <c r="D31" i="10"/>
  <c r="C31" i="10"/>
  <c r="F19" i="10"/>
  <c r="E19" i="10"/>
  <c r="D19" i="10"/>
  <c r="C19" i="10"/>
  <c r="D7" i="10"/>
  <c r="E7" i="10"/>
  <c r="F7" i="10"/>
  <c r="C7" i="10"/>
  <c r="E69" i="9"/>
  <c r="L1" i="9"/>
  <c r="E35" i="9"/>
  <c r="E36" i="9"/>
  <c r="E37" i="9"/>
  <c r="F64" i="9"/>
  <c r="C5" i="9"/>
  <c r="F1" i="9"/>
  <c r="F5" i="9"/>
  <c r="T13" i="6"/>
  <c r="T14" i="6"/>
  <c r="T15" i="6"/>
  <c r="T16"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C40" i="6"/>
  <c r="C39" i="6"/>
  <c r="C37" i="6"/>
  <c r="C36" i="6"/>
  <c r="C35" i="6"/>
  <c r="C34" i="6"/>
  <c r="C32" i="6"/>
  <c r="D40" i="6"/>
  <c r="D39" i="6"/>
  <c r="D37" i="6"/>
  <c r="D36" i="6"/>
  <c r="D35" i="6"/>
  <c r="D34" i="6"/>
  <c r="D33" i="6"/>
  <c r="D32" i="6"/>
  <c r="C33" i="6"/>
  <c r="B40" i="6"/>
  <c r="B39" i="6"/>
  <c r="B37" i="6"/>
  <c r="B36" i="6"/>
  <c r="B35" i="6"/>
  <c r="B34" i="6"/>
  <c r="B33" i="6"/>
  <c r="B32" i="6"/>
  <c r="C20" i="6"/>
  <c r="C19" i="6"/>
  <c r="C18" i="6"/>
  <c r="C15" i="6"/>
  <c r="C16" i="6"/>
  <c r="C17" i="6"/>
  <c r="G11" i="22"/>
  <c r="D17" i="6"/>
  <c r="G10" i="22"/>
  <c r="D16" i="6"/>
  <c r="G9" i="22"/>
  <c r="D15" i="6"/>
  <c r="G14" i="22"/>
  <c r="D20" i="6"/>
  <c r="G13" i="22"/>
  <c r="D19" i="6"/>
  <c r="G12" i="22"/>
  <c r="D18" i="6"/>
  <c r="B20" i="6"/>
  <c r="B19" i="6"/>
  <c r="B18" i="6"/>
  <c r="B17" i="6"/>
  <c r="B16" i="6"/>
  <c r="B15" i="6"/>
  <c r="C23" i="6"/>
  <c r="C22" i="6"/>
  <c r="C21" i="6"/>
  <c r="G17" i="22"/>
  <c r="D23" i="6"/>
  <c r="G16" i="22"/>
  <c r="D22" i="6"/>
  <c r="G15" i="22"/>
  <c r="D21" i="6"/>
  <c r="B23" i="6"/>
  <c r="B22" i="6"/>
  <c r="B21" i="6"/>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G35" i="22"/>
  <c r="D41" i="6"/>
  <c r="C41" i="6"/>
  <c r="B41" i="6"/>
  <c r="G48" i="22"/>
  <c r="D54" i="6"/>
  <c r="C54" i="6"/>
  <c r="B54" i="6"/>
  <c r="B38" i="6"/>
  <c r="G32" i="22"/>
  <c r="D38" i="6"/>
  <c r="C38" i="6"/>
  <c r="B14" i="6"/>
  <c r="G8" i="22"/>
  <c r="D14" i="6"/>
  <c r="C14" i="6"/>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E7" i="25"/>
  <c r="E5" i="25" a="1"/>
  <c r="E5" i="25"/>
  <c r="E6" i="25"/>
  <c r="E8" i="25"/>
  <c r="E9" i="25" a="1"/>
  <c r="E9" i="25"/>
  <c r="F8" i="25"/>
  <c r="E3" i="25"/>
  <c r="R24" i="22" a="1"/>
  <c r="R24" i="22"/>
  <c r="F9" i="25"/>
  <c r="E4" i="25"/>
  <c r="S24" i="22" a="1"/>
  <c r="S24" i="22"/>
  <c r="F2" i="25" a="1"/>
  <c r="F2" i="25"/>
  <c r="G2" i="25"/>
  <c r="Q26" i="22"/>
  <c r="Q25" i="22"/>
  <c r="E4" i="3"/>
  <c r="D4" i="3"/>
  <c r="E5" i="3"/>
  <c r="D5" i="3"/>
  <c r="E6" i="3"/>
  <c r="D6" i="3"/>
  <c r="E7" i="3"/>
  <c r="D7" i="3"/>
  <c r="E8" i="3"/>
  <c r="D8" i="3"/>
  <c r="E9" i="3"/>
  <c r="D9" i="3"/>
  <c r="E10" i="3"/>
  <c r="D10" i="3"/>
  <c r="D11" i="3"/>
  <c r="D12" i="3"/>
  <c r="C4" i="3"/>
  <c r="C5" i="3"/>
  <c r="C6" i="3"/>
  <c r="C7" i="3"/>
  <c r="C8" i="3"/>
  <c r="C9" i="3"/>
  <c r="C10" i="3"/>
  <c r="C11" i="3"/>
  <c r="C12" i="3"/>
  <c r="Z21" i="3"/>
  <c r="AI8" i="3"/>
  <c r="Z23" i="3"/>
  <c r="AI10" i="3"/>
  <c r="AJ4" i="3"/>
  <c r="AJ5" i="3"/>
  <c r="AJ6" i="3"/>
  <c r="AJ7" i="3"/>
  <c r="AJ8" i="3"/>
  <c r="AJ9" i="3"/>
  <c r="AJ10" i="3"/>
  <c r="AJ11" i="3"/>
  <c r="AJ12" i="3"/>
  <c r="AK4" i="3"/>
  <c r="AK5" i="3"/>
  <c r="AK6" i="3"/>
  <c r="AK7" i="3"/>
  <c r="AK8" i="3"/>
  <c r="AK9" i="3"/>
  <c r="AH9" i="3"/>
  <c r="AK10" i="3"/>
  <c r="AH4" i="3"/>
  <c r="AH5" i="3"/>
  <c r="AH6" i="3"/>
  <c r="AH10" i="3"/>
  <c r="AK11" i="3"/>
  <c r="AH11" i="3"/>
  <c r="AK12" i="3"/>
  <c r="AH12" i="3"/>
  <c r="AH8" i="3"/>
  <c r="AH7" i="3"/>
  <c r="Z19" i="3"/>
  <c r="AD6" i="3"/>
  <c r="Z24" i="3"/>
  <c r="AD11" i="3"/>
  <c r="AE4" i="3"/>
  <c r="AE5" i="3"/>
  <c r="AE6" i="3"/>
  <c r="AE7" i="3"/>
  <c r="AE8" i="3"/>
  <c r="AE9" i="3"/>
  <c r="AE10" i="3"/>
  <c r="AE11" i="3"/>
  <c r="AE12" i="3"/>
  <c r="AF4" i="3"/>
  <c r="AF5" i="3"/>
  <c r="AF6" i="3"/>
  <c r="AF7" i="3"/>
  <c r="AF8" i="3"/>
  <c r="AF9" i="3"/>
  <c r="AF10" i="3"/>
  <c r="AF11" i="3"/>
  <c r="AF12" i="3"/>
  <c r="AC9" i="3"/>
  <c r="AC12" i="3"/>
  <c r="AC10" i="3"/>
  <c r="AC11" i="3"/>
  <c r="AC5" i="3"/>
  <c r="AC7" i="3"/>
  <c r="AC6" i="3"/>
  <c r="AC8" i="3"/>
  <c r="AC4" i="3"/>
  <c r="Z22" i="3"/>
  <c r="Y9" i="3"/>
  <c r="Z25" i="3"/>
  <c r="Y12" i="3"/>
  <c r="Z4" i="3"/>
  <c r="Z5" i="3"/>
  <c r="Z6" i="3"/>
  <c r="Z7" i="3"/>
  <c r="Z8" i="3"/>
  <c r="Z9" i="3"/>
  <c r="Z10" i="3"/>
  <c r="Z11" i="3"/>
  <c r="Z12" i="3"/>
  <c r="AA4" i="3"/>
  <c r="AA5" i="3"/>
  <c r="AA6" i="3"/>
  <c r="AA7" i="3"/>
  <c r="AA8" i="3"/>
  <c r="AA9" i="3"/>
  <c r="AA10" i="3"/>
  <c r="AA11" i="3"/>
  <c r="AA12" i="3"/>
  <c r="X12" i="3"/>
  <c r="X11" i="3"/>
  <c r="X5" i="3"/>
  <c r="X10" i="3"/>
  <c r="X9" i="3"/>
  <c r="X6" i="3"/>
  <c r="X7" i="3"/>
  <c r="X8" i="3"/>
  <c r="X4" i="3"/>
  <c r="Z20" i="3"/>
  <c r="C12" i="21" a="1"/>
  <c r="C12" i="21"/>
  <c r="C12" i="32" a="1"/>
  <c r="C12" i="32"/>
  <c r="C12" i="26" a="1"/>
  <c r="C12" i="26"/>
  <c r="C13" i="26"/>
  <c r="C15" i="26"/>
  <c r="C16" i="26"/>
  <c r="AA90" i="33"/>
  <c r="AE90" i="33"/>
  <c r="AA93" i="33"/>
  <c r="AE93" i="33"/>
  <c r="AA94" i="33"/>
  <c r="AE94" i="33"/>
  <c r="AA95" i="33"/>
  <c r="AE95" i="33"/>
  <c r="AA96" i="33"/>
  <c r="AE96" i="33"/>
  <c r="AA97" i="33"/>
  <c r="AE97" i="33"/>
  <c r="AA98" i="33"/>
  <c r="AE98" i="33"/>
  <c r="AA99" i="33"/>
  <c r="AE99" i="33"/>
  <c r="AF90" i="33"/>
  <c r="AF93" i="33"/>
  <c r="AF94" i="33"/>
  <c r="AF95" i="33"/>
  <c r="AF96" i="33"/>
  <c r="AF97" i="33"/>
  <c r="AF98" i="33"/>
  <c r="AF99" i="33"/>
  <c r="Z90" i="33"/>
  <c r="AB90" i="33"/>
  <c r="Z93" i="33"/>
  <c r="AB93" i="33"/>
  <c r="Z162" i="33"/>
  <c r="AA162" i="33"/>
  <c r="AB162" i="33"/>
  <c r="Z165" i="33"/>
  <c r="AA165" i="33"/>
  <c r="AB165" i="33"/>
  <c r="Z166" i="33"/>
  <c r="AA166" i="33"/>
  <c r="AB166" i="33"/>
  <c r="Z167" i="33"/>
  <c r="AA167" i="33"/>
  <c r="AB167" i="33"/>
  <c r="Z168" i="33"/>
  <c r="AA168" i="33"/>
  <c r="AB168" i="33"/>
  <c r="Z169" i="33"/>
  <c r="AA169" i="33"/>
  <c r="AB169" i="33"/>
  <c r="Z170" i="33"/>
  <c r="AA170" i="33"/>
  <c r="AB170" i="33"/>
  <c r="Z171" i="33"/>
  <c r="AA171" i="33"/>
  <c r="AB171" i="33"/>
  <c r="C32" i="34"/>
  <c r="F6" i="34"/>
  <c r="C19" i="34"/>
  <c r="BU51" i="34"/>
  <c r="BR54" i="34"/>
  <c r="BU40" i="34"/>
  <c r="BU29" i="34"/>
  <c r="BR32" i="34"/>
  <c r="BR43" i="34"/>
  <c r="F7" i="34"/>
  <c r="BV51" i="34"/>
  <c r="BR55" i="34"/>
  <c r="C20" i="34"/>
  <c r="BV40" i="34"/>
  <c r="BV29" i="34"/>
  <c r="BR33" i="34"/>
  <c r="BR44" i="34"/>
  <c r="C33" i="34"/>
  <c r="K4" i="17"/>
  <c r="K13" i="17"/>
  <c r="N25" i="6"/>
  <c r="AE13" i="27"/>
  <c r="K36" i="27"/>
  <c r="W88" i="29"/>
  <c r="N27" i="6"/>
  <c r="AE20" i="27"/>
  <c r="K35" i="27"/>
  <c r="W87" i="29"/>
  <c r="N29" i="6"/>
  <c r="AE27" i="27"/>
  <c r="K34" i="27"/>
  <c r="W86" i="29"/>
  <c r="N31" i="6"/>
  <c r="AE34" i="27"/>
  <c r="K33" i="27"/>
  <c r="W85" i="29"/>
  <c r="N26" i="6"/>
  <c r="AE15" i="27"/>
  <c r="K32" i="27"/>
  <c r="W84" i="29"/>
  <c r="N28" i="6"/>
  <c r="AE22" i="27"/>
  <c r="K31" i="27"/>
  <c r="W83" i="29"/>
  <c r="N30" i="6"/>
  <c r="AE29" i="27"/>
  <c r="K30" i="27"/>
  <c r="W82" i="29"/>
  <c r="N32" i="6"/>
  <c r="AE36" i="27"/>
  <c r="K29" i="27"/>
  <c r="W81" i="29"/>
  <c r="I28" i="27"/>
  <c r="V80" i="29"/>
  <c r="K28" i="27"/>
  <c r="W80" i="29"/>
  <c r="X80" i="29"/>
  <c r="Y80" i="29"/>
  <c r="AA80" i="29"/>
  <c r="AF80" i="29"/>
  <c r="AB80" i="29"/>
  <c r="Z80" i="29"/>
  <c r="I27" i="27"/>
  <c r="V79" i="29"/>
  <c r="K27" i="27"/>
  <c r="W79" i="29"/>
  <c r="X79" i="29"/>
  <c r="Y79" i="29"/>
  <c r="AA79" i="29"/>
  <c r="AB79" i="29"/>
  <c r="Z79" i="29"/>
  <c r="I26" i="27"/>
  <c r="V78" i="29"/>
  <c r="K26" i="27"/>
  <c r="W78" i="29"/>
  <c r="X78" i="29"/>
  <c r="Y78" i="29"/>
  <c r="AA78" i="29"/>
  <c r="AF78" i="29"/>
  <c r="AB78" i="29"/>
  <c r="Z78" i="29"/>
  <c r="I25" i="27"/>
  <c r="V77" i="29"/>
  <c r="K25" i="27"/>
  <c r="W77" i="29"/>
  <c r="X77" i="29"/>
  <c r="Y77" i="29"/>
  <c r="AA77" i="29"/>
  <c r="AF77" i="29"/>
  <c r="AB77" i="29"/>
  <c r="Z77" i="29"/>
  <c r="I20" i="27"/>
  <c r="V72" i="29"/>
  <c r="I19" i="27"/>
  <c r="V71" i="29"/>
  <c r="I18" i="27"/>
  <c r="V70" i="29"/>
  <c r="I17" i="27"/>
  <c r="V69" i="29"/>
  <c r="K16" i="27"/>
  <c r="W68" i="29"/>
  <c r="K15" i="27"/>
  <c r="W67" i="29"/>
  <c r="K14" i="27"/>
  <c r="W66" i="29"/>
  <c r="K13" i="27"/>
  <c r="W65" i="29"/>
  <c r="N33" i="6"/>
  <c r="AE41" i="27"/>
  <c r="K12" i="27"/>
  <c r="W64" i="29"/>
  <c r="V69" i="34"/>
  <c r="V70" i="34"/>
  <c r="V71" i="34"/>
  <c r="V72" i="34"/>
  <c r="V77" i="34"/>
  <c r="V78" i="34"/>
  <c r="V79" i="34"/>
  <c r="V80" i="34"/>
  <c r="W64" i="34"/>
  <c r="W65" i="34"/>
  <c r="W66" i="34"/>
  <c r="W67" i="34"/>
  <c r="W68" i="34"/>
  <c r="W77" i="34"/>
  <c r="X77" i="34"/>
  <c r="Y77" i="34"/>
  <c r="AA77" i="34"/>
  <c r="AE77" i="34"/>
  <c r="W78" i="34"/>
  <c r="X78" i="34"/>
  <c r="Y78" i="34"/>
  <c r="AA78" i="34"/>
  <c r="AE78" i="34"/>
  <c r="W79" i="34"/>
  <c r="X79" i="34"/>
  <c r="Y79" i="34"/>
  <c r="AA79" i="34"/>
  <c r="AE79" i="34"/>
  <c r="W80" i="34"/>
  <c r="X80" i="34"/>
  <c r="Y80" i="34"/>
  <c r="AA80" i="34"/>
  <c r="AE80" i="34"/>
  <c r="W81" i="34"/>
  <c r="W82" i="34"/>
  <c r="W83" i="34"/>
  <c r="W84" i="34"/>
  <c r="W85" i="34"/>
  <c r="W86" i="34"/>
  <c r="W87" i="34"/>
  <c r="W88" i="34"/>
  <c r="Q65" i="34"/>
  <c r="F5" i="34"/>
  <c r="C18" i="34"/>
  <c r="W64" i="28"/>
  <c r="V69" i="28"/>
  <c r="V70" i="28"/>
  <c r="V71" i="28"/>
  <c r="V72" i="28"/>
  <c r="V77" i="28"/>
  <c r="V78" i="28"/>
  <c r="V79" i="28"/>
  <c r="V80" i="28"/>
  <c r="W65" i="28"/>
  <c r="W66" i="28"/>
  <c r="W67" i="28"/>
  <c r="W68" i="28"/>
  <c r="W77" i="28"/>
  <c r="X77" i="28"/>
  <c r="W78" i="28"/>
  <c r="X78" i="28"/>
  <c r="W79" i="28"/>
  <c r="X79" i="28"/>
  <c r="W80" i="28"/>
  <c r="X80" i="28"/>
  <c r="W81" i="28"/>
  <c r="W82" i="28"/>
  <c r="W83" i="28"/>
  <c r="W84" i="28"/>
  <c r="W85" i="28"/>
  <c r="W86" i="28"/>
  <c r="W87" i="28"/>
  <c r="W88" i="28"/>
  <c r="Y77" i="28"/>
  <c r="Y78" i="28"/>
  <c r="Y79" i="28"/>
  <c r="Y80" i="28"/>
  <c r="Q65" i="28"/>
  <c r="F5" i="28"/>
  <c r="Q67" i="28"/>
  <c r="F7" i="28"/>
  <c r="AA80" i="28"/>
  <c r="AE80" i="28"/>
  <c r="AF80" i="28"/>
  <c r="C18" i="28"/>
  <c r="C20" i="28"/>
  <c r="Q65" i="29"/>
  <c r="F5" i="29"/>
  <c r="AE79" i="29"/>
  <c r="Q67" i="29"/>
  <c r="F7" i="29"/>
  <c r="AF79" i="29"/>
  <c r="C18" i="29"/>
  <c r="C20" i="29"/>
  <c r="W64" i="33"/>
  <c r="W66" i="33"/>
  <c r="W67" i="33"/>
  <c r="W68" i="33"/>
  <c r="V70" i="33"/>
  <c r="V71" i="33"/>
  <c r="V72" i="33"/>
  <c r="W82" i="33"/>
  <c r="W83" i="33"/>
  <c r="W84" i="33"/>
  <c r="W86" i="33"/>
  <c r="W87" i="33"/>
  <c r="W88" i="33"/>
  <c r="W65" i="33"/>
  <c r="V69" i="33"/>
  <c r="V77" i="33"/>
  <c r="V78" i="33"/>
  <c r="V79" i="33"/>
  <c r="V80" i="33"/>
  <c r="W77" i="33"/>
  <c r="X77" i="33"/>
  <c r="W78" i="33"/>
  <c r="X78" i="33"/>
  <c r="W79" i="33"/>
  <c r="X79" i="33"/>
  <c r="W80" i="33"/>
  <c r="X80" i="33"/>
  <c r="W81" i="33"/>
  <c r="W85" i="33"/>
  <c r="Y77" i="33"/>
  <c r="Y78" i="33"/>
  <c r="Y79" i="33"/>
  <c r="Y80" i="33"/>
  <c r="Q65" i="33"/>
  <c r="F5" i="33"/>
  <c r="Q67" i="33"/>
  <c r="F7" i="33"/>
  <c r="AA77" i="33"/>
  <c r="AE77" i="33"/>
  <c r="AF77" i="33"/>
  <c r="C18" i="33"/>
  <c r="C20" i="33"/>
  <c r="V72" i="30"/>
  <c r="V71" i="30"/>
  <c r="V70" i="30"/>
  <c r="BT29" i="33"/>
  <c r="BV29" i="33"/>
  <c r="BR31" i="33"/>
  <c r="BR33" i="33"/>
  <c r="BT40" i="33"/>
  <c r="BV40" i="33"/>
  <c r="BR42" i="33"/>
  <c r="BR44" i="33"/>
  <c r="BT51" i="33"/>
  <c r="BV51" i="33"/>
  <c r="BR53" i="33"/>
  <c r="BR55" i="33"/>
  <c r="I12" i="32"/>
  <c r="I13" i="32"/>
  <c r="I14" i="32"/>
  <c r="I15" i="32"/>
  <c r="I16" i="32"/>
  <c r="I17" i="32"/>
  <c r="I18" i="32"/>
  <c r="I20" i="21"/>
  <c r="I19" i="21"/>
  <c r="I18" i="21"/>
  <c r="W64" i="30"/>
  <c r="W65" i="30"/>
  <c r="W67" i="30"/>
  <c r="W68" i="30"/>
  <c r="V69" i="30"/>
  <c r="V77" i="30"/>
  <c r="W77" i="30"/>
  <c r="X77" i="30"/>
  <c r="Y77" i="30"/>
  <c r="AA77" i="30"/>
  <c r="AE77" i="30"/>
  <c r="V79" i="30"/>
  <c r="W79" i="30"/>
  <c r="X79" i="30"/>
  <c r="Y79" i="30"/>
  <c r="AA79" i="30"/>
  <c r="AE79" i="30"/>
  <c r="V80" i="30"/>
  <c r="W80" i="30"/>
  <c r="X80" i="30"/>
  <c r="Y80" i="30"/>
  <c r="AA80" i="30"/>
  <c r="AE80" i="30"/>
  <c r="W81" i="30"/>
  <c r="W83" i="30"/>
  <c r="W84" i="30"/>
  <c r="W85" i="30"/>
  <c r="W87" i="30"/>
  <c r="W88" i="30"/>
  <c r="W66" i="30"/>
  <c r="V78" i="30"/>
  <c r="W78" i="30"/>
  <c r="X78" i="30"/>
  <c r="Y78" i="30"/>
  <c r="AA78" i="30"/>
  <c r="AE78" i="30"/>
  <c r="W82" i="30"/>
  <c r="W86" i="30"/>
  <c r="Q65" i="30"/>
  <c r="F5" i="30"/>
  <c r="Q67" i="30"/>
  <c r="F7" i="30"/>
  <c r="AF78" i="30"/>
  <c r="C18" i="30"/>
  <c r="C20" i="30"/>
  <c r="BT51" i="30"/>
  <c r="BV51" i="30"/>
  <c r="BR53" i="30"/>
  <c r="BR55" i="30"/>
  <c r="BT51" i="29"/>
  <c r="BV51" i="29"/>
  <c r="BR53" i="29"/>
  <c r="BR55" i="29"/>
  <c r="BT51" i="28"/>
  <c r="BV51" i="28"/>
  <c r="BR53" i="28"/>
  <c r="BR55" i="28"/>
  <c r="BT40" i="28"/>
  <c r="BT29" i="28"/>
  <c r="BR31" i="28"/>
  <c r="BV40" i="28"/>
  <c r="BV29" i="28"/>
  <c r="BR33" i="28"/>
  <c r="BR42" i="28"/>
  <c r="BR44" i="28"/>
  <c r="I12" i="26"/>
  <c r="G13" i="26"/>
  <c r="I12" i="21"/>
  <c r="I13" i="21"/>
  <c r="I14" i="21"/>
  <c r="I15" i="21"/>
  <c r="I16" i="21"/>
  <c r="I17" i="21"/>
  <c r="BT40" i="29"/>
  <c r="BT29" i="29"/>
  <c r="BR31" i="29"/>
  <c r="BV40" i="29"/>
  <c r="BV29" i="29"/>
  <c r="BR33" i="29"/>
  <c r="BR42" i="29"/>
  <c r="BR44" i="29"/>
  <c r="AE80" i="29"/>
  <c r="AE78" i="29"/>
  <c r="AE77" i="29"/>
  <c r="BT40" i="30"/>
  <c r="BT29" i="30"/>
  <c r="BR31" i="30"/>
  <c r="BV40" i="30"/>
  <c r="BV29" i="30"/>
  <c r="BR33" i="30"/>
  <c r="BR42" i="30"/>
  <c r="BR44" i="30"/>
  <c r="I20" i="32"/>
  <c r="G21" i="32"/>
  <c r="BT51" i="34"/>
  <c r="BR53" i="34"/>
  <c r="BT40" i="34"/>
  <c r="BT29" i="34"/>
  <c r="BR31" i="34"/>
  <c r="BR42" i="34"/>
  <c r="AF80" i="34"/>
  <c r="AB80" i="34"/>
  <c r="Z80" i="34"/>
  <c r="AF79" i="34"/>
  <c r="AB79" i="34"/>
  <c r="Z79" i="34"/>
  <c r="AF78" i="34"/>
  <c r="AB78" i="34"/>
  <c r="Z78" i="34"/>
  <c r="AF77" i="34"/>
  <c r="AB77" i="34"/>
  <c r="Z77" i="34"/>
  <c r="AA78" i="33"/>
  <c r="AE78" i="33"/>
  <c r="AA79" i="33"/>
  <c r="AE79" i="33"/>
  <c r="AA80" i="33"/>
  <c r="AE80" i="33"/>
  <c r="AF78" i="33"/>
  <c r="AF79" i="33"/>
  <c r="AF80" i="33"/>
  <c r="AA152" i="33"/>
  <c r="AB152" i="33"/>
  <c r="Z152" i="33"/>
  <c r="AA151" i="33"/>
  <c r="AB151" i="33"/>
  <c r="Z151" i="33"/>
  <c r="AA150" i="33"/>
  <c r="AB150" i="33"/>
  <c r="Z150" i="33"/>
  <c r="AA149" i="33"/>
  <c r="AB149" i="33"/>
  <c r="Z149" i="33"/>
  <c r="AB80" i="33"/>
  <c r="Z80" i="33"/>
  <c r="AB79" i="33"/>
  <c r="Z79" i="33"/>
  <c r="AB78" i="33"/>
  <c r="Z78" i="33"/>
  <c r="AB77" i="33"/>
  <c r="Z77" i="33"/>
  <c r="AA152" i="30"/>
  <c r="AB152" i="30"/>
  <c r="Z152" i="30"/>
  <c r="AA151" i="30"/>
  <c r="AB151" i="30"/>
  <c r="Z151" i="30"/>
  <c r="AA150" i="30"/>
  <c r="AB150" i="30"/>
  <c r="Z150" i="30"/>
  <c r="AA149" i="30"/>
  <c r="AB149" i="30"/>
  <c r="Z149" i="30"/>
  <c r="AA152" i="29"/>
  <c r="AB152" i="29"/>
  <c r="Z152" i="29"/>
  <c r="AA151" i="29"/>
  <c r="AB151" i="29"/>
  <c r="Z151" i="29"/>
  <c r="AA150" i="29"/>
  <c r="AB150" i="29"/>
  <c r="Z150" i="29"/>
  <c r="AA149" i="29"/>
  <c r="AB149" i="29"/>
  <c r="Z149" i="29"/>
  <c r="AA152" i="28"/>
  <c r="AB152" i="28"/>
  <c r="Z152" i="28"/>
  <c r="AA79" i="28"/>
  <c r="AA151" i="28"/>
  <c r="AB151" i="28"/>
  <c r="Z151" i="28"/>
  <c r="AA78" i="28"/>
  <c r="AA150" i="28"/>
  <c r="AB150" i="28"/>
  <c r="Z150" i="28"/>
  <c r="AA77" i="28"/>
  <c r="AA149" i="28"/>
  <c r="AB149" i="28"/>
  <c r="Z149" i="28"/>
  <c r="Z149" i="34"/>
  <c r="AA149" i="34"/>
  <c r="AB149" i="34"/>
  <c r="Z150" i="34"/>
  <c r="AA150" i="34"/>
  <c r="AB150" i="34"/>
  <c r="Z151" i="34"/>
  <c r="AA151" i="34"/>
  <c r="AB151" i="34"/>
  <c r="Z152" i="34"/>
  <c r="AA152" i="34"/>
  <c r="AB152" i="34"/>
  <c r="C33" i="33"/>
  <c r="C31" i="33"/>
  <c r="C52" i="31"/>
  <c r="C51" i="31"/>
  <c r="O43" i="31"/>
  <c r="O52" i="31"/>
  <c r="C50" i="31"/>
  <c r="N43" i="31"/>
  <c r="N52" i="31"/>
  <c r="C49" i="31"/>
  <c r="M43" i="31"/>
  <c r="M52" i="31"/>
  <c r="C48" i="31"/>
  <c r="L43" i="31"/>
  <c r="L52" i="31"/>
  <c r="C47" i="31"/>
  <c r="K43" i="31"/>
  <c r="K52" i="31"/>
  <c r="C46" i="31"/>
  <c r="J43" i="31"/>
  <c r="J52" i="31"/>
  <c r="C45" i="31"/>
  <c r="I43" i="31"/>
  <c r="I52" i="31"/>
  <c r="C44" i="31"/>
  <c r="H43" i="31"/>
  <c r="H52" i="31"/>
  <c r="F52" i="31"/>
  <c r="E52" i="31"/>
  <c r="D52" i="31"/>
  <c r="B52" i="31"/>
  <c r="P43" i="31"/>
  <c r="P51" i="31"/>
  <c r="N51" i="31"/>
  <c r="M51" i="31"/>
  <c r="L51" i="31"/>
  <c r="K51" i="31"/>
  <c r="J51" i="31"/>
  <c r="I51" i="31"/>
  <c r="H51" i="31"/>
  <c r="F51" i="31"/>
  <c r="E51" i="31"/>
  <c r="D51" i="31"/>
  <c r="B51" i="31"/>
  <c r="P50" i="31"/>
  <c r="O50" i="31"/>
  <c r="M50" i="31"/>
  <c r="L50" i="31"/>
  <c r="K50" i="31"/>
  <c r="J50" i="31"/>
  <c r="I50" i="31"/>
  <c r="H50" i="31"/>
  <c r="F50" i="31"/>
  <c r="E50" i="31"/>
  <c r="D50" i="31"/>
  <c r="B50" i="31"/>
  <c r="P49" i="31"/>
  <c r="O49" i="31"/>
  <c r="N49" i="31"/>
  <c r="L49" i="31"/>
  <c r="K49" i="31"/>
  <c r="J49" i="31"/>
  <c r="I49" i="31"/>
  <c r="H49" i="31"/>
  <c r="F49" i="31"/>
  <c r="E49" i="31"/>
  <c r="D49" i="31"/>
  <c r="B49" i="31"/>
  <c r="P48" i="31"/>
  <c r="O48" i="31"/>
  <c r="N48" i="31"/>
  <c r="M48" i="31"/>
  <c r="K48" i="31"/>
  <c r="J48" i="31"/>
  <c r="I48" i="31"/>
  <c r="H48" i="31"/>
  <c r="F48" i="31"/>
  <c r="E48" i="31"/>
  <c r="D48" i="31"/>
  <c r="B48" i="31"/>
  <c r="P47" i="31"/>
  <c r="O47" i="31"/>
  <c r="N47" i="31"/>
  <c r="M47" i="31"/>
  <c r="L47" i="31"/>
  <c r="J47" i="31"/>
  <c r="I47" i="31"/>
  <c r="H47" i="31"/>
  <c r="F47" i="31"/>
  <c r="E47" i="31"/>
  <c r="D47" i="31"/>
  <c r="B47" i="31"/>
  <c r="P46" i="31"/>
  <c r="O46" i="31"/>
  <c r="N46" i="31"/>
  <c r="M46" i="31"/>
  <c r="L46" i="31"/>
  <c r="K46" i="31"/>
  <c r="I46" i="31"/>
  <c r="H46" i="31"/>
  <c r="F46" i="31"/>
  <c r="E46" i="31"/>
  <c r="D46" i="31"/>
  <c r="B46" i="31"/>
  <c r="P45" i="31"/>
  <c r="O45" i="31"/>
  <c r="N45" i="31"/>
  <c r="M45" i="31"/>
  <c r="L45" i="31"/>
  <c r="K45" i="31"/>
  <c r="J45" i="31"/>
  <c r="H45" i="31"/>
  <c r="F45" i="31"/>
  <c r="E45" i="31"/>
  <c r="D45" i="31"/>
  <c r="B45" i="31"/>
  <c r="P44" i="31"/>
  <c r="O44" i="31"/>
  <c r="N44" i="31"/>
  <c r="M44" i="31"/>
  <c r="L44" i="31"/>
  <c r="K44" i="31"/>
  <c r="J44" i="31"/>
  <c r="I44" i="31"/>
  <c r="F44" i="31"/>
  <c r="E44" i="31"/>
  <c r="D44" i="31"/>
  <c r="B44" i="31"/>
  <c r="C40" i="31"/>
  <c r="C39" i="31"/>
  <c r="O31" i="31"/>
  <c r="O40" i="31"/>
  <c r="C38" i="31"/>
  <c r="N31" i="31"/>
  <c r="N40" i="31"/>
  <c r="C37" i="31"/>
  <c r="M31" i="31"/>
  <c r="M40" i="31"/>
  <c r="C36" i="31"/>
  <c r="L31" i="31"/>
  <c r="L40" i="31"/>
  <c r="C35" i="31"/>
  <c r="K31" i="31"/>
  <c r="K40" i="31"/>
  <c r="C34" i="31"/>
  <c r="J31" i="31"/>
  <c r="J40" i="31"/>
  <c r="C33" i="31"/>
  <c r="I31" i="31"/>
  <c r="I40" i="31"/>
  <c r="C32" i="31"/>
  <c r="H31" i="31"/>
  <c r="H40" i="31"/>
  <c r="F40" i="31"/>
  <c r="E40" i="31"/>
  <c r="D40" i="31"/>
  <c r="B40" i="31"/>
  <c r="P31" i="31"/>
  <c r="P39" i="31"/>
  <c r="N39" i="31"/>
  <c r="M39" i="31"/>
  <c r="L39" i="31"/>
  <c r="K39" i="31"/>
  <c r="J39" i="31"/>
  <c r="I39" i="31"/>
  <c r="H39" i="31"/>
  <c r="F39" i="31"/>
  <c r="E39" i="31"/>
  <c r="D39" i="31"/>
  <c r="B39" i="31"/>
  <c r="P38" i="31"/>
  <c r="O38" i="31"/>
  <c r="M38" i="31"/>
  <c r="L38" i="31"/>
  <c r="K38" i="31"/>
  <c r="J38" i="31"/>
  <c r="I38" i="31"/>
  <c r="H38" i="31"/>
  <c r="F38" i="31"/>
  <c r="E38" i="31"/>
  <c r="D38" i="31"/>
  <c r="B38" i="31"/>
  <c r="P37" i="31"/>
  <c r="O37" i="31"/>
  <c r="N37" i="31"/>
  <c r="L37" i="31"/>
  <c r="K37" i="31"/>
  <c r="J37" i="31"/>
  <c r="I37" i="31"/>
  <c r="H37" i="31"/>
  <c r="F37" i="31"/>
  <c r="E37" i="31"/>
  <c r="D37" i="31"/>
  <c r="B37" i="31"/>
  <c r="P36" i="31"/>
  <c r="O36" i="31"/>
  <c r="N36" i="31"/>
  <c r="M36" i="31"/>
  <c r="K36" i="31"/>
  <c r="J36" i="31"/>
  <c r="I36" i="31"/>
  <c r="H36" i="31"/>
  <c r="F36" i="31"/>
  <c r="E36" i="31"/>
  <c r="D36" i="31"/>
  <c r="B36" i="31"/>
  <c r="P35" i="31"/>
  <c r="O35" i="31"/>
  <c r="N35" i="31"/>
  <c r="M35" i="31"/>
  <c r="L35" i="31"/>
  <c r="J35" i="31"/>
  <c r="I35" i="31"/>
  <c r="H35" i="31"/>
  <c r="F35" i="31"/>
  <c r="E35" i="31"/>
  <c r="D35" i="31"/>
  <c r="B35" i="31"/>
  <c r="P34" i="31"/>
  <c r="O34" i="31"/>
  <c r="N34" i="31"/>
  <c r="M34" i="31"/>
  <c r="L34" i="31"/>
  <c r="K34" i="31"/>
  <c r="I34" i="31"/>
  <c r="H34" i="31"/>
  <c r="F34" i="31"/>
  <c r="E34" i="31"/>
  <c r="D34" i="31"/>
  <c r="B34" i="31"/>
  <c r="P33" i="31"/>
  <c r="O33" i="31"/>
  <c r="N33" i="31"/>
  <c r="M33" i="31"/>
  <c r="L33" i="31"/>
  <c r="K33" i="31"/>
  <c r="J33" i="31"/>
  <c r="H33" i="31"/>
  <c r="F33" i="31"/>
  <c r="E33" i="31"/>
  <c r="D33" i="31"/>
  <c r="B33" i="31"/>
  <c r="P32" i="31"/>
  <c r="O32" i="31"/>
  <c r="N32" i="31"/>
  <c r="M32" i="31"/>
  <c r="L32" i="31"/>
  <c r="K32" i="31"/>
  <c r="J32" i="31"/>
  <c r="I32" i="31"/>
  <c r="F32" i="31"/>
  <c r="E32" i="31"/>
  <c r="D32" i="31"/>
  <c r="B32" i="31"/>
  <c r="C28" i="31"/>
  <c r="C27" i="31"/>
  <c r="O19" i="31"/>
  <c r="O28" i="31"/>
  <c r="C26" i="31"/>
  <c r="N19" i="31"/>
  <c r="N28" i="31"/>
  <c r="C25" i="31"/>
  <c r="M19" i="31"/>
  <c r="M28" i="31"/>
  <c r="C24" i="31"/>
  <c r="L19" i="31"/>
  <c r="L28" i="31"/>
  <c r="C23" i="31"/>
  <c r="K19" i="31"/>
  <c r="K28" i="31"/>
  <c r="C22" i="31"/>
  <c r="J19" i="31"/>
  <c r="J28" i="31"/>
  <c r="C21" i="31"/>
  <c r="I19" i="31"/>
  <c r="I28" i="31"/>
  <c r="C20" i="31"/>
  <c r="H19" i="31"/>
  <c r="H28" i="31"/>
  <c r="F28" i="31"/>
  <c r="E28" i="31"/>
  <c r="D28" i="31"/>
  <c r="B28" i="31"/>
  <c r="P19" i="31"/>
  <c r="P27" i="31"/>
  <c r="N27" i="31"/>
  <c r="M27" i="31"/>
  <c r="L27" i="31"/>
  <c r="K27" i="31"/>
  <c r="J27" i="31"/>
  <c r="I27" i="31"/>
  <c r="H27" i="31"/>
  <c r="F27" i="31"/>
  <c r="E27" i="31"/>
  <c r="D27" i="31"/>
  <c r="B27" i="31"/>
  <c r="P26" i="31"/>
  <c r="O26" i="31"/>
  <c r="M26" i="31"/>
  <c r="L26" i="31"/>
  <c r="K26" i="31"/>
  <c r="J26" i="31"/>
  <c r="I26" i="31"/>
  <c r="H26" i="31"/>
  <c r="F26" i="31"/>
  <c r="E26" i="31"/>
  <c r="D26" i="31"/>
  <c r="B26" i="31"/>
  <c r="P25" i="31"/>
  <c r="O25" i="31"/>
  <c r="N25" i="31"/>
  <c r="L25" i="31"/>
  <c r="K25" i="31"/>
  <c r="J25" i="31"/>
  <c r="I25" i="31"/>
  <c r="H25" i="31"/>
  <c r="F25" i="31"/>
  <c r="E25" i="31"/>
  <c r="D25" i="31"/>
  <c r="B25" i="31"/>
  <c r="P24" i="31"/>
  <c r="O24" i="31"/>
  <c r="N24" i="31"/>
  <c r="M24" i="31"/>
  <c r="K24" i="31"/>
  <c r="J24" i="31"/>
  <c r="I24" i="31"/>
  <c r="H24" i="31"/>
  <c r="F24" i="31"/>
  <c r="E24" i="31"/>
  <c r="D24" i="31"/>
  <c r="B24" i="31"/>
  <c r="P23" i="31"/>
  <c r="O23" i="31"/>
  <c r="N23" i="31"/>
  <c r="M23" i="31"/>
  <c r="L23" i="31"/>
  <c r="J23" i="31"/>
  <c r="I23" i="31"/>
  <c r="H23" i="31"/>
  <c r="F23" i="31"/>
  <c r="E23" i="31"/>
  <c r="D23" i="31"/>
  <c r="B23" i="31"/>
  <c r="P22" i="31"/>
  <c r="O22" i="31"/>
  <c r="N22" i="31"/>
  <c r="M22" i="31"/>
  <c r="L22" i="31"/>
  <c r="K22" i="31"/>
  <c r="I22" i="31"/>
  <c r="H22" i="31"/>
  <c r="F22" i="31"/>
  <c r="E22" i="31"/>
  <c r="D22" i="31"/>
  <c r="B22" i="31"/>
  <c r="P21" i="31"/>
  <c r="O21" i="31"/>
  <c r="N21" i="31"/>
  <c r="M21" i="31"/>
  <c r="L21" i="31"/>
  <c r="K21" i="31"/>
  <c r="J21" i="31"/>
  <c r="H21" i="31"/>
  <c r="F21" i="31"/>
  <c r="E21" i="31"/>
  <c r="D21" i="31"/>
  <c r="B21" i="31"/>
  <c r="P20" i="31"/>
  <c r="O20" i="31"/>
  <c r="N20" i="31"/>
  <c r="M20" i="31"/>
  <c r="L20" i="31"/>
  <c r="K20" i="31"/>
  <c r="J20" i="31"/>
  <c r="I20" i="31"/>
  <c r="F20" i="31"/>
  <c r="E20" i="31"/>
  <c r="D20" i="31"/>
  <c r="B20" i="31"/>
  <c r="C16" i="31"/>
  <c r="C15" i="31"/>
  <c r="O7" i="31"/>
  <c r="O16" i="31"/>
  <c r="C14" i="31"/>
  <c r="N7" i="31"/>
  <c r="N16" i="31"/>
  <c r="C13" i="31"/>
  <c r="M7" i="31"/>
  <c r="M16" i="31"/>
  <c r="C12" i="31"/>
  <c r="L7" i="31"/>
  <c r="L16" i="31"/>
  <c r="C11" i="31"/>
  <c r="K7" i="31"/>
  <c r="K16" i="31"/>
  <c r="C10" i="31"/>
  <c r="J7" i="31"/>
  <c r="J16" i="31"/>
  <c r="C9" i="31"/>
  <c r="I7" i="31"/>
  <c r="I16" i="31"/>
  <c r="C8" i="31"/>
  <c r="H7" i="31"/>
  <c r="H16" i="31"/>
  <c r="F16" i="31"/>
  <c r="E16" i="31"/>
  <c r="D16" i="31"/>
  <c r="B16" i="31"/>
  <c r="P7" i="31"/>
  <c r="P15" i="31"/>
  <c r="N15" i="31"/>
  <c r="M15" i="31"/>
  <c r="L15" i="31"/>
  <c r="K15" i="31"/>
  <c r="J15" i="31"/>
  <c r="I15" i="31"/>
  <c r="H15" i="31"/>
  <c r="F15" i="31"/>
  <c r="E15" i="31"/>
  <c r="D15" i="31"/>
  <c r="B15" i="31"/>
  <c r="P14" i="31"/>
  <c r="O14" i="31"/>
  <c r="M14" i="31"/>
  <c r="L14" i="31"/>
  <c r="K14" i="31"/>
  <c r="J14" i="31"/>
  <c r="I14" i="31"/>
  <c r="H14" i="31"/>
  <c r="F14" i="31"/>
  <c r="E14" i="31"/>
  <c r="D14" i="31"/>
  <c r="B14" i="31"/>
  <c r="P13" i="31"/>
  <c r="O13" i="31"/>
  <c r="N13" i="31"/>
  <c r="L13" i="31"/>
  <c r="K13" i="31"/>
  <c r="J13" i="31"/>
  <c r="I13" i="31"/>
  <c r="H13" i="31"/>
  <c r="F13" i="31"/>
  <c r="E13" i="31"/>
  <c r="D13" i="31"/>
  <c r="B13" i="31"/>
  <c r="P12" i="31"/>
  <c r="O12" i="31"/>
  <c r="N12" i="31"/>
  <c r="M12" i="31"/>
  <c r="K12" i="31"/>
  <c r="J12" i="31"/>
  <c r="I12" i="31"/>
  <c r="H12" i="31"/>
  <c r="F12" i="31"/>
  <c r="E12" i="31"/>
  <c r="D12" i="31"/>
  <c r="B12" i="31"/>
  <c r="P11" i="31"/>
  <c r="O11" i="31"/>
  <c r="N11" i="31"/>
  <c r="M11" i="31"/>
  <c r="L11" i="31"/>
  <c r="J11" i="31"/>
  <c r="I11" i="31"/>
  <c r="H11" i="31"/>
  <c r="F11" i="31"/>
  <c r="E11" i="31"/>
  <c r="D11" i="31"/>
  <c r="B11" i="31"/>
  <c r="P10" i="31"/>
  <c r="O10" i="31"/>
  <c r="N10" i="31"/>
  <c r="M10" i="31"/>
  <c r="L10" i="31"/>
  <c r="K10" i="31"/>
  <c r="I10" i="31"/>
  <c r="H10" i="31"/>
  <c r="F10" i="31"/>
  <c r="E10" i="31"/>
  <c r="D10" i="31"/>
  <c r="B10" i="31"/>
  <c r="P9" i="31"/>
  <c r="O9" i="31"/>
  <c r="N9" i="31"/>
  <c r="M9" i="31"/>
  <c r="L9" i="31"/>
  <c r="K9" i="31"/>
  <c r="J9" i="31"/>
  <c r="H9" i="31"/>
  <c r="F9" i="31"/>
  <c r="E9" i="31"/>
  <c r="D9" i="31"/>
  <c r="B9" i="31"/>
  <c r="P8" i="31"/>
  <c r="O8" i="31"/>
  <c r="N8" i="31"/>
  <c r="M8" i="31"/>
  <c r="L8" i="31"/>
  <c r="K8" i="31"/>
  <c r="J8" i="31"/>
  <c r="I8" i="31"/>
  <c r="F8" i="31"/>
  <c r="E8" i="31"/>
  <c r="D8" i="31"/>
  <c r="B8" i="31"/>
  <c r="AE24" i="6"/>
  <c r="AE33" i="6"/>
  <c r="AD24" i="6"/>
  <c r="AD33" i="6"/>
  <c r="AC24" i="6"/>
  <c r="AC33" i="6"/>
  <c r="AD32" i="6"/>
  <c r="AC32" i="6"/>
  <c r="AE31" i="6"/>
  <c r="AC31" i="6"/>
  <c r="AE30" i="6"/>
  <c r="AD30" i="6"/>
  <c r="AE29" i="6"/>
  <c r="AD29" i="6"/>
  <c r="AC29" i="6"/>
  <c r="AE28" i="6"/>
  <c r="AD28" i="6"/>
  <c r="AC28" i="6"/>
  <c r="AE27" i="6"/>
  <c r="AD27" i="6"/>
  <c r="AC27" i="6"/>
  <c r="AE26" i="6"/>
  <c r="AD26" i="6"/>
  <c r="AC26" i="6"/>
  <c r="AD25" i="6"/>
  <c r="AF23" i="6"/>
  <c r="AD23" i="6"/>
  <c r="D17" i="17"/>
  <c r="X23" i="6"/>
  <c r="Y23" i="6"/>
  <c r="Z23" i="6"/>
  <c r="AA23" i="6"/>
  <c r="AB23" i="6"/>
  <c r="AG25" i="6"/>
  <c r="AG26" i="6"/>
  <c r="AG27" i="6"/>
  <c r="AG28" i="6"/>
  <c r="AG29" i="6"/>
  <c r="O25" i="6"/>
  <c r="P25" i="6"/>
  <c r="Q25" i="6"/>
  <c r="R25" i="6"/>
  <c r="S25" i="6"/>
  <c r="U25" i="6"/>
  <c r="V25" i="6"/>
  <c r="W25" i="6"/>
  <c r="O26" i="6"/>
  <c r="P26" i="6"/>
  <c r="Q26" i="6"/>
  <c r="R26" i="6"/>
  <c r="S26" i="6"/>
  <c r="U26" i="6"/>
  <c r="V26" i="6"/>
  <c r="W26" i="6"/>
  <c r="O27" i="6"/>
  <c r="P27" i="6"/>
  <c r="Q27" i="6"/>
  <c r="R27" i="6"/>
  <c r="S27" i="6"/>
  <c r="U27" i="6"/>
  <c r="V27" i="6"/>
  <c r="W27" i="6"/>
  <c r="O28" i="6"/>
  <c r="P28" i="6"/>
  <c r="Q28" i="6"/>
  <c r="R28" i="6"/>
  <c r="S28" i="6"/>
  <c r="U28" i="6"/>
  <c r="V28" i="6"/>
  <c r="W28" i="6"/>
  <c r="O29" i="6"/>
  <c r="P29" i="6"/>
  <c r="Q29" i="6"/>
  <c r="R29" i="6"/>
  <c r="S29" i="6"/>
  <c r="U29" i="6"/>
  <c r="V29" i="6"/>
  <c r="W29" i="6"/>
  <c r="Y24" i="6"/>
  <c r="Y25" i="6"/>
  <c r="Z24" i="6"/>
  <c r="Z25" i="6"/>
  <c r="AA24" i="6"/>
  <c r="AA25" i="6"/>
  <c r="AB24" i="6"/>
  <c r="AB25" i="6"/>
  <c r="AF24" i="6"/>
  <c r="AF25" i="6"/>
  <c r="X24" i="6"/>
  <c r="X26" i="6"/>
  <c r="Z26" i="6"/>
  <c r="AA26" i="6"/>
  <c r="AB26" i="6"/>
  <c r="AF26" i="6"/>
  <c r="X27" i="6"/>
  <c r="Y27" i="6"/>
  <c r="AA27" i="6"/>
  <c r="AB27" i="6"/>
  <c r="AF27" i="6"/>
  <c r="X28" i="6"/>
  <c r="Y28" i="6"/>
  <c r="Z28" i="6"/>
  <c r="AB28" i="6"/>
  <c r="AF28" i="6"/>
  <c r="X29" i="6"/>
  <c r="Y29" i="6"/>
  <c r="Z29" i="6"/>
  <c r="AA29" i="6"/>
  <c r="AF29" i="6"/>
  <c r="C31" i="28"/>
  <c r="C33" i="28"/>
  <c r="C31" i="29"/>
  <c r="C33" i="29"/>
  <c r="C31" i="30"/>
  <c r="C33" i="30"/>
  <c r="M25" i="6"/>
  <c r="M26" i="6"/>
  <c r="M27" i="6"/>
  <c r="M28" i="6"/>
  <c r="M29" i="6"/>
  <c r="M30" i="6"/>
  <c r="M31" i="6"/>
  <c r="M32" i="6"/>
  <c r="M33" i="6"/>
  <c r="O33" i="6"/>
  <c r="P33" i="6"/>
  <c r="Q33" i="6"/>
  <c r="R33" i="6"/>
  <c r="S33" i="6"/>
  <c r="U33" i="6"/>
  <c r="V33" i="6"/>
  <c r="W33" i="6"/>
  <c r="X33" i="6"/>
  <c r="Y33" i="6"/>
  <c r="Z33" i="6"/>
  <c r="AA33" i="6"/>
  <c r="AG33" i="6"/>
  <c r="O30" i="6"/>
  <c r="P30" i="6"/>
  <c r="Q30" i="6"/>
  <c r="R30" i="6"/>
  <c r="S30" i="6"/>
  <c r="U30" i="6"/>
  <c r="V30" i="6"/>
  <c r="W30" i="6"/>
  <c r="X30" i="6"/>
  <c r="Y30" i="6"/>
  <c r="Z30" i="6"/>
  <c r="AA30" i="6"/>
  <c r="AF30" i="6"/>
  <c r="AG30" i="6"/>
  <c r="O31" i="6"/>
  <c r="P31" i="6"/>
  <c r="Q31" i="6"/>
  <c r="R31" i="6"/>
  <c r="S31" i="6"/>
  <c r="U31" i="6"/>
  <c r="V31" i="6"/>
  <c r="W31" i="6"/>
  <c r="X31" i="6"/>
  <c r="Y31" i="6"/>
  <c r="Z31" i="6"/>
  <c r="AA31" i="6"/>
  <c r="AF31" i="6"/>
  <c r="AG31" i="6"/>
  <c r="O32" i="6"/>
  <c r="P32" i="6"/>
  <c r="Q32" i="6"/>
  <c r="R32" i="6"/>
  <c r="S32" i="6"/>
  <c r="U32" i="6"/>
  <c r="V32" i="6"/>
  <c r="W32" i="6"/>
  <c r="X32" i="6"/>
  <c r="Y32" i="6"/>
  <c r="Z32" i="6"/>
  <c r="AA32" i="6"/>
  <c r="AF32" i="6"/>
  <c r="AG32" i="6"/>
  <c r="AC23" i="6"/>
  <c r="AE23" i="6"/>
  <c r="AC25" i="6"/>
  <c r="AE25" i="6"/>
  <c r="AB30" i="6"/>
  <c r="AB31" i="6"/>
  <c r="AB32" i="6"/>
  <c r="AB33" i="6"/>
  <c r="H6" i="31"/>
  <c r="I6" i="31"/>
  <c r="J6" i="31"/>
  <c r="K6" i="31"/>
  <c r="L6" i="31"/>
  <c r="M6" i="31"/>
  <c r="N6" i="31"/>
  <c r="O6" i="31"/>
  <c r="P6" i="31"/>
  <c r="G8" i="31"/>
  <c r="Q8" i="31"/>
  <c r="G9" i="31"/>
  <c r="Q9" i="31"/>
  <c r="G10" i="31"/>
  <c r="Q10" i="31"/>
  <c r="G11" i="31"/>
  <c r="Q11" i="31"/>
  <c r="G12" i="31"/>
  <c r="Q12" i="31"/>
  <c r="G13" i="31"/>
  <c r="Q13" i="31"/>
  <c r="G14" i="31"/>
  <c r="Q14" i="31"/>
  <c r="G15" i="31"/>
  <c r="Q15" i="31"/>
  <c r="G16" i="31"/>
  <c r="Q16" i="31"/>
  <c r="H18" i="31"/>
  <c r="I18" i="31"/>
  <c r="J18" i="31"/>
  <c r="K18" i="31"/>
  <c r="L18" i="31"/>
  <c r="M18" i="31"/>
  <c r="N18" i="31"/>
  <c r="O18" i="31"/>
  <c r="P18" i="31"/>
  <c r="G20" i="31"/>
  <c r="Q20" i="31"/>
  <c r="G21" i="31"/>
  <c r="Q21" i="31"/>
  <c r="G22" i="31"/>
  <c r="Q22" i="31"/>
  <c r="G23" i="31"/>
  <c r="Q23" i="31"/>
  <c r="G24" i="31"/>
  <c r="Q24" i="31"/>
  <c r="G25" i="31"/>
  <c r="Q25" i="31"/>
  <c r="G26" i="31"/>
  <c r="Q26" i="31"/>
  <c r="G27" i="31"/>
  <c r="Q27" i="31"/>
  <c r="G28" i="31"/>
  <c r="Q28" i="31"/>
  <c r="H30" i="31"/>
  <c r="I30" i="31"/>
  <c r="J30" i="31"/>
  <c r="K30" i="31"/>
  <c r="L30" i="31"/>
  <c r="M30" i="31"/>
  <c r="N30" i="31"/>
  <c r="O30" i="31"/>
  <c r="P30" i="31"/>
  <c r="G32" i="31"/>
  <c r="Q32" i="31"/>
  <c r="G33" i="31"/>
  <c r="Q33" i="31"/>
  <c r="G34" i="31"/>
  <c r="Q34" i="31"/>
  <c r="G35" i="31"/>
  <c r="Q35" i="31"/>
  <c r="G36" i="31"/>
  <c r="Q36" i="31"/>
  <c r="G37" i="31"/>
  <c r="Q37" i="31"/>
  <c r="G38" i="31"/>
  <c r="Q38" i="31"/>
  <c r="G39" i="31"/>
  <c r="Q39" i="31"/>
  <c r="G40" i="31"/>
  <c r="Q40" i="31"/>
  <c r="H42" i="31"/>
  <c r="I42" i="31"/>
  <c r="J42" i="31"/>
  <c r="K42" i="31"/>
  <c r="L42" i="31"/>
  <c r="M42" i="31"/>
  <c r="N42" i="31"/>
  <c r="O42" i="31"/>
  <c r="P42" i="31"/>
  <c r="G44" i="31"/>
  <c r="Q44" i="31"/>
  <c r="G45" i="31"/>
  <c r="Q45" i="31"/>
  <c r="G46" i="31"/>
  <c r="Q46" i="31"/>
  <c r="G47" i="31"/>
  <c r="Q47" i="31"/>
  <c r="G48" i="31"/>
  <c r="Q48" i="31"/>
  <c r="G49" i="31"/>
  <c r="Q49" i="31"/>
  <c r="G50" i="31"/>
  <c r="Q50" i="31"/>
  <c r="G51" i="31"/>
  <c r="Q51" i="31"/>
  <c r="G52" i="31"/>
  <c r="Q52" i="31"/>
  <c r="C31" i="34"/>
  <c r="Z77" i="30"/>
  <c r="AB77" i="30"/>
  <c r="AF77" i="30"/>
  <c r="Z78" i="30"/>
  <c r="AB78" i="30"/>
  <c r="Z79" i="30"/>
  <c r="AB79" i="30"/>
  <c r="AF79" i="30"/>
  <c r="Z80" i="30"/>
  <c r="AB80" i="30"/>
  <c r="AF80" i="30"/>
  <c r="Z77" i="28"/>
  <c r="AB77" i="28"/>
  <c r="AE77" i="28"/>
  <c r="AF77" i="28"/>
  <c r="Z78" i="28"/>
  <c r="AB78" i="28"/>
  <c r="AE78" i="28"/>
  <c r="AF78" i="28"/>
  <c r="Z79" i="28"/>
  <c r="AB79" i="28"/>
  <c r="AE79" i="28"/>
  <c r="AF79" i="28"/>
  <c r="Z80" i="28"/>
  <c r="AB80" i="28"/>
  <c r="C12" i="27" a="1"/>
  <c r="C12" i="27"/>
  <c r="K4" i="3"/>
  <c r="K13" i="3"/>
  <c r="N20" i="6"/>
  <c r="AE40" i="27"/>
  <c r="Q64" i="34"/>
  <c r="F4" i="34"/>
  <c r="I12" i="27"/>
  <c r="V64" i="34"/>
  <c r="X64" i="34"/>
  <c r="N18" i="6"/>
  <c r="AE33" i="27"/>
  <c r="I13" i="27"/>
  <c r="V65" i="34"/>
  <c r="N16" i="6"/>
  <c r="AE26" i="27"/>
  <c r="I14" i="27"/>
  <c r="V66" i="34"/>
  <c r="N14" i="6"/>
  <c r="AE19" i="27"/>
  <c r="I15" i="27"/>
  <c r="V67" i="34"/>
  <c r="N12" i="6"/>
  <c r="AE12" i="27"/>
  <c r="I16" i="27"/>
  <c r="V68" i="34"/>
  <c r="I21" i="27"/>
  <c r="V73" i="34"/>
  <c r="I22" i="27"/>
  <c r="V74" i="34"/>
  <c r="I23" i="27"/>
  <c r="V75" i="34"/>
  <c r="I24" i="27"/>
  <c r="V76" i="34"/>
  <c r="N19" i="6"/>
  <c r="AE35" i="27"/>
  <c r="I29" i="27"/>
  <c r="V81" i="34"/>
  <c r="N17" i="6"/>
  <c r="AE28" i="27"/>
  <c r="I30" i="27"/>
  <c r="V82" i="34"/>
  <c r="N15" i="6"/>
  <c r="AE21" i="27"/>
  <c r="I31" i="27"/>
  <c r="V83" i="34"/>
  <c r="N13" i="6"/>
  <c r="AE14" i="27"/>
  <c r="I32" i="27"/>
  <c r="V84" i="34"/>
  <c r="I33" i="27"/>
  <c r="V85" i="34"/>
  <c r="I34" i="27"/>
  <c r="V86" i="34"/>
  <c r="I35" i="27"/>
  <c r="V87" i="34"/>
  <c r="I36" i="27"/>
  <c r="V88" i="34"/>
  <c r="X65" i="34"/>
  <c r="X66" i="34"/>
  <c r="X67" i="34"/>
  <c r="X68" i="34"/>
  <c r="K17" i="27"/>
  <c r="W69" i="34"/>
  <c r="X69" i="34"/>
  <c r="K18" i="27"/>
  <c r="W70" i="34"/>
  <c r="X70" i="34"/>
  <c r="K19" i="27"/>
  <c r="W71" i="34"/>
  <c r="X71" i="34"/>
  <c r="K20" i="27"/>
  <c r="W72" i="34"/>
  <c r="X72" i="34"/>
  <c r="K21" i="27"/>
  <c r="W73" i="34"/>
  <c r="X73" i="34"/>
  <c r="K22" i="27"/>
  <c r="W74" i="34"/>
  <c r="X74" i="34"/>
  <c r="K23" i="27"/>
  <c r="W75" i="34"/>
  <c r="X75" i="34"/>
  <c r="K24" i="27"/>
  <c r="W76" i="34"/>
  <c r="X76" i="34"/>
  <c r="X81" i="34"/>
  <c r="X82" i="34"/>
  <c r="X83" i="34"/>
  <c r="X84" i="34"/>
  <c r="X85" i="34"/>
  <c r="X86" i="34"/>
  <c r="X87" i="34"/>
  <c r="X88" i="34"/>
  <c r="Y64" i="34"/>
  <c r="Y65" i="34"/>
  <c r="Y66" i="34"/>
  <c r="Y67" i="34"/>
  <c r="Y68" i="34"/>
  <c r="Y69" i="34"/>
  <c r="Y70" i="34"/>
  <c r="Y71" i="34"/>
  <c r="Y72" i="34"/>
  <c r="Y73" i="34"/>
  <c r="Y74" i="34"/>
  <c r="Y75" i="34"/>
  <c r="Y76" i="34"/>
  <c r="Y81" i="34"/>
  <c r="Y82" i="34"/>
  <c r="Y83" i="34"/>
  <c r="Y84" i="34"/>
  <c r="Y85" i="34"/>
  <c r="Y86" i="34"/>
  <c r="Y87" i="34"/>
  <c r="Y88" i="34"/>
  <c r="K4" i="34"/>
  <c r="K5" i="34"/>
  <c r="K6" i="34"/>
  <c r="K7" i="34"/>
  <c r="K8" i="34"/>
  <c r="K9" i="34"/>
  <c r="K10" i="34"/>
  <c r="K11" i="34"/>
  <c r="K12" i="34"/>
  <c r="K13" i="34"/>
  <c r="F13" i="34"/>
  <c r="AA64" i="34"/>
  <c r="AE64" i="34"/>
  <c r="AF64" i="34"/>
  <c r="AA65" i="34"/>
  <c r="AF65" i="34"/>
  <c r="AA81" i="34"/>
  <c r="AF81" i="34"/>
  <c r="AE81" i="34"/>
  <c r="AA69" i="34"/>
  <c r="AF69" i="34"/>
  <c r="AA73" i="34"/>
  <c r="AF73" i="34"/>
  <c r="J4" i="34"/>
  <c r="K17" i="34"/>
  <c r="G4" i="34"/>
  <c r="H4" i="34"/>
  <c r="I4" i="34"/>
  <c r="J17" i="34"/>
  <c r="H17" i="34"/>
  <c r="L17" i="34"/>
  <c r="J5" i="34"/>
  <c r="K18" i="34"/>
  <c r="G5" i="34"/>
  <c r="H5" i="34"/>
  <c r="I5" i="34"/>
  <c r="J18" i="34"/>
  <c r="H18" i="34"/>
  <c r="L18" i="34"/>
  <c r="J6" i="34"/>
  <c r="K19" i="34"/>
  <c r="G6" i="34"/>
  <c r="H6" i="34"/>
  <c r="I6" i="34"/>
  <c r="J19" i="34"/>
  <c r="H19" i="34"/>
  <c r="L19" i="34"/>
  <c r="J7" i="34"/>
  <c r="K20" i="34"/>
  <c r="G7" i="34"/>
  <c r="H7" i="34"/>
  <c r="I7" i="34"/>
  <c r="J20" i="34"/>
  <c r="H20" i="34"/>
  <c r="L20" i="34"/>
  <c r="J8" i="34"/>
  <c r="K21" i="34"/>
  <c r="G8" i="34"/>
  <c r="H8" i="34"/>
  <c r="I8" i="34"/>
  <c r="J21" i="34"/>
  <c r="H21" i="34"/>
  <c r="L21" i="34"/>
  <c r="J9" i="34"/>
  <c r="K22" i="34"/>
  <c r="G9" i="34"/>
  <c r="H9" i="34"/>
  <c r="I9" i="34"/>
  <c r="J22" i="34"/>
  <c r="H22" i="34"/>
  <c r="L22" i="34"/>
  <c r="J10" i="34"/>
  <c r="K23" i="34"/>
  <c r="G10" i="34"/>
  <c r="H10" i="34"/>
  <c r="I10" i="34"/>
  <c r="J23" i="34"/>
  <c r="H23" i="34"/>
  <c r="L23" i="34"/>
  <c r="J11" i="34"/>
  <c r="K24" i="34"/>
  <c r="G11" i="34"/>
  <c r="H11" i="34"/>
  <c r="I11" i="34"/>
  <c r="J24" i="34"/>
  <c r="H24" i="34"/>
  <c r="L24" i="34"/>
  <c r="J12" i="34"/>
  <c r="K25" i="34"/>
  <c r="G12" i="34"/>
  <c r="H12" i="34"/>
  <c r="I12" i="34"/>
  <c r="J25" i="34"/>
  <c r="H25" i="34"/>
  <c r="L25" i="34"/>
  <c r="M17" i="34"/>
  <c r="N17" i="34" a="1"/>
  <c r="N17" i="34"/>
  <c r="C17" i="34"/>
  <c r="O17" i="34"/>
  <c r="M18" i="34"/>
  <c r="N18" i="34" a="1"/>
  <c r="N18" i="34"/>
  <c r="O18" i="34"/>
  <c r="BR52" i="34"/>
  <c r="BS51" i="34"/>
  <c r="BT52" i="34"/>
  <c r="BU52" i="34"/>
  <c r="BV52" i="34"/>
  <c r="BW52" i="34"/>
  <c r="BX52" i="34"/>
  <c r="BY52" i="34"/>
  <c r="BZ52" i="34"/>
  <c r="CA52" i="34"/>
  <c r="BS53" i="34"/>
  <c r="BU53" i="34"/>
  <c r="BV53" i="34"/>
  <c r="BW53" i="34"/>
  <c r="BX53" i="34"/>
  <c r="BY53" i="34"/>
  <c r="BZ53" i="34"/>
  <c r="CA53" i="34"/>
  <c r="BS54" i="34"/>
  <c r="BT54" i="34"/>
  <c r="BV54" i="34"/>
  <c r="BW54" i="34"/>
  <c r="BX54" i="34"/>
  <c r="BY54" i="34"/>
  <c r="BZ54" i="34"/>
  <c r="CA54" i="34"/>
  <c r="BS55" i="34"/>
  <c r="BT55" i="34"/>
  <c r="BU55" i="34"/>
  <c r="BW55" i="34"/>
  <c r="BX55" i="34"/>
  <c r="BY55" i="34"/>
  <c r="BZ55" i="34"/>
  <c r="CA55" i="34"/>
  <c r="BS56" i="34"/>
  <c r="BT56" i="34"/>
  <c r="BU56" i="34"/>
  <c r="BV56" i="34"/>
  <c r="BX56" i="34"/>
  <c r="BY56" i="34"/>
  <c r="BZ56" i="34"/>
  <c r="CA56" i="34"/>
  <c r="BS57" i="34"/>
  <c r="BT57" i="34"/>
  <c r="BU57" i="34"/>
  <c r="BV57" i="34"/>
  <c r="BW57" i="34"/>
  <c r="BY57" i="34"/>
  <c r="BZ57" i="34"/>
  <c r="CA57" i="34"/>
  <c r="BS58" i="34"/>
  <c r="BT58" i="34"/>
  <c r="BU58" i="34"/>
  <c r="BV58" i="34"/>
  <c r="BW58" i="34"/>
  <c r="BX58" i="34"/>
  <c r="BZ58" i="34"/>
  <c r="CA58" i="34"/>
  <c r="BS59" i="34"/>
  <c r="BT59" i="34"/>
  <c r="BU59" i="34"/>
  <c r="BV59" i="34"/>
  <c r="BW59" i="34"/>
  <c r="BX59" i="34"/>
  <c r="BY59" i="34"/>
  <c r="CA59" i="34"/>
  <c r="BS60" i="34"/>
  <c r="BT60" i="34"/>
  <c r="BU60" i="34"/>
  <c r="BV60" i="34"/>
  <c r="BW60" i="34"/>
  <c r="BX60" i="34"/>
  <c r="BY60" i="34"/>
  <c r="BZ60" i="34"/>
  <c r="E30" i="34" a="1"/>
  <c r="E30" i="34"/>
  <c r="M19" i="34"/>
  <c r="N19" i="34" a="1"/>
  <c r="N19" i="34"/>
  <c r="O19" i="34"/>
  <c r="F30" i="34" a="1"/>
  <c r="F30" i="34"/>
  <c r="M20" i="34"/>
  <c r="N20" i="34" a="1"/>
  <c r="N20" i="34"/>
  <c r="O20" i="34"/>
  <c r="G30" i="34" a="1"/>
  <c r="M21" i="34"/>
  <c r="N21" i="34" a="1"/>
  <c r="N21" i="34"/>
  <c r="O21" i="34"/>
  <c r="H30" i="34" a="1"/>
  <c r="M22" i="34"/>
  <c r="N22" i="34" a="1"/>
  <c r="N22" i="34"/>
  <c r="O22" i="34"/>
  <c r="I30" i="34" a="1"/>
  <c r="M23" i="34"/>
  <c r="N23" i="34" a="1"/>
  <c r="N23" i="34"/>
  <c r="O23" i="34"/>
  <c r="J30" i="34" a="1"/>
  <c r="M24" i="34"/>
  <c r="N24" i="34" a="1"/>
  <c r="N24" i="34"/>
  <c r="O24" i="34"/>
  <c r="K30" i="34" a="1"/>
  <c r="M25" i="34"/>
  <c r="N25" i="34" a="1"/>
  <c r="N25" i="34"/>
  <c r="O25" i="34"/>
  <c r="L30" i="34" a="1"/>
  <c r="P17" i="34"/>
  <c r="P18" i="34"/>
  <c r="M30" i="34" a="1"/>
  <c r="P19" i="34"/>
  <c r="N30" i="34" a="1"/>
  <c r="P20" i="34"/>
  <c r="O30" i="34" a="1"/>
  <c r="P21" i="34"/>
  <c r="P30" i="34" a="1"/>
  <c r="P22" i="34"/>
  <c r="Q30" i="34" a="1"/>
  <c r="P23" i="34"/>
  <c r="R30" i="34" a="1"/>
  <c r="P24" i="34"/>
  <c r="S30" i="34" a="1"/>
  <c r="P25" i="34"/>
  <c r="T30" i="34" a="1"/>
  <c r="Q17" i="34"/>
  <c r="Q18" i="34"/>
  <c r="U30" i="34" a="1"/>
  <c r="Q19" i="34"/>
  <c r="V30" i="34" a="1"/>
  <c r="Q20" i="34"/>
  <c r="W30" i="34" a="1"/>
  <c r="Q21" i="34"/>
  <c r="X30" i="34" a="1"/>
  <c r="Q22" i="34"/>
  <c r="Y30" i="34" a="1"/>
  <c r="Q23" i="34"/>
  <c r="Z30" i="34" a="1"/>
  <c r="Q24" i="34"/>
  <c r="AA30" i="34" a="1"/>
  <c r="Q25" i="34"/>
  <c r="AB30" i="34" a="1"/>
  <c r="R17" i="34"/>
  <c r="R18" i="34"/>
  <c r="AC30" i="34" a="1"/>
  <c r="R19" i="34"/>
  <c r="AD30" i="34" a="1"/>
  <c r="R20" i="34"/>
  <c r="AE30" i="34" a="1"/>
  <c r="R21" i="34"/>
  <c r="AF30" i="34" a="1"/>
  <c r="R22" i="34"/>
  <c r="AG30" i="34" a="1"/>
  <c r="R23" i="34"/>
  <c r="AH30" i="34" a="1"/>
  <c r="R24" i="34"/>
  <c r="AI30" i="34" a="1"/>
  <c r="R25" i="34"/>
  <c r="AJ30" i="34" a="1"/>
  <c r="S17" i="34"/>
  <c r="S18" i="34"/>
  <c r="AK30" i="34" a="1"/>
  <c r="S19" i="34"/>
  <c r="AL30" i="34" a="1"/>
  <c r="S20" i="34"/>
  <c r="AM30" i="34" a="1"/>
  <c r="S21" i="34"/>
  <c r="AN30" i="34" a="1"/>
  <c r="S22" i="34"/>
  <c r="AO30" i="34" a="1"/>
  <c r="S23" i="34"/>
  <c r="AP30" i="34" a="1"/>
  <c r="S24" i="34"/>
  <c r="AQ30" i="34" a="1"/>
  <c r="S25" i="34"/>
  <c r="AR30" i="34" a="1"/>
  <c r="T17" i="34"/>
  <c r="T18" i="34"/>
  <c r="AS30" i="34" a="1"/>
  <c r="T19" i="34"/>
  <c r="AT30" i="34" a="1"/>
  <c r="T20" i="34"/>
  <c r="AU30" i="34" a="1"/>
  <c r="T21" i="34"/>
  <c r="AV30" i="34" a="1"/>
  <c r="T22" i="34"/>
  <c r="AW30" i="34" a="1"/>
  <c r="T23" i="34"/>
  <c r="AX30" i="34" a="1"/>
  <c r="T24" i="34"/>
  <c r="AY30" i="34" a="1"/>
  <c r="T25" i="34"/>
  <c r="AZ30" i="34" a="1"/>
  <c r="U17" i="34"/>
  <c r="U18" i="34"/>
  <c r="BA30" i="34" a="1"/>
  <c r="U19" i="34"/>
  <c r="BB30" i="34" a="1"/>
  <c r="U20" i="34"/>
  <c r="BC30" i="34" a="1"/>
  <c r="U21" i="34"/>
  <c r="BD30" i="34" a="1"/>
  <c r="U22" i="34"/>
  <c r="BE30" i="34" a="1"/>
  <c r="U23" i="34"/>
  <c r="BF30" i="34" a="1"/>
  <c r="U24" i="34"/>
  <c r="BG30" i="34" a="1"/>
  <c r="U25" i="34"/>
  <c r="BH30" i="34" a="1"/>
  <c r="V17" i="34"/>
  <c r="V18" i="34"/>
  <c r="BI30" i="34" a="1"/>
  <c r="V19" i="34"/>
  <c r="BJ30" i="34" a="1"/>
  <c r="V20" i="34"/>
  <c r="BK30" i="34" a="1"/>
  <c r="V21" i="34"/>
  <c r="BL30" i="34" a="1"/>
  <c r="V22" i="34"/>
  <c r="BM30" i="34" a="1"/>
  <c r="V23" i="34"/>
  <c r="BN30" i="34" a="1"/>
  <c r="V24" i="34"/>
  <c r="BO30" i="34" a="1"/>
  <c r="V25" i="34"/>
  <c r="BP30" i="34" a="1"/>
  <c r="G30" i="34"/>
  <c r="H30" i="34"/>
  <c r="I30" i="34"/>
  <c r="J30" i="34"/>
  <c r="K30" i="34"/>
  <c r="L30" i="34"/>
  <c r="M30" i="34"/>
  <c r="N30" i="34"/>
  <c r="O30" i="34"/>
  <c r="P30" i="34"/>
  <c r="Q30" i="34"/>
  <c r="R30" i="34"/>
  <c r="S30" i="34"/>
  <c r="T30" i="34"/>
  <c r="U30" i="34"/>
  <c r="V30" i="34"/>
  <c r="W30" i="34"/>
  <c r="X30" i="34"/>
  <c r="Y30" i="34"/>
  <c r="Z30" i="34"/>
  <c r="AA30" i="34"/>
  <c r="AB30" i="34"/>
  <c r="AC30" i="34"/>
  <c r="AD30" i="34"/>
  <c r="AE30" i="34"/>
  <c r="AF30" i="34"/>
  <c r="AG30" i="34"/>
  <c r="AH30" i="34"/>
  <c r="AI30" i="34"/>
  <c r="AJ30" i="34"/>
  <c r="AK30" i="34"/>
  <c r="AL30" i="34"/>
  <c r="AM30" i="34"/>
  <c r="AN30" i="34"/>
  <c r="AO30" i="34"/>
  <c r="AP30" i="34"/>
  <c r="AQ30" i="34"/>
  <c r="AR30" i="34"/>
  <c r="AS30" i="34"/>
  <c r="AT30" i="34"/>
  <c r="AU30" i="34"/>
  <c r="AV30" i="34"/>
  <c r="AW30" i="34"/>
  <c r="AX30" i="34"/>
  <c r="AY30" i="34"/>
  <c r="AZ30" i="34"/>
  <c r="BA30" i="34"/>
  <c r="BB30" i="34"/>
  <c r="BC30" i="34"/>
  <c r="BD30" i="34"/>
  <c r="BE30" i="34"/>
  <c r="BF30" i="34"/>
  <c r="BG30" i="34"/>
  <c r="BH30" i="34"/>
  <c r="BI30" i="34"/>
  <c r="BJ30" i="34"/>
  <c r="BK30" i="34"/>
  <c r="BL30" i="34"/>
  <c r="BM30" i="34"/>
  <c r="BN30" i="34"/>
  <c r="BO30" i="34"/>
  <c r="BP30" i="34"/>
  <c r="AA17" i="34"/>
  <c r="BR41" i="34"/>
  <c r="BS40" i="34"/>
  <c r="BR30" i="34"/>
  <c r="BT30" i="34"/>
  <c r="BS29" i="34"/>
  <c r="BS31" i="34"/>
  <c r="BT41" i="34"/>
  <c r="BU30" i="34"/>
  <c r="BS32" i="34"/>
  <c r="BU41" i="34"/>
  <c r="BV30" i="34"/>
  <c r="BS33" i="34"/>
  <c r="BV41" i="34"/>
  <c r="BW30" i="34"/>
  <c r="BS34" i="34"/>
  <c r="BW41" i="34"/>
  <c r="BX30" i="34"/>
  <c r="BS35" i="34"/>
  <c r="BX41" i="34"/>
  <c r="BY30" i="34"/>
  <c r="BS36" i="34"/>
  <c r="BY41" i="34"/>
  <c r="BZ30" i="34"/>
  <c r="BS37" i="34"/>
  <c r="BZ41" i="34"/>
  <c r="CA30" i="34"/>
  <c r="BS38" i="34"/>
  <c r="CA41" i="34"/>
  <c r="BS42" i="34"/>
  <c r="BU31" i="34"/>
  <c r="BT32" i="34"/>
  <c r="BU42" i="34"/>
  <c r="BV31" i="34"/>
  <c r="BT33" i="34"/>
  <c r="BV42" i="34"/>
  <c r="BW31" i="34"/>
  <c r="BT34" i="34"/>
  <c r="BW42" i="34"/>
  <c r="BX31" i="34"/>
  <c r="BT35" i="34"/>
  <c r="BX42" i="34"/>
  <c r="BY31" i="34"/>
  <c r="BT36" i="34"/>
  <c r="BY42" i="34"/>
  <c r="BZ31" i="34"/>
  <c r="BT37" i="34"/>
  <c r="BZ42" i="34"/>
  <c r="CA31" i="34"/>
  <c r="BT38" i="34"/>
  <c r="CA42" i="34"/>
  <c r="BS43" i="34"/>
  <c r="BT43" i="34"/>
  <c r="BV32" i="34"/>
  <c r="BU33" i="34"/>
  <c r="BV43" i="34"/>
  <c r="BW32" i="34"/>
  <c r="BU34" i="34"/>
  <c r="BW43" i="34"/>
  <c r="BX32" i="34"/>
  <c r="BU35" i="34"/>
  <c r="BX43" i="34"/>
  <c r="BY32" i="34"/>
  <c r="BU36" i="34"/>
  <c r="BY43" i="34"/>
  <c r="BZ32" i="34"/>
  <c r="BU37" i="34"/>
  <c r="BZ43" i="34"/>
  <c r="CA32" i="34"/>
  <c r="BU38" i="34"/>
  <c r="CA43" i="34"/>
  <c r="BS44" i="34"/>
  <c r="BT44" i="34"/>
  <c r="BU44" i="34"/>
  <c r="BW33" i="34"/>
  <c r="BV34" i="34"/>
  <c r="BW44" i="34"/>
  <c r="BX33" i="34"/>
  <c r="BV35" i="34"/>
  <c r="BX44" i="34"/>
  <c r="BY33" i="34"/>
  <c r="BV36" i="34"/>
  <c r="BY44" i="34"/>
  <c r="BZ33" i="34"/>
  <c r="BV37" i="34"/>
  <c r="BZ44" i="34"/>
  <c r="CA33" i="34"/>
  <c r="BV38" i="34"/>
  <c r="CA44" i="34"/>
  <c r="BS45" i="34"/>
  <c r="BT45" i="34"/>
  <c r="BU45" i="34"/>
  <c r="BV45" i="34"/>
  <c r="BX34" i="34"/>
  <c r="BW35" i="34"/>
  <c r="BX45" i="34"/>
  <c r="BY34" i="34"/>
  <c r="BW36" i="34"/>
  <c r="BY45" i="34"/>
  <c r="BZ34" i="34"/>
  <c r="BW37" i="34"/>
  <c r="BZ45" i="34"/>
  <c r="CA34" i="34"/>
  <c r="BW38" i="34"/>
  <c r="CA45" i="34"/>
  <c r="BS46" i="34"/>
  <c r="BT46" i="34"/>
  <c r="BU46" i="34"/>
  <c r="BV46" i="34"/>
  <c r="BW46" i="34"/>
  <c r="BY35" i="34"/>
  <c r="BX36" i="34"/>
  <c r="BY46" i="34"/>
  <c r="BZ35" i="34"/>
  <c r="BX37" i="34"/>
  <c r="BZ46" i="34"/>
  <c r="CA35" i="34"/>
  <c r="BX38" i="34"/>
  <c r="CA46" i="34"/>
  <c r="BS47" i="34"/>
  <c r="BT47" i="34"/>
  <c r="BU47" i="34"/>
  <c r="BV47" i="34"/>
  <c r="BW47" i="34"/>
  <c r="BX47" i="34"/>
  <c r="BZ36" i="34"/>
  <c r="BY37" i="34"/>
  <c r="BZ47" i="34"/>
  <c r="CA36" i="34"/>
  <c r="BY38" i="34"/>
  <c r="CA47" i="34"/>
  <c r="BS48" i="34"/>
  <c r="BT48" i="34"/>
  <c r="BU48" i="34"/>
  <c r="BV48" i="34"/>
  <c r="BW48" i="34"/>
  <c r="BX48" i="34"/>
  <c r="BY48" i="34"/>
  <c r="CA37" i="34"/>
  <c r="BZ38" i="34"/>
  <c r="CA48" i="34"/>
  <c r="BS49" i="34"/>
  <c r="BT49" i="34"/>
  <c r="BU49" i="34"/>
  <c r="BV49" i="34"/>
  <c r="BW49" i="34"/>
  <c r="BX49" i="34"/>
  <c r="BY49" i="34"/>
  <c r="BZ49" i="34"/>
  <c r="E41" i="34" a="1"/>
  <c r="E41" i="34"/>
  <c r="F41" i="34" a="1"/>
  <c r="F41" i="34"/>
  <c r="G41" i="34" a="1"/>
  <c r="H41" i="34" a="1"/>
  <c r="I41" i="34" a="1"/>
  <c r="J41" i="34" a="1"/>
  <c r="K41" i="34" a="1"/>
  <c r="L41" i="34" a="1"/>
  <c r="M41" i="34" a="1"/>
  <c r="N41" i="34" a="1"/>
  <c r="O41" i="34" a="1"/>
  <c r="P41" i="34" a="1"/>
  <c r="Q41" i="34" a="1"/>
  <c r="R41" i="34" a="1"/>
  <c r="S41" i="34" a="1"/>
  <c r="T41" i="34" a="1"/>
  <c r="U41" i="34" a="1"/>
  <c r="V41" i="34" a="1"/>
  <c r="W41" i="34" a="1"/>
  <c r="X41" i="34" a="1"/>
  <c r="Y41" i="34" a="1"/>
  <c r="Z41" i="34" a="1"/>
  <c r="AA41" i="34" a="1"/>
  <c r="AB41" i="34" a="1"/>
  <c r="AC41" i="34" a="1"/>
  <c r="AD41" i="34" a="1"/>
  <c r="AE41" i="34" a="1"/>
  <c r="AF41" i="34" a="1"/>
  <c r="AG41" i="34" a="1"/>
  <c r="AH41" i="34" a="1"/>
  <c r="AI41" i="34" a="1"/>
  <c r="AJ41" i="34" a="1"/>
  <c r="AK41" i="34" a="1"/>
  <c r="AL41" i="34" a="1"/>
  <c r="AM41" i="34" a="1"/>
  <c r="AN41" i="34" a="1"/>
  <c r="AO41" i="34" a="1"/>
  <c r="AP41" i="34" a="1"/>
  <c r="AQ41" i="34" a="1"/>
  <c r="AR41" i="34" a="1"/>
  <c r="AS41" i="34" a="1"/>
  <c r="AT41" i="34" a="1"/>
  <c r="AU41" i="34" a="1"/>
  <c r="AV41" i="34" a="1"/>
  <c r="AW41" i="34" a="1"/>
  <c r="AX41" i="34" a="1"/>
  <c r="AY41" i="34" a="1"/>
  <c r="AZ41" i="34" a="1"/>
  <c r="BA41" i="34" a="1"/>
  <c r="BB41" i="34" a="1"/>
  <c r="BC41" i="34" a="1"/>
  <c r="BD41" i="34" a="1"/>
  <c r="BE41" i="34" a="1"/>
  <c r="BF41" i="34" a="1"/>
  <c r="BG41" i="34" a="1"/>
  <c r="BH41" i="34" a="1"/>
  <c r="BI41" i="34" a="1"/>
  <c r="BJ41" i="34" a="1"/>
  <c r="BK41" i="34" a="1"/>
  <c r="BL41" i="34" a="1"/>
  <c r="BM41" i="34" a="1"/>
  <c r="BN41" i="34" a="1"/>
  <c r="BO41" i="34" a="1"/>
  <c r="BP41" i="34" a="1"/>
  <c r="G41" i="34"/>
  <c r="H41" i="34"/>
  <c r="I41" i="34"/>
  <c r="J41" i="34"/>
  <c r="K41" i="34"/>
  <c r="L41" i="34"/>
  <c r="M41" i="34"/>
  <c r="N41" i="34"/>
  <c r="O41" i="34"/>
  <c r="P41" i="34"/>
  <c r="Q41" i="34"/>
  <c r="R41" i="34"/>
  <c r="S41" i="34"/>
  <c r="T41" i="34"/>
  <c r="U41" i="34"/>
  <c r="V41" i="34"/>
  <c r="W41" i="34"/>
  <c r="X41" i="34"/>
  <c r="Y41" i="34"/>
  <c r="Z41" i="34"/>
  <c r="AA41" i="34"/>
  <c r="AB41" i="34"/>
  <c r="AC41" i="34"/>
  <c r="AD41" i="34"/>
  <c r="AE41" i="34"/>
  <c r="AF41" i="34"/>
  <c r="AG41" i="34"/>
  <c r="AH41" i="34"/>
  <c r="AI41" i="34"/>
  <c r="AJ41" i="34"/>
  <c r="AK41" i="34"/>
  <c r="AL41" i="34"/>
  <c r="AM41" i="34"/>
  <c r="AN41" i="34"/>
  <c r="AO41" i="34"/>
  <c r="AP41" i="34"/>
  <c r="AQ41" i="34"/>
  <c r="AR41" i="34"/>
  <c r="AS41" i="34"/>
  <c r="AT41" i="34"/>
  <c r="AU41" i="34"/>
  <c r="AV41" i="34"/>
  <c r="AW41" i="34"/>
  <c r="AX41" i="34"/>
  <c r="AY41" i="34"/>
  <c r="AZ41" i="34"/>
  <c r="BA41" i="34"/>
  <c r="BB41" i="34"/>
  <c r="BC41" i="34"/>
  <c r="BD41" i="34"/>
  <c r="BE41" i="34"/>
  <c r="BF41" i="34"/>
  <c r="BG41" i="34"/>
  <c r="BH41" i="34"/>
  <c r="BI41" i="34"/>
  <c r="BJ41" i="34"/>
  <c r="BK41" i="34"/>
  <c r="BL41" i="34"/>
  <c r="BM41" i="34"/>
  <c r="BN41" i="34"/>
  <c r="BO41" i="34"/>
  <c r="BP41" i="34"/>
  <c r="AB17" i="34"/>
  <c r="E52" i="34" a="1"/>
  <c r="E52" i="34"/>
  <c r="F52" i="34" a="1"/>
  <c r="F52" i="34"/>
  <c r="G52" i="34" a="1"/>
  <c r="H52" i="34" a="1"/>
  <c r="I52" i="34" a="1"/>
  <c r="J52" i="34" a="1"/>
  <c r="K52" i="34" a="1"/>
  <c r="L52" i="34" a="1"/>
  <c r="M52" i="34" a="1"/>
  <c r="N52" i="34" a="1"/>
  <c r="O52" i="34" a="1"/>
  <c r="P52" i="34" a="1"/>
  <c r="Q52" i="34" a="1"/>
  <c r="R52" i="34" a="1"/>
  <c r="S52" i="34" a="1"/>
  <c r="T52" i="34" a="1"/>
  <c r="U52" i="34" a="1"/>
  <c r="V52" i="34" a="1"/>
  <c r="W52" i="34" a="1"/>
  <c r="X52" i="34" a="1"/>
  <c r="Y52" i="34" a="1"/>
  <c r="Z52" i="34" a="1"/>
  <c r="AA52" i="34" a="1"/>
  <c r="AB52" i="34" a="1"/>
  <c r="AC52" i="34" a="1"/>
  <c r="AD52" i="34" a="1"/>
  <c r="AE52" i="34" a="1"/>
  <c r="AF52" i="34" a="1"/>
  <c r="AG52" i="34" a="1"/>
  <c r="AH52" i="34" a="1"/>
  <c r="AI52" i="34" a="1"/>
  <c r="AJ52" i="34" a="1"/>
  <c r="AK52" i="34" a="1"/>
  <c r="AL52" i="34" a="1"/>
  <c r="AM52" i="34" a="1"/>
  <c r="AN52" i="34" a="1"/>
  <c r="AO52" i="34" a="1"/>
  <c r="AP52" i="34" a="1"/>
  <c r="AQ52" i="34" a="1"/>
  <c r="AR52" i="34" a="1"/>
  <c r="AS52" i="34" a="1"/>
  <c r="AT52" i="34" a="1"/>
  <c r="AU52" i="34" a="1"/>
  <c r="AV52" i="34" a="1"/>
  <c r="AW52" i="34" a="1"/>
  <c r="AX52" i="34" a="1"/>
  <c r="AY52" i="34" a="1"/>
  <c r="AZ52" i="34" a="1"/>
  <c r="BA52" i="34" a="1"/>
  <c r="BB52" i="34" a="1"/>
  <c r="BC52" i="34" a="1"/>
  <c r="BD52" i="34" a="1"/>
  <c r="BE52" i="34" a="1"/>
  <c r="BF52" i="34" a="1"/>
  <c r="BG52" i="34" a="1"/>
  <c r="BH52" i="34" a="1"/>
  <c r="BI52" i="34" a="1"/>
  <c r="BJ52" i="34" a="1"/>
  <c r="BK52" i="34" a="1"/>
  <c r="BL52" i="34" a="1"/>
  <c r="BM52" i="34" a="1"/>
  <c r="BN52" i="34" a="1"/>
  <c r="BO52" i="34" a="1"/>
  <c r="BP52" i="34" a="1"/>
  <c r="G52" i="34"/>
  <c r="H52" i="34"/>
  <c r="I52" i="34"/>
  <c r="J52" i="34"/>
  <c r="K52" i="34"/>
  <c r="L52" i="34"/>
  <c r="M52"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BD52" i="34"/>
  <c r="BE52" i="34"/>
  <c r="BF52" i="34"/>
  <c r="BG52" i="34"/>
  <c r="BH52" i="34"/>
  <c r="BI52" i="34"/>
  <c r="BJ52" i="34"/>
  <c r="BK52" i="34"/>
  <c r="BL52" i="34"/>
  <c r="BM52" i="34"/>
  <c r="BN52" i="34"/>
  <c r="BO52" i="34"/>
  <c r="BP52" i="34"/>
  <c r="AC17" i="34"/>
  <c r="W17" i="34"/>
  <c r="E31" i="34" a="1"/>
  <c r="E31" i="34"/>
  <c r="F31" i="34" a="1"/>
  <c r="F31" i="34"/>
  <c r="G31" i="34" a="1"/>
  <c r="H31" i="34" a="1"/>
  <c r="I31" i="34" a="1"/>
  <c r="J31" i="34" a="1"/>
  <c r="K31" i="34" a="1"/>
  <c r="L31" i="34" a="1"/>
  <c r="M31" i="34" a="1"/>
  <c r="N31" i="34" a="1"/>
  <c r="O31" i="34" a="1"/>
  <c r="P31" i="34" a="1"/>
  <c r="Q31" i="34" a="1"/>
  <c r="R31" i="34" a="1"/>
  <c r="S31" i="34" a="1"/>
  <c r="T31" i="34" a="1"/>
  <c r="U31" i="34" a="1"/>
  <c r="V31" i="34" a="1"/>
  <c r="W31" i="34" a="1"/>
  <c r="X31" i="34" a="1"/>
  <c r="Y31" i="34" a="1"/>
  <c r="Z31" i="34" a="1"/>
  <c r="AA31" i="34" a="1"/>
  <c r="AB31" i="34" a="1"/>
  <c r="AC31" i="34" a="1"/>
  <c r="AD31" i="34" a="1"/>
  <c r="AE31" i="34" a="1"/>
  <c r="AF31" i="34" a="1"/>
  <c r="AG31" i="34" a="1"/>
  <c r="AH31" i="34" a="1"/>
  <c r="AI31" i="34" a="1"/>
  <c r="AJ31" i="34" a="1"/>
  <c r="AK31" i="34" a="1"/>
  <c r="AL31" i="34" a="1"/>
  <c r="AM31" i="34" a="1"/>
  <c r="AN31" i="34" a="1"/>
  <c r="AO31" i="34" a="1"/>
  <c r="AP31" i="34" a="1"/>
  <c r="AQ31" i="34" a="1"/>
  <c r="AR31" i="34" a="1"/>
  <c r="AS31" i="34" a="1"/>
  <c r="AT31" i="34" a="1"/>
  <c r="AU31" i="34" a="1"/>
  <c r="AV31" i="34" a="1"/>
  <c r="AW31" i="34" a="1"/>
  <c r="AX31" i="34" a="1"/>
  <c r="AY31" i="34" a="1"/>
  <c r="AZ31" i="34" a="1"/>
  <c r="BA31" i="34" a="1"/>
  <c r="BB31" i="34" a="1"/>
  <c r="BC31" i="34" a="1"/>
  <c r="BD31" i="34" a="1"/>
  <c r="BE31" i="34" a="1"/>
  <c r="BF31" i="34" a="1"/>
  <c r="BG31" i="34" a="1"/>
  <c r="BH31" i="34" a="1"/>
  <c r="BI31" i="34" a="1"/>
  <c r="BJ31" i="34" a="1"/>
  <c r="BK31" i="34" a="1"/>
  <c r="BL31" i="34" a="1"/>
  <c r="BM31" i="34" a="1"/>
  <c r="BN31" i="34" a="1"/>
  <c r="BO31" i="34" a="1"/>
  <c r="BP31" i="34" a="1"/>
  <c r="G31" i="34"/>
  <c r="H31" i="34"/>
  <c r="I31" i="34"/>
  <c r="J31" i="34"/>
  <c r="K31" i="34"/>
  <c r="L31" i="34"/>
  <c r="M31" i="34"/>
  <c r="N31" i="34"/>
  <c r="O31" i="34"/>
  <c r="P31" i="34"/>
  <c r="Q31" i="34"/>
  <c r="R31" i="34"/>
  <c r="S31" i="34"/>
  <c r="T31" i="34"/>
  <c r="U31" i="34"/>
  <c r="V31" i="34"/>
  <c r="W31" i="34"/>
  <c r="X31" i="34"/>
  <c r="Y31" i="34"/>
  <c r="Z31" i="34"/>
  <c r="AA31" i="34"/>
  <c r="AB31" i="34"/>
  <c r="AC31" i="34"/>
  <c r="AD31" i="34"/>
  <c r="AE31" i="34"/>
  <c r="AF31" i="34"/>
  <c r="AG31" i="34"/>
  <c r="AH31" i="34"/>
  <c r="AI31" i="34"/>
  <c r="AJ31" i="34"/>
  <c r="AK31" i="34"/>
  <c r="AL31" i="34"/>
  <c r="AM31" i="34"/>
  <c r="AN31" i="34"/>
  <c r="AO31" i="34"/>
  <c r="AP31" i="34"/>
  <c r="AQ31" i="34"/>
  <c r="AR31" i="34"/>
  <c r="AS31" i="34"/>
  <c r="AT31" i="34"/>
  <c r="AU31" i="34"/>
  <c r="AV31" i="34"/>
  <c r="AW31" i="34"/>
  <c r="AX31" i="34"/>
  <c r="AY31" i="34"/>
  <c r="AZ31" i="34"/>
  <c r="BA31" i="34"/>
  <c r="BB31" i="34"/>
  <c r="BC31" i="34"/>
  <c r="BD31" i="34"/>
  <c r="BE31" i="34"/>
  <c r="BF31" i="34"/>
  <c r="BG31" i="34"/>
  <c r="BH31" i="34"/>
  <c r="BI31" i="34"/>
  <c r="BJ31" i="34"/>
  <c r="BK31" i="34"/>
  <c r="BL31" i="34"/>
  <c r="BM31" i="34"/>
  <c r="BN31" i="34"/>
  <c r="BO31" i="34"/>
  <c r="BP31" i="34"/>
  <c r="AA18" i="34"/>
  <c r="E42" i="34" a="1"/>
  <c r="E42" i="34"/>
  <c r="F42" i="34" a="1"/>
  <c r="F42" i="34"/>
  <c r="G42" i="34" a="1"/>
  <c r="H42" i="34" a="1"/>
  <c r="I42" i="34" a="1"/>
  <c r="J42" i="34" a="1"/>
  <c r="K42" i="34" a="1"/>
  <c r="L42" i="34" a="1"/>
  <c r="M42" i="34" a="1"/>
  <c r="N42" i="34" a="1"/>
  <c r="O42" i="34" a="1"/>
  <c r="P42" i="34" a="1"/>
  <c r="Q42" i="34" a="1"/>
  <c r="R42" i="34" a="1"/>
  <c r="S42" i="34" a="1"/>
  <c r="T42" i="34" a="1"/>
  <c r="U42" i="34" a="1"/>
  <c r="V42" i="34" a="1"/>
  <c r="W42" i="34" a="1"/>
  <c r="X42" i="34" a="1"/>
  <c r="Y42" i="34" a="1"/>
  <c r="Z42" i="34" a="1"/>
  <c r="AA42" i="34" a="1"/>
  <c r="AB42" i="34" a="1"/>
  <c r="AC42" i="34" a="1"/>
  <c r="AD42" i="34" a="1"/>
  <c r="AE42" i="34" a="1"/>
  <c r="AF42" i="34" a="1"/>
  <c r="AG42" i="34" a="1"/>
  <c r="AH42" i="34" a="1"/>
  <c r="AI42" i="34" a="1"/>
  <c r="AJ42" i="34" a="1"/>
  <c r="AK42" i="34" a="1"/>
  <c r="AL42" i="34" a="1"/>
  <c r="AM42" i="34" a="1"/>
  <c r="AN42" i="34" a="1"/>
  <c r="AO42" i="34" a="1"/>
  <c r="AP42" i="34" a="1"/>
  <c r="AQ42" i="34" a="1"/>
  <c r="AR42" i="34" a="1"/>
  <c r="AS42" i="34" a="1"/>
  <c r="AT42" i="34" a="1"/>
  <c r="AU42" i="34" a="1"/>
  <c r="AV42" i="34" a="1"/>
  <c r="AW42" i="34" a="1"/>
  <c r="AX42" i="34" a="1"/>
  <c r="AY42" i="34" a="1"/>
  <c r="AZ42" i="34" a="1"/>
  <c r="BA42" i="34" a="1"/>
  <c r="BB42" i="34" a="1"/>
  <c r="BC42" i="34" a="1"/>
  <c r="BD42" i="34" a="1"/>
  <c r="BE42" i="34" a="1"/>
  <c r="BF42" i="34" a="1"/>
  <c r="BG42" i="34" a="1"/>
  <c r="BH42" i="34" a="1"/>
  <c r="BI42" i="34" a="1"/>
  <c r="BJ42" i="34" a="1"/>
  <c r="BK42" i="34" a="1"/>
  <c r="BL42" i="34" a="1"/>
  <c r="BM42" i="34" a="1"/>
  <c r="BN42" i="34" a="1"/>
  <c r="BO42" i="34" a="1"/>
  <c r="BP42" i="34" a="1"/>
  <c r="G42" i="34"/>
  <c r="H42" i="34"/>
  <c r="I42" i="34"/>
  <c r="J42" i="34"/>
  <c r="K42" i="34"/>
  <c r="L42" i="34"/>
  <c r="M42" i="34"/>
  <c r="N42" i="34"/>
  <c r="O42" i="34"/>
  <c r="P42" i="34"/>
  <c r="Q42" i="34"/>
  <c r="R42" i="34"/>
  <c r="S42" i="34"/>
  <c r="T42" i="34"/>
  <c r="U42" i="34"/>
  <c r="V42" i="34"/>
  <c r="W42" i="34"/>
  <c r="X42" i="34"/>
  <c r="Y42" i="34"/>
  <c r="Z42" i="34"/>
  <c r="AA42"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AB18" i="34"/>
  <c r="E53" i="34" a="1"/>
  <c r="E53" i="34"/>
  <c r="F53" i="34" a="1"/>
  <c r="F53" i="34"/>
  <c r="G53" i="34" a="1"/>
  <c r="H53" i="34" a="1"/>
  <c r="I53" i="34" a="1"/>
  <c r="J53" i="34" a="1"/>
  <c r="K53" i="34" a="1"/>
  <c r="L53" i="34" a="1"/>
  <c r="M53" i="34" a="1"/>
  <c r="N53" i="34" a="1"/>
  <c r="O53" i="34" a="1"/>
  <c r="P53" i="34" a="1"/>
  <c r="Q53" i="34" a="1"/>
  <c r="R53" i="34" a="1"/>
  <c r="S53" i="34" a="1"/>
  <c r="T53" i="34" a="1"/>
  <c r="U53" i="34" a="1"/>
  <c r="V53" i="34" a="1"/>
  <c r="W53" i="34" a="1"/>
  <c r="X53" i="34" a="1"/>
  <c r="Y53" i="34" a="1"/>
  <c r="Z53" i="34" a="1"/>
  <c r="AA53" i="34" a="1"/>
  <c r="AB53" i="34" a="1"/>
  <c r="AC53" i="34" a="1"/>
  <c r="AD53" i="34" a="1"/>
  <c r="AE53" i="34" a="1"/>
  <c r="AF53" i="34" a="1"/>
  <c r="AG53" i="34" a="1"/>
  <c r="AH53" i="34" a="1"/>
  <c r="AI53" i="34" a="1"/>
  <c r="AJ53" i="34" a="1"/>
  <c r="AK53" i="34" a="1"/>
  <c r="AL53" i="34" a="1"/>
  <c r="AM53" i="34" a="1"/>
  <c r="AN53" i="34" a="1"/>
  <c r="AO53" i="34" a="1"/>
  <c r="AP53" i="34" a="1"/>
  <c r="AQ53" i="34" a="1"/>
  <c r="AR53" i="34" a="1"/>
  <c r="AS53" i="34" a="1"/>
  <c r="AT53" i="34" a="1"/>
  <c r="AU53" i="34" a="1"/>
  <c r="AV53" i="34" a="1"/>
  <c r="AW53" i="34" a="1"/>
  <c r="AX53" i="34" a="1"/>
  <c r="AY53" i="34" a="1"/>
  <c r="AZ53" i="34" a="1"/>
  <c r="BA53" i="34" a="1"/>
  <c r="BB53" i="34" a="1"/>
  <c r="BC53" i="34" a="1"/>
  <c r="BD53" i="34" a="1"/>
  <c r="BE53" i="34" a="1"/>
  <c r="BF53" i="34" a="1"/>
  <c r="BG53" i="34" a="1"/>
  <c r="BH53" i="34" a="1"/>
  <c r="BI53" i="34" a="1"/>
  <c r="BJ53" i="34" a="1"/>
  <c r="BK53" i="34" a="1"/>
  <c r="BL53" i="34" a="1"/>
  <c r="BM53" i="34" a="1"/>
  <c r="BN53" i="34" a="1"/>
  <c r="BO53" i="34" a="1"/>
  <c r="BP53" i="34" a="1"/>
  <c r="G53" i="34"/>
  <c r="H53" i="34"/>
  <c r="I53" i="34"/>
  <c r="J53" i="34"/>
  <c r="K53" i="34"/>
  <c r="L53" i="34"/>
  <c r="M53"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BD53" i="34"/>
  <c r="BE53" i="34"/>
  <c r="BF53" i="34"/>
  <c r="BG53" i="34"/>
  <c r="BH53" i="34"/>
  <c r="BI53" i="34"/>
  <c r="BJ53" i="34"/>
  <c r="BK53" i="34"/>
  <c r="BL53" i="34"/>
  <c r="BM53" i="34"/>
  <c r="BN53" i="34"/>
  <c r="BO53" i="34"/>
  <c r="BP53" i="34"/>
  <c r="AC18" i="34"/>
  <c r="W18" i="34"/>
  <c r="X17" i="34"/>
  <c r="X18" i="34"/>
  <c r="X19" i="34"/>
  <c r="X20" i="34"/>
  <c r="X21" i="34"/>
  <c r="X22" i="34"/>
  <c r="X23" i="34"/>
  <c r="X24" i="34"/>
  <c r="X25" i="34"/>
  <c r="AD17" i="34"/>
  <c r="AG17" i="34"/>
  <c r="AE17" i="34"/>
  <c r="AE18" i="34"/>
  <c r="AE19" i="34"/>
  <c r="AE20" i="34"/>
  <c r="AF17" i="34"/>
  <c r="AH17" i="34"/>
  <c r="AD18" i="34"/>
  <c r="AG18" i="34"/>
  <c r="AF18" i="34"/>
  <c r="AH18" i="34"/>
  <c r="AD19" i="34"/>
  <c r="AG19" i="34"/>
  <c r="AF19" i="34"/>
  <c r="AH19" i="34"/>
  <c r="AD20" i="34"/>
  <c r="AG20" i="34"/>
  <c r="AF20" i="34"/>
  <c r="AH20" i="34"/>
  <c r="AD21" i="34"/>
  <c r="AG21" i="34"/>
  <c r="AF21" i="34"/>
  <c r="AH21" i="34"/>
  <c r="AD22" i="34"/>
  <c r="AG22" i="34"/>
  <c r="AF22" i="34"/>
  <c r="AH22" i="34"/>
  <c r="AD23" i="34"/>
  <c r="AG23" i="34"/>
  <c r="AF23" i="34"/>
  <c r="AH23" i="34"/>
  <c r="AD24" i="34"/>
  <c r="AG24" i="34"/>
  <c r="AF24" i="34"/>
  <c r="AH24" i="34"/>
  <c r="AD25" i="34"/>
  <c r="AG25" i="34"/>
  <c r="AF25" i="34"/>
  <c r="AH25" i="34"/>
  <c r="E4" i="34"/>
  <c r="D4" i="34"/>
  <c r="E5" i="34"/>
  <c r="D5" i="34"/>
  <c r="E6" i="34"/>
  <c r="D6" i="34"/>
  <c r="E7" i="34"/>
  <c r="D7" i="34"/>
  <c r="E8" i="34"/>
  <c r="D8" i="34"/>
  <c r="E9" i="34"/>
  <c r="D9" i="34"/>
  <c r="E10" i="34"/>
  <c r="D10" i="34"/>
  <c r="E11" i="34"/>
  <c r="D11" i="34"/>
  <c r="E12" i="34"/>
  <c r="D12" i="34"/>
  <c r="C4" i="34"/>
  <c r="R40" i="27"/>
  <c r="I57" i="27"/>
  <c r="Q64" i="33"/>
  <c r="F4" i="33"/>
  <c r="V64" i="33"/>
  <c r="X64" i="33"/>
  <c r="V65" i="33"/>
  <c r="V66" i="33"/>
  <c r="V67" i="33"/>
  <c r="V68" i="33"/>
  <c r="V73" i="33"/>
  <c r="V74" i="33"/>
  <c r="V75" i="33"/>
  <c r="V76" i="33"/>
  <c r="V81" i="33"/>
  <c r="V82" i="33"/>
  <c r="V83" i="33"/>
  <c r="V84" i="33"/>
  <c r="V85" i="33"/>
  <c r="V86" i="33"/>
  <c r="V87" i="33"/>
  <c r="V88" i="33"/>
  <c r="X65" i="33"/>
  <c r="X66" i="33"/>
  <c r="X67" i="33"/>
  <c r="X68" i="33"/>
  <c r="W69" i="33"/>
  <c r="X69" i="33"/>
  <c r="W70" i="33"/>
  <c r="X70" i="33"/>
  <c r="W71" i="33"/>
  <c r="X71" i="33"/>
  <c r="W72" i="33"/>
  <c r="X72" i="33"/>
  <c r="W73" i="33"/>
  <c r="X73" i="33"/>
  <c r="W74" i="33"/>
  <c r="X74" i="33"/>
  <c r="W75" i="33"/>
  <c r="X75" i="33"/>
  <c r="W76" i="33"/>
  <c r="X76" i="33"/>
  <c r="X81" i="33"/>
  <c r="X82" i="33"/>
  <c r="X83" i="33"/>
  <c r="X84" i="33"/>
  <c r="X85" i="33"/>
  <c r="X86" i="33"/>
  <c r="X87" i="33"/>
  <c r="X88" i="33"/>
  <c r="Y64" i="33"/>
  <c r="Y65" i="33"/>
  <c r="Y66" i="33"/>
  <c r="Y67" i="33"/>
  <c r="Y68" i="33"/>
  <c r="Y69" i="33"/>
  <c r="Y70" i="33"/>
  <c r="Y71" i="33"/>
  <c r="Y72" i="33"/>
  <c r="Y73" i="33"/>
  <c r="Y74" i="33"/>
  <c r="Y75" i="33"/>
  <c r="Y76" i="33"/>
  <c r="Y81" i="33"/>
  <c r="Y82" i="33"/>
  <c r="Y83" i="33"/>
  <c r="Y84" i="33"/>
  <c r="Y85" i="33"/>
  <c r="Y86" i="33"/>
  <c r="Y87" i="33"/>
  <c r="Y88" i="33"/>
  <c r="K4" i="33"/>
  <c r="K5" i="33"/>
  <c r="Q66" i="33"/>
  <c r="F6" i="33"/>
  <c r="K6" i="33"/>
  <c r="K7" i="33"/>
  <c r="K8" i="33"/>
  <c r="K9" i="33"/>
  <c r="K10" i="33"/>
  <c r="K11" i="33"/>
  <c r="K12" i="33"/>
  <c r="K13" i="33"/>
  <c r="AA65" i="33"/>
  <c r="AE65" i="33"/>
  <c r="AA73" i="33"/>
  <c r="AE73" i="33"/>
  <c r="AA85" i="33"/>
  <c r="AE85" i="33"/>
  <c r="J4" i="33"/>
  <c r="K17" i="33"/>
  <c r="G4" i="33"/>
  <c r="H4" i="33"/>
  <c r="I4" i="33"/>
  <c r="J17" i="33"/>
  <c r="H17" i="33"/>
  <c r="L17" i="33"/>
  <c r="AA69" i="33"/>
  <c r="AE69" i="33"/>
  <c r="AF85" i="33"/>
  <c r="J5" i="33"/>
  <c r="K18" i="33"/>
  <c r="G5" i="33"/>
  <c r="H5" i="33"/>
  <c r="I5" i="33"/>
  <c r="J18" i="33"/>
  <c r="H18" i="33"/>
  <c r="L18" i="33"/>
  <c r="AA81" i="33"/>
  <c r="AE81" i="33"/>
  <c r="AF69" i="33"/>
  <c r="AF73" i="33"/>
  <c r="AA64" i="33"/>
  <c r="AE64" i="33"/>
  <c r="AF64" i="33"/>
  <c r="AF65" i="33"/>
  <c r="AF81" i="33"/>
  <c r="J6" i="33"/>
  <c r="K19" i="33"/>
  <c r="G6" i="33"/>
  <c r="H6" i="33"/>
  <c r="I6" i="33"/>
  <c r="J19" i="33"/>
  <c r="H19" i="33"/>
  <c r="L19" i="33"/>
  <c r="J7" i="33"/>
  <c r="K20" i="33"/>
  <c r="G7" i="33"/>
  <c r="H7" i="33"/>
  <c r="I7" i="33"/>
  <c r="J20" i="33"/>
  <c r="H20" i="33"/>
  <c r="L20"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M17" i="33"/>
  <c r="N17" i="33" a="1"/>
  <c r="N17" i="33"/>
  <c r="O17" i="33"/>
  <c r="C17" i="33"/>
  <c r="E30" i="33" a="1"/>
  <c r="E30" i="33"/>
  <c r="F30" i="33" a="1"/>
  <c r="F30" i="33"/>
  <c r="G30" i="33" a="1"/>
  <c r="H30" i="33" a="1"/>
  <c r="I30" i="33" a="1"/>
  <c r="J30" i="33" a="1"/>
  <c r="K30" i="33" a="1"/>
  <c r="L30" i="33" a="1"/>
  <c r="P17" i="33"/>
  <c r="M18" i="33"/>
  <c r="N18" i="33" a="1"/>
  <c r="N18" i="33"/>
  <c r="P18" i="33"/>
  <c r="BR52" i="33"/>
  <c r="BS51" i="33"/>
  <c r="BT52" i="33"/>
  <c r="BU51" i="33"/>
  <c r="BU52" i="33"/>
  <c r="BV52" i="33"/>
  <c r="BW52" i="33"/>
  <c r="BX52" i="33"/>
  <c r="BY52" i="33"/>
  <c r="BZ52" i="33"/>
  <c r="CA52" i="33"/>
  <c r="BS53" i="33"/>
  <c r="BU53" i="33"/>
  <c r="BV53" i="33"/>
  <c r="BW53" i="33"/>
  <c r="BX53" i="33"/>
  <c r="BY53" i="33"/>
  <c r="BZ53" i="33"/>
  <c r="CA53" i="33"/>
  <c r="BR54" i="33"/>
  <c r="BS54" i="33"/>
  <c r="BT54" i="33"/>
  <c r="BV54" i="33"/>
  <c r="BW54" i="33"/>
  <c r="BX54" i="33"/>
  <c r="BY54" i="33"/>
  <c r="BZ54" i="33"/>
  <c r="CA54" i="33"/>
  <c r="BS55" i="33"/>
  <c r="BT55" i="33"/>
  <c r="BU55" i="33"/>
  <c r="BW55" i="33"/>
  <c r="BX55" i="33"/>
  <c r="BY55" i="33"/>
  <c r="BZ55" i="33"/>
  <c r="CA55" i="33"/>
  <c r="BS56" i="33"/>
  <c r="BT56" i="33"/>
  <c r="BU56" i="33"/>
  <c r="BV56" i="33"/>
  <c r="BX56" i="33"/>
  <c r="BY56" i="33"/>
  <c r="BZ56" i="33"/>
  <c r="CA56" i="33"/>
  <c r="BS57" i="33"/>
  <c r="BT57" i="33"/>
  <c r="BU57" i="33"/>
  <c r="BV57" i="33"/>
  <c r="BW57" i="33"/>
  <c r="BY57" i="33"/>
  <c r="BZ57" i="33"/>
  <c r="CA57" i="33"/>
  <c r="BS58" i="33"/>
  <c r="BT58" i="33"/>
  <c r="BU58" i="33"/>
  <c r="BV58" i="33"/>
  <c r="BW58" i="33"/>
  <c r="BX58" i="33"/>
  <c r="BZ58" i="33"/>
  <c r="CA58" i="33"/>
  <c r="BS59" i="33"/>
  <c r="BT59" i="33"/>
  <c r="BU59" i="33"/>
  <c r="BV59" i="33"/>
  <c r="BW59" i="33"/>
  <c r="BX59" i="33"/>
  <c r="BY59" i="33"/>
  <c r="CA59" i="33"/>
  <c r="BS60" i="33"/>
  <c r="BT60" i="33"/>
  <c r="BU60" i="33"/>
  <c r="BV60" i="33"/>
  <c r="BW60" i="33"/>
  <c r="BX60" i="33"/>
  <c r="BY60" i="33"/>
  <c r="BZ60" i="33"/>
  <c r="M30" i="33" a="1"/>
  <c r="M19" i="33"/>
  <c r="N19" i="33" a="1"/>
  <c r="N19" i="33"/>
  <c r="C19" i="33"/>
  <c r="P19" i="33"/>
  <c r="N30" i="33" a="1"/>
  <c r="M20" i="33"/>
  <c r="N20" i="33" a="1"/>
  <c r="N20" i="33"/>
  <c r="P20" i="33"/>
  <c r="O30" i="33" a="1"/>
  <c r="M21" i="33"/>
  <c r="N21" i="33" a="1"/>
  <c r="N21" i="33"/>
  <c r="P21" i="33"/>
  <c r="P30" i="33" a="1"/>
  <c r="M22" i="33"/>
  <c r="N22" i="33" a="1"/>
  <c r="N22" i="33"/>
  <c r="P22" i="33"/>
  <c r="Q30" i="33" a="1"/>
  <c r="M23" i="33"/>
  <c r="N23" i="33" a="1"/>
  <c r="N23" i="33"/>
  <c r="P23" i="33"/>
  <c r="R30" i="33" a="1"/>
  <c r="M24" i="33"/>
  <c r="N24" i="33" a="1"/>
  <c r="N24" i="33"/>
  <c r="P24" i="33"/>
  <c r="S30" i="33" a="1"/>
  <c r="M25" i="33"/>
  <c r="N25" i="33" a="1"/>
  <c r="N25" i="33"/>
  <c r="P25" i="33"/>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BR41" i="33"/>
  <c r="BS40" i="33"/>
  <c r="BR30" i="33"/>
  <c r="BT30" i="33"/>
  <c r="BS29" i="33"/>
  <c r="BS31" i="33"/>
  <c r="BT41" i="33"/>
  <c r="BU40" i="33"/>
  <c r="BU29" i="33"/>
  <c r="BU30" i="33"/>
  <c r="BR32" i="33"/>
  <c r="BS32" i="33"/>
  <c r="BU41" i="33"/>
  <c r="BV30" i="33"/>
  <c r="BS33" i="33"/>
  <c r="BV41" i="33"/>
  <c r="BW30" i="33"/>
  <c r="BS34" i="33"/>
  <c r="BW41" i="33"/>
  <c r="BX30" i="33"/>
  <c r="BS35" i="33"/>
  <c r="BX41" i="33"/>
  <c r="BY30" i="33"/>
  <c r="BS36" i="33"/>
  <c r="BY41" i="33"/>
  <c r="BZ30" i="33"/>
  <c r="BS37" i="33"/>
  <c r="BZ41" i="33"/>
  <c r="CA30" i="33"/>
  <c r="BS38" i="33"/>
  <c r="CA41" i="33"/>
  <c r="BS42" i="33"/>
  <c r="BU31" i="33"/>
  <c r="BT32" i="33"/>
  <c r="BU42" i="33"/>
  <c r="BV31" i="33"/>
  <c r="BT33" i="33"/>
  <c r="BV42" i="33"/>
  <c r="BW31" i="33"/>
  <c r="BT34" i="33"/>
  <c r="BW42" i="33"/>
  <c r="BX31" i="33"/>
  <c r="BT35" i="33"/>
  <c r="BX42" i="33"/>
  <c r="BY31" i="33"/>
  <c r="BT36" i="33"/>
  <c r="BY42" i="33"/>
  <c r="BZ31" i="33"/>
  <c r="BT37" i="33"/>
  <c r="BZ42" i="33"/>
  <c r="CA31" i="33"/>
  <c r="BT38" i="33"/>
  <c r="CA42" i="33"/>
  <c r="BR43" i="33"/>
  <c r="BS43" i="33"/>
  <c r="BT43" i="33"/>
  <c r="BV32" i="33"/>
  <c r="BU33" i="33"/>
  <c r="BV43" i="33"/>
  <c r="BW32" i="33"/>
  <c r="BU34" i="33"/>
  <c r="BW43" i="33"/>
  <c r="BX32" i="33"/>
  <c r="BU35" i="33"/>
  <c r="BX43" i="33"/>
  <c r="BY32" i="33"/>
  <c r="BU36" i="33"/>
  <c r="BY43" i="33"/>
  <c r="BZ32" i="33"/>
  <c r="BU37" i="33"/>
  <c r="BZ43" i="33"/>
  <c r="CA32" i="33"/>
  <c r="BU38" i="33"/>
  <c r="CA43" i="33"/>
  <c r="BS44" i="33"/>
  <c r="BT44" i="33"/>
  <c r="BU44" i="33"/>
  <c r="BW33" i="33"/>
  <c r="BV34" i="33"/>
  <c r="BW44" i="33"/>
  <c r="BX33" i="33"/>
  <c r="BV35" i="33"/>
  <c r="BX44" i="33"/>
  <c r="BY33" i="33"/>
  <c r="BV36" i="33"/>
  <c r="BY44" i="33"/>
  <c r="BZ33" i="33"/>
  <c r="BV37" i="33"/>
  <c r="BZ44" i="33"/>
  <c r="CA33" i="33"/>
  <c r="BV38" i="33"/>
  <c r="CA44" i="33"/>
  <c r="BS45" i="33"/>
  <c r="BT45" i="33"/>
  <c r="BU45" i="33"/>
  <c r="BV45" i="33"/>
  <c r="BX34" i="33"/>
  <c r="BW35" i="33"/>
  <c r="BX45" i="33"/>
  <c r="BY34" i="33"/>
  <c r="BW36" i="33"/>
  <c r="BY45" i="33"/>
  <c r="BZ34" i="33"/>
  <c r="BW37" i="33"/>
  <c r="BZ45" i="33"/>
  <c r="CA34" i="33"/>
  <c r="BW38" i="33"/>
  <c r="CA45" i="33"/>
  <c r="BS46" i="33"/>
  <c r="BT46" i="33"/>
  <c r="BU46" i="33"/>
  <c r="BV46" i="33"/>
  <c r="BW46" i="33"/>
  <c r="BY35" i="33"/>
  <c r="BX36" i="33"/>
  <c r="BY46" i="33"/>
  <c r="BZ35" i="33"/>
  <c r="BX37" i="33"/>
  <c r="BZ46" i="33"/>
  <c r="CA35" i="33"/>
  <c r="BX38" i="33"/>
  <c r="CA46" i="33"/>
  <c r="BS47" i="33"/>
  <c r="BT47" i="33"/>
  <c r="BU47" i="33"/>
  <c r="BV47" i="33"/>
  <c r="BW47" i="33"/>
  <c r="BX47" i="33"/>
  <c r="BZ36" i="33"/>
  <c r="BY37" i="33"/>
  <c r="BZ47" i="33"/>
  <c r="CA36" i="33"/>
  <c r="BY38" i="33"/>
  <c r="CA47" i="33"/>
  <c r="BS48" i="33"/>
  <c r="BT48" i="33"/>
  <c r="BU48" i="33"/>
  <c r="BV48" i="33"/>
  <c r="BW48" i="33"/>
  <c r="BX48" i="33"/>
  <c r="BY48" i="33"/>
  <c r="CA37" i="33"/>
  <c r="BZ38" i="33"/>
  <c r="CA48" i="33"/>
  <c r="BS49" i="33"/>
  <c r="BT49" i="33"/>
  <c r="BU49" i="33"/>
  <c r="BV49" i="33"/>
  <c r="BW49" i="33"/>
  <c r="BX49" i="33"/>
  <c r="BY49" i="33"/>
  <c r="BZ49" i="33"/>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O18" i="33"/>
  <c r="E31" i="33" a="1"/>
  <c r="E31" i="33"/>
  <c r="F31" i="33" a="1"/>
  <c r="F31" i="33"/>
  <c r="G31" i="33" a="1"/>
  <c r="H31" i="33" a="1"/>
  <c r="I31" i="33" a="1"/>
  <c r="J31" i="33" a="1"/>
  <c r="K31" i="33" a="1"/>
  <c r="L31" i="33" a="1"/>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O19" i="33"/>
  <c r="E32" i="33" a="1"/>
  <c r="E32" i="33"/>
  <c r="F32" i="33" a="1"/>
  <c r="F32" i="33"/>
  <c r="O20" i="33"/>
  <c r="G32" i="33" a="1"/>
  <c r="O21" i="33"/>
  <c r="H32" i="33" a="1"/>
  <c r="O22" i="33"/>
  <c r="I32" i="33" a="1"/>
  <c r="O23" i="33"/>
  <c r="J32" i="33" a="1"/>
  <c r="O24" i="33"/>
  <c r="K32" i="33" a="1"/>
  <c r="O25" i="33"/>
  <c r="L32" i="33" a="1"/>
  <c r="M32" i="33" a="1"/>
  <c r="N32" i="33" a="1"/>
  <c r="O32" i="33" a="1"/>
  <c r="P32" i="33" a="1"/>
  <c r="Q32" i="33" a="1"/>
  <c r="R32" i="33" a="1"/>
  <c r="S32" i="33" a="1"/>
  <c r="T32" i="33" a="1"/>
  <c r="Q19" i="33"/>
  <c r="U32" i="33" a="1"/>
  <c r="V32" i="33" a="1"/>
  <c r="Q20" i="33"/>
  <c r="W32" i="33" a="1"/>
  <c r="Q21" i="33"/>
  <c r="X32" i="33" a="1"/>
  <c r="Q22" i="33"/>
  <c r="Y32" i="33" a="1"/>
  <c r="Q23" i="33"/>
  <c r="Z32" i="33" a="1"/>
  <c r="Q24" i="33"/>
  <c r="AA32" i="33" a="1"/>
  <c r="Q25" i="33"/>
  <c r="AB32" i="33" a="1"/>
  <c r="R19" i="33"/>
  <c r="AC32" i="33" a="1"/>
  <c r="AD32" i="33" a="1"/>
  <c r="R20" i="33"/>
  <c r="AE32" i="33" a="1"/>
  <c r="R21" i="33"/>
  <c r="AF32" i="33" a="1"/>
  <c r="R22" i="33"/>
  <c r="AG32" i="33" a="1"/>
  <c r="R23" i="33"/>
  <c r="AH32" i="33" a="1"/>
  <c r="R24" i="33"/>
  <c r="AI32" i="33" a="1"/>
  <c r="R25" i="33"/>
  <c r="AJ32" i="33" a="1"/>
  <c r="S19" i="33"/>
  <c r="AK32" i="33" a="1"/>
  <c r="AL32" i="33" a="1"/>
  <c r="S20" i="33"/>
  <c r="AM32" i="33" a="1"/>
  <c r="S21" i="33"/>
  <c r="AN32" i="33" a="1"/>
  <c r="S22" i="33"/>
  <c r="AO32" i="33" a="1"/>
  <c r="S23" i="33"/>
  <c r="AP32" i="33" a="1"/>
  <c r="S24" i="33"/>
  <c r="AQ32" i="33" a="1"/>
  <c r="S25" i="33"/>
  <c r="AR32" i="33" a="1"/>
  <c r="T19" i="33"/>
  <c r="AS32" i="33" a="1"/>
  <c r="AT32" i="33" a="1"/>
  <c r="T20" i="33"/>
  <c r="AU32" i="33" a="1"/>
  <c r="T21" i="33"/>
  <c r="AV32" i="33" a="1"/>
  <c r="T22" i="33"/>
  <c r="AW32" i="33" a="1"/>
  <c r="T23" i="33"/>
  <c r="AX32" i="33" a="1"/>
  <c r="T24" i="33"/>
  <c r="AY32" i="33" a="1"/>
  <c r="T25" i="33"/>
  <c r="AZ32" i="33" a="1"/>
  <c r="U19" i="33"/>
  <c r="BA32" i="33" a="1"/>
  <c r="BB32" i="33" a="1"/>
  <c r="U20" i="33"/>
  <c r="BC32" i="33" a="1"/>
  <c r="U21" i="33"/>
  <c r="BD32" i="33" a="1"/>
  <c r="U22" i="33"/>
  <c r="BE32" i="33" a="1"/>
  <c r="U23" i="33"/>
  <c r="BF32" i="33" a="1"/>
  <c r="U24" i="33"/>
  <c r="BG32" i="33" a="1"/>
  <c r="U25" i="33"/>
  <c r="BH32" i="33" a="1"/>
  <c r="V19" i="33"/>
  <c r="BI32" i="33" a="1"/>
  <c r="BJ32" i="33" a="1"/>
  <c r="V20" i="33"/>
  <c r="BK32" i="33" a="1"/>
  <c r="V21" i="33"/>
  <c r="BL32" i="33" a="1"/>
  <c r="V22" i="33"/>
  <c r="BM32" i="33" a="1"/>
  <c r="V23" i="33"/>
  <c r="BN32" i="33" a="1"/>
  <c r="V24" i="33"/>
  <c r="BO32" i="33" a="1"/>
  <c r="V25" i="33"/>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W20" i="33"/>
  <c r="X17" i="33"/>
  <c r="X18" i="33"/>
  <c r="X19" i="33"/>
  <c r="X20" i="33"/>
  <c r="X21" i="33"/>
  <c r="X22" i="33"/>
  <c r="X23" i="33"/>
  <c r="X24" i="33"/>
  <c r="X25" i="33"/>
  <c r="AD17" i="33"/>
  <c r="AG17" i="33"/>
  <c r="AE17" i="33"/>
  <c r="AE18" i="33"/>
  <c r="AE19" i="33"/>
  <c r="AE20"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E4" i="33"/>
  <c r="D4" i="33"/>
  <c r="E5" i="33"/>
  <c r="D5" i="33"/>
  <c r="E6" i="33"/>
  <c r="D6" i="33"/>
  <c r="E7" i="33"/>
  <c r="D7" i="33"/>
  <c r="E8" i="33"/>
  <c r="D8" i="33"/>
  <c r="E9" i="33"/>
  <c r="D9" i="33"/>
  <c r="E10" i="33"/>
  <c r="D10" i="33"/>
  <c r="E11" i="33"/>
  <c r="D11" i="33"/>
  <c r="E12" i="33"/>
  <c r="D12" i="33"/>
  <c r="C4" i="33"/>
  <c r="C5" i="33"/>
  <c r="C6" i="33"/>
  <c r="C7" i="33"/>
  <c r="R36" i="27"/>
  <c r="I56" i="27"/>
  <c r="F13" i="33"/>
  <c r="R33" i="27"/>
  <c r="I53" i="27"/>
  <c r="V88" i="29"/>
  <c r="X88" i="29"/>
  <c r="Y88" i="29"/>
  <c r="AA88" i="29"/>
  <c r="AF88" i="29"/>
  <c r="AB88" i="29"/>
  <c r="Z88" i="29"/>
  <c r="V87" i="29"/>
  <c r="X87" i="29"/>
  <c r="Y87" i="29"/>
  <c r="AA87" i="29"/>
  <c r="AB87" i="29"/>
  <c r="Z87" i="29"/>
  <c r="V86" i="29"/>
  <c r="X86" i="29"/>
  <c r="Y86" i="29"/>
  <c r="AA86" i="29"/>
  <c r="AF86" i="29"/>
  <c r="AB86" i="29"/>
  <c r="Z86" i="29"/>
  <c r="V85" i="29"/>
  <c r="X85" i="29"/>
  <c r="Y85" i="29"/>
  <c r="AA85" i="29"/>
  <c r="AF85" i="29"/>
  <c r="AB85" i="29"/>
  <c r="Z85" i="29"/>
  <c r="V84" i="29"/>
  <c r="X84" i="29"/>
  <c r="Y84" i="29"/>
  <c r="AA84" i="29"/>
  <c r="AF84" i="29"/>
  <c r="AB84" i="29"/>
  <c r="Z84" i="29"/>
  <c r="V83" i="29"/>
  <c r="X83" i="29"/>
  <c r="Y83" i="29"/>
  <c r="AA83" i="29"/>
  <c r="AB83" i="29"/>
  <c r="Z83" i="29"/>
  <c r="V82" i="29"/>
  <c r="X82" i="29"/>
  <c r="Y82" i="29"/>
  <c r="AA82" i="29"/>
  <c r="AF82" i="29"/>
  <c r="AB82" i="29"/>
  <c r="Z82" i="29"/>
  <c r="V81" i="29"/>
  <c r="X81" i="29"/>
  <c r="Y81" i="29"/>
  <c r="AA81" i="29"/>
  <c r="AF81" i="29"/>
  <c r="AB81" i="29"/>
  <c r="Z81" i="29"/>
  <c r="V76" i="29"/>
  <c r="W76" i="29"/>
  <c r="X76" i="29"/>
  <c r="Y76" i="29"/>
  <c r="AA76" i="29"/>
  <c r="AF76" i="29"/>
  <c r="AB76" i="29"/>
  <c r="Z76" i="29"/>
  <c r="V75" i="29"/>
  <c r="W75" i="29"/>
  <c r="X75" i="29"/>
  <c r="Y75" i="29"/>
  <c r="AA75" i="29"/>
  <c r="AB75" i="29"/>
  <c r="Z75" i="29"/>
  <c r="V74" i="29"/>
  <c r="W74" i="29"/>
  <c r="X74" i="29"/>
  <c r="Y74" i="29"/>
  <c r="AA74" i="29"/>
  <c r="AF74" i="29"/>
  <c r="AB74" i="29"/>
  <c r="Z74" i="29"/>
  <c r="V73" i="29"/>
  <c r="W73" i="29"/>
  <c r="X73" i="29"/>
  <c r="Y73" i="29"/>
  <c r="AA73" i="29"/>
  <c r="AF73" i="29"/>
  <c r="AB73" i="29"/>
  <c r="Z73" i="29"/>
  <c r="W72" i="29"/>
  <c r="X72" i="29"/>
  <c r="Y72" i="29"/>
  <c r="AA72" i="29"/>
  <c r="AF72" i="29"/>
  <c r="AB72" i="29"/>
  <c r="Z72" i="29"/>
  <c r="W71" i="29"/>
  <c r="X71" i="29"/>
  <c r="Y71" i="29"/>
  <c r="AA71" i="29"/>
  <c r="AB71" i="29"/>
  <c r="Z71" i="29"/>
  <c r="W70" i="29"/>
  <c r="X70" i="29"/>
  <c r="Y70" i="29"/>
  <c r="AA70" i="29"/>
  <c r="AF70" i="29"/>
  <c r="AB70" i="29"/>
  <c r="Z70" i="29"/>
  <c r="W69" i="29"/>
  <c r="X69" i="29"/>
  <c r="Y69" i="29"/>
  <c r="AA69" i="29"/>
  <c r="AF69" i="29"/>
  <c r="AB69" i="29"/>
  <c r="Z69" i="29"/>
  <c r="V68" i="29"/>
  <c r="X68" i="29"/>
  <c r="Y68" i="29"/>
  <c r="AA68" i="29"/>
  <c r="AF68" i="29"/>
  <c r="AB68" i="29"/>
  <c r="Z68" i="29"/>
  <c r="V67" i="29"/>
  <c r="X67" i="29"/>
  <c r="Y67" i="29"/>
  <c r="AA67" i="29"/>
  <c r="AB67" i="29"/>
  <c r="Z67" i="29"/>
  <c r="V66" i="29"/>
  <c r="X66" i="29"/>
  <c r="Y66" i="29"/>
  <c r="AA66" i="29"/>
  <c r="AF66" i="29"/>
  <c r="AB66" i="29"/>
  <c r="Z66" i="29"/>
  <c r="V65" i="29"/>
  <c r="X65" i="29"/>
  <c r="Y65" i="29"/>
  <c r="AA65" i="29"/>
  <c r="AF65" i="29"/>
  <c r="AB65" i="29"/>
  <c r="Z65" i="29"/>
  <c r="V64" i="29"/>
  <c r="X64" i="29"/>
  <c r="Y64" i="29"/>
  <c r="AA64" i="29"/>
  <c r="AF64" i="29"/>
  <c r="AB64" i="29"/>
  <c r="Z64" i="29"/>
  <c r="AA160" i="29"/>
  <c r="AB160" i="29"/>
  <c r="Z160" i="29"/>
  <c r="AA159" i="29"/>
  <c r="AB159" i="29"/>
  <c r="Z159" i="29"/>
  <c r="AA158" i="29"/>
  <c r="AB158" i="29"/>
  <c r="Z158" i="29"/>
  <c r="AA157" i="29"/>
  <c r="AB157" i="29"/>
  <c r="Z157" i="29"/>
  <c r="AA156" i="29"/>
  <c r="AB156" i="29"/>
  <c r="Z156" i="29"/>
  <c r="AA155" i="29"/>
  <c r="AB155" i="29"/>
  <c r="Z155" i="29"/>
  <c r="AA154" i="29"/>
  <c r="AB154" i="29"/>
  <c r="Z154" i="29"/>
  <c r="AE65" i="34"/>
  <c r="AA66" i="34"/>
  <c r="AE66" i="34"/>
  <c r="AA67" i="34"/>
  <c r="AE67" i="34"/>
  <c r="AA68" i="34"/>
  <c r="AE68" i="34"/>
  <c r="AE69" i="34"/>
  <c r="AA70" i="34"/>
  <c r="AE70" i="34"/>
  <c r="AA71" i="34"/>
  <c r="AE71" i="34"/>
  <c r="AA72" i="34"/>
  <c r="AE72" i="34"/>
  <c r="AE73" i="34"/>
  <c r="AA74" i="34"/>
  <c r="AE74" i="34"/>
  <c r="AA75" i="34"/>
  <c r="AE75" i="34"/>
  <c r="AA76" i="34"/>
  <c r="AE76" i="34"/>
  <c r="AA82" i="34"/>
  <c r="AE82" i="34"/>
  <c r="AA83" i="34"/>
  <c r="AE83" i="34"/>
  <c r="AA84" i="34"/>
  <c r="AE84" i="34"/>
  <c r="AA85" i="34"/>
  <c r="AE85" i="34"/>
  <c r="AA86" i="34"/>
  <c r="AE86" i="34"/>
  <c r="AA87" i="34"/>
  <c r="AE87" i="34"/>
  <c r="AA88" i="34"/>
  <c r="AE88" i="34"/>
  <c r="C8" i="34"/>
  <c r="C9" i="34"/>
  <c r="C10" i="34"/>
  <c r="C11" i="34"/>
  <c r="C12" i="34"/>
  <c r="C6" i="34"/>
  <c r="C7" i="34"/>
  <c r="C5" i="34"/>
  <c r="Q40" i="27"/>
  <c r="Q41" i="27"/>
  <c r="AA41" i="27"/>
  <c r="Z41" i="27"/>
  <c r="Y41" i="27"/>
  <c r="W41" i="27"/>
  <c r="N5" i="34"/>
  <c r="V41" i="27"/>
  <c r="M5" i="34"/>
  <c r="U41" i="27"/>
  <c r="L5" i="34"/>
  <c r="T41" i="27"/>
  <c r="S41" i="27"/>
  <c r="R41" i="27"/>
  <c r="AA40" i="27"/>
  <c r="Z40" i="27"/>
  <c r="Y40" i="27"/>
  <c r="W40" i="27"/>
  <c r="N4" i="34"/>
  <c r="V40" i="27"/>
  <c r="M4" i="34"/>
  <c r="U40" i="27"/>
  <c r="L4" i="34"/>
  <c r="T40" i="27"/>
  <c r="S40" i="27"/>
  <c r="Q64" i="28"/>
  <c r="F4" i="28"/>
  <c r="V64" i="28"/>
  <c r="X64" i="28"/>
  <c r="V65" i="28"/>
  <c r="V66" i="28"/>
  <c r="V67" i="28"/>
  <c r="V68" i="28"/>
  <c r="V73" i="28"/>
  <c r="V74" i="28"/>
  <c r="V75" i="28"/>
  <c r="V76" i="28"/>
  <c r="V81" i="28"/>
  <c r="V82" i="28"/>
  <c r="V83" i="28"/>
  <c r="V84" i="28"/>
  <c r="V85" i="28"/>
  <c r="V86" i="28"/>
  <c r="V87" i="28"/>
  <c r="V88" i="28"/>
  <c r="X65" i="28"/>
  <c r="X66" i="28"/>
  <c r="X67" i="28"/>
  <c r="X68" i="28"/>
  <c r="W69" i="28"/>
  <c r="X69" i="28"/>
  <c r="W70" i="28"/>
  <c r="X70" i="28"/>
  <c r="W71" i="28"/>
  <c r="X71" i="28"/>
  <c r="W72" i="28"/>
  <c r="X72" i="28"/>
  <c r="W73" i="28"/>
  <c r="X73" i="28"/>
  <c r="W74" i="28"/>
  <c r="X74" i="28"/>
  <c r="W75" i="28"/>
  <c r="X75" i="28"/>
  <c r="W76" i="28"/>
  <c r="X76" i="28"/>
  <c r="X81" i="28"/>
  <c r="X82" i="28"/>
  <c r="X83" i="28"/>
  <c r="X84" i="28"/>
  <c r="X85" i="28"/>
  <c r="X86" i="28"/>
  <c r="X87" i="28"/>
  <c r="X88" i="28"/>
  <c r="Y64" i="28"/>
  <c r="Y65" i="28"/>
  <c r="Y66" i="28"/>
  <c r="Y67" i="28"/>
  <c r="Y68" i="28"/>
  <c r="Y69" i="28"/>
  <c r="Y70" i="28"/>
  <c r="Y71" i="28"/>
  <c r="Y72" i="28"/>
  <c r="Y73" i="28"/>
  <c r="Y74" i="28"/>
  <c r="Y75" i="28"/>
  <c r="Y76" i="28"/>
  <c r="Y81" i="28"/>
  <c r="Y82" i="28"/>
  <c r="Y83" i="28"/>
  <c r="Y84" i="28"/>
  <c r="Y85" i="28"/>
  <c r="Y86" i="28"/>
  <c r="Y87" i="28"/>
  <c r="Y88" i="28"/>
  <c r="K4" i="28"/>
  <c r="K5" i="28"/>
  <c r="Q66" i="28"/>
  <c r="F6" i="28"/>
  <c r="K6" i="28"/>
  <c r="K7" i="28"/>
  <c r="K8" i="28"/>
  <c r="K9" i="28"/>
  <c r="K10" i="28"/>
  <c r="K11" i="28"/>
  <c r="K12" i="28"/>
  <c r="K13" i="28"/>
  <c r="AA68" i="28"/>
  <c r="AE68" i="28"/>
  <c r="AA76" i="28"/>
  <c r="AE76" i="28"/>
  <c r="AA88" i="28"/>
  <c r="AE88" i="28"/>
  <c r="J4" i="28"/>
  <c r="K17" i="28"/>
  <c r="G4" i="28"/>
  <c r="H4" i="28"/>
  <c r="I4" i="28"/>
  <c r="J17" i="28"/>
  <c r="H17" i="28"/>
  <c r="L17" i="28"/>
  <c r="AA72" i="28"/>
  <c r="AE72" i="28"/>
  <c r="AF88" i="28"/>
  <c r="J5" i="28"/>
  <c r="K18" i="28"/>
  <c r="G5" i="28"/>
  <c r="H5" i="28"/>
  <c r="I5" i="28"/>
  <c r="J18" i="28"/>
  <c r="H18" i="28"/>
  <c r="L18" i="28"/>
  <c r="AA84" i="28"/>
  <c r="AE84" i="28"/>
  <c r="AF72" i="28"/>
  <c r="AF76" i="28"/>
  <c r="J6" i="28"/>
  <c r="K19" i="28"/>
  <c r="G6" i="28"/>
  <c r="H6" i="28"/>
  <c r="I6" i="28"/>
  <c r="J19" i="28"/>
  <c r="H19" i="28"/>
  <c r="L19" i="28"/>
  <c r="AF68" i="28"/>
  <c r="AF84" i="28"/>
  <c r="J7" i="28"/>
  <c r="K20" i="28"/>
  <c r="G7" i="28"/>
  <c r="H7" i="28"/>
  <c r="I7" i="28"/>
  <c r="J20" i="28"/>
  <c r="H20" i="28"/>
  <c r="L20" i="28"/>
  <c r="AA64" i="28"/>
  <c r="AF64" i="28"/>
  <c r="AE64" i="28"/>
  <c r="AA65" i="28"/>
  <c r="AF65" i="28"/>
  <c r="AA81" i="28"/>
  <c r="AF81" i="28"/>
  <c r="AE81" i="28"/>
  <c r="AA69" i="28"/>
  <c r="AF69" i="28"/>
  <c r="AA73" i="28"/>
  <c r="AF73"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X17" i="28"/>
  <c r="X18" i="28"/>
  <c r="X19" i="28"/>
  <c r="X20" i="28"/>
  <c r="X21" i="28"/>
  <c r="X22" i="28"/>
  <c r="X23" i="28"/>
  <c r="X24" i="28"/>
  <c r="X25" i="28"/>
  <c r="AD17" i="28"/>
  <c r="AG17" i="28"/>
  <c r="AE17" i="28"/>
  <c r="AE18" i="28"/>
  <c r="AE19" i="28"/>
  <c r="AE20"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E4" i="28"/>
  <c r="D4" i="28"/>
  <c r="E5" i="28"/>
  <c r="D5" i="28"/>
  <c r="E6" i="28"/>
  <c r="D6" i="28"/>
  <c r="E7" i="28"/>
  <c r="D7" i="28"/>
  <c r="E8" i="28"/>
  <c r="D8" i="28"/>
  <c r="E9" i="28"/>
  <c r="D9" i="28"/>
  <c r="E10" i="28"/>
  <c r="D10" i="28"/>
  <c r="E11" i="28"/>
  <c r="D11" i="28"/>
  <c r="E12" i="28"/>
  <c r="D12" i="28"/>
  <c r="C4" i="28"/>
  <c r="R12" i="27"/>
  <c r="I41" i="27"/>
  <c r="C5" i="28"/>
  <c r="C6" i="28"/>
  <c r="C7" i="28"/>
  <c r="R13" i="27"/>
  <c r="I42" i="27"/>
  <c r="R14" i="27"/>
  <c r="I43" i="27"/>
  <c r="R15" i="27"/>
  <c r="I44" i="27"/>
  <c r="AE64" i="29"/>
  <c r="AE81" i="29"/>
  <c r="J8" i="29"/>
  <c r="K21" i="29"/>
  <c r="G8" i="29"/>
  <c r="H8" i="29"/>
  <c r="I8" i="29"/>
  <c r="J21" i="29"/>
  <c r="H21" i="29"/>
  <c r="L21" i="29"/>
  <c r="Q64" i="29"/>
  <c r="F4" i="29"/>
  <c r="AE67" i="29"/>
  <c r="AE75" i="29"/>
  <c r="AE87" i="29"/>
  <c r="J4" i="29"/>
  <c r="K17" i="29"/>
  <c r="G4" i="29"/>
  <c r="H4" i="29"/>
  <c r="I4" i="29"/>
  <c r="J17" i="29"/>
  <c r="H17" i="29"/>
  <c r="L17" i="29"/>
  <c r="AE71" i="29"/>
  <c r="AF87" i="29"/>
  <c r="AE83" i="29"/>
  <c r="AF71" i="29"/>
  <c r="AF75" i="29"/>
  <c r="J5" i="29"/>
  <c r="K18" i="29"/>
  <c r="G5" i="29"/>
  <c r="H5" i="29"/>
  <c r="I5" i="29"/>
  <c r="J18" i="29"/>
  <c r="H18" i="29"/>
  <c r="L18" i="29"/>
  <c r="Q66" i="29"/>
  <c r="F6" i="29"/>
  <c r="J6" i="29"/>
  <c r="K19" i="29"/>
  <c r="G6" i="29"/>
  <c r="H6" i="29"/>
  <c r="I6" i="29"/>
  <c r="J19" i="29"/>
  <c r="H19" i="29"/>
  <c r="L19" i="29"/>
  <c r="AF67" i="29"/>
  <c r="AF83" i="29"/>
  <c r="J7" i="29"/>
  <c r="K20" i="29"/>
  <c r="G7" i="29"/>
  <c r="H7" i="29"/>
  <c r="I7" i="29"/>
  <c r="J20" i="29"/>
  <c r="H20" i="29"/>
  <c r="L20"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BR52" i="29"/>
  <c r="BS51" i="29"/>
  <c r="BT52" i="29"/>
  <c r="BU51" i="29"/>
  <c r="BU52" i="29"/>
  <c r="BV52" i="29"/>
  <c r="BW52" i="29"/>
  <c r="BX52" i="29"/>
  <c r="BY52" i="29"/>
  <c r="BZ52" i="29"/>
  <c r="CA52"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U31" i="29" a="1"/>
  <c r="M19" i="29"/>
  <c r="N19" i="29" a="1"/>
  <c r="N19" i="29"/>
  <c r="C19" i="29"/>
  <c r="Q19" i="29"/>
  <c r="V31" i="29" a="1"/>
  <c r="M20" i="29"/>
  <c r="N20" i="29" a="1"/>
  <c r="N20" i="29"/>
  <c r="Q20" i="29"/>
  <c r="W31" i="29" a="1"/>
  <c r="M21" i="29"/>
  <c r="N21" i="29" a="1"/>
  <c r="N21" i="29"/>
  <c r="Q21" i="29"/>
  <c r="X31" i="29" a="1"/>
  <c r="M22" i="29"/>
  <c r="N22" i="29" a="1"/>
  <c r="N22" i="29"/>
  <c r="Q22" i="29"/>
  <c r="Y31" i="29" a="1"/>
  <c r="M23" i="29"/>
  <c r="N23" i="29" a="1"/>
  <c r="N23" i="29"/>
  <c r="Q23" i="29"/>
  <c r="Z31" i="29" a="1"/>
  <c r="M24" i="29"/>
  <c r="N24" i="29" a="1"/>
  <c r="N24" i="29"/>
  <c r="Q24" i="29"/>
  <c r="AA31" i="29" a="1"/>
  <c r="M25" i="29"/>
  <c r="N25" i="29" a="1"/>
  <c r="N25" i="29"/>
  <c r="Q25" i="29"/>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BR41" i="29"/>
  <c r="BS40" i="29"/>
  <c r="BR30" i="29"/>
  <c r="BT30"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O19" i="29"/>
  <c r="E32" i="29" a="1"/>
  <c r="E32" i="29"/>
  <c r="F32" i="29" a="1"/>
  <c r="F32" i="29"/>
  <c r="G32" i="29" a="1"/>
  <c r="H32" i="29" a="1"/>
  <c r="I32" i="29" a="1"/>
  <c r="J32" i="29" a="1"/>
  <c r="K32" i="29" a="1"/>
  <c r="L32" i="29" a="1"/>
  <c r="P19" i="29"/>
  <c r="M32" i="29" a="1"/>
  <c r="N32" i="29" a="1"/>
  <c r="O32" i="29" a="1"/>
  <c r="P32" i="29" a="1"/>
  <c r="Q32" i="29" a="1"/>
  <c r="R32" i="29" a="1"/>
  <c r="S32" i="29" a="1"/>
  <c r="T32" i="29" a="1"/>
  <c r="U32" i="29" a="1"/>
  <c r="V32" i="29" a="1"/>
  <c r="W32" i="29" a="1"/>
  <c r="X32" i="29" a="1"/>
  <c r="Y32" i="29" a="1"/>
  <c r="Z32" i="29" a="1"/>
  <c r="AA32" i="29" a="1"/>
  <c r="AB32" i="29" a="1"/>
  <c r="R19" i="29"/>
  <c r="AC32" i="29" a="1"/>
  <c r="AD32" i="29" a="1"/>
  <c r="R20" i="29"/>
  <c r="AE32" i="29" a="1"/>
  <c r="R21" i="29"/>
  <c r="AF32" i="29" a="1"/>
  <c r="R22" i="29"/>
  <c r="AG32" i="29" a="1"/>
  <c r="R23" i="29"/>
  <c r="AH32" i="29" a="1"/>
  <c r="R24" i="29"/>
  <c r="AI32" i="29" a="1"/>
  <c r="R25" i="29"/>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O20" i="29"/>
  <c r="E33" i="29" a="1"/>
  <c r="E33" i="29"/>
  <c r="F33" i="29" a="1"/>
  <c r="F33" i="29"/>
  <c r="G33" i="29" a="1"/>
  <c r="H33" i="29" a="1"/>
  <c r="I33" i="29" a="1"/>
  <c r="J33" i="29" a="1"/>
  <c r="K33" i="29" a="1"/>
  <c r="L33" i="29" a="1"/>
  <c r="P20" i="29"/>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X21" i="29"/>
  <c r="X17" i="29"/>
  <c r="X18" i="29"/>
  <c r="X19" i="29"/>
  <c r="X20" i="29"/>
  <c r="X22" i="29"/>
  <c r="X23" i="29"/>
  <c r="X24" i="29"/>
  <c r="X25" i="29"/>
  <c r="AD21" i="29"/>
  <c r="AG21" i="29"/>
  <c r="AE17" i="29"/>
  <c r="AE18" i="29"/>
  <c r="AE19" i="29"/>
  <c r="AE20" i="29"/>
  <c r="AF21" i="29"/>
  <c r="AH21" i="29"/>
  <c r="AD17" i="29"/>
  <c r="AG17" i="29"/>
  <c r="AF17" i="29"/>
  <c r="AH17" i="29"/>
  <c r="AD18" i="29"/>
  <c r="AG18" i="29"/>
  <c r="AF18" i="29"/>
  <c r="AH18" i="29"/>
  <c r="AD19" i="29"/>
  <c r="AG19" i="29"/>
  <c r="AF19" i="29"/>
  <c r="AH19" i="29"/>
  <c r="AD20" i="29"/>
  <c r="AG20" i="29"/>
  <c r="AF20" i="29"/>
  <c r="AH20" i="29"/>
  <c r="AD22" i="29"/>
  <c r="AG22" i="29"/>
  <c r="AF22" i="29"/>
  <c r="AH22" i="29"/>
  <c r="AD23" i="29"/>
  <c r="AG23" i="29"/>
  <c r="AF23" i="29"/>
  <c r="AH23" i="29"/>
  <c r="AD24" i="29"/>
  <c r="AG24" i="29"/>
  <c r="AF24" i="29"/>
  <c r="AH24" i="29"/>
  <c r="AD25" i="29"/>
  <c r="AG25" i="29"/>
  <c r="AF25" i="29"/>
  <c r="AH25" i="29"/>
  <c r="E8" i="29"/>
  <c r="D8" i="29"/>
  <c r="E4" i="29"/>
  <c r="D4" i="29"/>
  <c r="E5" i="29"/>
  <c r="D5" i="29"/>
  <c r="E6" i="29"/>
  <c r="D6" i="29"/>
  <c r="E7" i="29"/>
  <c r="D7" i="29"/>
  <c r="E9" i="29"/>
  <c r="D9" i="29"/>
  <c r="E10" i="29"/>
  <c r="D10" i="29"/>
  <c r="E11" i="29"/>
  <c r="D11" i="29"/>
  <c r="E12" i="29"/>
  <c r="D12" i="29"/>
  <c r="C8" i="29"/>
  <c r="C9" i="29"/>
  <c r="C10" i="29"/>
  <c r="C11" i="29"/>
  <c r="C12" i="29"/>
  <c r="K4" i="29"/>
  <c r="K5" i="29"/>
  <c r="K6" i="29"/>
  <c r="K7" i="29"/>
  <c r="K8" i="29"/>
  <c r="K9" i="29"/>
  <c r="K10" i="29"/>
  <c r="K11" i="29"/>
  <c r="K12" i="29"/>
  <c r="K13" i="29"/>
  <c r="F13" i="29"/>
  <c r="AE23" i="27" a="1"/>
  <c r="AE23" i="27"/>
  <c r="C4" i="29"/>
  <c r="C5" i="29"/>
  <c r="L4" i="29"/>
  <c r="M4" i="29"/>
  <c r="N4" i="29"/>
  <c r="L5" i="29"/>
  <c r="M5" i="29"/>
  <c r="N5" i="29"/>
  <c r="C6" i="29"/>
  <c r="L6" i="29"/>
  <c r="M6" i="29"/>
  <c r="N6" i="29"/>
  <c r="C7" i="29"/>
  <c r="L7" i="29"/>
  <c r="M7" i="29"/>
  <c r="N7" i="29"/>
  <c r="L8" i="29"/>
  <c r="M8" i="29"/>
  <c r="N8" i="29"/>
  <c r="L9" i="29"/>
  <c r="M9" i="29"/>
  <c r="N9" i="29"/>
  <c r="L10" i="29"/>
  <c r="M10" i="29"/>
  <c r="N10" i="29"/>
  <c r="L11" i="29"/>
  <c r="M11" i="29"/>
  <c r="N11" i="29"/>
  <c r="L12" i="29"/>
  <c r="M12" i="29"/>
  <c r="N12" i="29"/>
  <c r="R19" i="27"/>
  <c r="I45" i="27"/>
  <c r="R20" i="27"/>
  <c r="I46" i="27"/>
  <c r="R21" i="27"/>
  <c r="I47" i="27"/>
  <c r="AA66" i="33"/>
  <c r="AF66" i="33"/>
  <c r="AA67" i="33"/>
  <c r="AF67" i="33"/>
  <c r="AA68" i="33"/>
  <c r="AF68" i="33"/>
  <c r="AA70" i="33"/>
  <c r="AF70" i="33"/>
  <c r="AA71" i="33"/>
  <c r="AF71" i="33"/>
  <c r="AA72" i="33"/>
  <c r="AF72" i="33"/>
  <c r="AA82" i="33"/>
  <c r="AF82" i="33"/>
  <c r="AA83" i="33"/>
  <c r="AF83" i="33"/>
  <c r="AA84" i="33"/>
  <c r="AF84" i="33"/>
  <c r="AA86" i="33"/>
  <c r="AF86" i="33"/>
  <c r="AA87" i="33"/>
  <c r="AF87" i="33"/>
  <c r="AA88" i="33"/>
  <c r="AF88" i="33"/>
  <c r="AA36" i="27"/>
  <c r="Z36" i="27"/>
  <c r="Y36" i="27"/>
  <c r="W36" i="27"/>
  <c r="N6" i="33"/>
  <c r="N7" i="33"/>
  <c r="V36" i="27"/>
  <c r="M6" i="33"/>
  <c r="M7" i="33"/>
  <c r="U36" i="27"/>
  <c r="L6" i="33"/>
  <c r="L7" i="33"/>
  <c r="T36" i="27"/>
  <c r="S36" i="27"/>
  <c r="Q33" i="27"/>
  <c r="Q34" i="27"/>
  <c r="Q35" i="27"/>
  <c r="Q36" i="27"/>
  <c r="AA35" i="27"/>
  <c r="Z35" i="27"/>
  <c r="Y35" i="27"/>
  <c r="W35" i="27"/>
  <c r="N4" i="33"/>
  <c r="V35" i="27"/>
  <c r="M4" i="33"/>
  <c r="U35" i="27"/>
  <c r="L4" i="33"/>
  <c r="T35" i="27"/>
  <c r="S35" i="27"/>
  <c r="AA34" i="27"/>
  <c r="Z34" i="27"/>
  <c r="Y34" i="27"/>
  <c r="W34" i="27"/>
  <c r="N5" i="33"/>
  <c r="V34" i="27"/>
  <c r="M5" i="33"/>
  <c r="U34" i="27"/>
  <c r="L5" i="33"/>
  <c r="T34" i="27"/>
  <c r="S34" i="27"/>
  <c r="AA33" i="27"/>
  <c r="Z33" i="27"/>
  <c r="Y33" i="27"/>
  <c r="W33" i="27"/>
  <c r="V33" i="27"/>
  <c r="U33" i="27"/>
  <c r="T33" i="27"/>
  <c r="S33" i="27"/>
  <c r="AA144" i="34"/>
  <c r="AB144" i="34"/>
  <c r="Z144" i="34"/>
  <c r="AA143" i="34"/>
  <c r="AB143" i="34"/>
  <c r="Z143" i="34"/>
  <c r="AA142" i="34"/>
  <c r="AB142" i="34"/>
  <c r="Z142" i="34"/>
  <c r="AB72" i="34"/>
  <c r="Z72" i="34"/>
  <c r="AB71" i="34"/>
  <c r="Z71" i="34"/>
  <c r="AB70" i="34"/>
  <c r="Z70" i="34"/>
  <c r="W72" i="30"/>
  <c r="X72" i="30"/>
  <c r="Y72" i="30"/>
  <c r="AA72" i="30"/>
  <c r="AA144" i="30"/>
  <c r="AB144" i="30"/>
  <c r="Z144" i="30"/>
  <c r="W71" i="30"/>
  <c r="X71" i="30"/>
  <c r="Y71" i="30"/>
  <c r="AA71" i="30"/>
  <c r="AA143" i="30"/>
  <c r="AB143" i="30"/>
  <c r="Z143" i="30"/>
  <c r="W70" i="30"/>
  <c r="X70" i="30"/>
  <c r="Y70" i="30"/>
  <c r="AA70" i="30"/>
  <c r="AA142" i="30"/>
  <c r="AB142" i="30"/>
  <c r="Z142" i="30"/>
  <c r="AA144" i="29"/>
  <c r="AB144" i="29"/>
  <c r="Z144" i="29"/>
  <c r="AA143" i="29"/>
  <c r="AB143" i="29"/>
  <c r="Z143" i="29"/>
  <c r="AA142" i="29"/>
  <c r="AB142" i="29"/>
  <c r="Z142" i="29"/>
  <c r="AA144" i="28"/>
  <c r="AB144" i="28"/>
  <c r="Z144" i="28"/>
  <c r="AA71" i="28"/>
  <c r="AA143" i="28"/>
  <c r="AB143" i="28"/>
  <c r="Z143" i="28"/>
  <c r="AA70" i="28"/>
  <c r="AA142" i="28"/>
  <c r="AB142" i="28"/>
  <c r="Z142" i="28"/>
  <c r="Z70" i="33"/>
  <c r="AB70" i="33"/>
  <c r="Z71" i="33"/>
  <c r="AB71" i="33"/>
  <c r="Z72" i="33"/>
  <c r="AB72" i="33"/>
  <c r="Z142" i="33"/>
  <c r="AA142" i="33"/>
  <c r="AB142" i="33"/>
  <c r="Z143" i="33"/>
  <c r="AA143" i="33"/>
  <c r="AB143" i="33"/>
  <c r="Z144" i="33"/>
  <c r="AA144" i="33"/>
  <c r="AB144" i="33"/>
  <c r="AA153" i="33"/>
  <c r="AB153" i="33"/>
  <c r="Z153" i="33"/>
  <c r="AA141" i="33"/>
  <c r="AB141" i="33"/>
  <c r="Z141" i="33"/>
  <c r="AA140" i="33"/>
  <c r="AB140" i="33"/>
  <c r="Z140" i="33"/>
  <c r="AA139" i="33"/>
  <c r="AB139" i="33"/>
  <c r="Z139" i="33"/>
  <c r="AA138" i="33"/>
  <c r="AB138" i="33"/>
  <c r="Z138" i="33"/>
  <c r="AA137" i="33"/>
  <c r="AB137" i="33"/>
  <c r="Z137" i="33"/>
  <c r="AA136" i="33"/>
  <c r="AB136" i="33"/>
  <c r="Z136" i="33"/>
  <c r="AB81" i="33"/>
  <c r="Z81" i="33"/>
  <c r="AB69" i="33"/>
  <c r="Z69" i="33"/>
  <c r="AB68" i="33"/>
  <c r="Z68" i="33"/>
  <c r="AB67" i="33"/>
  <c r="Z67" i="33"/>
  <c r="AB66" i="33"/>
  <c r="Z66" i="33"/>
  <c r="AB65" i="33"/>
  <c r="Z65" i="33"/>
  <c r="AB64" i="33"/>
  <c r="Z64" i="33"/>
  <c r="E60" i="33" a="1"/>
  <c r="E60" i="33"/>
  <c r="F60" i="33" a="1"/>
  <c r="F60" i="33"/>
  <c r="G60" i="33" a="1"/>
  <c r="H60" i="33" a="1"/>
  <c r="I60" i="33" a="1"/>
  <c r="J60" i="33" a="1"/>
  <c r="K60" i="33" a="1"/>
  <c r="L60" i="33" a="1"/>
  <c r="M60" i="33" a="1"/>
  <c r="N60" i="33" a="1"/>
  <c r="O60" i="33" a="1"/>
  <c r="P60" i="33" a="1"/>
  <c r="Q60" i="33" a="1"/>
  <c r="R60" i="33" a="1"/>
  <c r="S60" i="33" a="1"/>
  <c r="T60" i="33" a="1"/>
  <c r="U60" i="33" a="1"/>
  <c r="V60" i="33" a="1"/>
  <c r="W60" i="33" a="1"/>
  <c r="X60" i="33" a="1"/>
  <c r="Y60" i="33" a="1"/>
  <c r="Z60" i="33" a="1"/>
  <c r="AA60" i="33" a="1"/>
  <c r="AB60" i="33" a="1"/>
  <c r="AC60" i="33" a="1"/>
  <c r="AD60" i="33" a="1"/>
  <c r="AE60" i="33" a="1"/>
  <c r="AF60" i="33" a="1"/>
  <c r="AG60" i="33" a="1"/>
  <c r="AH60" i="33" a="1"/>
  <c r="AI60" i="33" a="1"/>
  <c r="AJ60" i="33" a="1"/>
  <c r="AK60" i="33" a="1"/>
  <c r="AL60" i="33" a="1"/>
  <c r="AM60" i="33" a="1"/>
  <c r="AN60" i="33" a="1"/>
  <c r="AO60" i="33" a="1"/>
  <c r="AP60" i="33" a="1"/>
  <c r="AQ60" i="33" a="1"/>
  <c r="AR60" i="33" a="1"/>
  <c r="AS60" i="33" a="1"/>
  <c r="AT60" i="33" a="1"/>
  <c r="AU60" i="33" a="1"/>
  <c r="AV60" i="33" a="1"/>
  <c r="AW60" i="33" a="1"/>
  <c r="AX60" i="33" a="1"/>
  <c r="AY60" i="33" a="1"/>
  <c r="AZ60" i="33" a="1"/>
  <c r="BA60" i="33" a="1"/>
  <c r="BB60" i="33" a="1"/>
  <c r="BC60" i="33" a="1"/>
  <c r="BD60" i="33" a="1"/>
  <c r="BE60" i="33" a="1"/>
  <c r="BF60" i="33" a="1"/>
  <c r="BG60" i="33" a="1"/>
  <c r="BH60" i="33" a="1"/>
  <c r="BI60" i="33" a="1"/>
  <c r="BJ60" i="33" a="1"/>
  <c r="BK60" i="33" a="1"/>
  <c r="BL60" i="33" a="1"/>
  <c r="BM60" i="33" a="1"/>
  <c r="BN60" i="33" a="1"/>
  <c r="BO60" i="33" a="1"/>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Z25" i="33"/>
  <c r="I25" i="33"/>
  <c r="N12" i="33"/>
  <c r="G25" i="33"/>
  <c r="M12" i="33"/>
  <c r="F25" i="33"/>
  <c r="L12" i="33"/>
  <c r="E25" i="33"/>
  <c r="D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Z24" i="33"/>
  <c r="I24" i="33"/>
  <c r="N11" i="33"/>
  <c r="G24" i="33"/>
  <c r="M11" i="33"/>
  <c r="F24" i="33"/>
  <c r="L11" i="33"/>
  <c r="E24" i="33"/>
  <c r="D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Z23" i="33"/>
  <c r="I23" i="33"/>
  <c r="N10" i="33"/>
  <c r="G23" i="33"/>
  <c r="M10" i="33"/>
  <c r="F23" i="33"/>
  <c r="L10" i="33"/>
  <c r="E23" i="33"/>
  <c r="D23" i="33"/>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Z22" i="33"/>
  <c r="I22" i="33"/>
  <c r="N9" i="33"/>
  <c r="G22" i="33"/>
  <c r="M9" i="33"/>
  <c r="F22" i="33"/>
  <c r="L9" i="33"/>
  <c r="E22" i="33"/>
  <c r="D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Z21" i="33"/>
  <c r="I21" i="33"/>
  <c r="N8" i="33"/>
  <c r="G21" i="33"/>
  <c r="M8" i="33"/>
  <c r="F21" i="33"/>
  <c r="L8" i="33"/>
  <c r="E21" i="33"/>
  <c r="D21" i="33"/>
  <c r="I20" i="33"/>
  <c r="G20" i="33"/>
  <c r="F20" i="33"/>
  <c r="E20" i="33"/>
  <c r="D20" i="33"/>
  <c r="I19" i="33"/>
  <c r="G19" i="33"/>
  <c r="F19" i="33"/>
  <c r="E19" i="33"/>
  <c r="D19" i="33"/>
  <c r="I18" i="33"/>
  <c r="G18" i="33"/>
  <c r="F18" i="33"/>
  <c r="E18" i="33"/>
  <c r="D18" i="33"/>
  <c r="I17" i="33"/>
  <c r="G17" i="33"/>
  <c r="F17" i="33"/>
  <c r="E17" i="33"/>
  <c r="D17" i="33"/>
  <c r="B13" i="33"/>
  <c r="O3" i="33"/>
  <c r="P3" i="33"/>
  <c r="Q3" i="33"/>
  <c r="R3" i="33"/>
  <c r="S3" i="33"/>
  <c r="T3" i="33"/>
  <c r="U3" i="33"/>
  <c r="V3" i="33"/>
  <c r="R4" i="33"/>
  <c r="AL3" i="33"/>
  <c r="AL4" i="33"/>
  <c r="AN4" i="33"/>
  <c r="AL5" i="33"/>
  <c r="AN5" i="33"/>
  <c r="AL6" i="33"/>
  <c r="AN6" i="33"/>
  <c r="AL7" i="33"/>
  <c r="AN7" i="33"/>
  <c r="AL8" i="33"/>
  <c r="AN8" i="33"/>
  <c r="AL9" i="33"/>
  <c r="AN9" i="33"/>
  <c r="AL10" i="33"/>
  <c r="AN10" i="33"/>
  <c r="AL11" i="33"/>
  <c r="AN11" i="33"/>
  <c r="AL12" i="33"/>
  <c r="AN12" i="33"/>
  <c r="AO4" i="33"/>
  <c r="AO5" i="33"/>
  <c r="AO6" i="33"/>
  <c r="AO7" i="33"/>
  <c r="AO8" i="33"/>
  <c r="AO9" i="33"/>
  <c r="AO10" i="33"/>
  <c r="AO11" i="33"/>
  <c r="AO12" i="33"/>
  <c r="AP4" i="33"/>
  <c r="AP5" i="33"/>
  <c r="AP6" i="33"/>
  <c r="AP7" i="33"/>
  <c r="AP8" i="33"/>
  <c r="AP9" i="33"/>
  <c r="AP10" i="33"/>
  <c r="AP11" i="33"/>
  <c r="AP12" i="33"/>
  <c r="AM12" i="33"/>
  <c r="Q4" i="33"/>
  <c r="AG3" i="33"/>
  <c r="AG4" i="33"/>
  <c r="AI4" i="33"/>
  <c r="AG5" i="33"/>
  <c r="AI5" i="33"/>
  <c r="AG6" i="33"/>
  <c r="AI6" i="33"/>
  <c r="AG7" i="33"/>
  <c r="AI7" i="33"/>
  <c r="AG8" i="33"/>
  <c r="AI8" i="33"/>
  <c r="AG9" i="33"/>
  <c r="AI9" i="33"/>
  <c r="AG10" i="33"/>
  <c r="AI10" i="33"/>
  <c r="AG11" i="33"/>
  <c r="AI11" i="33"/>
  <c r="AG12" i="33"/>
  <c r="AI12" i="33"/>
  <c r="AJ4" i="33"/>
  <c r="AJ5" i="33"/>
  <c r="AJ6" i="33"/>
  <c r="AJ7" i="33"/>
  <c r="AJ8" i="33"/>
  <c r="AJ9" i="33"/>
  <c r="AJ10" i="33"/>
  <c r="AJ11" i="33"/>
  <c r="AJ12" i="33"/>
  <c r="AK4" i="33"/>
  <c r="AK5" i="33"/>
  <c r="AK6" i="33"/>
  <c r="AK7" i="33"/>
  <c r="AK8" i="33"/>
  <c r="AK9" i="33"/>
  <c r="AK10" i="33"/>
  <c r="AK11" i="33"/>
  <c r="AK12" i="33"/>
  <c r="AH12" i="33"/>
  <c r="P4" i="33"/>
  <c r="AB3" i="33"/>
  <c r="AB4" i="33"/>
  <c r="AD4" i="33"/>
  <c r="AB5" i="33"/>
  <c r="AD5" i="33"/>
  <c r="AB6" i="33"/>
  <c r="AD6" i="33"/>
  <c r="AB7" i="33"/>
  <c r="AD7" i="33"/>
  <c r="AB8" i="33"/>
  <c r="AD8" i="33"/>
  <c r="AB9" i="33"/>
  <c r="AD9" i="33"/>
  <c r="AB10" i="33"/>
  <c r="AD10" i="33"/>
  <c r="AB11" i="33"/>
  <c r="AD11" i="33"/>
  <c r="AB12" i="33"/>
  <c r="AD12" i="33"/>
  <c r="AE4" i="33"/>
  <c r="AE5" i="33"/>
  <c r="AE6" i="33"/>
  <c r="AE7" i="33"/>
  <c r="AE8" i="33"/>
  <c r="AE9" i="33"/>
  <c r="AE10" i="33"/>
  <c r="AE11" i="33"/>
  <c r="AE12" i="33"/>
  <c r="AF4" i="33"/>
  <c r="AF5" i="33"/>
  <c r="AF6" i="33"/>
  <c r="AF7" i="33"/>
  <c r="AF8" i="33"/>
  <c r="AF9" i="33"/>
  <c r="AF10" i="33"/>
  <c r="AF11" i="33"/>
  <c r="AF12" i="33"/>
  <c r="AC12" i="33"/>
  <c r="O4" i="33"/>
  <c r="W3" i="33"/>
  <c r="W4" i="33"/>
  <c r="Y4" i="33"/>
  <c r="W5" i="33"/>
  <c r="Y5" i="33"/>
  <c r="W6" i="33"/>
  <c r="Y6" i="33"/>
  <c r="W7" i="33"/>
  <c r="Y7" i="33"/>
  <c r="W8" i="33"/>
  <c r="Y8" i="33"/>
  <c r="W9" i="33"/>
  <c r="Y9" i="33"/>
  <c r="W10" i="33"/>
  <c r="Y10" i="33"/>
  <c r="W11" i="33"/>
  <c r="Y11" i="33"/>
  <c r="W12" i="33"/>
  <c r="Y12" i="33"/>
  <c r="Z4" i="33"/>
  <c r="Z5" i="33"/>
  <c r="Z6" i="33"/>
  <c r="Z7" i="33"/>
  <c r="Z8" i="33"/>
  <c r="Z9" i="33"/>
  <c r="Z10" i="33"/>
  <c r="Z11" i="33"/>
  <c r="Z12" i="33"/>
  <c r="AA4" i="33"/>
  <c r="AA5" i="33"/>
  <c r="AA6" i="33"/>
  <c r="AA7" i="33"/>
  <c r="AA8" i="33"/>
  <c r="AA9" i="33"/>
  <c r="AA10" i="33"/>
  <c r="AA11" i="33"/>
  <c r="AA12" i="33"/>
  <c r="X12" i="33"/>
  <c r="C12" i="33"/>
  <c r="AM11" i="33"/>
  <c r="AH11" i="33"/>
  <c r="AC11" i="33"/>
  <c r="X11" i="33"/>
  <c r="C11" i="33"/>
  <c r="AM10" i="33"/>
  <c r="AH10" i="33"/>
  <c r="AC10" i="33"/>
  <c r="X10" i="33"/>
  <c r="C10" i="33"/>
  <c r="AM9" i="33"/>
  <c r="AH9" i="33"/>
  <c r="AC9" i="33"/>
  <c r="X9" i="33"/>
  <c r="C9" i="33"/>
  <c r="AM8" i="33"/>
  <c r="AH8" i="33"/>
  <c r="AC8" i="33"/>
  <c r="X8" i="33"/>
  <c r="C8" i="33"/>
  <c r="AM7" i="33"/>
  <c r="AH7" i="33"/>
  <c r="AC7" i="33"/>
  <c r="X7" i="33"/>
  <c r="AM6" i="33"/>
  <c r="AH6" i="33"/>
  <c r="AC6" i="33"/>
  <c r="X6" i="33"/>
  <c r="AM5" i="33"/>
  <c r="AH5" i="33"/>
  <c r="AC5" i="33"/>
  <c r="X5" i="33"/>
  <c r="AM4" i="33"/>
  <c r="AH4" i="33"/>
  <c r="AC4" i="33"/>
  <c r="X4" i="33"/>
  <c r="Z20" i="33"/>
  <c r="Z19" i="33"/>
  <c r="Z18" i="33"/>
  <c r="Z17" i="33"/>
  <c r="AE88" i="33"/>
  <c r="AE87" i="33"/>
  <c r="AE86" i="33"/>
  <c r="AE84" i="33"/>
  <c r="AE83" i="33"/>
  <c r="AE82" i="33"/>
  <c r="AE72" i="33"/>
  <c r="AE71" i="33"/>
  <c r="AE70" i="33"/>
  <c r="AE68" i="33"/>
  <c r="AE67" i="33"/>
  <c r="AE66" i="33"/>
  <c r="G12" i="32"/>
  <c r="C13" i="32" a="1"/>
  <c r="C13" i="32"/>
  <c r="E13" i="32"/>
  <c r="G47" i="32"/>
  <c r="G46" i="32"/>
  <c r="G13" i="32"/>
  <c r="G45" i="32"/>
  <c r="G44" i="32"/>
  <c r="G14" i="32"/>
  <c r="G43" i="32"/>
  <c r="G42" i="32"/>
  <c r="G15" i="32"/>
  <c r="G41" i="32"/>
  <c r="G40" i="32"/>
  <c r="G16" i="32"/>
  <c r="G39" i="32"/>
  <c r="G38" i="32"/>
  <c r="G17" i="32"/>
  <c r="G37" i="32"/>
  <c r="G36" i="32"/>
  <c r="G18" i="32"/>
  <c r="G35" i="32"/>
  <c r="G34" i="32"/>
  <c r="G20" i="21"/>
  <c r="G27" i="21"/>
  <c r="G19" i="21"/>
  <c r="G29" i="21"/>
  <c r="G18" i="21"/>
  <c r="G31" i="21"/>
  <c r="Q64" i="30"/>
  <c r="F4" i="30"/>
  <c r="V64" i="30"/>
  <c r="V65" i="30"/>
  <c r="V66" i="30"/>
  <c r="V67" i="30"/>
  <c r="V68" i="30"/>
  <c r="V73" i="30"/>
  <c r="V74" i="30"/>
  <c r="V75" i="30"/>
  <c r="V76" i="30"/>
  <c r="V81" i="30"/>
  <c r="V82" i="30"/>
  <c r="V83" i="30"/>
  <c r="V84" i="30"/>
  <c r="V85" i="30"/>
  <c r="V86" i="30"/>
  <c r="V87" i="30"/>
  <c r="V88" i="30"/>
  <c r="X64" i="30"/>
  <c r="Y64" i="30"/>
  <c r="AA64" i="30"/>
  <c r="AE64" i="30"/>
  <c r="X65" i="30"/>
  <c r="Y65" i="30"/>
  <c r="AA65" i="30"/>
  <c r="AE65" i="30"/>
  <c r="X66" i="30"/>
  <c r="Y66" i="30"/>
  <c r="AA66" i="30"/>
  <c r="AE66" i="30"/>
  <c r="X67" i="30"/>
  <c r="Y67" i="30"/>
  <c r="AA67" i="30"/>
  <c r="AE67" i="30"/>
  <c r="X68" i="30"/>
  <c r="Y68" i="30"/>
  <c r="AA68" i="30"/>
  <c r="AE68" i="30"/>
  <c r="W69" i="30"/>
  <c r="X69" i="30"/>
  <c r="Y69" i="30"/>
  <c r="AA69" i="30"/>
  <c r="AE69" i="30"/>
  <c r="AE70" i="30"/>
  <c r="AE71" i="30"/>
  <c r="AE72" i="30"/>
  <c r="W73" i="30"/>
  <c r="X73" i="30"/>
  <c r="Y73" i="30"/>
  <c r="AA73" i="30"/>
  <c r="AE73" i="30"/>
  <c r="W74" i="30"/>
  <c r="X74" i="30"/>
  <c r="Y74" i="30"/>
  <c r="AA74" i="30"/>
  <c r="AE74" i="30"/>
  <c r="W75" i="30"/>
  <c r="X75" i="30"/>
  <c r="Y75" i="30"/>
  <c r="AA75" i="30"/>
  <c r="AE75" i="30"/>
  <c r="W76" i="30"/>
  <c r="X76" i="30"/>
  <c r="Y76" i="30"/>
  <c r="AA76" i="30"/>
  <c r="AE76" i="30"/>
  <c r="X81" i="30"/>
  <c r="Y81" i="30"/>
  <c r="AA81" i="30"/>
  <c r="AE81" i="30"/>
  <c r="X82" i="30"/>
  <c r="Y82" i="30"/>
  <c r="AA82" i="30"/>
  <c r="AE82" i="30"/>
  <c r="X83" i="30"/>
  <c r="Y83" i="30"/>
  <c r="AA83" i="30"/>
  <c r="AE83" i="30"/>
  <c r="X84" i="30"/>
  <c r="Y84" i="30"/>
  <c r="AA84" i="30"/>
  <c r="AE84" i="30"/>
  <c r="X85" i="30"/>
  <c r="Y85" i="30"/>
  <c r="AA85" i="30"/>
  <c r="AE85" i="30"/>
  <c r="X86" i="30"/>
  <c r="Y86" i="30"/>
  <c r="AA86" i="30"/>
  <c r="AE86" i="30"/>
  <c r="X87" i="30"/>
  <c r="Y87" i="30"/>
  <c r="AA87" i="30"/>
  <c r="AE87" i="30"/>
  <c r="X88" i="30"/>
  <c r="Y88" i="30"/>
  <c r="AA88" i="30"/>
  <c r="AE88" i="30"/>
  <c r="J4" i="30"/>
  <c r="K17" i="30"/>
  <c r="AF86" i="30"/>
  <c r="J5" i="30"/>
  <c r="K18" i="30"/>
  <c r="Q66" i="30"/>
  <c r="F6" i="30"/>
  <c r="AF70" i="30"/>
  <c r="AF74" i="30"/>
  <c r="J6" i="30"/>
  <c r="K19" i="30"/>
  <c r="AF66" i="30"/>
  <c r="AF82" i="30"/>
  <c r="J7" i="30"/>
  <c r="K20" i="30"/>
  <c r="AF64" i="30"/>
  <c r="AF65" i="30"/>
  <c r="AF81" i="30"/>
  <c r="AF69" i="30"/>
  <c r="AF73" i="30"/>
  <c r="J8" i="30"/>
  <c r="K21" i="30"/>
  <c r="J9" i="30"/>
  <c r="K22" i="30"/>
  <c r="J10" i="30"/>
  <c r="K23" i="30"/>
  <c r="J11" i="30"/>
  <c r="K24" i="30"/>
  <c r="J12" i="30"/>
  <c r="K25" i="30"/>
  <c r="AD17" i="30"/>
  <c r="G4" i="30"/>
  <c r="H4" i="30"/>
  <c r="I4" i="30"/>
  <c r="J17" i="30"/>
  <c r="H17" i="30"/>
  <c r="L17" i="30"/>
  <c r="G5" i="30"/>
  <c r="H5" i="30"/>
  <c r="I5" i="30"/>
  <c r="J18" i="30"/>
  <c r="H18" i="30"/>
  <c r="L18" i="30"/>
  <c r="G6" i="30"/>
  <c r="H6" i="30"/>
  <c r="I6" i="30"/>
  <c r="J19" i="30"/>
  <c r="H19" i="30"/>
  <c r="L19" i="30"/>
  <c r="G7" i="30"/>
  <c r="H7" i="30"/>
  <c r="I7" i="30"/>
  <c r="J20" i="30"/>
  <c r="H20" i="30"/>
  <c r="L20" i="30"/>
  <c r="G8" i="30"/>
  <c r="H8" i="30"/>
  <c r="I8" i="30"/>
  <c r="J21" i="30"/>
  <c r="H21" i="30"/>
  <c r="L21" i="30"/>
  <c r="G9" i="30"/>
  <c r="H9" i="30"/>
  <c r="I9" i="30"/>
  <c r="J22" i="30"/>
  <c r="H22" i="30"/>
  <c r="L22" i="30"/>
  <c r="G10" i="30"/>
  <c r="H10" i="30"/>
  <c r="I10" i="30"/>
  <c r="J23" i="30"/>
  <c r="H23" i="30"/>
  <c r="L23" i="30"/>
  <c r="G11" i="30"/>
  <c r="H11" i="30"/>
  <c r="I11" i="30"/>
  <c r="J24" i="30"/>
  <c r="H24" i="30"/>
  <c r="L24" i="30"/>
  <c r="G12" i="30"/>
  <c r="H12" i="30"/>
  <c r="I12" i="30"/>
  <c r="J25" i="30"/>
  <c r="H25"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M18" i="30"/>
  <c r="N18" i="30" a="1"/>
  <c r="N18" i="30"/>
  <c r="O18" i="30"/>
  <c r="E31" i="30" a="1"/>
  <c r="E31" i="30"/>
  <c r="F31" i="30" a="1"/>
  <c r="F31" i="30"/>
  <c r="G31" i="30" a="1"/>
  <c r="H31" i="30" a="1"/>
  <c r="I31" i="30" a="1"/>
  <c r="J31" i="30" a="1"/>
  <c r="K31" i="30" a="1"/>
  <c r="L31" i="30" a="1"/>
  <c r="P18" i="30"/>
  <c r="BR52" i="30"/>
  <c r="BS51" i="30"/>
  <c r="BT52" i="30"/>
  <c r="BU51" i="30"/>
  <c r="BU52" i="30"/>
  <c r="BV52" i="30"/>
  <c r="BW52" i="30"/>
  <c r="BX52" i="30"/>
  <c r="BY52" i="30"/>
  <c r="BZ52" i="30"/>
  <c r="CA52"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M31" i="30" a="1"/>
  <c r="M19" i="30"/>
  <c r="N19" i="30" a="1"/>
  <c r="N19" i="30"/>
  <c r="P19" i="30"/>
  <c r="N31" i="30" a="1"/>
  <c r="M20" i="30"/>
  <c r="N20" i="30" a="1"/>
  <c r="N20" i="30"/>
  <c r="P20" i="30"/>
  <c r="O31" i="30" a="1"/>
  <c r="M21" i="30"/>
  <c r="N21" i="30" a="1"/>
  <c r="N21" i="30"/>
  <c r="P21" i="30"/>
  <c r="P31" i="30" a="1"/>
  <c r="M22" i="30"/>
  <c r="N22" i="30" a="1"/>
  <c r="N22" i="30"/>
  <c r="P22" i="30"/>
  <c r="Q31" i="30" a="1"/>
  <c r="M23" i="30"/>
  <c r="N23" i="30" a="1"/>
  <c r="N23" i="30"/>
  <c r="P23" i="30"/>
  <c r="R31" i="30" a="1"/>
  <c r="M24" i="30"/>
  <c r="N24" i="30" a="1"/>
  <c r="N24" i="30"/>
  <c r="P24" i="30"/>
  <c r="S31" i="30" a="1"/>
  <c r="M25" i="30"/>
  <c r="N25" i="30" a="1"/>
  <c r="N25" i="30"/>
  <c r="P25" i="30"/>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BR41" i="30"/>
  <c r="BS40" i="30"/>
  <c r="BR30" i="30"/>
  <c r="BT30"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O19" i="30"/>
  <c r="C19" i="30"/>
  <c r="E32" i="30" a="1"/>
  <c r="E32" i="30"/>
  <c r="F32" i="30" a="1"/>
  <c r="F32" i="30"/>
  <c r="G32" i="30" a="1"/>
  <c r="H32" i="30" a="1"/>
  <c r="I32" i="30" a="1"/>
  <c r="J32" i="30" a="1"/>
  <c r="K32" i="30" a="1"/>
  <c r="L32" i="30" a="1"/>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O20" i="30"/>
  <c r="E33" i="30" a="1"/>
  <c r="E33" i="30"/>
  <c r="F33" i="30" a="1"/>
  <c r="F33" i="30"/>
  <c r="G33" i="30" a="1"/>
  <c r="H33" i="30" a="1"/>
  <c r="I33" i="30" a="1"/>
  <c r="J33" i="30" a="1"/>
  <c r="K33" i="30" a="1"/>
  <c r="L33" i="30" a="1"/>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AG17" i="30"/>
  <c r="AE17" i="30"/>
  <c r="AE18" i="30"/>
  <c r="AE19" i="30"/>
  <c r="AE20"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O21" i="30"/>
  <c r="O22" i="30"/>
  <c r="O23" i="30"/>
  <c r="O24" i="30"/>
  <c r="O25" i="30"/>
  <c r="O3" i="30"/>
  <c r="P3" i="30"/>
  <c r="Q21" i="30"/>
  <c r="Q22" i="30"/>
  <c r="Q23" i="30"/>
  <c r="Q24" i="30"/>
  <c r="Q25" i="30"/>
  <c r="Q3" i="30"/>
  <c r="R21" i="30"/>
  <c r="R22" i="30"/>
  <c r="R23" i="30"/>
  <c r="R24" i="30"/>
  <c r="R25" i="30"/>
  <c r="R3" i="30"/>
  <c r="S21" i="30"/>
  <c r="S22" i="30"/>
  <c r="S23" i="30"/>
  <c r="S24" i="30"/>
  <c r="S25" i="30"/>
  <c r="S3" i="30"/>
  <c r="T21" i="30"/>
  <c r="T22" i="30"/>
  <c r="T23" i="30"/>
  <c r="T24" i="30"/>
  <c r="T25" i="30"/>
  <c r="T3" i="30"/>
  <c r="U21" i="30"/>
  <c r="U22" i="30"/>
  <c r="U23" i="30"/>
  <c r="U24" i="30"/>
  <c r="U25" i="30"/>
  <c r="U3" i="30"/>
  <c r="V21" i="30"/>
  <c r="V22" i="30"/>
  <c r="V23" i="30"/>
  <c r="V24" i="30"/>
  <c r="V25" i="30"/>
  <c r="V3" i="30"/>
  <c r="R4" i="30"/>
  <c r="AL3" i="30"/>
  <c r="AL4" i="30"/>
  <c r="AN4" i="30"/>
  <c r="AL5" i="30"/>
  <c r="AN5" i="30"/>
  <c r="AL6" i="30"/>
  <c r="AN6" i="30"/>
  <c r="AL7" i="30"/>
  <c r="AN7" i="30"/>
  <c r="AL8" i="30"/>
  <c r="AN8" i="30"/>
  <c r="AL9" i="30"/>
  <c r="AN9" i="30"/>
  <c r="AL10" i="30"/>
  <c r="AN10" i="30"/>
  <c r="AL11" i="30"/>
  <c r="AN11" i="30"/>
  <c r="AL12" i="30"/>
  <c r="AN12" i="30"/>
  <c r="X17" i="30"/>
  <c r="X18" i="30"/>
  <c r="X19" i="30"/>
  <c r="X20" i="30"/>
  <c r="X21" i="30"/>
  <c r="X22" i="30"/>
  <c r="X23" i="30"/>
  <c r="X24" i="30"/>
  <c r="X25" i="30"/>
  <c r="E4" i="30"/>
  <c r="E5" i="30"/>
  <c r="E6" i="30"/>
  <c r="E7" i="30"/>
  <c r="E8" i="30"/>
  <c r="E9" i="30"/>
  <c r="E10" i="30"/>
  <c r="E11" i="30"/>
  <c r="E12" i="30"/>
  <c r="AO4" i="30"/>
  <c r="AO5" i="30"/>
  <c r="AO6" i="30"/>
  <c r="AO7" i="30"/>
  <c r="AO8" i="30"/>
  <c r="AO9" i="30"/>
  <c r="AO10" i="30"/>
  <c r="AO11" i="30"/>
  <c r="AO12" i="30"/>
  <c r="AP4" i="30"/>
  <c r="AP5" i="30"/>
  <c r="AP6" i="30"/>
  <c r="AP7" i="30"/>
  <c r="AP8" i="30"/>
  <c r="AP9" i="30"/>
  <c r="AP10" i="30"/>
  <c r="AP11" i="30"/>
  <c r="AP12" i="30"/>
  <c r="AM12" i="30"/>
  <c r="Q4" i="30"/>
  <c r="AG3" i="30"/>
  <c r="AG4" i="30"/>
  <c r="AI4" i="30"/>
  <c r="AG5" i="30"/>
  <c r="AI5" i="30"/>
  <c r="AG6" i="30"/>
  <c r="AI6" i="30"/>
  <c r="AG7" i="30"/>
  <c r="AI7" i="30"/>
  <c r="AG8" i="30"/>
  <c r="AI8" i="30"/>
  <c r="AG9" i="30"/>
  <c r="AI9" i="30"/>
  <c r="AG10" i="30"/>
  <c r="AI10" i="30"/>
  <c r="AG11" i="30"/>
  <c r="AI11" i="30"/>
  <c r="AG12" i="30"/>
  <c r="AI12" i="30"/>
  <c r="AJ4" i="30"/>
  <c r="AJ5" i="30"/>
  <c r="AJ6" i="30"/>
  <c r="AJ7" i="30"/>
  <c r="AJ8" i="30"/>
  <c r="AJ9" i="30"/>
  <c r="AJ10" i="30"/>
  <c r="AJ11" i="30"/>
  <c r="AJ12" i="30"/>
  <c r="AK4" i="30"/>
  <c r="AK5" i="30"/>
  <c r="AK6" i="30"/>
  <c r="AK7" i="30"/>
  <c r="AK8" i="30"/>
  <c r="AK9" i="30"/>
  <c r="AK10" i="30"/>
  <c r="AK11" i="30"/>
  <c r="AK12" i="30"/>
  <c r="AH12" i="30"/>
  <c r="P4" i="30"/>
  <c r="AB3" i="30"/>
  <c r="AB4" i="30"/>
  <c r="AD4" i="30"/>
  <c r="AB5" i="30"/>
  <c r="AD5" i="30"/>
  <c r="AB6" i="30"/>
  <c r="AD6" i="30"/>
  <c r="AB7" i="30"/>
  <c r="AD7" i="30"/>
  <c r="AB8" i="30"/>
  <c r="AD8" i="30"/>
  <c r="AB9" i="30"/>
  <c r="AD9" i="30"/>
  <c r="AB10" i="30"/>
  <c r="AD10" i="30"/>
  <c r="AB11" i="30"/>
  <c r="AD11" i="30"/>
  <c r="AB12" i="30"/>
  <c r="AD12" i="30"/>
  <c r="AE4" i="30"/>
  <c r="AE5" i="30"/>
  <c r="AE6" i="30"/>
  <c r="AE7" i="30"/>
  <c r="AE8" i="30"/>
  <c r="AE9" i="30"/>
  <c r="AE10" i="30"/>
  <c r="AE11" i="30"/>
  <c r="AE12" i="30"/>
  <c r="AF4" i="30"/>
  <c r="AF5" i="30"/>
  <c r="AF6" i="30"/>
  <c r="AF7" i="30"/>
  <c r="AF8" i="30"/>
  <c r="AF9" i="30"/>
  <c r="AF10" i="30"/>
  <c r="AF11" i="30"/>
  <c r="AF12" i="30"/>
  <c r="AC12" i="30"/>
  <c r="Z17" i="30"/>
  <c r="Z19" i="30"/>
  <c r="O4" i="30"/>
  <c r="W3" i="30"/>
  <c r="W4" i="30"/>
  <c r="Y4" i="30"/>
  <c r="W5" i="30"/>
  <c r="Z18" i="30"/>
  <c r="Y5" i="30"/>
  <c r="W6" i="30"/>
  <c r="Y6" i="30"/>
  <c r="W7" i="30"/>
  <c r="Z20" i="30"/>
  <c r="Y7" i="30"/>
  <c r="W8" i="30"/>
  <c r="Y8" i="30"/>
  <c r="W9" i="30"/>
  <c r="Y9" i="30"/>
  <c r="W10" i="30"/>
  <c r="Y10" i="30"/>
  <c r="W11" i="30"/>
  <c r="Y11" i="30"/>
  <c r="W12" i="30"/>
  <c r="Y12" i="30"/>
  <c r="Z4" i="30"/>
  <c r="Z5" i="30"/>
  <c r="Z6" i="30"/>
  <c r="Z7" i="30"/>
  <c r="Z8" i="30"/>
  <c r="Z9" i="30"/>
  <c r="Z10" i="30"/>
  <c r="Z11" i="30"/>
  <c r="Z12" i="30"/>
  <c r="AA4" i="30"/>
  <c r="AA5" i="30"/>
  <c r="AA6" i="30"/>
  <c r="AA7" i="30"/>
  <c r="AA8" i="30"/>
  <c r="AA9" i="30"/>
  <c r="AA10" i="30"/>
  <c r="AA11" i="30"/>
  <c r="AA12" i="30"/>
  <c r="X12" i="30"/>
  <c r="AM11" i="30"/>
  <c r="AH11" i="30"/>
  <c r="AC11" i="30"/>
  <c r="X11" i="30"/>
  <c r="AM10" i="30"/>
  <c r="AH10" i="30"/>
  <c r="AC10" i="30"/>
  <c r="X10" i="30"/>
  <c r="AM9" i="30"/>
  <c r="AH9" i="30"/>
  <c r="AC9" i="30"/>
  <c r="X9" i="30"/>
  <c r="AM8" i="30"/>
  <c r="AH8" i="30"/>
  <c r="AC8" i="30"/>
  <c r="X8" i="30"/>
  <c r="AM7" i="30"/>
  <c r="AH7" i="30"/>
  <c r="AC7" i="30"/>
  <c r="X7" i="30"/>
  <c r="AM6" i="30"/>
  <c r="AH6" i="30"/>
  <c r="AC6" i="30"/>
  <c r="X6" i="30"/>
  <c r="AM5" i="30"/>
  <c r="AH5" i="30"/>
  <c r="AC5" i="30"/>
  <c r="X5" i="30"/>
  <c r="AM4" i="30"/>
  <c r="AH4" i="30"/>
  <c r="AC4" i="30"/>
  <c r="X4" i="30"/>
  <c r="O21" i="29"/>
  <c r="O22" i="29"/>
  <c r="O23" i="29"/>
  <c r="O24" i="29"/>
  <c r="O25" i="29"/>
  <c r="O3" i="29"/>
  <c r="P21" i="29"/>
  <c r="P22" i="29"/>
  <c r="P23" i="29"/>
  <c r="P24" i="29"/>
  <c r="P25" i="29"/>
  <c r="P3" i="29"/>
  <c r="Q3" i="29"/>
  <c r="R3" i="29"/>
  <c r="S21" i="29"/>
  <c r="S22" i="29"/>
  <c r="S23" i="29"/>
  <c r="S24" i="29"/>
  <c r="S25" i="29"/>
  <c r="S3" i="29"/>
  <c r="T21" i="29"/>
  <c r="T22" i="29"/>
  <c r="T23" i="29"/>
  <c r="T24" i="29"/>
  <c r="T25" i="29"/>
  <c r="T3" i="29"/>
  <c r="U21" i="29"/>
  <c r="U22" i="29"/>
  <c r="U23" i="29"/>
  <c r="U24" i="29"/>
  <c r="U25" i="29"/>
  <c r="U3" i="29"/>
  <c r="V21" i="29"/>
  <c r="V22" i="29"/>
  <c r="V23" i="29"/>
  <c r="V24" i="29"/>
  <c r="V25" i="29"/>
  <c r="V3" i="29"/>
  <c r="R4" i="29"/>
  <c r="AL3" i="29"/>
  <c r="AL4" i="29"/>
  <c r="AN4" i="29"/>
  <c r="AL5" i="29"/>
  <c r="AN5" i="29"/>
  <c r="AL6" i="29"/>
  <c r="AN6" i="29"/>
  <c r="AL7" i="29"/>
  <c r="AN7" i="29"/>
  <c r="AL8" i="29"/>
  <c r="AN8" i="29"/>
  <c r="AL9" i="29"/>
  <c r="AN9" i="29"/>
  <c r="AL10" i="29"/>
  <c r="AN10" i="29"/>
  <c r="AL11" i="29"/>
  <c r="AN11" i="29"/>
  <c r="AL12" i="29"/>
  <c r="AN12" i="29"/>
  <c r="AO4" i="29"/>
  <c r="AO5" i="29"/>
  <c r="AO6" i="29"/>
  <c r="AO7" i="29"/>
  <c r="AO8" i="29"/>
  <c r="AO9" i="29"/>
  <c r="AO10" i="29"/>
  <c r="AO11" i="29"/>
  <c r="AO12" i="29"/>
  <c r="AP4" i="29"/>
  <c r="AP5" i="29"/>
  <c r="AP6" i="29"/>
  <c r="AP7" i="29"/>
  <c r="AP8" i="29"/>
  <c r="AP9" i="29"/>
  <c r="AP10" i="29"/>
  <c r="AP11" i="29"/>
  <c r="AP12" i="29"/>
  <c r="AM12" i="29"/>
  <c r="Q4" i="29"/>
  <c r="AG3" i="29"/>
  <c r="AG4" i="29"/>
  <c r="AI4" i="29"/>
  <c r="AG5" i="29"/>
  <c r="AI5" i="29"/>
  <c r="AG6" i="29"/>
  <c r="AI6" i="29"/>
  <c r="AG7" i="29"/>
  <c r="AI7" i="29"/>
  <c r="AG8" i="29"/>
  <c r="AI8" i="29"/>
  <c r="AG9" i="29"/>
  <c r="AI9" i="29"/>
  <c r="AG10" i="29"/>
  <c r="AI10" i="29"/>
  <c r="AG11" i="29"/>
  <c r="AI11" i="29"/>
  <c r="AG12" i="29"/>
  <c r="AI12" i="29"/>
  <c r="AJ4" i="29"/>
  <c r="AJ5" i="29"/>
  <c r="AJ6" i="29"/>
  <c r="AJ7" i="29"/>
  <c r="AJ8" i="29"/>
  <c r="AJ9" i="29"/>
  <c r="AJ10" i="29"/>
  <c r="AJ11" i="29"/>
  <c r="AJ12" i="29"/>
  <c r="AK4" i="29"/>
  <c r="AK5" i="29"/>
  <c r="AK6" i="29"/>
  <c r="AK7" i="29"/>
  <c r="AK8" i="29"/>
  <c r="AK9" i="29"/>
  <c r="AK10" i="29"/>
  <c r="AK11" i="29"/>
  <c r="AK12" i="29"/>
  <c r="AH12" i="29"/>
  <c r="P4" i="29"/>
  <c r="AB3" i="29"/>
  <c r="AB4" i="29"/>
  <c r="AD4" i="29"/>
  <c r="AB5" i="29"/>
  <c r="AD5" i="29"/>
  <c r="AB6" i="29"/>
  <c r="AD6" i="29"/>
  <c r="AB7" i="29"/>
  <c r="AD7" i="29"/>
  <c r="AB8" i="29"/>
  <c r="AD8" i="29"/>
  <c r="AB9" i="29"/>
  <c r="AD9" i="29"/>
  <c r="AB10" i="29"/>
  <c r="AD10" i="29"/>
  <c r="AB11" i="29"/>
  <c r="AD11" i="29"/>
  <c r="AB12" i="29"/>
  <c r="AD12" i="29"/>
  <c r="AE4" i="29"/>
  <c r="AE5" i="29"/>
  <c r="AE6" i="29"/>
  <c r="AE7" i="29"/>
  <c r="AE8" i="29"/>
  <c r="AE9" i="29"/>
  <c r="AE10" i="29"/>
  <c r="AE11" i="29"/>
  <c r="AE12" i="29"/>
  <c r="AF4" i="29"/>
  <c r="AF5" i="29"/>
  <c r="AF6" i="29"/>
  <c r="AF7" i="29"/>
  <c r="AF8" i="29"/>
  <c r="AF9" i="29"/>
  <c r="AF10" i="29"/>
  <c r="AF11" i="29"/>
  <c r="AF12" i="29"/>
  <c r="AC12" i="29"/>
  <c r="Z17" i="29"/>
  <c r="O4" i="29"/>
  <c r="W3" i="29"/>
  <c r="W4" i="29"/>
  <c r="Y4" i="29"/>
  <c r="W5" i="29"/>
  <c r="Z18" i="29"/>
  <c r="Y5" i="29"/>
  <c r="W6" i="29"/>
  <c r="Y6" i="29"/>
  <c r="W7" i="29"/>
  <c r="Y7" i="29"/>
  <c r="W8" i="29"/>
  <c r="Y8" i="29"/>
  <c r="W9" i="29"/>
  <c r="Y9" i="29"/>
  <c r="W10" i="29"/>
  <c r="Y10" i="29"/>
  <c r="W11" i="29"/>
  <c r="Y11" i="29"/>
  <c r="W12" i="29"/>
  <c r="Y12" i="29"/>
  <c r="Z4" i="29"/>
  <c r="Z5" i="29"/>
  <c r="Z6" i="29"/>
  <c r="Z7" i="29"/>
  <c r="Z8" i="29"/>
  <c r="Z9" i="29"/>
  <c r="Z10" i="29"/>
  <c r="Z11" i="29"/>
  <c r="Z12" i="29"/>
  <c r="AA4" i="29"/>
  <c r="AA5" i="29"/>
  <c r="AA6" i="29"/>
  <c r="AA7" i="29"/>
  <c r="AA8" i="29"/>
  <c r="AA9" i="29"/>
  <c r="AA10" i="29"/>
  <c r="AA11" i="29"/>
  <c r="AA12" i="29"/>
  <c r="X12" i="29"/>
  <c r="AM11" i="29"/>
  <c r="AH11" i="29"/>
  <c r="AC11" i="29"/>
  <c r="X11" i="29"/>
  <c r="AM10" i="29"/>
  <c r="AH10" i="29"/>
  <c r="AC10" i="29"/>
  <c r="X10" i="29"/>
  <c r="AM9" i="29"/>
  <c r="AH9" i="29"/>
  <c r="AC9" i="29"/>
  <c r="X9" i="29"/>
  <c r="AM8" i="29"/>
  <c r="AH8" i="29"/>
  <c r="AC8" i="29"/>
  <c r="X8" i="29"/>
  <c r="AM7" i="29"/>
  <c r="AH7" i="29"/>
  <c r="AC7" i="29"/>
  <c r="X7" i="29"/>
  <c r="AM6" i="29"/>
  <c r="AH6" i="29"/>
  <c r="AC6" i="29"/>
  <c r="X6" i="29"/>
  <c r="AM5" i="29"/>
  <c r="AH5" i="29"/>
  <c r="AC5" i="29"/>
  <c r="X5" i="29"/>
  <c r="AM4" i="29"/>
  <c r="AH4" i="29"/>
  <c r="AC4" i="29"/>
  <c r="X4" i="29"/>
  <c r="M21" i="28"/>
  <c r="N21" i="28" a="1"/>
  <c r="N21" i="28"/>
  <c r="O21" i="28"/>
  <c r="M22" i="28"/>
  <c r="N22" i="28" a="1"/>
  <c r="N22" i="28"/>
  <c r="O22" i="28"/>
  <c r="M23" i="28"/>
  <c r="N23" i="28" a="1"/>
  <c r="N23" i="28"/>
  <c r="O23" i="28"/>
  <c r="M24" i="28"/>
  <c r="N24" i="28" a="1"/>
  <c r="N24" i="28"/>
  <c r="O24" i="28"/>
  <c r="M25" i="28"/>
  <c r="N25" i="28" a="1"/>
  <c r="N25" i="28"/>
  <c r="O25" i="28"/>
  <c r="O3" i="28"/>
  <c r="P21" i="28"/>
  <c r="P22" i="28"/>
  <c r="P23" i="28"/>
  <c r="P24" i="28"/>
  <c r="P25" i="28"/>
  <c r="P3" i="28"/>
  <c r="Q21" i="28"/>
  <c r="Q22" i="28"/>
  <c r="Q23" i="28"/>
  <c r="Q24" i="28"/>
  <c r="Q25" i="28"/>
  <c r="Q3" i="28"/>
  <c r="R21" i="28"/>
  <c r="R22" i="28"/>
  <c r="R23" i="28"/>
  <c r="R24" i="28"/>
  <c r="R25" i="28"/>
  <c r="R3" i="28"/>
  <c r="S21" i="28"/>
  <c r="S22" i="28"/>
  <c r="S23" i="28"/>
  <c r="S24" i="28"/>
  <c r="S25" i="28"/>
  <c r="S3" i="28"/>
  <c r="T21" i="28"/>
  <c r="T22" i="28"/>
  <c r="T23" i="28"/>
  <c r="T24" i="28"/>
  <c r="T25" i="28"/>
  <c r="T3" i="28"/>
  <c r="U21" i="28"/>
  <c r="U22" i="28"/>
  <c r="U23" i="28"/>
  <c r="U24" i="28"/>
  <c r="U25" i="28"/>
  <c r="U3" i="28"/>
  <c r="V21" i="28"/>
  <c r="V22" i="28"/>
  <c r="V23" i="28"/>
  <c r="V24" i="28"/>
  <c r="V25" i="28"/>
  <c r="V3" i="28"/>
  <c r="R4" i="28"/>
  <c r="AL3" i="28"/>
  <c r="AL4" i="28"/>
  <c r="AN4" i="28"/>
  <c r="AL5" i="28"/>
  <c r="AN5" i="28"/>
  <c r="AL6" i="28"/>
  <c r="AN6" i="28"/>
  <c r="AL7" i="28"/>
  <c r="AN7" i="28"/>
  <c r="AL8" i="28"/>
  <c r="AN8" i="28"/>
  <c r="AL9" i="28"/>
  <c r="AN9" i="28"/>
  <c r="AL10" i="28"/>
  <c r="AN10" i="28"/>
  <c r="AL11" i="28"/>
  <c r="AN11" i="28"/>
  <c r="AL12" i="28"/>
  <c r="AN12" i="28"/>
  <c r="AO4" i="28"/>
  <c r="AO5" i="28"/>
  <c r="AO6" i="28"/>
  <c r="AO7" i="28"/>
  <c r="AO8" i="28"/>
  <c r="AO9" i="28"/>
  <c r="AO10" i="28"/>
  <c r="AO11" i="28"/>
  <c r="AO12" i="28"/>
  <c r="AP4" i="28"/>
  <c r="AP5" i="28"/>
  <c r="AP6" i="28"/>
  <c r="AP7" i="28"/>
  <c r="AP8" i="28"/>
  <c r="AP9" i="28"/>
  <c r="AP10" i="28"/>
  <c r="AP11" i="28"/>
  <c r="AP12" i="28"/>
  <c r="AM12" i="28"/>
  <c r="Q4" i="28"/>
  <c r="AG3" i="28"/>
  <c r="AG4" i="28"/>
  <c r="AI4" i="28"/>
  <c r="AG5" i="28"/>
  <c r="AI5" i="28"/>
  <c r="AG6" i="28"/>
  <c r="AI6" i="28"/>
  <c r="AG7" i="28"/>
  <c r="AI7" i="28"/>
  <c r="AG8" i="28"/>
  <c r="AI8" i="28"/>
  <c r="AG9" i="28"/>
  <c r="AI9" i="28"/>
  <c r="AG10" i="28"/>
  <c r="AI10" i="28"/>
  <c r="AG11" i="28"/>
  <c r="AI11" i="28"/>
  <c r="AG12" i="28"/>
  <c r="AI12" i="28"/>
  <c r="AJ4" i="28"/>
  <c r="AJ5" i="28"/>
  <c r="AJ6" i="28"/>
  <c r="AJ7" i="28"/>
  <c r="AJ8" i="28"/>
  <c r="AJ9" i="28"/>
  <c r="AJ10" i="28"/>
  <c r="AJ11" i="28"/>
  <c r="AJ12" i="28"/>
  <c r="AK4" i="28"/>
  <c r="AK5" i="28"/>
  <c r="AK6" i="28"/>
  <c r="AK7" i="28"/>
  <c r="AK8" i="28"/>
  <c r="AK9" i="28"/>
  <c r="AK10" i="28"/>
  <c r="AK11" i="28"/>
  <c r="AK12" i="28"/>
  <c r="AH12" i="28"/>
  <c r="P4" i="28"/>
  <c r="AB3" i="28"/>
  <c r="AB4" i="28"/>
  <c r="AD4" i="28"/>
  <c r="AB5" i="28"/>
  <c r="AD5" i="28"/>
  <c r="AB6" i="28"/>
  <c r="AD6" i="28"/>
  <c r="AB7" i="28"/>
  <c r="AD7" i="28"/>
  <c r="AB8" i="28"/>
  <c r="AD8" i="28"/>
  <c r="AB9" i="28"/>
  <c r="AD9" i="28"/>
  <c r="AB10" i="28"/>
  <c r="AD10" i="28"/>
  <c r="AB11" i="28"/>
  <c r="AD11" i="28"/>
  <c r="AB12" i="28"/>
  <c r="AD12" i="28"/>
  <c r="AE4" i="28"/>
  <c r="AE5" i="28"/>
  <c r="AE6" i="28"/>
  <c r="AE7" i="28"/>
  <c r="AE8" i="28"/>
  <c r="AE9" i="28"/>
  <c r="AE10" i="28"/>
  <c r="AE11" i="28"/>
  <c r="AE12" i="28"/>
  <c r="AF4" i="28"/>
  <c r="AF5" i="28"/>
  <c r="AF6" i="28"/>
  <c r="AF7" i="28"/>
  <c r="AF8" i="28"/>
  <c r="AF9" i="28"/>
  <c r="AF10" i="28"/>
  <c r="AF11" i="28"/>
  <c r="AF12" i="28"/>
  <c r="AC12" i="28"/>
  <c r="Z17" i="28"/>
  <c r="Z19" i="28"/>
  <c r="Z20" i="28"/>
  <c r="O4" i="28"/>
  <c r="W3" i="28"/>
  <c r="W4" i="28"/>
  <c r="Y4" i="28"/>
  <c r="W5" i="28"/>
  <c r="Y5" i="28"/>
  <c r="W6" i="28"/>
  <c r="Y6" i="28"/>
  <c r="W7" i="28"/>
  <c r="Y7" i="28"/>
  <c r="W8" i="28"/>
  <c r="Y8" i="28"/>
  <c r="W9" i="28"/>
  <c r="Y9" i="28"/>
  <c r="W10" i="28"/>
  <c r="Y10" i="28"/>
  <c r="W11" i="28"/>
  <c r="Y11" i="28"/>
  <c r="W12" i="28"/>
  <c r="Y12" i="28"/>
  <c r="Z4" i="28"/>
  <c r="Z5" i="28"/>
  <c r="Z6" i="28"/>
  <c r="Z7" i="28"/>
  <c r="Z8" i="28"/>
  <c r="Z9" i="28"/>
  <c r="Z10" i="28"/>
  <c r="Z11" i="28"/>
  <c r="Z12" i="28"/>
  <c r="AA4" i="28"/>
  <c r="AA5" i="28"/>
  <c r="AA6" i="28"/>
  <c r="AA7" i="28"/>
  <c r="AA8" i="28"/>
  <c r="AA9" i="28"/>
  <c r="AA10" i="28"/>
  <c r="AA11" i="28"/>
  <c r="AA12" i="28"/>
  <c r="X12" i="28"/>
  <c r="AM11" i="28"/>
  <c r="AH11" i="28"/>
  <c r="AC11" i="28"/>
  <c r="X11" i="28"/>
  <c r="AM10" i="28"/>
  <c r="AH10" i="28"/>
  <c r="AC10" i="28"/>
  <c r="X10" i="28"/>
  <c r="AM9" i="28"/>
  <c r="AH9" i="28"/>
  <c r="AC9" i="28"/>
  <c r="X9" i="28"/>
  <c r="AM8" i="28"/>
  <c r="AH8" i="28"/>
  <c r="AC8" i="28"/>
  <c r="X8" i="28"/>
  <c r="AM7" i="28"/>
  <c r="AH7" i="28"/>
  <c r="AC7" i="28"/>
  <c r="X7" i="28"/>
  <c r="AM6" i="28"/>
  <c r="AH6" i="28"/>
  <c r="AC6" i="28"/>
  <c r="X6" i="28"/>
  <c r="AM5" i="28"/>
  <c r="AH5" i="28"/>
  <c r="AC5" i="28"/>
  <c r="X5" i="28"/>
  <c r="AM4" i="28"/>
  <c r="AH4" i="28"/>
  <c r="AC4" i="28"/>
  <c r="X4" i="28"/>
  <c r="K4" i="30"/>
  <c r="K5" i="30"/>
  <c r="K6" i="30"/>
  <c r="K7" i="30"/>
  <c r="K8" i="30"/>
  <c r="K9" i="30"/>
  <c r="K10" i="30"/>
  <c r="K11" i="30"/>
  <c r="K12" i="30"/>
  <c r="K13" i="30"/>
  <c r="F13" i="30"/>
  <c r="AE30" i="27" a="1"/>
  <c r="AE30" i="27"/>
  <c r="D4" i="30"/>
  <c r="D5" i="30"/>
  <c r="D6" i="30"/>
  <c r="D7" i="30"/>
  <c r="D8" i="30"/>
  <c r="D9" i="30"/>
  <c r="D10" i="30"/>
  <c r="D11" i="30"/>
  <c r="D12" i="30"/>
  <c r="C4" i="30"/>
  <c r="R26" i="27"/>
  <c r="I49" i="27"/>
  <c r="C5" i="30"/>
  <c r="C6" i="30"/>
  <c r="R29" i="27"/>
  <c r="I52" i="27"/>
  <c r="C7" i="30"/>
  <c r="R28" i="27"/>
  <c r="I51" i="27"/>
  <c r="R27" i="27"/>
  <c r="I50" i="27"/>
  <c r="R22" i="27"/>
  <c r="I48" i="27"/>
  <c r="C8" i="28"/>
  <c r="C9" i="28"/>
  <c r="C10" i="28"/>
  <c r="C11" i="28"/>
  <c r="C12" i="28"/>
  <c r="AA29" i="27"/>
  <c r="Z29" i="27"/>
  <c r="Y29" i="27"/>
  <c r="W29" i="27"/>
  <c r="N6" i="30"/>
  <c r="V29" i="27"/>
  <c r="M6" i="30"/>
  <c r="U29" i="27"/>
  <c r="L6" i="30"/>
  <c r="T29" i="27"/>
  <c r="S29" i="27"/>
  <c r="AA28" i="27"/>
  <c r="Z28" i="27"/>
  <c r="Y28" i="27"/>
  <c r="W28" i="27"/>
  <c r="N7" i="30"/>
  <c r="V28" i="27"/>
  <c r="M7" i="30"/>
  <c r="U28" i="27"/>
  <c r="L7" i="30"/>
  <c r="T28" i="27"/>
  <c r="S28" i="27"/>
  <c r="AA27" i="27"/>
  <c r="Z27" i="27"/>
  <c r="Y27" i="27"/>
  <c r="W27" i="27"/>
  <c r="N5" i="30"/>
  <c r="V27" i="27"/>
  <c r="M5" i="30"/>
  <c r="U27" i="27"/>
  <c r="L5" i="30"/>
  <c r="T27" i="27"/>
  <c r="S27" i="27"/>
  <c r="AA26" i="27"/>
  <c r="Z26" i="27"/>
  <c r="Y26" i="27"/>
  <c r="W26" i="27"/>
  <c r="N4" i="30"/>
  <c r="V26" i="27"/>
  <c r="M4" i="30"/>
  <c r="U26" i="27"/>
  <c r="L4" i="30"/>
  <c r="T26" i="27"/>
  <c r="S26" i="27"/>
  <c r="AA22" i="27"/>
  <c r="Z22" i="27"/>
  <c r="Y22" i="27"/>
  <c r="W22" i="27"/>
  <c r="V22" i="27"/>
  <c r="U22" i="27"/>
  <c r="T22" i="27"/>
  <c r="S22" i="27"/>
  <c r="AA21" i="27"/>
  <c r="Z21" i="27"/>
  <c r="Y21" i="27"/>
  <c r="W21" i="27"/>
  <c r="V21" i="27"/>
  <c r="U21" i="27"/>
  <c r="T21" i="27"/>
  <c r="S21" i="27"/>
  <c r="AA20" i="27"/>
  <c r="Z20" i="27"/>
  <c r="Y20" i="27"/>
  <c r="W20" i="27"/>
  <c r="V20" i="27"/>
  <c r="U20" i="27"/>
  <c r="T20" i="27"/>
  <c r="S20" i="27"/>
  <c r="AA19" i="27"/>
  <c r="Z19" i="27"/>
  <c r="Y19" i="27"/>
  <c r="W19" i="27"/>
  <c r="V19" i="27"/>
  <c r="U19" i="27"/>
  <c r="T19" i="27"/>
  <c r="S19" i="27"/>
  <c r="Q26" i="27"/>
  <c r="Q27" i="27"/>
  <c r="Q28" i="27"/>
  <c r="Q29" i="27"/>
  <c r="Q19" i="27"/>
  <c r="Q20" i="27"/>
  <c r="Q21" i="27"/>
  <c r="Q22" i="27"/>
  <c r="Q12" i="27"/>
  <c r="Q13" i="27"/>
  <c r="Q14" i="27"/>
  <c r="Q15" i="27"/>
  <c r="AA15" i="27"/>
  <c r="AA14" i="27"/>
  <c r="AA13" i="27"/>
  <c r="AA12" i="27"/>
  <c r="Z15" i="27"/>
  <c r="Z14" i="27"/>
  <c r="Z13" i="27"/>
  <c r="Z12" i="27"/>
  <c r="Y15" i="27"/>
  <c r="Y14" i="27"/>
  <c r="Y13" i="27"/>
  <c r="Y12" i="27"/>
  <c r="W15" i="27"/>
  <c r="W14" i="27"/>
  <c r="W13" i="27"/>
  <c r="W12" i="27"/>
  <c r="N7" i="28"/>
  <c r="V13" i="27"/>
  <c r="N4" i="28"/>
  <c r="V12" i="27"/>
  <c r="N6" i="28"/>
  <c r="V15" i="27"/>
  <c r="N5" i="28"/>
  <c r="V14" i="27"/>
  <c r="M6" i="28"/>
  <c r="U15" i="27"/>
  <c r="M5" i="28"/>
  <c r="U14" i="27"/>
  <c r="M7" i="28"/>
  <c r="U13" i="27"/>
  <c r="M4" i="28"/>
  <c r="U12" i="27"/>
  <c r="L6" i="28"/>
  <c r="T15" i="27"/>
  <c r="L5" i="28"/>
  <c r="T14" i="27"/>
  <c r="L7" i="28"/>
  <c r="T13" i="27"/>
  <c r="L4" i="28"/>
  <c r="T12" i="27"/>
  <c r="S15" i="27"/>
  <c r="S14" i="27"/>
  <c r="S13" i="27"/>
  <c r="S12" i="27"/>
  <c r="AA153" i="30"/>
  <c r="AB153" i="30"/>
  <c r="Z153" i="30"/>
  <c r="AA141" i="30"/>
  <c r="AB141" i="30"/>
  <c r="Z141" i="30"/>
  <c r="AA140" i="30"/>
  <c r="AB140" i="30"/>
  <c r="Z140" i="30"/>
  <c r="AA139" i="30"/>
  <c r="AB139" i="30"/>
  <c r="Z139" i="30"/>
  <c r="AA138" i="30"/>
  <c r="AB138" i="30"/>
  <c r="Z138" i="30"/>
  <c r="AA137" i="30"/>
  <c r="AB137" i="30"/>
  <c r="Z137" i="30"/>
  <c r="AA136" i="30"/>
  <c r="AB136" i="30"/>
  <c r="Z136"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I25" i="30"/>
  <c r="N12" i="30"/>
  <c r="G25" i="30"/>
  <c r="M12" i="30"/>
  <c r="F25" i="30"/>
  <c r="L12" i="30"/>
  <c r="E25" i="30"/>
  <c r="D25"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I24" i="30"/>
  <c r="N11" i="30"/>
  <c r="G24" i="30"/>
  <c r="M11" i="30"/>
  <c r="F24" i="30"/>
  <c r="L11" i="30"/>
  <c r="E24" i="30"/>
  <c r="D24"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I23" i="30"/>
  <c r="N10" i="30"/>
  <c r="G23" i="30"/>
  <c r="M10" i="30"/>
  <c r="F23" i="30"/>
  <c r="L10" i="30"/>
  <c r="E23" i="30"/>
  <c r="D23"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I22" i="30"/>
  <c r="N9" i="30"/>
  <c r="G22" i="30"/>
  <c r="M9" i="30"/>
  <c r="F22" i="30"/>
  <c r="L9" i="30"/>
  <c r="E22" i="30"/>
  <c r="D22"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I21" i="30"/>
  <c r="N8" i="30"/>
  <c r="G21" i="30"/>
  <c r="M8" i="30"/>
  <c r="F21" i="30"/>
  <c r="L8" i="30"/>
  <c r="E21" i="30"/>
  <c r="D21" i="30"/>
  <c r="I20" i="30"/>
  <c r="G20" i="30"/>
  <c r="F20" i="30"/>
  <c r="E20" i="30"/>
  <c r="D20" i="30"/>
  <c r="I19" i="30"/>
  <c r="G19" i="30"/>
  <c r="F19" i="30"/>
  <c r="E19" i="30"/>
  <c r="D19" i="30"/>
  <c r="I18" i="30"/>
  <c r="G18" i="30"/>
  <c r="F18" i="30"/>
  <c r="E18" i="30"/>
  <c r="D18" i="30"/>
  <c r="I17" i="30"/>
  <c r="G17" i="30"/>
  <c r="F17" i="30"/>
  <c r="E17" i="30"/>
  <c r="D17" i="30"/>
  <c r="B13" i="30"/>
  <c r="AA153" i="29"/>
  <c r="AB153" i="29"/>
  <c r="Z153" i="29"/>
  <c r="AA141" i="29"/>
  <c r="AB141" i="29"/>
  <c r="Z141" i="29"/>
  <c r="AA140" i="29"/>
  <c r="AB140" i="29"/>
  <c r="Z140" i="29"/>
  <c r="AA139" i="29"/>
  <c r="AB139" i="29"/>
  <c r="Z139" i="29"/>
  <c r="AA138" i="29"/>
  <c r="AB138" i="29"/>
  <c r="Z138" i="29"/>
  <c r="AA137" i="29"/>
  <c r="AB137" i="29"/>
  <c r="Z137" i="29"/>
  <c r="AA136" i="29"/>
  <c r="AB136" i="29"/>
  <c r="Z136"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I25" i="29"/>
  <c r="G25" i="29"/>
  <c r="F25" i="29"/>
  <c r="E25" i="29"/>
  <c r="D25"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I24" i="29"/>
  <c r="G24" i="29"/>
  <c r="F24" i="29"/>
  <c r="E24" i="29"/>
  <c r="D24"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I23" i="29"/>
  <c r="G23" i="29"/>
  <c r="F23" i="29"/>
  <c r="E23" i="29"/>
  <c r="D23"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I22" i="29"/>
  <c r="G22" i="29"/>
  <c r="F22" i="29"/>
  <c r="E22" i="29"/>
  <c r="D22"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I21" i="29"/>
  <c r="G21" i="29"/>
  <c r="F21" i="29"/>
  <c r="E21" i="29"/>
  <c r="D21" i="29"/>
  <c r="I20" i="29"/>
  <c r="G20" i="29"/>
  <c r="F20" i="29"/>
  <c r="E20" i="29"/>
  <c r="D20" i="29"/>
  <c r="I19" i="29"/>
  <c r="G19" i="29"/>
  <c r="F19" i="29"/>
  <c r="E19" i="29"/>
  <c r="D19" i="29"/>
  <c r="I18" i="29"/>
  <c r="G18" i="29"/>
  <c r="F18" i="29"/>
  <c r="E18" i="29"/>
  <c r="D18" i="29"/>
  <c r="I17" i="29"/>
  <c r="G17" i="29"/>
  <c r="F17" i="29"/>
  <c r="E17" i="29"/>
  <c r="D17" i="29"/>
  <c r="B13" i="29"/>
  <c r="Z20" i="29"/>
  <c r="Z19" i="29"/>
  <c r="AA153" i="28"/>
  <c r="AB153" i="28"/>
  <c r="Z153" i="28"/>
  <c r="AA141" i="28"/>
  <c r="AB141" i="28"/>
  <c r="Z141" i="28"/>
  <c r="AA140" i="28"/>
  <c r="AB140" i="28"/>
  <c r="Z140" i="28"/>
  <c r="AA67" i="28"/>
  <c r="AA139" i="28"/>
  <c r="AB139" i="28"/>
  <c r="Z139" i="28"/>
  <c r="AA66" i="28"/>
  <c r="AA138" i="28"/>
  <c r="AB138" i="28"/>
  <c r="Z138" i="28"/>
  <c r="AA137" i="28"/>
  <c r="AB137" i="28"/>
  <c r="Z137" i="28"/>
  <c r="AA136" i="28"/>
  <c r="AB136" i="28"/>
  <c r="Z136" i="28"/>
  <c r="BR52" i="28"/>
  <c r="BS51" i="28"/>
  <c r="BT52" i="28"/>
  <c r="BU51" i="28"/>
  <c r="BU52" i="28"/>
  <c r="BV52" i="28"/>
  <c r="BW52" i="28"/>
  <c r="BX52" i="28"/>
  <c r="BY52" i="28"/>
  <c r="BZ52" i="28"/>
  <c r="CA52"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R30" i="28"/>
  <c r="BT30"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I25" i="28"/>
  <c r="N12" i="28"/>
  <c r="G25" i="28"/>
  <c r="M12" i="28"/>
  <c r="F25" i="28"/>
  <c r="L12" i="28"/>
  <c r="E25" i="28"/>
  <c r="D25"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I24" i="28"/>
  <c r="N11" i="28"/>
  <c r="G24" i="28"/>
  <c r="M11" i="28"/>
  <c r="F24" i="28"/>
  <c r="L11" i="28"/>
  <c r="E24" i="28"/>
  <c r="D24"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I23" i="28"/>
  <c r="N10" i="28"/>
  <c r="G23" i="28"/>
  <c r="M10" i="28"/>
  <c r="F23" i="28"/>
  <c r="L10" i="28"/>
  <c r="E23" i="28"/>
  <c r="D23" i="28"/>
  <c r="I22" i="28"/>
  <c r="N9" i="28"/>
  <c r="G22" i="28"/>
  <c r="M9" i="28"/>
  <c r="F22" i="28"/>
  <c r="L9" i="28"/>
  <c r="E22" i="28"/>
  <c r="D22" i="28"/>
  <c r="I21" i="28"/>
  <c r="N8" i="28"/>
  <c r="G21" i="28"/>
  <c r="M8" i="28"/>
  <c r="F21" i="28"/>
  <c r="L8" i="28"/>
  <c r="E21" i="28"/>
  <c r="D21" i="28"/>
  <c r="I20" i="28"/>
  <c r="G20" i="28"/>
  <c r="F20" i="28"/>
  <c r="E20" i="28"/>
  <c r="D20" i="28"/>
  <c r="I19" i="28"/>
  <c r="G19" i="28"/>
  <c r="F19" i="28"/>
  <c r="E19" i="28"/>
  <c r="D19" i="28"/>
  <c r="I18" i="28"/>
  <c r="G18" i="28"/>
  <c r="F18" i="28"/>
  <c r="E18" i="28"/>
  <c r="D18" i="28"/>
  <c r="I17" i="28"/>
  <c r="G17" i="28"/>
  <c r="F17" i="28"/>
  <c r="E17" i="28"/>
  <c r="D17" i="28"/>
  <c r="F13" i="28"/>
  <c r="B13" i="28"/>
  <c r="Z18"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G12" i="26"/>
  <c r="G15" i="26"/>
  <c r="I13" i="26"/>
  <c r="I15" i="26"/>
  <c r="G25" i="26"/>
  <c r="G24" i="26"/>
  <c r="G16" i="26"/>
  <c r="I16" i="26"/>
  <c r="G23" i="26"/>
  <c r="G22" i="26"/>
  <c r="G12" i="21"/>
  <c r="G43" i="21"/>
  <c r="G13" i="21"/>
  <c r="G41" i="21"/>
  <c r="G14" i="21"/>
  <c r="G39" i="21"/>
  <c r="G15" i="21"/>
  <c r="G37" i="21"/>
  <c r="G42" i="21"/>
  <c r="G40" i="21"/>
  <c r="G38" i="21"/>
  <c r="G36" i="21"/>
  <c r="G16" i="21"/>
  <c r="G34" i="21"/>
  <c r="G17" i="21"/>
  <c r="G32" i="21"/>
  <c r="G35" i="21"/>
  <c r="G33" i="21"/>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Z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E88" i="29"/>
  <c r="AE86" i="29"/>
  <c r="AE85" i="29"/>
  <c r="AE84" i="29"/>
  <c r="AE82" i="29"/>
  <c r="AE76" i="29"/>
  <c r="AE74" i="29"/>
  <c r="AE73" i="29"/>
  <c r="AE72" i="29"/>
  <c r="AE70" i="29"/>
  <c r="AE69" i="29"/>
  <c r="AE68" i="29"/>
  <c r="AE66" i="29"/>
  <c r="AE65" i="29"/>
  <c r="Z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C13" i="21" a="1"/>
  <c r="C13" i="21"/>
  <c r="E13" i="21"/>
  <c r="G30" i="21"/>
  <c r="G28" i="21"/>
  <c r="G26" i="21"/>
  <c r="C18" i="32" a="1"/>
  <c r="C18" i="32"/>
  <c r="E18" i="32"/>
  <c r="C17" i="32" a="1"/>
  <c r="C17" i="32"/>
  <c r="E17" i="32"/>
  <c r="C16" i="32" a="1"/>
  <c r="C16" i="32"/>
  <c r="E16" i="32"/>
  <c r="C15" i="32" a="1"/>
  <c r="C15" i="32"/>
  <c r="E15" i="32"/>
  <c r="C14" i="32" a="1"/>
  <c r="C14" i="32"/>
  <c r="E14" i="32"/>
  <c r="C20" i="32" a="1"/>
  <c r="C20" i="32"/>
  <c r="C23" i="32"/>
  <c r="C21" i="32"/>
  <c r="E21" i="32"/>
  <c r="E20" i="32"/>
  <c r="C24" i="32"/>
  <c r="G20" i="32"/>
  <c r="G24" i="32"/>
  <c r="I21" i="32"/>
  <c r="I24" i="32"/>
  <c r="G30" i="32"/>
  <c r="G31" i="32"/>
  <c r="G23" i="32"/>
  <c r="I23" i="32"/>
  <c r="G32" i="32"/>
  <c r="G33" i="32"/>
  <c r="C14" i="21" a="1"/>
  <c r="C14" i="21"/>
  <c r="E14" i="21"/>
  <c r="C19" i="21" a="1"/>
  <c r="C19" i="21"/>
  <c r="E19" i="21"/>
  <c r="C18" i="21" a="1"/>
  <c r="C18" i="21"/>
  <c r="E18" i="21"/>
  <c r="C17" i="21" a="1"/>
  <c r="C17" i="21"/>
  <c r="E17" i="21"/>
  <c r="C16" i="21" a="1"/>
  <c r="C16" i="21"/>
  <c r="E16" i="21"/>
  <c r="C15" i="21" a="1"/>
  <c r="C15" i="21"/>
  <c r="E15" i="21"/>
  <c r="C20" i="21" a="1"/>
  <c r="C20" i="21"/>
  <c r="E20" i="21"/>
  <c r="O3" i="34"/>
  <c r="P3" i="34"/>
  <c r="Q3" i="34"/>
  <c r="R3" i="34"/>
  <c r="S3" i="34"/>
  <c r="T3" i="34"/>
  <c r="U3" i="34"/>
  <c r="V3" i="34"/>
  <c r="O4" i="34"/>
  <c r="W3" i="34"/>
  <c r="W4" i="34"/>
  <c r="Y4" i="34"/>
  <c r="W5" i="34"/>
  <c r="Y5" i="34"/>
  <c r="W6" i="34"/>
  <c r="Y6" i="34"/>
  <c r="W7" i="34"/>
  <c r="Y7" i="34"/>
  <c r="W8" i="34"/>
  <c r="Y8" i="34"/>
  <c r="W9" i="34"/>
  <c r="Y9" i="34"/>
  <c r="W10" i="34"/>
  <c r="Y10" i="34"/>
  <c r="W11" i="34"/>
  <c r="Y11" i="34"/>
  <c r="W12" i="34"/>
  <c r="Y12" i="34"/>
  <c r="Z4" i="34"/>
  <c r="Z5" i="34"/>
  <c r="Z6" i="34"/>
  <c r="Z7" i="34"/>
  <c r="Z8" i="34"/>
  <c r="Z9" i="34"/>
  <c r="Z10" i="34"/>
  <c r="Z11" i="34"/>
  <c r="Z12" i="34"/>
  <c r="AA4" i="34"/>
  <c r="X4" i="34"/>
  <c r="P4" i="34"/>
  <c r="AB3" i="34"/>
  <c r="AB4" i="34"/>
  <c r="AD4" i="34"/>
  <c r="AB5" i="34"/>
  <c r="AD5" i="34"/>
  <c r="AB6" i="34"/>
  <c r="AD6" i="34"/>
  <c r="AB7" i="34"/>
  <c r="AD7" i="34"/>
  <c r="AB8" i="34"/>
  <c r="AD8" i="34"/>
  <c r="AB9" i="34"/>
  <c r="AD9" i="34"/>
  <c r="AB10" i="34"/>
  <c r="AD10" i="34"/>
  <c r="AB11" i="34"/>
  <c r="AD11" i="34"/>
  <c r="AB12" i="34"/>
  <c r="AD12" i="34"/>
  <c r="AE4" i="34"/>
  <c r="AE5" i="34"/>
  <c r="AE6" i="34"/>
  <c r="AE7" i="34"/>
  <c r="AE8" i="34"/>
  <c r="AE9" i="34"/>
  <c r="AE10" i="34"/>
  <c r="AE11" i="34"/>
  <c r="AE12" i="34"/>
  <c r="AF4" i="34"/>
  <c r="AC4" i="34"/>
  <c r="Q4" i="34"/>
  <c r="AG3" i="34"/>
  <c r="AG4" i="34"/>
  <c r="AI4" i="34"/>
  <c r="AG5" i="34"/>
  <c r="AI5" i="34"/>
  <c r="AG6" i="34"/>
  <c r="AI6" i="34"/>
  <c r="AG7" i="34"/>
  <c r="AI7" i="34"/>
  <c r="AG8" i="34"/>
  <c r="AI8" i="34"/>
  <c r="AG9" i="34"/>
  <c r="AI9" i="34"/>
  <c r="AG10" i="34"/>
  <c r="AI10" i="34"/>
  <c r="AG11" i="34"/>
  <c r="AI11" i="34"/>
  <c r="AG12" i="34"/>
  <c r="AI12" i="34"/>
  <c r="AJ4" i="34"/>
  <c r="AJ5" i="34"/>
  <c r="AJ6" i="34"/>
  <c r="AJ7" i="34"/>
  <c r="AJ8" i="34"/>
  <c r="AJ9" i="34"/>
  <c r="AJ10" i="34"/>
  <c r="AJ11" i="34"/>
  <c r="AJ12" i="34"/>
  <c r="AK4" i="34"/>
  <c r="AH4" i="34"/>
  <c r="R4" i="34"/>
  <c r="AL3" i="34"/>
  <c r="AL4" i="34"/>
  <c r="AN4" i="34"/>
  <c r="AL5" i="34"/>
  <c r="AN5" i="34"/>
  <c r="AL6" i="34"/>
  <c r="AN6" i="34"/>
  <c r="AL7" i="34"/>
  <c r="AN7" i="34"/>
  <c r="AL8" i="34"/>
  <c r="AN8" i="34"/>
  <c r="AL9" i="34"/>
  <c r="AN9" i="34"/>
  <c r="AL10" i="34"/>
  <c r="AN10" i="34"/>
  <c r="AL11" i="34"/>
  <c r="AN11" i="34"/>
  <c r="AL12" i="34"/>
  <c r="AN12" i="34"/>
  <c r="AO4" i="34"/>
  <c r="AO5" i="34"/>
  <c r="AO6" i="34"/>
  <c r="AO7" i="34"/>
  <c r="AO8" i="34"/>
  <c r="AO9" i="34"/>
  <c r="AO10" i="34"/>
  <c r="AO11" i="34"/>
  <c r="AO12" i="34"/>
  <c r="AP4" i="34"/>
  <c r="AM4" i="34"/>
  <c r="AA5" i="34"/>
  <c r="X5" i="34"/>
  <c r="AF5" i="34"/>
  <c r="AC5" i="34"/>
  <c r="AK5" i="34"/>
  <c r="AH5" i="34"/>
  <c r="AP5" i="34"/>
  <c r="AM5" i="34"/>
  <c r="AA6" i="34"/>
  <c r="X6" i="34"/>
  <c r="AF6" i="34"/>
  <c r="AC6" i="34"/>
  <c r="AK6" i="34"/>
  <c r="AH6" i="34"/>
  <c r="AP6" i="34"/>
  <c r="AM6" i="34"/>
  <c r="AA7" i="34"/>
  <c r="X7" i="34"/>
  <c r="AF7" i="34"/>
  <c r="AC7" i="34"/>
  <c r="AK7" i="34"/>
  <c r="AH7" i="34"/>
  <c r="AP7" i="34"/>
  <c r="AM7" i="34"/>
  <c r="AA8" i="34"/>
  <c r="X8" i="34"/>
  <c r="AF8" i="34"/>
  <c r="AC8" i="34"/>
  <c r="AK8" i="34"/>
  <c r="AH8" i="34"/>
  <c r="AP8" i="34"/>
  <c r="AM8" i="34"/>
  <c r="AA9" i="34"/>
  <c r="X9" i="34"/>
  <c r="AF9" i="34"/>
  <c r="AC9" i="34"/>
  <c r="AK9" i="34"/>
  <c r="AH9" i="34"/>
  <c r="AP9" i="34"/>
  <c r="AM9" i="34"/>
  <c r="AA10" i="34"/>
  <c r="X10" i="34"/>
  <c r="AF10" i="34"/>
  <c r="AC10" i="34"/>
  <c r="AK10" i="34"/>
  <c r="AH10" i="34"/>
  <c r="AP10" i="34"/>
  <c r="AM10" i="34"/>
  <c r="AA11" i="34"/>
  <c r="X11" i="34"/>
  <c r="AF11" i="34"/>
  <c r="AC11" i="34"/>
  <c r="AK11" i="34"/>
  <c r="AH11" i="34"/>
  <c r="AP11" i="34"/>
  <c r="AM11" i="34"/>
  <c r="AA12" i="34"/>
  <c r="X12" i="34"/>
  <c r="AF12" i="34"/>
  <c r="AC12" i="34"/>
  <c r="AK12" i="34"/>
  <c r="AH12" i="34"/>
  <c r="AP12" i="34"/>
  <c r="AM12" i="34"/>
  <c r="B13" i="34"/>
  <c r="D17" i="34"/>
  <c r="E17" i="34"/>
  <c r="F17" i="34"/>
  <c r="G17" i="34"/>
  <c r="I17" i="34"/>
  <c r="Z17" i="34"/>
  <c r="D18" i="34"/>
  <c r="E18" i="34"/>
  <c r="F18" i="34"/>
  <c r="G18" i="34"/>
  <c r="I18" i="34"/>
  <c r="Z18" i="34"/>
  <c r="D19" i="34"/>
  <c r="L6" i="34"/>
  <c r="E19" i="34"/>
  <c r="M6" i="34"/>
  <c r="F19" i="34"/>
  <c r="N6" i="34"/>
  <c r="G19" i="34"/>
  <c r="I19" i="34"/>
  <c r="Z19" i="34"/>
  <c r="D20" i="34"/>
  <c r="L7" i="34"/>
  <c r="E20" i="34"/>
  <c r="M7" i="34"/>
  <c r="F20" i="34"/>
  <c r="N7" i="34"/>
  <c r="G20" i="34"/>
  <c r="I20" i="34"/>
  <c r="Z20" i="34"/>
  <c r="D21" i="34"/>
  <c r="L8" i="34"/>
  <c r="E21" i="34"/>
  <c r="M8" i="34"/>
  <c r="F21" i="34"/>
  <c r="N8" i="34"/>
  <c r="G21" i="34"/>
  <c r="I21" i="34"/>
  <c r="Z21" i="34"/>
  <c r="E34" i="34" a="1"/>
  <c r="E34" i="34"/>
  <c r="F34" i="34" a="1"/>
  <c r="F34" i="34"/>
  <c r="G34" i="34" a="1"/>
  <c r="H34" i="34" a="1"/>
  <c r="I34" i="34" a="1"/>
  <c r="J34" i="34" a="1"/>
  <c r="K34" i="34" a="1"/>
  <c r="L34" i="34" a="1"/>
  <c r="M34" i="34" a="1"/>
  <c r="N34" i="34" a="1"/>
  <c r="O34" i="34" a="1"/>
  <c r="P34" i="34" a="1"/>
  <c r="Q34" i="34" a="1"/>
  <c r="R34" i="34" a="1"/>
  <c r="S34" i="34" a="1"/>
  <c r="T34" i="34" a="1"/>
  <c r="U34" i="34" a="1"/>
  <c r="V34" i="34" a="1"/>
  <c r="W34" i="34" a="1"/>
  <c r="X34" i="34" a="1"/>
  <c r="Y34" i="34" a="1"/>
  <c r="Z34" i="34" a="1"/>
  <c r="AA34" i="34" a="1"/>
  <c r="AB34" i="34" a="1"/>
  <c r="AC34" i="34" a="1"/>
  <c r="AD34" i="34" a="1"/>
  <c r="AE34" i="34" a="1"/>
  <c r="AF34" i="34" a="1"/>
  <c r="AG34" i="34" a="1"/>
  <c r="AH34" i="34" a="1"/>
  <c r="AI34" i="34" a="1"/>
  <c r="AJ34" i="34" a="1"/>
  <c r="AK34" i="34" a="1"/>
  <c r="AL34" i="34" a="1"/>
  <c r="AM34" i="34" a="1"/>
  <c r="AN34" i="34" a="1"/>
  <c r="AO34" i="34" a="1"/>
  <c r="AP34" i="34" a="1"/>
  <c r="AQ34" i="34" a="1"/>
  <c r="AR34" i="34" a="1"/>
  <c r="AS34" i="34" a="1"/>
  <c r="AT34" i="34" a="1"/>
  <c r="AU34" i="34" a="1"/>
  <c r="AV34" i="34" a="1"/>
  <c r="AW34" i="34" a="1"/>
  <c r="AX34" i="34" a="1"/>
  <c r="AY34" i="34" a="1"/>
  <c r="AZ34" i="34" a="1"/>
  <c r="BA34" i="34" a="1"/>
  <c r="BB34" i="34" a="1"/>
  <c r="BC34" i="34" a="1"/>
  <c r="BD34" i="34" a="1"/>
  <c r="BE34" i="34" a="1"/>
  <c r="BF34" i="34" a="1"/>
  <c r="BG34" i="34" a="1"/>
  <c r="BH34" i="34" a="1"/>
  <c r="BI34" i="34" a="1"/>
  <c r="BJ34" i="34" a="1"/>
  <c r="BK34" i="34" a="1"/>
  <c r="BL34" i="34" a="1"/>
  <c r="BM34" i="34" a="1"/>
  <c r="BN34" i="34" a="1"/>
  <c r="BO34" i="34" a="1"/>
  <c r="BP34" i="34" a="1"/>
  <c r="G34" i="34"/>
  <c r="H34" i="34"/>
  <c r="I34" i="34"/>
  <c r="J34" i="34"/>
  <c r="K34" i="34"/>
  <c r="L34" i="34"/>
  <c r="M34" i="34"/>
  <c r="N34" i="34"/>
  <c r="O34" i="34"/>
  <c r="P34" i="34"/>
  <c r="Q34" i="34"/>
  <c r="R34" i="34"/>
  <c r="S34" i="34"/>
  <c r="T34" i="34"/>
  <c r="U34" i="34"/>
  <c r="V34" i="34"/>
  <c r="W34" i="34"/>
  <c r="X34" i="34"/>
  <c r="Y34" i="34"/>
  <c r="Z34" i="34"/>
  <c r="AA34" i="34"/>
  <c r="AB34" i="34"/>
  <c r="AC34" i="34"/>
  <c r="AD34" i="34"/>
  <c r="AE34" i="34"/>
  <c r="AF34" i="34"/>
  <c r="AG34" i="34"/>
  <c r="AH34" i="34"/>
  <c r="AI34" i="34"/>
  <c r="AJ34" i="34"/>
  <c r="AK34" i="34"/>
  <c r="AL34" i="34"/>
  <c r="AM34" i="34"/>
  <c r="AN34" i="34"/>
  <c r="AO34" i="34"/>
  <c r="AP34" i="34"/>
  <c r="AQ34" i="34"/>
  <c r="AR34" i="34"/>
  <c r="AS34" i="34"/>
  <c r="AT34" i="34"/>
  <c r="AU34" i="34"/>
  <c r="AV34" i="34"/>
  <c r="AW34" i="34"/>
  <c r="AX34" i="34"/>
  <c r="AY34" i="34"/>
  <c r="AZ34" i="34"/>
  <c r="BA34" i="34"/>
  <c r="BB34" i="34"/>
  <c r="BC34" i="34"/>
  <c r="BD34" i="34"/>
  <c r="BE34" i="34"/>
  <c r="BF34" i="34"/>
  <c r="BG34" i="34"/>
  <c r="BH34" i="34"/>
  <c r="BI34" i="34"/>
  <c r="BJ34" i="34"/>
  <c r="BK34" i="34"/>
  <c r="BL34" i="34"/>
  <c r="BM34" i="34"/>
  <c r="BN34" i="34"/>
  <c r="BO34" i="34"/>
  <c r="BP34" i="34"/>
  <c r="AA21" i="34"/>
  <c r="E45" i="34" a="1"/>
  <c r="E45" i="34"/>
  <c r="F45" i="34" a="1"/>
  <c r="F45" i="34"/>
  <c r="G45" i="34" a="1"/>
  <c r="H45" i="34" a="1"/>
  <c r="I45" i="34" a="1"/>
  <c r="J45" i="34" a="1"/>
  <c r="K45" i="34" a="1"/>
  <c r="L45" i="34" a="1"/>
  <c r="M45" i="34" a="1"/>
  <c r="N45" i="34" a="1"/>
  <c r="O45" i="34" a="1"/>
  <c r="P45" i="34" a="1"/>
  <c r="Q45" i="34" a="1"/>
  <c r="R45" i="34" a="1"/>
  <c r="S45" i="34" a="1"/>
  <c r="T45" i="34" a="1"/>
  <c r="U45" i="34" a="1"/>
  <c r="V45" i="34" a="1"/>
  <c r="W45" i="34" a="1"/>
  <c r="X45" i="34" a="1"/>
  <c r="Y45" i="34" a="1"/>
  <c r="Z45" i="34" a="1"/>
  <c r="AA45" i="34" a="1"/>
  <c r="AB45" i="34" a="1"/>
  <c r="AC45" i="34" a="1"/>
  <c r="AD45" i="34" a="1"/>
  <c r="AE45" i="34" a="1"/>
  <c r="AF45" i="34" a="1"/>
  <c r="AG45" i="34" a="1"/>
  <c r="AH45" i="34" a="1"/>
  <c r="AI45" i="34" a="1"/>
  <c r="AJ45" i="34" a="1"/>
  <c r="AK45" i="34" a="1"/>
  <c r="AL45" i="34" a="1"/>
  <c r="AM45" i="34" a="1"/>
  <c r="AN45" i="34" a="1"/>
  <c r="AO45" i="34" a="1"/>
  <c r="AP45" i="34" a="1"/>
  <c r="AQ45" i="34" a="1"/>
  <c r="AR45" i="34" a="1"/>
  <c r="AS45" i="34" a="1"/>
  <c r="AT45" i="34" a="1"/>
  <c r="AU45" i="34" a="1"/>
  <c r="AV45" i="34" a="1"/>
  <c r="AW45" i="34" a="1"/>
  <c r="AX45" i="34" a="1"/>
  <c r="AY45" i="34" a="1"/>
  <c r="AZ45" i="34" a="1"/>
  <c r="BA45" i="34" a="1"/>
  <c r="BB45" i="34" a="1"/>
  <c r="BC45" i="34" a="1"/>
  <c r="BD45" i="34" a="1"/>
  <c r="BE45" i="34" a="1"/>
  <c r="BF45" i="34" a="1"/>
  <c r="BG45" i="34" a="1"/>
  <c r="BH45" i="34" a="1"/>
  <c r="BI45" i="34" a="1"/>
  <c r="BJ45" i="34" a="1"/>
  <c r="BK45" i="34" a="1"/>
  <c r="BL45" i="34" a="1"/>
  <c r="BM45" i="34" a="1"/>
  <c r="BN45" i="34" a="1"/>
  <c r="BO45" i="34" a="1"/>
  <c r="BP45" i="34" a="1"/>
  <c r="G45" i="34"/>
  <c r="H45" i="34"/>
  <c r="I45" i="34"/>
  <c r="J45" i="34"/>
  <c r="K45" i="34"/>
  <c r="L45" i="34"/>
  <c r="M45" i="34"/>
  <c r="N45" i="34"/>
  <c r="O45" i="34"/>
  <c r="P45" i="34"/>
  <c r="Q45" i="34"/>
  <c r="R45" i="34"/>
  <c r="S45" i="34"/>
  <c r="T45" i="34"/>
  <c r="U45" i="34"/>
  <c r="V45" i="34"/>
  <c r="W45" i="34"/>
  <c r="X45" i="34"/>
  <c r="Y45" i="34"/>
  <c r="Z45" i="34"/>
  <c r="AA45" i="34"/>
  <c r="AB45" i="34"/>
  <c r="AC45" i="34"/>
  <c r="AD45" i="34"/>
  <c r="AE45" i="34"/>
  <c r="AF45" i="34"/>
  <c r="AG45" i="34"/>
  <c r="AH45" i="34"/>
  <c r="AI45" i="34"/>
  <c r="AJ45" i="34"/>
  <c r="AK45" i="34"/>
  <c r="AL45" i="34"/>
  <c r="AM45" i="34"/>
  <c r="AN45" i="34"/>
  <c r="AO45" i="34"/>
  <c r="AP45" i="34"/>
  <c r="AQ45" i="34"/>
  <c r="AR45" i="34"/>
  <c r="AS45" i="34"/>
  <c r="AT45" i="34"/>
  <c r="AU45" i="34"/>
  <c r="AV45" i="34"/>
  <c r="AW45" i="34"/>
  <c r="AX45" i="34"/>
  <c r="AY45" i="34"/>
  <c r="AZ45" i="34"/>
  <c r="BA45" i="34"/>
  <c r="BB45" i="34"/>
  <c r="BC45" i="34"/>
  <c r="BD45" i="34"/>
  <c r="BE45" i="34"/>
  <c r="BF45" i="34"/>
  <c r="BG45" i="34"/>
  <c r="BH45" i="34"/>
  <c r="BI45" i="34"/>
  <c r="BJ45" i="34"/>
  <c r="BK45" i="34"/>
  <c r="BL45" i="34"/>
  <c r="BM45" i="34"/>
  <c r="BN45" i="34"/>
  <c r="BO45" i="34"/>
  <c r="BP45" i="34"/>
  <c r="AB21" i="34"/>
  <c r="E56" i="34" a="1"/>
  <c r="E56" i="34"/>
  <c r="F56" i="34" a="1"/>
  <c r="F56" i="34"/>
  <c r="G56" i="34" a="1"/>
  <c r="H56" i="34" a="1"/>
  <c r="I56" i="34" a="1"/>
  <c r="J56" i="34" a="1"/>
  <c r="K56" i="34" a="1"/>
  <c r="L56" i="34" a="1"/>
  <c r="M56" i="34" a="1"/>
  <c r="N56" i="34" a="1"/>
  <c r="O56" i="34" a="1"/>
  <c r="P56" i="34" a="1"/>
  <c r="Q56" i="34" a="1"/>
  <c r="R56" i="34" a="1"/>
  <c r="S56" i="34" a="1"/>
  <c r="T56" i="34" a="1"/>
  <c r="U56" i="34" a="1"/>
  <c r="V56" i="34" a="1"/>
  <c r="W56" i="34" a="1"/>
  <c r="X56" i="34" a="1"/>
  <c r="Y56" i="34" a="1"/>
  <c r="Z56" i="34" a="1"/>
  <c r="AA56" i="34" a="1"/>
  <c r="AB56" i="34" a="1"/>
  <c r="AC56" i="34" a="1"/>
  <c r="AD56" i="34" a="1"/>
  <c r="AE56" i="34" a="1"/>
  <c r="AF56" i="34" a="1"/>
  <c r="AG56" i="34" a="1"/>
  <c r="AH56" i="34" a="1"/>
  <c r="AI56" i="34" a="1"/>
  <c r="AJ56" i="34" a="1"/>
  <c r="AK56" i="34" a="1"/>
  <c r="AL56" i="34" a="1"/>
  <c r="AM56" i="34" a="1"/>
  <c r="AN56" i="34" a="1"/>
  <c r="AO56" i="34" a="1"/>
  <c r="AP56" i="34" a="1"/>
  <c r="AQ56" i="34" a="1"/>
  <c r="AR56" i="34" a="1"/>
  <c r="AS56" i="34" a="1"/>
  <c r="AT56" i="34" a="1"/>
  <c r="AU56" i="34" a="1"/>
  <c r="AV56" i="34" a="1"/>
  <c r="AW56" i="34" a="1"/>
  <c r="AX56" i="34" a="1"/>
  <c r="AY56" i="34" a="1"/>
  <c r="AZ56" i="34" a="1"/>
  <c r="BA56" i="34" a="1"/>
  <c r="BB56" i="34" a="1"/>
  <c r="BC56" i="34" a="1"/>
  <c r="BD56" i="34" a="1"/>
  <c r="BE56" i="34" a="1"/>
  <c r="BF56" i="34" a="1"/>
  <c r="BG56" i="34" a="1"/>
  <c r="BH56" i="34" a="1"/>
  <c r="BI56" i="34" a="1"/>
  <c r="BJ56" i="34" a="1"/>
  <c r="BK56" i="34" a="1"/>
  <c r="BL56" i="34" a="1"/>
  <c r="BM56" i="34" a="1"/>
  <c r="BN56" i="34" a="1"/>
  <c r="BO56" i="34" a="1"/>
  <c r="BP56" i="34" a="1"/>
  <c r="G56" i="34"/>
  <c r="H56" i="34"/>
  <c r="I56" i="34"/>
  <c r="J56" i="34"/>
  <c r="K56" i="34"/>
  <c r="L56" i="34"/>
  <c r="M56" i="34"/>
  <c r="N56" i="34"/>
  <c r="O56" i="34"/>
  <c r="P56" i="34"/>
  <c r="Q56" i="34"/>
  <c r="R56" i="34"/>
  <c r="S56" i="34"/>
  <c r="T56" i="34"/>
  <c r="U56" i="34"/>
  <c r="V56" i="34"/>
  <c r="W56" i="34"/>
  <c r="X56" i="34"/>
  <c r="Y56" i="34"/>
  <c r="Z56" i="34"/>
  <c r="AA56" i="34"/>
  <c r="AB56" i="34"/>
  <c r="AC56" i="34"/>
  <c r="AD56" i="34"/>
  <c r="AE56" i="34"/>
  <c r="AF56" i="34"/>
  <c r="AG56" i="34"/>
  <c r="AH56" i="34"/>
  <c r="AI56" i="34"/>
  <c r="AJ56" i="34"/>
  <c r="AK56" i="34"/>
  <c r="AL56" i="34"/>
  <c r="AM56" i="34"/>
  <c r="AN56" i="34"/>
  <c r="AO56" i="34"/>
  <c r="AP56" i="34"/>
  <c r="AQ56" i="34"/>
  <c r="AR56" i="34"/>
  <c r="AS56" i="34"/>
  <c r="AT56" i="34"/>
  <c r="AU56" i="34"/>
  <c r="AV56" i="34"/>
  <c r="AW56" i="34"/>
  <c r="AX56" i="34"/>
  <c r="AY56" i="34"/>
  <c r="AZ56" i="34"/>
  <c r="BA56" i="34"/>
  <c r="BB56" i="34"/>
  <c r="BC56" i="34"/>
  <c r="BD56" i="34"/>
  <c r="BE56" i="34"/>
  <c r="BF56" i="34"/>
  <c r="BG56" i="34"/>
  <c r="BH56" i="34"/>
  <c r="BI56" i="34"/>
  <c r="BJ56" i="34"/>
  <c r="BK56" i="34"/>
  <c r="BL56" i="34"/>
  <c r="BM56" i="34"/>
  <c r="BN56" i="34"/>
  <c r="BO56" i="34"/>
  <c r="BP56" i="34"/>
  <c r="AC21" i="34"/>
  <c r="D22" i="34"/>
  <c r="L9" i="34"/>
  <c r="E22" i="34"/>
  <c r="M9" i="34"/>
  <c r="F22" i="34"/>
  <c r="N9" i="34"/>
  <c r="G22" i="34"/>
  <c r="I22" i="34"/>
  <c r="Z22" i="34"/>
  <c r="E35" i="34" a="1"/>
  <c r="E35" i="34"/>
  <c r="F35" i="34" a="1"/>
  <c r="F35" i="34"/>
  <c r="G35" i="34" a="1"/>
  <c r="H35" i="34" a="1"/>
  <c r="I35" i="34" a="1"/>
  <c r="J35" i="34" a="1"/>
  <c r="K35" i="34" a="1"/>
  <c r="L35" i="34" a="1"/>
  <c r="M35" i="34" a="1"/>
  <c r="N35" i="34" a="1"/>
  <c r="O35" i="34" a="1"/>
  <c r="P35" i="34" a="1"/>
  <c r="Q35" i="34" a="1"/>
  <c r="R35" i="34" a="1"/>
  <c r="S35" i="34" a="1"/>
  <c r="T35" i="34" a="1"/>
  <c r="U35" i="34" a="1"/>
  <c r="V35" i="34" a="1"/>
  <c r="W35" i="34" a="1"/>
  <c r="X35" i="34" a="1"/>
  <c r="Y35" i="34" a="1"/>
  <c r="Z35" i="34" a="1"/>
  <c r="AA35" i="34" a="1"/>
  <c r="AB35" i="34" a="1"/>
  <c r="AC35" i="34" a="1"/>
  <c r="AD35" i="34" a="1"/>
  <c r="AE35" i="34" a="1"/>
  <c r="AF35" i="34" a="1"/>
  <c r="AG35" i="34" a="1"/>
  <c r="AH35" i="34" a="1"/>
  <c r="AI35" i="34" a="1"/>
  <c r="AJ35" i="34" a="1"/>
  <c r="AK35" i="34" a="1"/>
  <c r="AL35" i="34" a="1"/>
  <c r="AM35" i="34" a="1"/>
  <c r="AN35" i="34" a="1"/>
  <c r="AO35" i="34" a="1"/>
  <c r="AP35" i="34" a="1"/>
  <c r="AQ35" i="34" a="1"/>
  <c r="AR35" i="34" a="1"/>
  <c r="AS35" i="34" a="1"/>
  <c r="AT35" i="34" a="1"/>
  <c r="AU35" i="34" a="1"/>
  <c r="AV35" i="34" a="1"/>
  <c r="AW35" i="34" a="1"/>
  <c r="AX35" i="34" a="1"/>
  <c r="AY35" i="34" a="1"/>
  <c r="AZ35" i="34" a="1"/>
  <c r="BA35" i="34" a="1"/>
  <c r="BB35" i="34" a="1"/>
  <c r="BC35" i="34" a="1"/>
  <c r="BD35" i="34" a="1"/>
  <c r="BE35" i="34" a="1"/>
  <c r="BF35" i="34" a="1"/>
  <c r="BG35" i="34" a="1"/>
  <c r="BH35" i="34" a="1"/>
  <c r="BI35" i="34" a="1"/>
  <c r="BJ35" i="34" a="1"/>
  <c r="BK35" i="34" a="1"/>
  <c r="BL35" i="34" a="1"/>
  <c r="BM35" i="34" a="1"/>
  <c r="BN35" i="34" a="1"/>
  <c r="BO35" i="34" a="1"/>
  <c r="BP35" i="34" a="1"/>
  <c r="G35" i="34"/>
  <c r="H35" i="34"/>
  <c r="I35" i="34"/>
  <c r="J35" i="34"/>
  <c r="K35"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AJ35" i="34"/>
  <c r="AK35" i="34"/>
  <c r="AL35" i="34"/>
  <c r="AM35" i="34"/>
  <c r="AN35" i="34"/>
  <c r="AO35" i="34"/>
  <c r="AP35" i="34"/>
  <c r="AQ35" i="34"/>
  <c r="AR35" i="34"/>
  <c r="AS35" i="34"/>
  <c r="AT35" i="34"/>
  <c r="AU35" i="34"/>
  <c r="AV35" i="34"/>
  <c r="AW35" i="34"/>
  <c r="AX35" i="34"/>
  <c r="AY35" i="34"/>
  <c r="AZ35" i="34"/>
  <c r="BA35" i="34"/>
  <c r="BB35" i="34"/>
  <c r="BC35" i="34"/>
  <c r="BD35" i="34"/>
  <c r="BE35" i="34"/>
  <c r="BF35" i="34"/>
  <c r="BG35" i="34"/>
  <c r="BH35" i="34"/>
  <c r="BI35" i="34"/>
  <c r="BJ35" i="34"/>
  <c r="BK35" i="34"/>
  <c r="BL35" i="34"/>
  <c r="BM35" i="34"/>
  <c r="BN35" i="34"/>
  <c r="BO35" i="34"/>
  <c r="BP35" i="34"/>
  <c r="AA22" i="34"/>
  <c r="E46" i="34" a="1"/>
  <c r="E46" i="34"/>
  <c r="F46" i="34" a="1"/>
  <c r="F46" i="34"/>
  <c r="G46" i="34" a="1"/>
  <c r="H46" i="34" a="1"/>
  <c r="I46" i="34" a="1"/>
  <c r="J46" i="34" a="1"/>
  <c r="K46" i="34" a="1"/>
  <c r="L46" i="34" a="1"/>
  <c r="M46" i="34" a="1"/>
  <c r="N46" i="34" a="1"/>
  <c r="O46" i="34" a="1"/>
  <c r="P46" i="34" a="1"/>
  <c r="Q46" i="34" a="1"/>
  <c r="R46" i="34" a="1"/>
  <c r="S46" i="34" a="1"/>
  <c r="T46" i="34" a="1"/>
  <c r="U46" i="34" a="1"/>
  <c r="V46" i="34" a="1"/>
  <c r="W46" i="34" a="1"/>
  <c r="X46" i="34" a="1"/>
  <c r="Y46" i="34" a="1"/>
  <c r="Z46" i="34" a="1"/>
  <c r="AA46" i="34" a="1"/>
  <c r="AB46" i="34" a="1"/>
  <c r="AC46" i="34" a="1"/>
  <c r="AD46" i="34" a="1"/>
  <c r="AE46" i="34" a="1"/>
  <c r="AF46" i="34" a="1"/>
  <c r="AG46" i="34" a="1"/>
  <c r="AH46" i="34" a="1"/>
  <c r="AI46" i="34" a="1"/>
  <c r="AJ46" i="34" a="1"/>
  <c r="AK46" i="34" a="1"/>
  <c r="AL46" i="34" a="1"/>
  <c r="AM46" i="34" a="1"/>
  <c r="AN46" i="34" a="1"/>
  <c r="AO46" i="34" a="1"/>
  <c r="AP46" i="34" a="1"/>
  <c r="AQ46" i="34" a="1"/>
  <c r="AR46" i="34" a="1"/>
  <c r="AS46" i="34" a="1"/>
  <c r="AT46" i="34" a="1"/>
  <c r="AU46" i="34" a="1"/>
  <c r="AV46" i="34" a="1"/>
  <c r="AW46" i="34" a="1"/>
  <c r="AX46" i="34" a="1"/>
  <c r="AY46" i="34" a="1"/>
  <c r="AZ46" i="34" a="1"/>
  <c r="BA46" i="34" a="1"/>
  <c r="BB46" i="34" a="1"/>
  <c r="BC46" i="34" a="1"/>
  <c r="BD46" i="34" a="1"/>
  <c r="BE46" i="34" a="1"/>
  <c r="BF46" i="34" a="1"/>
  <c r="BG46" i="34" a="1"/>
  <c r="BH46" i="34" a="1"/>
  <c r="BI46" i="34" a="1"/>
  <c r="BJ46" i="34" a="1"/>
  <c r="BK46" i="34" a="1"/>
  <c r="BL46" i="34" a="1"/>
  <c r="BM46" i="34" a="1"/>
  <c r="BN46" i="34" a="1"/>
  <c r="BO46" i="34" a="1"/>
  <c r="BP46" i="34" a="1"/>
  <c r="G46" i="34"/>
  <c r="H46" i="34"/>
  <c r="I46" i="34"/>
  <c r="J46" i="34"/>
  <c r="K46" i="34"/>
  <c r="L46" i="34"/>
  <c r="M46" i="34"/>
  <c r="N46" i="34"/>
  <c r="O46" i="34"/>
  <c r="P46" i="34"/>
  <c r="Q46" i="34"/>
  <c r="R46" i="34"/>
  <c r="S46" i="34"/>
  <c r="T46" i="34"/>
  <c r="U46" i="34"/>
  <c r="V46" i="34"/>
  <c r="W46" i="34"/>
  <c r="X46" i="34"/>
  <c r="Y46" i="34"/>
  <c r="Z46" i="34"/>
  <c r="AA46" i="34"/>
  <c r="AB46" i="34"/>
  <c r="AC46" i="34"/>
  <c r="AD46" i="34"/>
  <c r="AE46" i="34"/>
  <c r="AF46" i="34"/>
  <c r="AG46" i="34"/>
  <c r="AH46" i="34"/>
  <c r="AI46" i="34"/>
  <c r="AJ46" i="34"/>
  <c r="AK46" i="34"/>
  <c r="AL46" i="34"/>
  <c r="AM46" i="34"/>
  <c r="AN46" i="34"/>
  <c r="AO46" i="34"/>
  <c r="AP46" i="34"/>
  <c r="AQ46" i="34"/>
  <c r="AR46" i="34"/>
  <c r="AS46" i="34"/>
  <c r="AT46" i="34"/>
  <c r="AU46" i="34"/>
  <c r="AV46" i="34"/>
  <c r="AW46" i="34"/>
  <c r="AX46" i="34"/>
  <c r="AY46" i="34"/>
  <c r="AZ46" i="34"/>
  <c r="BA46" i="34"/>
  <c r="BB46" i="34"/>
  <c r="BC46" i="34"/>
  <c r="BD46" i="34"/>
  <c r="BE46" i="34"/>
  <c r="BF46" i="34"/>
  <c r="BG46" i="34"/>
  <c r="BH46" i="34"/>
  <c r="BI46" i="34"/>
  <c r="BJ46" i="34"/>
  <c r="BK46" i="34"/>
  <c r="BL46" i="34"/>
  <c r="BM46" i="34"/>
  <c r="BN46" i="34"/>
  <c r="BO46" i="34"/>
  <c r="BP46" i="34"/>
  <c r="AB22" i="34"/>
  <c r="E57" i="34" a="1"/>
  <c r="E57" i="34"/>
  <c r="F57" i="34" a="1"/>
  <c r="F57" i="34"/>
  <c r="G57" i="34" a="1"/>
  <c r="H57" i="34" a="1"/>
  <c r="I57" i="34" a="1"/>
  <c r="J57" i="34" a="1"/>
  <c r="K57" i="34" a="1"/>
  <c r="L57" i="34" a="1"/>
  <c r="M57" i="34" a="1"/>
  <c r="N57" i="34" a="1"/>
  <c r="O57" i="34" a="1"/>
  <c r="P57" i="34" a="1"/>
  <c r="Q57" i="34" a="1"/>
  <c r="R57" i="34" a="1"/>
  <c r="S57" i="34" a="1"/>
  <c r="T57" i="34" a="1"/>
  <c r="U57" i="34" a="1"/>
  <c r="V57" i="34" a="1"/>
  <c r="W57" i="34" a="1"/>
  <c r="X57" i="34" a="1"/>
  <c r="Y57" i="34" a="1"/>
  <c r="Z57" i="34" a="1"/>
  <c r="AA57" i="34" a="1"/>
  <c r="AB57" i="34" a="1"/>
  <c r="AC57" i="34" a="1"/>
  <c r="AD57" i="34" a="1"/>
  <c r="AE57" i="34" a="1"/>
  <c r="AF57" i="34" a="1"/>
  <c r="AG57" i="34" a="1"/>
  <c r="AH57" i="34" a="1"/>
  <c r="AI57" i="34" a="1"/>
  <c r="AJ57" i="34" a="1"/>
  <c r="AK57" i="34" a="1"/>
  <c r="AL57" i="34" a="1"/>
  <c r="AM57" i="34" a="1"/>
  <c r="AN57" i="34" a="1"/>
  <c r="AO57" i="34" a="1"/>
  <c r="AP57" i="34" a="1"/>
  <c r="AQ57" i="34" a="1"/>
  <c r="AR57" i="34" a="1"/>
  <c r="AS57" i="34" a="1"/>
  <c r="AT57" i="34" a="1"/>
  <c r="AU57" i="34" a="1"/>
  <c r="AV57" i="34" a="1"/>
  <c r="AW57" i="34" a="1"/>
  <c r="AX57" i="34" a="1"/>
  <c r="AY57" i="34" a="1"/>
  <c r="AZ57" i="34" a="1"/>
  <c r="BA57" i="34" a="1"/>
  <c r="BB57" i="34" a="1"/>
  <c r="BC57" i="34" a="1"/>
  <c r="BD57" i="34" a="1"/>
  <c r="BE57" i="34" a="1"/>
  <c r="BF57" i="34" a="1"/>
  <c r="BG57" i="34" a="1"/>
  <c r="BH57" i="34" a="1"/>
  <c r="BI57" i="34" a="1"/>
  <c r="BJ57" i="34" a="1"/>
  <c r="BK57" i="34" a="1"/>
  <c r="BL57" i="34" a="1"/>
  <c r="BM57" i="34" a="1"/>
  <c r="BN57" i="34" a="1"/>
  <c r="BO57" i="34" a="1"/>
  <c r="BP57" i="34" a="1"/>
  <c r="G57" i="34"/>
  <c r="H57" i="34"/>
  <c r="I57" i="34"/>
  <c r="J57" i="34"/>
  <c r="K57" i="34"/>
  <c r="L57" i="34"/>
  <c r="M57" i="34"/>
  <c r="N57" i="34"/>
  <c r="O57" i="34"/>
  <c r="P57" i="34"/>
  <c r="Q57" i="34"/>
  <c r="R57" i="34"/>
  <c r="S57" i="34"/>
  <c r="T57" i="34"/>
  <c r="U57" i="34"/>
  <c r="V57" i="34"/>
  <c r="W57" i="34"/>
  <c r="X57" i="34"/>
  <c r="Y57" i="34"/>
  <c r="Z57" i="34"/>
  <c r="AA57" i="34"/>
  <c r="AB57" i="34"/>
  <c r="AC57" i="34"/>
  <c r="AD57" i="34"/>
  <c r="AE57" i="34"/>
  <c r="AF57" i="34"/>
  <c r="AG57" i="34"/>
  <c r="AH57" i="34"/>
  <c r="AI57" i="34"/>
  <c r="AJ57" i="34"/>
  <c r="AK57" i="34"/>
  <c r="AL57" i="34"/>
  <c r="AM57" i="34"/>
  <c r="AN57" i="34"/>
  <c r="AO57" i="34"/>
  <c r="AP57" i="34"/>
  <c r="AQ57" i="34"/>
  <c r="AR57" i="34"/>
  <c r="AS57" i="34"/>
  <c r="AT57" i="34"/>
  <c r="AU57" i="34"/>
  <c r="AV57" i="34"/>
  <c r="AW57" i="34"/>
  <c r="AX57" i="34"/>
  <c r="AY57" i="34"/>
  <c r="AZ57" i="34"/>
  <c r="BA57" i="34"/>
  <c r="BB57" i="34"/>
  <c r="BC57" i="34"/>
  <c r="BD57" i="34"/>
  <c r="BE57" i="34"/>
  <c r="BF57" i="34"/>
  <c r="BG57" i="34"/>
  <c r="BH57" i="34"/>
  <c r="BI57" i="34"/>
  <c r="BJ57" i="34"/>
  <c r="BK57" i="34"/>
  <c r="BL57" i="34"/>
  <c r="BM57" i="34"/>
  <c r="BN57" i="34"/>
  <c r="BO57" i="34"/>
  <c r="BP57" i="34"/>
  <c r="AC22" i="34"/>
  <c r="D23" i="34"/>
  <c r="L10" i="34"/>
  <c r="E23" i="34"/>
  <c r="M10" i="34"/>
  <c r="F23" i="34"/>
  <c r="N10" i="34"/>
  <c r="G23" i="34"/>
  <c r="I23" i="34"/>
  <c r="Z23" i="34"/>
  <c r="E36" i="34" a="1"/>
  <c r="E36" i="34"/>
  <c r="F36" i="34" a="1"/>
  <c r="F36" i="34"/>
  <c r="G36" i="34" a="1"/>
  <c r="H36" i="34" a="1"/>
  <c r="I36" i="34" a="1"/>
  <c r="J36" i="34" a="1"/>
  <c r="K36" i="34" a="1"/>
  <c r="L36" i="34" a="1"/>
  <c r="M36" i="34" a="1"/>
  <c r="N36" i="34" a="1"/>
  <c r="O36" i="34" a="1"/>
  <c r="P36" i="34" a="1"/>
  <c r="Q36" i="34" a="1"/>
  <c r="R36" i="34" a="1"/>
  <c r="S36" i="34" a="1"/>
  <c r="T36" i="34" a="1"/>
  <c r="U36" i="34" a="1"/>
  <c r="V36" i="34" a="1"/>
  <c r="W36" i="34" a="1"/>
  <c r="X36" i="34" a="1"/>
  <c r="Y36" i="34" a="1"/>
  <c r="Z36" i="34" a="1"/>
  <c r="AA36" i="34" a="1"/>
  <c r="AB36" i="34" a="1"/>
  <c r="AC36" i="34" a="1"/>
  <c r="AD36" i="34" a="1"/>
  <c r="AE36" i="34" a="1"/>
  <c r="AF36" i="34" a="1"/>
  <c r="AG36" i="34" a="1"/>
  <c r="AH36" i="34" a="1"/>
  <c r="AI36" i="34" a="1"/>
  <c r="AJ36" i="34" a="1"/>
  <c r="AK36" i="34" a="1"/>
  <c r="AL36" i="34" a="1"/>
  <c r="AM36" i="34" a="1"/>
  <c r="AN36" i="34" a="1"/>
  <c r="AO36" i="34" a="1"/>
  <c r="AP36" i="34" a="1"/>
  <c r="AQ36" i="34" a="1"/>
  <c r="AR36" i="34" a="1"/>
  <c r="AS36" i="34" a="1"/>
  <c r="AT36" i="34" a="1"/>
  <c r="AU36" i="34" a="1"/>
  <c r="AV36" i="34" a="1"/>
  <c r="AW36" i="34" a="1"/>
  <c r="AX36" i="34" a="1"/>
  <c r="AY36" i="34" a="1"/>
  <c r="AZ36" i="34" a="1"/>
  <c r="BA36" i="34" a="1"/>
  <c r="BB36" i="34" a="1"/>
  <c r="BC36" i="34" a="1"/>
  <c r="BD36" i="34" a="1"/>
  <c r="BE36" i="34" a="1"/>
  <c r="BF36" i="34" a="1"/>
  <c r="BG36" i="34" a="1"/>
  <c r="BH36" i="34" a="1"/>
  <c r="BI36" i="34" a="1"/>
  <c r="BJ36" i="34" a="1"/>
  <c r="BK36" i="34" a="1"/>
  <c r="BL36" i="34" a="1"/>
  <c r="BM36" i="34" a="1"/>
  <c r="BN36" i="34" a="1"/>
  <c r="BO36" i="34" a="1"/>
  <c r="BP36" i="34" a="1"/>
  <c r="G36" i="34"/>
  <c r="H36" i="34"/>
  <c r="I36" i="34"/>
  <c r="J36" i="34"/>
  <c r="K36" i="34"/>
  <c r="L36" i="34"/>
  <c r="M36" i="34"/>
  <c r="N36" i="34"/>
  <c r="O36" i="34"/>
  <c r="P36" i="34"/>
  <c r="Q36" i="34"/>
  <c r="R36" i="34"/>
  <c r="S36" i="34"/>
  <c r="T36" i="34"/>
  <c r="U36" i="34"/>
  <c r="V36" i="34"/>
  <c r="W36" i="34"/>
  <c r="X36" i="34"/>
  <c r="Y36" i="34"/>
  <c r="Z36" i="34"/>
  <c r="AA36" i="34"/>
  <c r="AB36" i="34"/>
  <c r="AC36" i="34"/>
  <c r="AD36" i="34"/>
  <c r="AE36" i="34"/>
  <c r="AF36" i="34"/>
  <c r="AG36" i="34"/>
  <c r="AH36" i="34"/>
  <c r="AI36" i="34"/>
  <c r="AJ36" i="34"/>
  <c r="AK36" i="34"/>
  <c r="AL36" i="34"/>
  <c r="AM36" i="34"/>
  <c r="AN36" i="34"/>
  <c r="AO36" i="34"/>
  <c r="AP36" i="34"/>
  <c r="AQ36" i="34"/>
  <c r="AR36" i="34"/>
  <c r="AS36" i="34"/>
  <c r="AT36" i="34"/>
  <c r="AU36" i="34"/>
  <c r="AV36" i="34"/>
  <c r="AW36" i="34"/>
  <c r="AX36" i="34"/>
  <c r="AY36" i="34"/>
  <c r="AZ36" i="34"/>
  <c r="BA36" i="34"/>
  <c r="BB36" i="34"/>
  <c r="BC36" i="34"/>
  <c r="BD36" i="34"/>
  <c r="BE36" i="34"/>
  <c r="BF36" i="34"/>
  <c r="BG36" i="34"/>
  <c r="BH36" i="34"/>
  <c r="BI36" i="34"/>
  <c r="BJ36" i="34"/>
  <c r="BK36" i="34"/>
  <c r="BL36" i="34"/>
  <c r="BM36" i="34"/>
  <c r="BN36" i="34"/>
  <c r="BO36" i="34"/>
  <c r="BP36" i="34"/>
  <c r="AA23" i="34"/>
  <c r="E47" i="34" a="1"/>
  <c r="E47" i="34"/>
  <c r="F47" i="34" a="1"/>
  <c r="F47" i="34"/>
  <c r="G47" i="34" a="1"/>
  <c r="H47" i="34" a="1"/>
  <c r="I47" i="34" a="1"/>
  <c r="J47" i="34" a="1"/>
  <c r="K47" i="34" a="1"/>
  <c r="L47" i="34" a="1"/>
  <c r="M47" i="34" a="1"/>
  <c r="N47" i="34" a="1"/>
  <c r="O47" i="34" a="1"/>
  <c r="P47" i="34" a="1"/>
  <c r="Q47" i="34" a="1"/>
  <c r="R47" i="34" a="1"/>
  <c r="S47" i="34" a="1"/>
  <c r="T47" i="34" a="1"/>
  <c r="U47" i="34" a="1"/>
  <c r="V47" i="34" a="1"/>
  <c r="W47" i="34" a="1"/>
  <c r="X47" i="34" a="1"/>
  <c r="Y47" i="34" a="1"/>
  <c r="Z47" i="34" a="1"/>
  <c r="AA47" i="34" a="1"/>
  <c r="AB47" i="34" a="1"/>
  <c r="AC47" i="34" a="1"/>
  <c r="AD47" i="34" a="1"/>
  <c r="AE47" i="34" a="1"/>
  <c r="AF47" i="34" a="1"/>
  <c r="AG47" i="34" a="1"/>
  <c r="AH47" i="34" a="1"/>
  <c r="AI47" i="34" a="1"/>
  <c r="AJ47" i="34" a="1"/>
  <c r="AK47" i="34" a="1"/>
  <c r="AL47" i="34" a="1"/>
  <c r="AM47" i="34" a="1"/>
  <c r="AN47" i="34" a="1"/>
  <c r="AO47" i="34" a="1"/>
  <c r="AP47" i="34" a="1"/>
  <c r="AQ47" i="34" a="1"/>
  <c r="AR47" i="34" a="1"/>
  <c r="AS47" i="34" a="1"/>
  <c r="AT47" i="34" a="1"/>
  <c r="AU47" i="34" a="1"/>
  <c r="AV47" i="34" a="1"/>
  <c r="AW47" i="34" a="1"/>
  <c r="AX47" i="34" a="1"/>
  <c r="AY47" i="34" a="1"/>
  <c r="AZ47" i="34" a="1"/>
  <c r="BA47" i="34" a="1"/>
  <c r="BB47" i="34" a="1"/>
  <c r="BC47" i="34" a="1"/>
  <c r="BD47" i="34" a="1"/>
  <c r="BE47" i="34" a="1"/>
  <c r="BF47" i="34" a="1"/>
  <c r="BG47" i="34" a="1"/>
  <c r="BH47" i="34" a="1"/>
  <c r="BI47" i="34" a="1"/>
  <c r="BJ47" i="34" a="1"/>
  <c r="BK47" i="34" a="1"/>
  <c r="BL47" i="34" a="1"/>
  <c r="BM47" i="34" a="1"/>
  <c r="BN47" i="34" a="1"/>
  <c r="BO47" i="34" a="1"/>
  <c r="BP47" i="34" a="1"/>
  <c r="G47" i="34"/>
  <c r="H47" i="34"/>
  <c r="I47" i="34"/>
  <c r="J47" i="34"/>
  <c r="K47" i="34"/>
  <c r="L47" i="34"/>
  <c r="M47"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D47" i="34"/>
  <c r="BE47" i="34"/>
  <c r="BF47" i="34"/>
  <c r="BG47" i="34"/>
  <c r="BH47" i="34"/>
  <c r="BI47" i="34"/>
  <c r="BJ47" i="34"/>
  <c r="BK47" i="34"/>
  <c r="BL47" i="34"/>
  <c r="BM47" i="34"/>
  <c r="BN47" i="34"/>
  <c r="BO47" i="34"/>
  <c r="BP47" i="34"/>
  <c r="AB23" i="34"/>
  <c r="E58" i="34" a="1"/>
  <c r="E58" i="34"/>
  <c r="F58" i="34" a="1"/>
  <c r="F58" i="34"/>
  <c r="G58" i="34" a="1"/>
  <c r="H58" i="34" a="1"/>
  <c r="I58" i="34" a="1"/>
  <c r="J58" i="34" a="1"/>
  <c r="K58" i="34" a="1"/>
  <c r="L58" i="34" a="1"/>
  <c r="M58" i="34" a="1"/>
  <c r="N58" i="34" a="1"/>
  <c r="O58" i="34" a="1"/>
  <c r="P58" i="34" a="1"/>
  <c r="Q58" i="34" a="1"/>
  <c r="R58" i="34" a="1"/>
  <c r="S58" i="34" a="1"/>
  <c r="T58" i="34" a="1"/>
  <c r="U58" i="34" a="1"/>
  <c r="V58" i="34" a="1"/>
  <c r="W58" i="34" a="1"/>
  <c r="X58" i="34" a="1"/>
  <c r="Y58" i="34" a="1"/>
  <c r="Z58" i="34" a="1"/>
  <c r="AA58" i="34" a="1"/>
  <c r="AB58" i="34" a="1"/>
  <c r="AC58" i="34" a="1"/>
  <c r="AD58" i="34" a="1"/>
  <c r="AE58" i="34" a="1"/>
  <c r="AF58" i="34" a="1"/>
  <c r="AG58" i="34" a="1"/>
  <c r="AH58" i="34" a="1"/>
  <c r="AI58" i="34" a="1"/>
  <c r="AJ58" i="34" a="1"/>
  <c r="AK58" i="34" a="1"/>
  <c r="AL58" i="34" a="1"/>
  <c r="AM58" i="34" a="1"/>
  <c r="AN58" i="34" a="1"/>
  <c r="AO58" i="34" a="1"/>
  <c r="AP58" i="34" a="1"/>
  <c r="AQ58" i="34" a="1"/>
  <c r="AR58" i="34" a="1"/>
  <c r="AS58" i="34" a="1"/>
  <c r="AT58" i="34" a="1"/>
  <c r="AU58" i="34" a="1"/>
  <c r="AV58" i="34" a="1"/>
  <c r="AW58" i="34" a="1"/>
  <c r="AX58" i="34" a="1"/>
  <c r="AY58" i="34" a="1"/>
  <c r="AZ58" i="34" a="1"/>
  <c r="BA58" i="34" a="1"/>
  <c r="BB58" i="34" a="1"/>
  <c r="BC58" i="34" a="1"/>
  <c r="BD58" i="34" a="1"/>
  <c r="BE58" i="34" a="1"/>
  <c r="BF58" i="34" a="1"/>
  <c r="BG58" i="34" a="1"/>
  <c r="BH58" i="34" a="1"/>
  <c r="BI58" i="34" a="1"/>
  <c r="BJ58" i="34" a="1"/>
  <c r="BK58" i="34" a="1"/>
  <c r="BL58" i="34" a="1"/>
  <c r="BM58" i="34" a="1"/>
  <c r="BN58" i="34" a="1"/>
  <c r="BO58" i="34" a="1"/>
  <c r="BP58" i="34" a="1"/>
  <c r="G58" i="34"/>
  <c r="H58" i="34"/>
  <c r="I58" i="34"/>
  <c r="J58" i="34"/>
  <c r="K58" i="34"/>
  <c r="L58" i="34"/>
  <c r="M58" i="34"/>
  <c r="N58" i="34"/>
  <c r="O58" i="34"/>
  <c r="P58" i="34"/>
  <c r="Q58" i="34"/>
  <c r="R58" i="34"/>
  <c r="S58" i="34"/>
  <c r="T58" i="34"/>
  <c r="U58" i="34"/>
  <c r="V58" i="34"/>
  <c r="W58" i="34"/>
  <c r="X58" i="34"/>
  <c r="Y58" i="34"/>
  <c r="Z58" i="34"/>
  <c r="AA58" i="34"/>
  <c r="AB58" i="34"/>
  <c r="AC58" i="34"/>
  <c r="AD58" i="34"/>
  <c r="AE58" i="34"/>
  <c r="AF58" i="34"/>
  <c r="AG58" i="34"/>
  <c r="AH58" i="34"/>
  <c r="AI58" i="34"/>
  <c r="AJ58" i="34"/>
  <c r="AK58" i="34"/>
  <c r="AL58" i="34"/>
  <c r="AM58" i="34"/>
  <c r="AN58" i="34"/>
  <c r="AO58" i="34"/>
  <c r="AP58" i="34"/>
  <c r="AQ58" i="34"/>
  <c r="AR58" i="34"/>
  <c r="AS58" i="34"/>
  <c r="AT58" i="34"/>
  <c r="AU58" i="34"/>
  <c r="AV58" i="34"/>
  <c r="AW58" i="34"/>
  <c r="AX58" i="34"/>
  <c r="AY58" i="34"/>
  <c r="AZ58" i="34"/>
  <c r="BA58" i="34"/>
  <c r="BB58" i="34"/>
  <c r="BC58" i="34"/>
  <c r="BD58" i="34"/>
  <c r="BE58" i="34"/>
  <c r="BF58" i="34"/>
  <c r="BG58" i="34"/>
  <c r="BH58" i="34"/>
  <c r="BI58" i="34"/>
  <c r="BJ58" i="34"/>
  <c r="BK58" i="34"/>
  <c r="BL58" i="34"/>
  <c r="BM58" i="34"/>
  <c r="BN58" i="34"/>
  <c r="BO58" i="34"/>
  <c r="BP58" i="34"/>
  <c r="AC23" i="34"/>
  <c r="D24" i="34"/>
  <c r="L11" i="34"/>
  <c r="E24" i="34"/>
  <c r="M11" i="34"/>
  <c r="F24" i="34"/>
  <c r="N11" i="34"/>
  <c r="G24" i="34"/>
  <c r="I24" i="34"/>
  <c r="Z24" i="34"/>
  <c r="E37" i="34" a="1"/>
  <c r="E37" i="34"/>
  <c r="F37" i="34" a="1"/>
  <c r="F37" i="34"/>
  <c r="G37" i="34" a="1"/>
  <c r="H37" i="34" a="1"/>
  <c r="I37" i="34" a="1"/>
  <c r="J37" i="34" a="1"/>
  <c r="K37" i="34" a="1"/>
  <c r="L37" i="34" a="1"/>
  <c r="M37" i="34" a="1"/>
  <c r="N37" i="34" a="1"/>
  <c r="O37" i="34" a="1"/>
  <c r="P37" i="34" a="1"/>
  <c r="Q37" i="34" a="1"/>
  <c r="R37" i="34" a="1"/>
  <c r="S37" i="34" a="1"/>
  <c r="T37" i="34" a="1"/>
  <c r="U37" i="34" a="1"/>
  <c r="V37" i="34" a="1"/>
  <c r="W37" i="34" a="1"/>
  <c r="X37" i="34" a="1"/>
  <c r="Y37" i="34" a="1"/>
  <c r="Z37" i="34" a="1"/>
  <c r="AA37" i="34" a="1"/>
  <c r="AB37" i="34" a="1"/>
  <c r="AC37" i="34" a="1"/>
  <c r="AD37" i="34" a="1"/>
  <c r="AE37" i="34" a="1"/>
  <c r="AF37" i="34" a="1"/>
  <c r="AG37" i="34" a="1"/>
  <c r="AH37" i="34" a="1"/>
  <c r="AI37" i="34" a="1"/>
  <c r="AJ37" i="34" a="1"/>
  <c r="AK37" i="34" a="1"/>
  <c r="AL37" i="34" a="1"/>
  <c r="AM37" i="34" a="1"/>
  <c r="AN37" i="34" a="1"/>
  <c r="AO37" i="34" a="1"/>
  <c r="AP37" i="34" a="1"/>
  <c r="AQ37" i="34" a="1"/>
  <c r="AR37" i="34" a="1"/>
  <c r="AS37" i="34" a="1"/>
  <c r="AT37" i="34" a="1"/>
  <c r="AU37" i="34" a="1"/>
  <c r="AV37" i="34" a="1"/>
  <c r="AW37" i="34" a="1"/>
  <c r="AX37" i="34" a="1"/>
  <c r="AY37" i="34" a="1"/>
  <c r="AZ37" i="34" a="1"/>
  <c r="BA37" i="34" a="1"/>
  <c r="BB37" i="34" a="1"/>
  <c r="BC37" i="34" a="1"/>
  <c r="BD37" i="34" a="1"/>
  <c r="BE37" i="34" a="1"/>
  <c r="BF37" i="34" a="1"/>
  <c r="BG37" i="34" a="1"/>
  <c r="BH37" i="34" a="1"/>
  <c r="BI37" i="34" a="1"/>
  <c r="BJ37" i="34" a="1"/>
  <c r="BK37" i="34" a="1"/>
  <c r="BL37" i="34" a="1"/>
  <c r="BM37" i="34" a="1"/>
  <c r="BN37" i="34" a="1"/>
  <c r="BO37" i="34" a="1"/>
  <c r="BP37" i="34" a="1"/>
  <c r="G37" i="34"/>
  <c r="H37" i="34"/>
  <c r="I37" i="34"/>
  <c r="J37" i="34"/>
  <c r="K37" i="34"/>
  <c r="L37" i="34"/>
  <c r="M37" i="34"/>
  <c r="N37" i="34"/>
  <c r="O37" i="34"/>
  <c r="P37" i="34"/>
  <c r="Q37" i="34"/>
  <c r="R37" i="34"/>
  <c r="S37" i="34"/>
  <c r="T37" i="34"/>
  <c r="U37" i="34"/>
  <c r="V37" i="34"/>
  <c r="W37" i="34"/>
  <c r="X37" i="34"/>
  <c r="Y37" i="34"/>
  <c r="Z37" i="34"/>
  <c r="AA37" i="34"/>
  <c r="AB37" i="34"/>
  <c r="AC37" i="34"/>
  <c r="AD37" i="34"/>
  <c r="AE37" i="34"/>
  <c r="AF37" i="34"/>
  <c r="AG37" i="34"/>
  <c r="AH37" i="34"/>
  <c r="AI37" i="34"/>
  <c r="AJ37" i="34"/>
  <c r="AK37" i="34"/>
  <c r="AL37" i="34"/>
  <c r="AM37" i="34"/>
  <c r="AN37" i="34"/>
  <c r="AO37" i="34"/>
  <c r="AP37" i="34"/>
  <c r="AQ37" i="34"/>
  <c r="AR37" i="34"/>
  <c r="AS37" i="34"/>
  <c r="AT37" i="34"/>
  <c r="AU37" i="34"/>
  <c r="AV37" i="34"/>
  <c r="AW37" i="34"/>
  <c r="AX37" i="34"/>
  <c r="AY37" i="34"/>
  <c r="AZ37" i="34"/>
  <c r="BA37" i="34"/>
  <c r="BB37" i="34"/>
  <c r="BC37" i="34"/>
  <c r="BD37" i="34"/>
  <c r="BE37" i="34"/>
  <c r="BF37" i="34"/>
  <c r="BG37" i="34"/>
  <c r="BH37" i="34"/>
  <c r="BI37" i="34"/>
  <c r="BJ37" i="34"/>
  <c r="BK37" i="34"/>
  <c r="BL37" i="34"/>
  <c r="BM37" i="34"/>
  <c r="BN37" i="34"/>
  <c r="BO37" i="34"/>
  <c r="BP37" i="34"/>
  <c r="AA24" i="34"/>
  <c r="E48" i="34" a="1"/>
  <c r="E48" i="34"/>
  <c r="F48" i="34" a="1"/>
  <c r="F48" i="34"/>
  <c r="G48" i="34" a="1"/>
  <c r="H48" i="34" a="1"/>
  <c r="I48" i="34" a="1"/>
  <c r="J48" i="34" a="1"/>
  <c r="K48" i="34" a="1"/>
  <c r="L48" i="34" a="1"/>
  <c r="M48" i="34" a="1"/>
  <c r="N48" i="34" a="1"/>
  <c r="O48" i="34" a="1"/>
  <c r="P48" i="34" a="1"/>
  <c r="Q48" i="34" a="1"/>
  <c r="R48" i="34" a="1"/>
  <c r="S48" i="34" a="1"/>
  <c r="T48" i="34" a="1"/>
  <c r="U48" i="34" a="1"/>
  <c r="V48" i="34" a="1"/>
  <c r="W48" i="34" a="1"/>
  <c r="X48" i="34" a="1"/>
  <c r="Y48" i="34" a="1"/>
  <c r="Z48" i="34" a="1"/>
  <c r="AA48" i="34" a="1"/>
  <c r="AB48" i="34" a="1"/>
  <c r="AC48" i="34" a="1"/>
  <c r="AD48" i="34" a="1"/>
  <c r="AE48" i="34" a="1"/>
  <c r="AF48" i="34" a="1"/>
  <c r="AG48" i="34" a="1"/>
  <c r="AH48" i="34" a="1"/>
  <c r="AI48" i="34" a="1"/>
  <c r="AJ48" i="34" a="1"/>
  <c r="AK48" i="34" a="1"/>
  <c r="AL48" i="34" a="1"/>
  <c r="AM48" i="34" a="1"/>
  <c r="AN48" i="34" a="1"/>
  <c r="AO48" i="34" a="1"/>
  <c r="AP48" i="34" a="1"/>
  <c r="AQ48" i="34" a="1"/>
  <c r="AR48" i="34" a="1"/>
  <c r="AS48" i="34" a="1"/>
  <c r="AT48" i="34" a="1"/>
  <c r="AU48" i="34" a="1"/>
  <c r="AV48" i="34" a="1"/>
  <c r="AW48" i="34" a="1"/>
  <c r="AX48" i="34" a="1"/>
  <c r="AY48" i="34" a="1"/>
  <c r="AZ48" i="34" a="1"/>
  <c r="BA48" i="34" a="1"/>
  <c r="BB48" i="34" a="1"/>
  <c r="BC48" i="34" a="1"/>
  <c r="BD48" i="34" a="1"/>
  <c r="BE48" i="34" a="1"/>
  <c r="BF48" i="34" a="1"/>
  <c r="BG48" i="34" a="1"/>
  <c r="BH48" i="34" a="1"/>
  <c r="BI48" i="34" a="1"/>
  <c r="BJ48" i="34" a="1"/>
  <c r="BK48" i="34" a="1"/>
  <c r="BL48" i="34" a="1"/>
  <c r="BM48" i="34" a="1"/>
  <c r="BN48" i="34" a="1"/>
  <c r="BO48" i="34" a="1"/>
  <c r="BP48" i="34" a="1"/>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BD48" i="34"/>
  <c r="BE48" i="34"/>
  <c r="BF48" i="34"/>
  <c r="BG48" i="34"/>
  <c r="BH48" i="34"/>
  <c r="BI48" i="34"/>
  <c r="BJ48" i="34"/>
  <c r="BK48" i="34"/>
  <c r="BL48" i="34"/>
  <c r="BM48" i="34"/>
  <c r="BN48" i="34"/>
  <c r="BO48" i="34"/>
  <c r="BP48" i="34"/>
  <c r="AB24" i="34"/>
  <c r="E59" i="34" a="1"/>
  <c r="E59" i="34"/>
  <c r="F59" i="34" a="1"/>
  <c r="F59" i="34"/>
  <c r="G59" i="34" a="1"/>
  <c r="H59" i="34" a="1"/>
  <c r="I59" i="34" a="1"/>
  <c r="J59" i="34" a="1"/>
  <c r="K59" i="34" a="1"/>
  <c r="L59" i="34" a="1"/>
  <c r="M59" i="34" a="1"/>
  <c r="N59" i="34" a="1"/>
  <c r="O59" i="34" a="1"/>
  <c r="P59" i="34" a="1"/>
  <c r="Q59" i="34" a="1"/>
  <c r="R59" i="34" a="1"/>
  <c r="S59" i="34" a="1"/>
  <c r="T59" i="34" a="1"/>
  <c r="U59" i="34" a="1"/>
  <c r="V59" i="34" a="1"/>
  <c r="W59" i="34" a="1"/>
  <c r="X59" i="34" a="1"/>
  <c r="Y59" i="34" a="1"/>
  <c r="Z59" i="34" a="1"/>
  <c r="AA59" i="34" a="1"/>
  <c r="AB59" i="34" a="1"/>
  <c r="AC59" i="34" a="1"/>
  <c r="AD59" i="34" a="1"/>
  <c r="AE59" i="34" a="1"/>
  <c r="AF59" i="34" a="1"/>
  <c r="AG59" i="34" a="1"/>
  <c r="AH59" i="34" a="1"/>
  <c r="AI59" i="34" a="1"/>
  <c r="AJ59" i="34" a="1"/>
  <c r="AK59" i="34" a="1"/>
  <c r="AL59" i="34" a="1"/>
  <c r="AM59" i="34" a="1"/>
  <c r="AN59" i="34" a="1"/>
  <c r="AO59" i="34" a="1"/>
  <c r="AP59" i="34" a="1"/>
  <c r="AQ59" i="34" a="1"/>
  <c r="AR59" i="34" a="1"/>
  <c r="AS59" i="34" a="1"/>
  <c r="AT59" i="34" a="1"/>
  <c r="AU59" i="34" a="1"/>
  <c r="AV59" i="34" a="1"/>
  <c r="AW59" i="34" a="1"/>
  <c r="AX59" i="34" a="1"/>
  <c r="AY59" i="34" a="1"/>
  <c r="AZ59" i="34" a="1"/>
  <c r="BA59" i="34" a="1"/>
  <c r="BB59" i="34" a="1"/>
  <c r="BC59" i="34" a="1"/>
  <c r="BD59" i="34" a="1"/>
  <c r="BE59" i="34" a="1"/>
  <c r="BF59" i="34" a="1"/>
  <c r="BG59" i="34" a="1"/>
  <c r="BH59" i="34" a="1"/>
  <c r="BI59" i="34" a="1"/>
  <c r="BJ59" i="34" a="1"/>
  <c r="BK59" i="34" a="1"/>
  <c r="BL59" i="34" a="1"/>
  <c r="BM59" i="34" a="1"/>
  <c r="BN59" i="34" a="1"/>
  <c r="BO59" i="34" a="1"/>
  <c r="BP59" i="34" a="1"/>
  <c r="G59" i="34"/>
  <c r="H59" i="34"/>
  <c r="I59" i="34"/>
  <c r="J59" i="34"/>
  <c r="K59" i="34"/>
  <c r="L59" i="34"/>
  <c r="M59" i="34"/>
  <c r="N59" i="34"/>
  <c r="O59" i="34"/>
  <c r="P59" i="34"/>
  <c r="Q59" i="34"/>
  <c r="R59" i="34"/>
  <c r="S59" i="34"/>
  <c r="T59" i="34"/>
  <c r="U59" i="34"/>
  <c r="V59" i="34"/>
  <c r="W59" i="34"/>
  <c r="X59" i="34"/>
  <c r="Y59" i="34"/>
  <c r="Z59" i="34"/>
  <c r="AA59" i="34"/>
  <c r="AB59" i="34"/>
  <c r="AC59" i="34"/>
  <c r="AD59" i="34"/>
  <c r="AE59" i="34"/>
  <c r="AF59" i="34"/>
  <c r="AG59" i="34"/>
  <c r="AH59" i="34"/>
  <c r="AI59" i="34"/>
  <c r="AJ59" i="34"/>
  <c r="AK59" i="34"/>
  <c r="AL59" i="34"/>
  <c r="AM59" i="34"/>
  <c r="AN59" i="34"/>
  <c r="AO59" i="34"/>
  <c r="AP59" i="34"/>
  <c r="AQ59" i="34"/>
  <c r="AR59" i="34"/>
  <c r="AS59" i="34"/>
  <c r="AT59" i="34"/>
  <c r="AU59" i="34"/>
  <c r="AV59" i="34"/>
  <c r="AW59" i="34"/>
  <c r="AX59" i="34"/>
  <c r="AY59" i="34"/>
  <c r="AZ59" i="34"/>
  <c r="BA59" i="34"/>
  <c r="BB59" i="34"/>
  <c r="BC59" i="34"/>
  <c r="BD59" i="34"/>
  <c r="BE59" i="34"/>
  <c r="BF59" i="34"/>
  <c r="BG59" i="34"/>
  <c r="BH59" i="34"/>
  <c r="BI59" i="34"/>
  <c r="BJ59" i="34"/>
  <c r="BK59" i="34"/>
  <c r="BL59" i="34"/>
  <c r="BM59" i="34"/>
  <c r="BN59" i="34"/>
  <c r="BO59" i="34"/>
  <c r="BP59" i="34"/>
  <c r="AC24" i="34"/>
  <c r="D25" i="34"/>
  <c r="L12" i="34"/>
  <c r="E25" i="34"/>
  <c r="M12" i="34"/>
  <c r="F25" i="34"/>
  <c r="N12" i="34"/>
  <c r="G25" i="34"/>
  <c r="I25" i="34"/>
  <c r="Z25" i="34"/>
  <c r="E38" i="34" a="1"/>
  <c r="E38" i="34"/>
  <c r="F38" i="34" a="1"/>
  <c r="F38" i="34"/>
  <c r="G38" i="34" a="1"/>
  <c r="H38" i="34" a="1"/>
  <c r="I38" i="34" a="1"/>
  <c r="J38" i="34" a="1"/>
  <c r="K38" i="34" a="1"/>
  <c r="L38" i="34" a="1"/>
  <c r="M38" i="34" a="1"/>
  <c r="N38" i="34" a="1"/>
  <c r="O38" i="34" a="1"/>
  <c r="P38" i="34" a="1"/>
  <c r="Q38" i="34" a="1"/>
  <c r="R38" i="34" a="1"/>
  <c r="S38" i="34" a="1"/>
  <c r="T38" i="34" a="1"/>
  <c r="U38" i="34" a="1"/>
  <c r="V38" i="34" a="1"/>
  <c r="W38" i="34" a="1"/>
  <c r="X38" i="34" a="1"/>
  <c r="Y38" i="34" a="1"/>
  <c r="Z38" i="34" a="1"/>
  <c r="AA38" i="34" a="1"/>
  <c r="AB38" i="34" a="1"/>
  <c r="AC38" i="34" a="1"/>
  <c r="AD38" i="34" a="1"/>
  <c r="AE38" i="34" a="1"/>
  <c r="AF38" i="34" a="1"/>
  <c r="AG38" i="34" a="1"/>
  <c r="AH38" i="34" a="1"/>
  <c r="AI38" i="34" a="1"/>
  <c r="AJ38" i="34" a="1"/>
  <c r="AK38" i="34" a="1"/>
  <c r="AL38" i="34" a="1"/>
  <c r="AM38" i="34" a="1"/>
  <c r="AN38" i="34" a="1"/>
  <c r="AO38" i="34" a="1"/>
  <c r="AP38" i="34" a="1"/>
  <c r="AQ38" i="34" a="1"/>
  <c r="AR38" i="34" a="1"/>
  <c r="AS38" i="34" a="1"/>
  <c r="AT38" i="34" a="1"/>
  <c r="AU38" i="34" a="1"/>
  <c r="AV38" i="34" a="1"/>
  <c r="AW38" i="34" a="1"/>
  <c r="AX38" i="34" a="1"/>
  <c r="AY38" i="34" a="1"/>
  <c r="AZ38" i="34" a="1"/>
  <c r="BA38" i="34" a="1"/>
  <c r="BB38" i="34" a="1"/>
  <c r="BC38" i="34" a="1"/>
  <c r="BD38" i="34" a="1"/>
  <c r="BE38" i="34" a="1"/>
  <c r="BF38" i="34" a="1"/>
  <c r="BG38" i="34" a="1"/>
  <c r="BH38" i="34" a="1"/>
  <c r="BI38" i="34" a="1"/>
  <c r="BJ38" i="34" a="1"/>
  <c r="BK38" i="34" a="1"/>
  <c r="BL38" i="34" a="1"/>
  <c r="BM38" i="34" a="1"/>
  <c r="BN38" i="34" a="1"/>
  <c r="BO38" i="34" a="1"/>
  <c r="BP38" i="34" a="1"/>
  <c r="G38" i="34"/>
  <c r="H38" i="34"/>
  <c r="I38" i="34"/>
  <c r="J38" i="34"/>
  <c r="K38" i="34"/>
  <c r="L38" i="34"/>
  <c r="M38" i="34"/>
  <c r="N38" i="34"/>
  <c r="O38" i="34"/>
  <c r="P38" i="34"/>
  <c r="Q38" i="34"/>
  <c r="R38" i="34"/>
  <c r="S38" i="34"/>
  <c r="T38" i="34"/>
  <c r="U38" i="34"/>
  <c r="V38" i="34"/>
  <c r="W38" i="34"/>
  <c r="X38" i="34"/>
  <c r="Y38" i="34"/>
  <c r="Z38" i="34"/>
  <c r="AA38" i="34"/>
  <c r="AB38" i="34"/>
  <c r="AC38" i="34"/>
  <c r="AD38" i="34"/>
  <c r="AE38" i="34"/>
  <c r="AF38" i="34"/>
  <c r="AG38" i="34"/>
  <c r="AH38" i="34"/>
  <c r="AI38" i="34"/>
  <c r="AJ38" i="34"/>
  <c r="AK38" i="34"/>
  <c r="AL38" i="34"/>
  <c r="AM38" i="34"/>
  <c r="AN38" i="34"/>
  <c r="AO38" i="34"/>
  <c r="AP38" i="34"/>
  <c r="AQ38" i="34"/>
  <c r="AR38" i="34"/>
  <c r="AS38" i="34"/>
  <c r="AT38" i="34"/>
  <c r="AU38" i="34"/>
  <c r="AV38" i="34"/>
  <c r="AW38" i="34"/>
  <c r="AX38" i="34"/>
  <c r="AY38" i="34"/>
  <c r="AZ38" i="34"/>
  <c r="BA38" i="34"/>
  <c r="BB38" i="34"/>
  <c r="BC38" i="34"/>
  <c r="BD38" i="34"/>
  <c r="BE38" i="34"/>
  <c r="BF38" i="34"/>
  <c r="BG38" i="34"/>
  <c r="BH38" i="34"/>
  <c r="BI38" i="34"/>
  <c r="BJ38" i="34"/>
  <c r="BK38" i="34"/>
  <c r="BL38" i="34"/>
  <c r="BM38" i="34"/>
  <c r="BN38" i="34"/>
  <c r="BO38" i="34"/>
  <c r="BP38" i="34"/>
  <c r="AA25" i="34"/>
  <c r="E49" i="34" a="1"/>
  <c r="E49" i="34"/>
  <c r="F49" i="34" a="1"/>
  <c r="F49" i="34"/>
  <c r="G49" i="34" a="1"/>
  <c r="H49" i="34" a="1"/>
  <c r="I49" i="34" a="1"/>
  <c r="J49" i="34" a="1"/>
  <c r="K49" i="34" a="1"/>
  <c r="L49" i="34" a="1"/>
  <c r="M49" i="34" a="1"/>
  <c r="N49" i="34" a="1"/>
  <c r="O49" i="34" a="1"/>
  <c r="P49" i="34" a="1"/>
  <c r="Q49" i="34" a="1"/>
  <c r="R49" i="34" a="1"/>
  <c r="S49" i="34" a="1"/>
  <c r="T49" i="34" a="1"/>
  <c r="U49" i="34" a="1"/>
  <c r="V49" i="34" a="1"/>
  <c r="W49" i="34" a="1"/>
  <c r="X49" i="34" a="1"/>
  <c r="Y49" i="34" a="1"/>
  <c r="Z49" i="34" a="1"/>
  <c r="AA49" i="34" a="1"/>
  <c r="AB49" i="34" a="1"/>
  <c r="AC49" i="34" a="1"/>
  <c r="AD49" i="34" a="1"/>
  <c r="AE49" i="34" a="1"/>
  <c r="AF49" i="34" a="1"/>
  <c r="AG49" i="34" a="1"/>
  <c r="AH49" i="34" a="1"/>
  <c r="AI49" i="34" a="1"/>
  <c r="AJ49" i="34" a="1"/>
  <c r="AK49" i="34" a="1"/>
  <c r="AL49" i="34" a="1"/>
  <c r="AM49" i="34" a="1"/>
  <c r="AN49" i="34" a="1"/>
  <c r="AO49" i="34" a="1"/>
  <c r="AP49" i="34" a="1"/>
  <c r="AQ49" i="34" a="1"/>
  <c r="AR49" i="34" a="1"/>
  <c r="AS49" i="34" a="1"/>
  <c r="AT49" i="34" a="1"/>
  <c r="AU49" i="34" a="1"/>
  <c r="AV49" i="34" a="1"/>
  <c r="AW49" i="34" a="1"/>
  <c r="AX49" i="34" a="1"/>
  <c r="AY49" i="34" a="1"/>
  <c r="AZ49" i="34" a="1"/>
  <c r="BA49" i="34" a="1"/>
  <c r="BB49" i="34" a="1"/>
  <c r="BC49" i="34" a="1"/>
  <c r="BD49" i="34" a="1"/>
  <c r="BE49" i="34" a="1"/>
  <c r="BF49" i="34" a="1"/>
  <c r="BG49" i="34" a="1"/>
  <c r="BH49" i="34" a="1"/>
  <c r="BI49" i="34" a="1"/>
  <c r="BJ49" i="34" a="1"/>
  <c r="BK49" i="34" a="1"/>
  <c r="BL49" i="34" a="1"/>
  <c r="BM49" i="34" a="1"/>
  <c r="BN49" i="34" a="1"/>
  <c r="BO49" i="34" a="1"/>
  <c r="BP49" i="34" a="1"/>
  <c r="G49" i="34"/>
  <c r="H49" i="34"/>
  <c r="I49" i="34"/>
  <c r="J49" i="34"/>
  <c r="K49" i="34"/>
  <c r="L49" i="34"/>
  <c r="M49"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BD49" i="34"/>
  <c r="BE49" i="34"/>
  <c r="BF49" i="34"/>
  <c r="BG49" i="34"/>
  <c r="BH49" i="34"/>
  <c r="BI49" i="34"/>
  <c r="BJ49" i="34"/>
  <c r="BK49" i="34"/>
  <c r="BL49" i="34"/>
  <c r="BM49" i="34"/>
  <c r="BN49" i="34"/>
  <c r="BO49" i="34"/>
  <c r="BP49" i="34"/>
  <c r="AB25" i="34"/>
  <c r="E60" i="34" a="1"/>
  <c r="E60" i="34"/>
  <c r="F60" i="34" a="1"/>
  <c r="F60" i="34"/>
  <c r="G60" i="34" a="1"/>
  <c r="H60" i="34" a="1"/>
  <c r="I60" i="34" a="1"/>
  <c r="J60" i="34" a="1"/>
  <c r="K60" i="34" a="1"/>
  <c r="L60" i="34" a="1"/>
  <c r="M60" i="34" a="1"/>
  <c r="N60" i="34" a="1"/>
  <c r="O60" i="34" a="1"/>
  <c r="P60" i="34" a="1"/>
  <c r="Q60" i="34" a="1"/>
  <c r="R60" i="34" a="1"/>
  <c r="S60" i="34" a="1"/>
  <c r="T60" i="34" a="1"/>
  <c r="U60" i="34" a="1"/>
  <c r="V60" i="34" a="1"/>
  <c r="W60" i="34" a="1"/>
  <c r="X60" i="34" a="1"/>
  <c r="Y60" i="34" a="1"/>
  <c r="Z60" i="34" a="1"/>
  <c r="AA60" i="34" a="1"/>
  <c r="AB60" i="34" a="1"/>
  <c r="AC60" i="34" a="1"/>
  <c r="AD60" i="34" a="1"/>
  <c r="AE60" i="34" a="1"/>
  <c r="AF60" i="34" a="1"/>
  <c r="AG60" i="34" a="1"/>
  <c r="AH60" i="34" a="1"/>
  <c r="AI60" i="34" a="1"/>
  <c r="AJ60" i="34" a="1"/>
  <c r="AK60" i="34" a="1"/>
  <c r="AL60" i="34" a="1"/>
  <c r="AM60" i="34" a="1"/>
  <c r="AN60" i="34" a="1"/>
  <c r="AO60" i="34" a="1"/>
  <c r="AP60" i="34" a="1"/>
  <c r="AQ60" i="34" a="1"/>
  <c r="AR60" i="34" a="1"/>
  <c r="AS60" i="34" a="1"/>
  <c r="AT60" i="34" a="1"/>
  <c r="AU60" i="34" a="1"/>
  <c r="AV60" i="34" a="1"/>
  <c r="AW60" i="34" a="1"/>
  <c r="AX60" i="34" a="1"/>
  <c r="AY60" i="34" a="1"/>
  <c r="AZ60" i="34" a="1"/>
  <c r="BA60" i="34" a="1"/>
  <c r="BB60" i="34" a="1"/>
  <c r="BC60" i="34" a="1"/>
  <c r="BD60" i="34" a="1"/>
  <c r="BE60" i="34" a="1"/>
  <c r="BF60" i="34" a="1"/>
  <c r="BG60" i="34" a="1"/>
  <c r="BH60" i="34" a="1"/>
  <c r="BI60" i="34" a="1"/>
  <c r="BJ60" i="34" a="1"/>
  <c r="BK60" i="34" a="1"/>
  <c r="BL60" i="34" a="1"/>
  <c r="BM60" i="34" a="1"/>
  <c r="BN60" i="34" a="1"/>
  <c r="BO60" i="34" a="1"/>
  <c r="BP60" i="34" a="1"/>
  <c r="G60" i="34"/>
  <c r="H60" i="34"/>
  <c r="I60" i="34"/>
  <c r="J60" i="34"/>
  <c r="K60" i="34"/>
  <c r="L60" i="34"/>
  <c r="M60" i="34"/>
  <c r="N60" i="34"/>
  <c r="O60" i="34"/>
  <c r="P60" i="34"/>
  <c r="Q60" i="34"/>
  <c r="R60" i="34"/>
  <c r="S60" i="34"/>
  <c r="T60" i="34"/>
  <c r="U60" i="34"/>
  <c r="V60" i="34"/>
  <c r="W60" i="34"/>
  <c r="X60" i="34"/>
  <c r="Y60" i="34"/>
  <c r="Z60" i="34"/>
  <c r="AA60" i="34"/>
  <c r="AB60" i="34"/>
  <c r="AC60" i="34"/>
  <c r="AD60" i="34"/>
  <c r="AE60" i="34"/>
  <c r="AF60" i="34"/>
  <c r="AG60" i="34"/>
  <c r="AH60" i="34"/>
  <c r="AI60" i="34"/>
  <c r="AJ60" i="34"/>
  <c r="AK60" i="34"/>
  <c r="AL60" i="34"/>
  <c r="AM60" i="34"/>
  <c r="AN60" i="34"/>
  <c r="AO60" i="34"/>
  <c r="AP60" i="34"/>
  <c r="AQ60" i="34"/>
  <c r="AR60" i="34"/>
  <c r="AS60" i="34"/>
  <c r="AT60" i="34"/>
  <c r="AU60" i="34"/>
  <c r="AV60" i="34"/>
  <c r="AW60" i="34"/>
  <c r="AX60" i="34"/>
  <c r="AY60" i="34"/>
  <c r="AZ60" i="34"/>
  <c r="BA60" i="34"/>
  <c r="BB60" i="34"/>
  <c r="BC60" i="34"/>
  <c r="BD60" i="34"/>
  <c r="BE60" i="34"/>
  <c r="BF60" i="34"/>
  <c r="BG60" i="34"/>
  <c r="BH60" i="34"/>
  <c r="BI60" i="34"/>
  <c r="BJ60" i="34"/>
  <c r="BK60" i="34"/>
  <c r="BL60" i="34"/>
  <c r="BM60" i="34"/>
  <c r="BN60" i="34"/>
  <c r="BO60" i="34"/>
  <c r="BP60" i="34"/>
  <c r="AC25" i="34"/>
  <c r="E55" i="34" a="1"/>
  <c r="E55" i="34"/>
  <c r="F55" i="34" a="1"/>
  <c r="F55" i="34"/>
  <c r="G55" i="34" a="1"/>
  <c r="H55" i="34" a="1"/>
  <c r="I55" i="34" a="1"/>
  <c r="J55" i="34" a="1"/>
  <c r="K55" i="34" a="1"/>
  <c r="L55" i="34" a="1"/>
  <c r="M55" i="34" a="1"/>
  <c r="N55" i="34" a="1"/>
  <c r="O55" i="34" a="1"/>
  <c r="P55" i="34" a="1"/>
  <c r="Q55" i="34" a="1"/>
  <c r="R55" i="34" a="1"/>
  <c r="S55" i="34" a="1"/>
  <c r="T55" i="34" a="1"/>
  <c r="U55" i="34" a="1"/>
  <c r="V55" i="34" a="1"/>
  <c r="W55" i="34" a="1"/>
  <c r="X55" i="34" a="1"/>
  <c r="Y55" i="34" a="1"/>
  <c r="Z55" i="34" a="1"/>
  <c r="AA55" i="34" a="1"/>
  <c r="AB55" i="34" a="1"/>
  <c r="AC55" i="34" a="1"/>
  <c r="AD55" i="34" a="1"/>
  <c r="AE55" i="34" a="1"/>
  <c r="AF55" i="34" a="1"/>
  <c r="AG55" i="34" a="1"/>
  <c r="AH55" i="34" a="1"/>
  <c r="AI55" i="34" a="1"/>
  <c r="AJ55" i="34" a="1"/>
  <c r="AK55" i="34" a="1"/>
  <c r="AL55" i="34" a="1"/>
  <c r="AM55" i="34" a="1"/>
  <c r="AN55" i="34" a="1"/>
  <c r="AO55" i="34" a="1"/>
  <c r="AP55" i="34" a="1"/>
  <c r="AQ55" i="34" a="1"/>
  <c r="AR55" i="34" a="1"/>
  <c r="AS55" i="34" a="1"/>
  <c r="AT55" i="34" a="1"/>
  <c r="AU55" i="34" a="1"/>
  <c r="AV55" i="34" a="1"/>
  <c r="AW55" i="34" a="1"/>
  <c r="AX55" i="34" a="1"/>
  <c r="AY55" i="34" a="1"/>
  <c r="AZ55" i="34" a="1"/>
  <c r="BA55" i="34" a="1"/>
  <c r="BB55" i="34" a="1"/>
  <c r="BC55" i="34" a="1"/>
  <c r="BD55" i="34" a="1"/>
  <c r="BE55" i="34" a="1"/>
  <c r="BF55" i="34" a="1"/>
  <c r="BG55" i="34" a="1"/>
  <c r="BH55" i="34" a="1"/>
  <c r="BI55" i="34" a="1"/>
  <c r="BJ55" i="34" a="1"/>
  <c r="BK55" i="34" a="1"/>
  <c r="BL55" i="34" a="1"/>
  <c r="BM55" i="34" a="1"/>
  <c r="BN55" i="34" a="1"/>
  <c r="BO55" i="34" a="1"/>
  <c r="BP55" i="34" a="1"/>
  <c r="G55" i="34"/>
  <c r="H55" i="34"/>
  <c r="I55" i="34"/>
  <c r="J55" i="34"/>
  <c r="K55" i="34"/>
  <c r="L55" i="34"/>
  <c r="M55" i="34"/>
  <c r="N55" i="34"/>
  <c r="O55" i="34"/>
  <c r="P55" i="34"/>
  <c r="Q55" i="34"/>
  <c r="R55" i="34"/>
  <c r="S55" i="34"/>
  <c r="T55" i="34"/>
  <c r="U55" i="34"/>
  <c r="V55" i="34"/>
  <c r="W55" i="34"/>
  <c r="X55" i="34"/>
  <c r="Y55" i="34"/>
  <c r="Z55" i="34"/>
  <c r="AA55" i="34"/>
  <c r="AB55" i="34"/>
  <c r="AC55" i="34"/>
  <c r="AD55" i="34"/>
  <c r="AE55" i="34"/>
  <c r="AF55" i="34"/>
  <c r="AG55" i="34"/>
  <c r="AH55" i="34"/>
  <c r="AI55" i="34"/>
  <c r="AJ55" i="34"/>
  <c r="AK55" i="34"/>
  <c r="AL55" i="34"/>
  <c r="AM55" i="34"/>
  <c r="AN55" i="34"/>
  <c r="AO55" i="34"/>
  <c r="AP55" i="34"/>
  <c r="AQ55" i="34"/>
  <c r="AR55" i="34"/>
  <c r="AS55" i="34"/>
  <c r="AT55" i="34"/>
  <c r="AU55" i="34"/>
  <c r="AV55" i="34"/>
  <c r="AW55" i="34"/>
  <c r="AX55" i="34"/>
  <c r="AY55" i="34"/>
  <c r="AZ55" i="34"/>
  <c r="BA55" i="34"/>
  <c r="BB55" i="34"/>
  <c r="BC55" i="34"/>
  <c r="BD55" i="34"/>
  <c r="BE55" i="34"/>
  <c r="BF55" i="34"/>
  <c r="BG55" i="34"/>
  <c r="BH55" i="34"/>
  <c r="BI55" i="34"/>
  <c r="BJ55" i="34"/>
  <c r="BK55" i="34"/>
  <c r="BL55" i="34"/>
  <c r="BM55" i="34"/>
  <c r="BN55" i="34"/>
  <c r="BO55" i="34"/>
  <c r="BP55" i="34"/>
  <c r="AC20" i="34"/>
  <c r="E44" i="34" a="1"/>
  <c r="E44" i="34"/>
  <c r="F44" i="34" a="1"/>
  <c r="F44" i="34"/>
  <c r="G44" i="34" a="1"/>
  <c r="H44" i="34" a="1"/>
  <c r="I44" i="34" a="1"/>
  <c r="J44" i="34" a="1"/>
  <c r="K44" i="34" a="1"/>
  <c r="L44" i="34" a="1"/>
  <c r="M44" i="34" a="1"/>
  <c r="N44" i="34" a="1"/>
  <c r="O44" i="34" a="1"/>
  <c r="P44" i="34" a="1"/>
  <c r="Q44" i="34" a="1"/>
  <c r="R44" i="34" a="1"/>
  <c r="S44" i="34" a="1"/>
  <c r="T44" i="34" a="1"/>
  <c r="U44" i="34" a="1"/>
  <c r="V44" i="34" a="1"/>
  <c r="W44" i="34" a="1"/>
  <c r="X44" i="34" a="1"/>
  <c r="Y44" i="34" a="1"/>
  <c r="Z44" i="34" a="1"/>
  <c r="AA44" i="34" a="1"/>
  <c r="AB44" i="34" a="1"/>
  <c r="AC44" i="34" a="1"/>
  <c r="AD44" i="34" a="1"/>
  <c r="AE44" i="34" a="1"/>
  <c r="AF44" i="34" a="1"/>
  <c r="AG44" i="34" a="1"/>
  <c r="AH44" i="34" a="1"/>
  <c r="AI44" i="34" a="1"/>
  <c r="AJ44" i="34" a="1"/>
  <c r="AK44" i="34" a="1"/>
  <c r="AL44" i="34" a="1"/>
  <c r="AM44" i="34" a="1"/>
  <c r="AN44" i="34" a="1"/>
  <c r="AO44" i="34" a="1"/>
  <c r="AP44" i="34" a="1"/>
  <c r="AQ44" i="34" a="1"/>
  <c r="AR44" i="34" a="1"/>
  <c r="AS44" i="34" a="1"/>
  <c r="AT44" i="34" a="1"/>
  <c r="AU44" i="34" a="1"/>
  <c r="AV44" i="34" a="1"/>
  <c r="AW44" i="34" a="1"/>
  <c r="AX44" i="34" a="1"/>
  <c r="AY44" i="34" a="1"/>
  <c r="AZ44" i="34" a="1"/>
  <c r="BA44" i="34" a="1"/>
  <c r="BB44" i="34" a="1"/>
  <c r="BC44" i="34" a="1"/>
  <c r="BD44" i="34" a="1"/>
  <c r="BE44" i="34" a="1"/>
  <c r="BF44" i="34" a="1"/>
  <c r="BG44" i="34" a="1"/>
  <c r="BH44" i="34" a="1"/>
  <c r="BI44" i="34" a="1"/>
  <c r="BJ44" i="34" a="1"/>
  <c r="BK44" i="34" a="1"/>
  <c r="BL44" i="34" a="1"/>
  <c r="BM44" i="34" a="1"/>
  <c r="BN44" i="34" a="1"/>
  <c r="BO44" i="34" a="1"/>
  <c r="BP44" i="34" a="1"/>
  <c r="G44" i="34"/>
  <c r="H44" i="34"/>
  <c r="I44" i="34"/>
  <c r="J44" i="34"/>
  <c r="K44" i="34"/>
  <c r="L44" i="34"/>
  <c r="M44" i="34"/>
  <c r="N44" i="34"/>
  <c r="O44" i="34"/>
  <c r="P44" i="34"/>
  <c r="Q44" i="34"/>
  <c r="R44" i="34"/>
  <c r="S44" i="34"/>
  <c r="T44" i="34"/>
  <c r="U44" i="34"/>
  <c r="V44" i="34"/>
  <c r="W44" i="34"/>
  <c r="X44" i="34"/>
  <c r="Y44" i="34"/>
  <c r="Z44" i="34"/>
  <c r="AA44" i="34"/>
  <c r="AB44" i="34"/>
  <c r="AC44" i="34"/>
  <c r="AD44" i="34"/>
  <c r="AE44" i="34"/>
  <c r="AF44" i="34"/>
  <c r="AG44" i="34"/>
  <c r="AH44" i="34"/>
  <c r="AI44" i="34"/>
  <c r="AJ44" i="34"/>
  <c r="AK44" i="34"/>
  <c r="AL44" i="34"/>
  <c r="AM44" i="34"/>
  <c r="AN44" i="34"/>
  <c r="AO44" i="34"/>
  <c r="AP44" i="34"/>
  <c r="AQ44" i="34"/>
  <c r="AR44" i="34"/>
  <c r="AS44" i="34"/>
  <c r="AT44" i="34"/>
  <c r="AU44" i="34"/>
  <c r="AV44" i="34"/>
  <c r="AW44" i="34"/>
  <c r="AX44" i="34"/>
  <c r="AY44" i="34"/>
  <c r="AZ44" i="34"/>
  <c r="BA44" i="34"/>
  <c r="BB44" i="34"/>
  <c r="BC44" i="34"/>
  <c r="BD44" i="34"/>
  <c r="BE44" i="34"/>
  <c r="BF44" i="34"/>
  <c r="BG44" i="34"/>
  <c r="BH44" i="34"/>
  <c r="BI44" i="34"/>
  <c r="BJ44" i="34"/>
  <c r="BK44" i="34"/>
  <c r="BL44" i="34"/>
  <c r="BM44" i="34"/>
  <c r="BN44" i="34"/>
  <c r="BO44" i="34"/>
  <c r="BP44" i="34"/>
  <c r="AB20" i="34"/>
  <c r="E33" i="34" a="1"/>
  <c r="E33" i="34"/>
  <c r="F33" i="34" a="1"/>
  <c r="F33" i="34"/>
  <c r="G33" i="34" a="1"/>
  <c r="H33" i="34" a="1"/>
  <c r="I33" i="34" a="1"/>
  <c r="J33" i="34" a="1"/>
  <c r="K33" i="34" a="1"/>
  <c r="L33" i="34" a="1"/>
  <c r="M33" i="34" a="1"/>
  <c r="N33" i="34" a="1"/>
  <c r="O33" i="34" a="1"/>
  <c r="P33" i="34" a="1"/>
  <c r="Q33" i="34" a="1"/>
  <c r="R33" i="34" a="1"/>
  <c r="S33" i="34" a="1"/>
  <c r="T33" i="34" a="1"/>
  <c r="U33" i="34" a="1"/>
  <c r="V33" i="34" a="1"/>
  <c r="W33" i="34" a="1"/>
  <c r="X33" i="34" a="1"/>
  <c r="Y33" i="34" a="1"/>
  <c r="Z33" i="34" a="1"/>
  <c r="AA33" i="34" a="1"/>
  <c r="AB33" i="34" a="1"/>
  <c r="AC33" i="34" a="1"/>
  <c r="AD33" i="34" a="1"/>
  <c r="AE33" i="34" a="1"/>
  <c r="AF33" i="34" a="1"/>
  <c r="AG33" i="34" a="1"/>
  <c r="AH33" i="34" a="1"/>
  <c r="AI33" i="34" a="1"/>
  <c r="AJ33" i="34" a="1"/>
  <c r="AK33" i="34" a="1"/>
  <c r="AL33" i="34" a="1"/>
  <c r="AM33" i="34" a="1"/>
  <c r="AN33" i="34" a="1"/>
  <c r="AO33" i="34" a="1"/>
  <c r="AP33" i="34" a="1"/>
  <c r="AQ33" i="34" a="1"/>
  <c r="AR33" i="34" a="1"/>
  <c r="AS33" i="34" a="1"/>
  <c r="AT33" i="34" a="1"/>
  <c r="AU33" i="34" a="1"/>
  <c r="AV33" i="34" a="1"/>
  <c r="AW33" i="34" a="1"/>
  <c r="AX33" i="34" a="1"/>
  <c r="AY33" i="34" a="1"/>
  <c r="AZ33" i="34" a="1"/>
  <c r="BA33" i="34" a="1"/>
  <c r="BB33" i="34" a="1"/>
  <c r="BC33" i="34" a="1"/>
  <c r="BD33" i="34" a="1"/>
  <c r="BE33" i="34" a="1"/>
  <c r="BF33" i="34" a="1"/>
  <c r="BG33" i="34" a="1"/>
  <c r="BH33" i="34" a="1"/>
  <c r="BI33" i="34" a="1"/>
  <c r="BJ33" i="34" a="1"/>
  <c r="BK33" i="34" a="1"/>
  <c r="BL33" i="34" a="1"/>
  <c r="BM33" i="34" a="1"/>
  <c r="BN33" i="34" a="1"/>
  <c r="BO33" i="34" a="1"/>
  <c r="BP33" i="34" a="1"/>
  <c r="G33" i="34"/>
  <c r="H33" i="34"/>
  <c r="I33" i="34"/>
  <c r="J33" i="34"/>
  <c r="K33" i="34"/>
  <c r="L33" i="34"/>
  <c r="M33" i="34"/>
  <c r="N33" i="34"/>
  <c r="O33" i="34"/>
  <c r="P33" i="34"/>
  <c r="Q33" i="34"/>
  <c r="R33" i="34"/>
  <c r="S33" i="34"/>
  <c r="T33" i="34"/>
  <c r="U33" i="34"/>
  <c r="V33" i="34"/>
  <c r="W33" i="34"/>
  <c r="X33" i="34"/>
  <c r="Y33" i="34"/>
  <c r="Z33" i="34"/>
  <c r="AA33" i="34"/>
  <c r="AB33" i="34"/>
  <c r="AC33" i="34"/>
  <c r="AD33" i="34"/>
  <c r="AE33" i="34"/>
  <c r="AF33" i="34"/>
  <c r="AG33" i="34"/>
  <c r="AH33" i="34"/>
  <c r="AI33" i="34"/>
  <c r="AJ33" i="34"/>
  <c r="AK33" i="34"/>
  <c r="AL33" i="34"/>
  <c r="AM33" i="34"/>
  <c r="AN33" i="34"/>
  <c r="AO33" i="34"/>
  <c r="AP33" i="34"/>
  <c r="AQ33" i="34"/>
  <c r="AR33" i="34"/>
  <c r="AS33" i="34"/>
  <c r="AT33" i="34"/>
  <c r="AU33" i="34"/>
  <c r="AV33" i="34"/>
  <c r="AW33" i="34"/>
  <c r="AX33" i="34"/>
  <c r="AY33" i="34"/>
  <c r="AZ33" i="34"/>
  <c r="BA33" i="34"/>
  <c r="BB33" i="34"/>
  <c r="BC33" i="34"/>
  <c r="BD33" i="34"/>
  <c r="BE33" i="34"/>
  <c r="BF33" i="34"/>
  <c r="BG33" i="34"/>
  <c r="BH33" i="34"/>
  <c r="BI33" i="34"/>
  <c r="BJ33" i="34"/>
  <c r="BK33" i="34"/>
  <c r="BL33" i="34"/>
  <c r="BM33" i="34"/>
  <c r="BN33" i="34"/>
  <c r="BO33" i="34"/>
  <c r="BP33" i="34"/>
  <c r="AA20" i="34"/>
  <c r="E54" i="34" a="1"/>
  <c r="E54" i="34"/>
  <c r="F54" i="34" a="1"/>
  <c r="F54" i="34"/>
  <c r="G54" i="34" a="1"/>
  <c r="H54" i="34" a="1"/>
  <c r="I54" i="34" a="1"/>
  <c r="J54" i="34" a="1"/>
  <c r="K54" i="34" a="1"/>
  <c r="L54" i="34" a="1"/>
  <c r="M54" i="34" a="1"/>
  <c r="N54" i="34" a="1"/>
  <c r="O54" i="34" a="1"/>
  <c r="P54" i="34" a="1"/>
  <c r="Q54" i="34" a="1"/>
  <c r="R54" i="34" a="1"/>
  <c r="S54" i="34" a="1"/>
  <c r="T54" i="34" a="1"/>
  <c r="U54" i="34" a="1"/>
  <c r="V54" i="34" a="1"/>
  <c r="W54" i="34" a="1"/>
  <c r="X54" i="34" a="1"/>
  <c r="Y54" i="34" a="1"/>
  <c r="Z54" i="34" a="1"/>
  <c r="AA54" i="34" a="1"/>
  <c r="AB54" i="34" a="1"/>
  <c r="AC54" i="34" a="1"/>
  <c r="AD54" i="34" a="1"/>
  <c r="AE54" i="34" a="1"/>
  <c r="AF54" i="34" a="1"/>
  <c r="AG54" i="34" a="1"/>
  <c r="AH54" i="34" a="1"/>
  <c r="AI54" i="34" a="1"/>
  <c r="AJ54" i="34" a="1"/>
  <c r="AK54" i="34" a="1"/>
  <c r="AL54" i="34" a="1"/>
  <c r="AM54" i="34" a="1"/>
  <c r="AN54" i="34" a="1"/>
  <c r="AO54" i="34" a="1"/>
  <c r="AP54" i="34" a="1"/>
  <c r="AQ54" i="34" a="1"/>
  <c r="AR54" i="34" a="1"/>
  <c r="AS54" i="34" a="1"/>
  <c r="AT54" i="34" a="1"/>
  <c r="AU54" i="34" a="1"/>
  <c r="AV54" i="34" a="1"/>
  <c r="AW54" i="34" a="1"/>
  <c r="AX54" i="34" a="1"/>
  <c r="AY54" i="34" a="1"/>
  <c r="AZ54" i="34" a="1"/>
  <c r="BA54" i="34" a="1"/>
  <c r="BB54" i="34" a="1"/>
  <c r="BC54" i="34" a="1"/>
  <c r="BD54" i="34" a="1"/>
  <c r="BE54" i="34" a="1"/>
  <c r="BF54" i="34" a="1"/>
  <c r="BG54" i="34" a="1"/>
  <c r="BH54" i="34" a="1"/>
  <c r="BI54" i="34" a="1"/>
  <c r="BJ54" i="34" a="1"/>
  <c r="BK54" i="34" a="1"/>
  <c r="BL54" i="34" a="1"/>
  <c r="BM54" i="34" a="1"/>
  <c r="BN54" i="34" a="1"/>
  <c r="BO54" i="34" a="1"/>
  <c r="BP54" i="34" a="1"/>
  <c r="G54" i="34"/>
  <c r="H54" i="34"/>
  <c r="I54" i="34"/>
  <c r="J54" i="34"/>
  <c r="K54" i="34"/>
  <c r="L54" i="34"/>
  <c r="M54" i="34"/>
  <c r="N54" i="34"/>
  <c r="O54" i="34"/>
  <c r="P54" i="34"/>
  <c r="Q54" i="34"/>
  <c r="R54" i="34"/>
  <c r="S54" i="34"/>
  <c r="T54" i="34"/>
  <c r="U54" i="34"/>
  <c r="V54" i="34"/>
  <c r="W54" i="34"/>
  <c r="X54" i="34"/>
  <c r="Y54" i="34"/>
  <c r="Z54" i="34"/>
  <c r="AA54" i="34"/>
  <c r="AB54" i="34"/>
  <c r="AC54" i="34"/>
  <c r="AD54" i="34"/>
  <c r="AE54" i="34"/>
  <c r="AF54" i="34"/>
  <c r="AG54" i="34"/>
  <c r="AH54" i="34"/>
  <c r="AI54" i="34"/>
  <c r="AJ54" i="34"/>
  <c r="AK54" i="34"/>
  <c r="AL54" i="34"/>
  <c r="AM54" i="34"/>
  <c r="AN54" i="34"/>
  <c r="AO54" i="34"/>
  <c r="AP54" i="34"/>
  <c r="AQ54" i="34"/>
  <c r="AR54" i="34"/>
  <c r="AS54" i="34"/>
  <c r="AT54" i="34"/>
  <c r="AU54" i="34"/>
  <c r="AV54" i="34"/>
  <c r="AW54" i="34"/>
  <c r="AX54" i="34"/>
  <c r="AY54" i="34"/>
  <c r="AZ54" i="34"/>
  <c r="BA54" i="34"/>
  <c r="BB54" i="34"/>
  <c r="BC54" i="34"/>
  <c r="BD54" i="34"/>
  <c r="BE54" i="34"/>
  <c r="BF54" i="34"/>
  <c r="BG54" i="34"/>
  <c r="BH54" i="34"/>
  <c r="BI54" i="34"/>
  <c r="BJ54" i="34"/>
  <c r="BK54" i="34"/>
  <c r="BL54" i="34"/>
  <c r="BM54" i="34"/>
  <c r="BN54" i="34"/>
  <c r="BO54" i="34"/>
  <c r="BP54" i="34"/>
  <c r="AC19" i="34"/>
  <c r="E43" i="34" a="1"/>
  <c r="E43" i="34"/>
  <c r="F43" i="34" a="1"/>
  <c r="F43" i="34"/>
  <c r="G43" i="34" a="1"/>
  <c r="H43" i="34" a="1"/>
  <c r="I43" i="34" a="1"/>
  <c r="J43" i="34" a="1"/>
  <c r="K43" i="34" a="1"/>
  <c r="L43" i="34" a="1"/>
  <c r="M43" i="34" a="1"/>
  <c r="N43" i="34" a="1"/>
  <c r="O43" i="34" a="1"/>
  <c r="P43" i="34" a="1"/>
  <c r="Q43" i="34" a="1"/>
  <c r="R43" i="34" a="1"/>
  <c r="S43" i="34" a="1"/>
  <c r="T43" i="34" a="1"/>
  <c r="U43" i="34" a="1"/>
  <c r="V43" i="34" a="1"/>
  <c r="W43" i="34" a="1"/>
  <c r="X43" i="34" a="1"/>
  <c r="Y43" i="34" a="1"/>
  <c r="Z43" i="34" a="1"/>
  <c r="AA43" i="34" a="1"/>
  <c r="AB43" i="34" a="1"/>
  <c r="AC43" i="34" a="1"/>
  <c r="AD43" i="34" a="1"/>
  <c r="AE43" i="34" a="1"/>
  <c r="AF43" i="34" a="1"/>
  <c r="AG43" i="34" a="1"/>
  <c r="AH43" i="34" a="1"/>
  <c r="AI43" i="34" a="1"/>
  <c r="AJ43" i="34" a="1"/>
  <c r="AK43" i="34" a="1"/>
  <c r="AL43" i="34" a="1"/>
  <c r="AM43" i="34" a="1"/>
  <c r="AN43" i="34" a="1"/>
  <c r="AO43" i="34" a="1"/>
  <c r="AP43" i="34" a="1"/>
  <c r="AQ43" i="34" a="1"/>
  <c r="AR43" i="34" a="1"/>
  <c r="AS43" i="34" a="1"/>
  <c r="AT43" i="34" a="1"/>
  <c r="AU43" i="34" a="1"/>
  <c r="AV43" i="34" a="1"/>
  <c r="AW43" i="34" a="1"/>
  <c r="AX43" i="34" a="1"/>
  <c r="AY43" i="34" a="1"/>
  <c r="AZ43" i="34" a="1"/>
  <c r="BA43" i="34" a="1"/>
  <c r="BB43" i="34" a="1"/>
  <c r="BC43" i="34" a="1"/>
  <c r="BD43" i="34" a="1"/>
  <c r="BE43" i="34" a="1"/>
  <c r="BF43" i="34" a="1"/>
  <c r="BG43" i="34" a="1"/>
  <c r="BH43" i="34" a="1"/>
  <c r="BI43" i="34" a="1"/>
  <c r="BJ43" i="34" a="1"/>
  <c r="BK43" i="34" a="1"/>
  <c r="BL43" i="34" a="1"/>
  <c r="BM43" i="34" a="1"/>
  <c r="BN43" i="34" a="1"/>
  <c r="BO43" i="34" a="1"/>
  <c r="BP43" i="34" a="1"/>
  <c r="G43" i="34"/>
  <c r="H43" i="34"/>
  <c r="I43" i="34"/>
  <c r="J43" i="34"/>
  <c r="K43" i="34"/>
  <c r="L43" i="34"/>
  <c r="M43" i="34"/>
  <c r="N43" i="34"/>
  <c r="O43" i="34"/>
  <c r="P43" i="34"/>
  <c r="Q43" i="34"/>
  <c r="R43" i="34"/>
  <c r="S43" i="34"/>
  <c r="T43" i="34"/>
  <c r="U43" i="34"/>
  <c r="V43" i="34"/>
  <c r="W43" i="34"/>
  <c r="X43" i="34"/>
  <c r="Y43" i="34"/>
  <c r="Z43" i="34"/>
  <c r="AA43" i="34"/>
  <c r="AB43" i="34"/>
  <c r="AC43" i="34"/>
  <c r="AD43" i="34"/>
  <c r="AE43" i="34"/>
  <c r="AF43" i="34"/>
  <c r="AG43" i="34"/>
  <c r="AH43" i="34"/>
  <c r="AI43" i="34"/>
  <c r="AJ43" i="34"/>
  <c r="AK43" i="34"/>
  <c r="AL43" i="34"/>
  <c r="AM43" i="34"/>
  <c r="AN43" i="34"/>
  <c r="AO43" i="34"/>
  <c r="AP43" i="34"/>
  <c r="AQ43" i="34"/>
  <c r="AR43" i="34"/>
  <c r="AS43" i="34"/>
  <c r="AT43" i="34"/>
  <c r="AU43" i="34"/>
  <c r="AV43" i="34"/>
  <c r="AW43" i="34"/>
  <c r="AX43" i="34"/>
  <c r="AY43" i="34"/>
  <c r="AZ43" i="34"/>
  <c r="BA43" i="34"/>
  <c r="BB43" i="34"/>
  <c r="BC43" i="34"/>
  <c r="BD43" i="34"/>
  <c r="BE43" i="34"/>
  <c r="BF43" i="34"/>
  <c r="BG43" i="34"/>
  <c r="BH43" i="34"/>
  <c r="BI43" i="34"/>
  <c r="BJ43" i="34"/>
  <c r="BK43" i="34"/>
  <c r="BL43" i="34"/>
  <c r="BM43" i="34"/>
  <c r="BN43" i="34"/>
  <c r="BO43" i="34"/>
  <c r="BP43" i="34"/>
  <c r="AB19" i="34"/>
  <c r="E32" i="34" a="1"/>
  <c r="E32" i="34"/>
  <c r="F32" i="34" a="1"/>
  <c r="F32" i="34"/>
  <c r="G32" i="34" a="1"/>
  <c r="H32" i="34" a="1"/>
  <c r="I32" i="34" a="1"/>
  <c r="J32" i="34" a="1"/>
  <c r="K32" i="34" a="1"/>
  <c r="L32" i="34" a="1"/>
  <c r="M32" i="34" a="1"/>
  <c r="N32" i="34" a="1"/>
  <c r="O32" i="34" a="1"/>
  <c r="P32" i="34" a="1"/>
  <c r="Q32" i="34" a="1"/>
  <c r="R32" i="34" a="1"/>
  <c r="S32" i="34" a="1"/>
  <c r="T32" i="34" a="1"/>
  <c r="U32" i="34" a="1"/>
  <c r="V32" i="34" a="1"/>
  <c r="W32" i="34" a="1"/>
  <c r="X32" i="34" a="1"/>
  <c r="Y32" i="34" a="1"/>
  <c r="Z32" i="34" a="1"/>
  <c r="AA32" i="34" a="1"/>
  <c r="AB32" i="34" a="1"/>
  <c r="AC32" i="34" a="1"/>
  <c r="AD32" i="34" a="1"/>
  <c r="AE32" i="34" a="1"/>
  <c r="AF32" i="34" a="1"/>
  <c r="AG32" i="34" a="1"/>
  <c r="AH32" i="34" a="1"/>
  <c r="AI32" i="34" a="1"/>
  <c r="AJ32" i="34" a="1"/>
  <c r="AK32" i="34" a="1"/>
  <c r="AL32" i="34" a="1"/>
  <c r="AM32" i="34" a="1"/>
  <c r="AN32" i="34" a="1"/>
  <c r="AO32" i="34" a="1"/>
  <c r="AP32" i="34" a="1"/>
  <c r="AQ32" i="34" a="1"/>
  <c r="AR32" i="34" a="1"/>
  <c r="AS32" i="34" a="1"/>
  <c r="AT32" i="34" a="1"/>
  <c r="AU32" i="34" a="1"/>
  <c r="AV32" i="34" a="1"/>
  <c r="AW32" i="34" a="1"/>
  <c r="AX32" i="34" a="1"/>
  <c r="AY32" i="34" a="1"/>
  <c r="AZ32" i="34" a="1"/>
  <c r="BA32" i="34" a="1"/>
  <c r="BB32" i="34" a="1"/>
  <c r="BC32" i="34" a="1"/>
  <c r="BD32" i="34" a="1"/>
  <c r="BE32" i="34" a="1"/>
  <c r="BF32" i="34" a="1"/>
  <c r="BG32" i="34" a="1"/>
  <c r="BH32" i="34" a="1"/>
  <c r="BI32" i="34" a="1"/>
  <c r="BJ32" i="34" a="1"/>
  <c r="BK32" i="34" a="1"/>
  <c r="BL32" i="34" a="1"/>
  <c r="BM32" i="34" a="1"/>
  <c r="BN32" i="34" a="1"/>
  <c r="BO32" i="34" a="1"/>
  <c r="BP32" i="34" a="1"/>
  <c r="G32" i="34"/>
  <c r="H32" i="34"/>
  <c r="I32" i="34"/>
  <c r="J32" i="34"/>
  <c r="K32" i="34"/>
  <c r="L32" i="34"/>
  <c r="M32" i="34"/>
  <c r="N32" i="34"/>
  <c r="O32" i="34"/>
  <c r="P32" i="34"/>
  <c r="Q32" i="34"/>
  <c r="R32" i="34"/>
  <c r="S32" i="34"/>
  <c r="T32" i="34"/>
  <c r="U32" i="34"/>
  <c r="V32" i="34"/>
  <c r="W32" i="34"/>
  <c r="X32" i="34"/>
  <c r="Y32" i="34"/>
  <c r="Z32" i="34"/>
  <c r="AA32" i="34"/>
  <c r="AB32" i="34"/>
  <c r="AC32" i="34"/>
  <c r="AD32" i="34"/>
  <c r="AE32" i="34"/>
  <c r="AF32" i="34"/>
  <c r="AG32" i="34"/>
  <c r="AH32" i="34"/>
  <c r="AI32" i="34"/>
  <c r="AJ32" i="34"/>
  <c r="AK32" i="34"/>
  <c r="AL32" i="34"/>
  <c r="AM32" i="34"/>
  <c r="AN32" i="34"/>
  <c r="AO32" i="34"/>
  <c r="AP32" i="34"/>
  <c r="AQ32" i="34"/>
  <c r="AR32" i="34"/>
  <c r="AS32" i="34"/>
  <c r="AT32" i="34"/>
  <c r="AU32" i="34"/>
  <c r="AV32" i="34"/>
  <c r="AW32" i="34"/>
  <c r="AX32" i="34"/>
  <c r="AY32" i="34"/>
  <c r="AZ32" i="34"/>
  <c r="BA32" i="34"/>
  <c r="BB32" i="34"/>
  <c r="BC32" i="34"/>
  <c r="BD32" i="34"/>
  <c r="BE32" i="34"/>
  <c r="BF32" i="34"/>
  <c r="BG32" i="34"/>
  <c r="BH32" i="34"/>
  <c r="BI32" i="34"/>
  <c r="BJ32" i="34"/>
  <c r="BK32" i="34"/>
  <c r="BL32" i="34"/>
  <c r="BM32" i="34"/>
  <c r="BN32" i="34"/>
  <c r="BO32" i="34"/>
  <c r="BP32" i="34"/>
  <c r="AA19" i="34"/>
  <c r="AF68" i="34"/>
  <c r="AF72" i="34"/>
  <c r="AF66" i="34"/>
  <c r="AF71" i="34"/>
  <c r="AF70" i="34"/>
  <c r="Z64" i="34"/>
  <c r="AB64" i="34"/>
  <c r="Z65" i="34"/>
  <c r="AB65" i="34"/>
  <c r="Z66" i="34"/>
  <c r="AB66" i="34"/>
  <c r="Z67" i="34"/>
  <c r="AB67" i="34"/>
  <c r="AF67" i="34"/>
  <c r="Z68" i="34"/>
  <c r="AB68" i="34"/>
  <c r="Z69" i="34"/>
  <c r="AB69" i="34"/>
  <c r="Z136" i="34"/>
  <c r="AA136" i="34"/>
  <c r="AB136" i="34"/>
  <c r="Z137" i="34"/>
  <c r="AA137" i="34"/>
  <c r="AB137" i="34"/>
  <c r="Z138" i="34"/>
  <c r="AA138" i="34"/>
  <c r="AB138" i="34"/>
  <c r="Z139" i="34"/>
  <c r="AA139" i="34"/>
  <c r="AB139" i="34"/>
  <c r="Z140" i="34"/>
  <c r="AA140" i="34"/>
  <c r="AB140" i="34"/>
  <c r="Z141" i="34"/>
  <c r="AA141" i="34"/>
  <c r="AB141" i="34"/>
  <c r="Z153" i="34"/>
  <c r="AA153" i="34"/>
  <c r="AB153" i="34"/>
  <c r="Z82" i="33"/>
  <c r="AB82" i="33"/>
  <c r="Z83" i="33"/>
  <c r="AB83" i="33"/>
  <c r="Z84" i="33"/>
  <c r="AB84" i="33"/>
  <c r="Z85" i="33"/>
  <c r="AB85" i="33"/>
  <c r="Z86" i="33"/>
  <c r="AB86" i="33"/>
  <c r="Z87" i="33"/>
  <c r="AB87" i="33"/>
  <c r="Z88" i="33"/>
  <c r="AB88" i="33"/>
  <c r="Z154" i="33"/>
  <c r="AA154" i="33"/>
  <c r="AB154" i="33"/>
  <c r="Z155" i="33"/>
  <c r="AA155" i="33"/>
  <c r="AB155" i="33"/>
  <c r="Z156" i="33"/>
  <c r="AA156" i="33"/>
  <c r="AB156" i="33"/>
  <c r="Z157" i="33"/>
  <c r="AA157" i="33"/>
  <c r="AB157" i="33"/>
  <c r="Z158" i="33"/>
  <c r="AA158" i="33"/>
  <c r="AB158" i="33"/>
  <c r="Z159" i="33"/>
  <c r="AA159" i="33"/>
  <c r="AB159" i="33"/>
  <c r="Z160" i="33"/>
  <c r="AA160" i="33"/>
  <c r="AB160" i="33"/>
  <c r="AA147" i="34"/>
  <c r="AB147" i="34"/>
  <c r="Z147" i="34"/>
  <c r="AA146" i="34"/>
  <c r="AB146" i="34"/>
  <c r="Z146" i="34"/>
  <c r="AA145" i="34"/>
  <c r="AB145" i="34"/>
  <c r="Z145" i="34"/>
  <c r="AB75" i="34"/>
  <c r="Z75" i="34"/>
  <c r="AF74" i="34"/>
  <c r="AB74" i="34"/>
  <c r="Z74" i="34"/>
  <c r="AB73" i="34"/>
  <c r="Z73" i="34"/>
  <c r="AA147" i="30"/>
  <c r="AB147" i="30"/>
  <c r="Z147" i="30"/>
  <c r="AA146" i="30"/>
  <c r="AB146" i="30"/>
  <c r="Z146" i="30"/>
  <c r="AA145" i="30"/>
  <c r="AB145" i="30"/>
  <c r="Z145" i="30"/>
  <c r="AA147" i="29"/>
  <c r="AB147" i="29"/>
  <c r="Z147" i="29"/>
  <c r="AA146" i="29"/>
  <c r="AB146" i="29"/>
  <c r="Z146" i="29"/>
  <c r="AA145" i="29"/>
  <c r="AB145" i="29"/>
  <c r="Z145" i="29"/>
  <c r="AA75" i="28"/>
  <c r="AA147" i="28"/>
  <c r="AB147" i="28"/>
  <c r="Z147" i="28"/>
  <c r="AA74" i="28"/>
  <c r="AA146" i="28"/>
  <c r="AB146" i="28"/>
  <c r="Z146" i="28"/>
  <c r="AA145" i="28"/>
  <c r="AB145" i="28"/>
  <c r="Z145" i="28"/>
  <c r="Z73" i="33"/>
  <c r="AB73" i="33"/>
  <c r="Z74" i="33"/>
  <c r="AA74" i="33"/>
  <c r="AB74" i="33"/>
  <c r="Z75" i="33"/>
  <c r="AA75" i="33"/>
  <c r="AB75" i="33"/>
  <c r="Z145" i="33"/>
  <c r="AA145" i="33"/>
  <c r="AB145" i="33"/>
  <c r="Z146" i="33"/>
  <c r="AA146" i="33"/>
  <c r="AB146" i="33"/>
  <c r="Z147" i="33"/>
  <c r="AA147" i="33"/>
  <c r="AB147" i="33"/>
  <c r="AA148" i="34"/>
  <c r="AB148" i="34"/>
  <c r="Z148" i="34"/>
  <c r="AB76" i="34"/>
  <c r="Z76" i="34"/>
  <c r="AF75" i="34"/>
  <c r="AF76" i="34"/>
  <c r="Z148" i="28"/>
  <c r="AA148" i="28"/>
  <c r="AB148" i="28"/>
  <c r="Z148" i="29"/>
  <c r="AA148" i="29"/>
  <c r="AB148" i="29"/>
  <c r="Z148" i="30"/>
  <c r="AA148" i="30"/>
  <c r="AB148" i="30"/>
  <c r="AE74" i="33"/>
  <c r="AE75" i="33"/>
  <c r="AA76" i="33"/>
  <c r="AE76" i="33"/>
  <c r="Z76" i="33"/>
  <c r="AB76" i="33"/>
  <c r="Z148" i="33"/>
  <c r="AA148" i="33"/>
  <c r="AB148" i="33"/>
  <c r="C32" i="33"/>
  <c r="C30" i="33"/>
  <c r="C37" i="10"/>
  <c r="C35" i="10"/>
  <c r="K31" i="10"/>
  <c r="K37" i="10"/>
  <c r="C38" i="10"/>
  <c r="K38" i="10"/>
  <c r="C39" i="10"/>
  <c r="K39" i="10"/>
  <c r="C40" i="10"/>
  <c r="K40" i="10"/>
  <c r="M31" i="10"/>
  <c r="M40" i="10"/>
  <c r="M39" i="10"/>
  <c r="M38" i="10"/>
  <c r="O31" i="10"/>
  <c r="O40" i="10"/>
  <c r="C34" i="10"/>
  <c r="O34" i="10"/>
  <c r="O35" i="10"/>
  <c r="C36" i="10"/>
  <c r="O36" i="10"/>
  <c r="O37" i="10"/>
  <c r="O38" i="10"/>
  <c r="M34" i="10"/>
  <c r="M35" i="10"/>
  <c r="M36" i="10"/>
  <c r="C32" i="10"/>
  <c r="O32" i="10"/>
  <c r="M32" i="10"/>
  <c r="C28" i="10"/>
  <c r="C27" i="10"/>
  <c r="O19" i="10"/>
  <c r="O28" i="10"/>
  <c r="C25" i="10"/>
  <c r="C20" i="10"/>
  <c r="H19" i="10"/>
  <c r="H25" i="10"/>
  <c r="C26" i="10"/>
  <c r="H26" i="10"/>
  <c r="H27" i="10"/>
  <c r="H28" i="10"/>
  <c r="C22" i="10"/>
  <c r="J19" i="10"/>
  <c r="J25" i="10"/>
  <c r="J26" i="10"/>
  <c r="J27" i="10"/>
  <c r="J28" i="10"/>
  <c r="C24" i="10"/>
  <c r="L19" i="10"/>
  <c r="L28" i="10"/>
  <c r="L27" i="10"/>
  <c r="L26" i="10"/>
  <c r="L25" i="10"/>
  <c r="M19" i="10"/>
  <c r="M27" i="10"/>
  <c r="M26" i="10"/>
  <c r="N19" i="10"/>
  <c r="N22" i="10"/>
  <c r="C23" i="10"/>
  <c r="N23" i="10"/>
  <c r="N24" i="10"/>
  <c r="N25" i="10"/>
  <c r="C21" i="10"/>
  <c r="O21" i="10"/>
  <c r="N21" i="10"/>
  <c r="M21" i="10"/>
  <c r="N20" i="10"/>
  <c r="I19" i="10"/>
  <c r="I20" i="10"/>
  <c r="J20" i="10"/>
  <c r="K19" i="10"/>
  <c r="K20" i="10"/>
  <c r="L20" i="10"/>
  <c r="P19" i="10"/>
  <c r="P20" i="10"/>
  <c r="H21" i="10"/>
  <c r="J21" i="10"/>
  <c r="K21" i="10"/>
  <c r="L21" i="10"/>
  <c r="P21" i="10"/>
  <c r="H22" i="10"/>
  <c r="I22" i="10"/>
  <c r="K22" i="10"/>
  <c r="L22" i="10"/>
  <c r="P22" i="10"/>
  <c r="H23" i="10"/>
  <c r="I23" i="10"/>
  <c r="J23" i="10"/>
  <c r="L23" i="10"/>
  <c r="P23" i="10"/>
  <c r="H24" i="10"/>
  <c r="I24" i="10"/>
  <c r="J24" i="10"/>
  <c r="K24" i="10"/>
  <c r="P24" i="10"/>
  <c r="C13" i="10"/>
  <c r="C16" i="10"/>
  <c r="P7" i="10"/>
  <c r="P13" i="10"/>
  <c r="C14" i="10"/>
  <c r="P14" i="10"/>
  <c r="C15" i="10"/>
  <c r="P15" i="10"/>
  <c r="O7" i="10"/>
  <c r="O14" i="10"/>
  <c r="O13" i="10"/>
  <c r="C12" i="10"/>
  <c r="O12" i="10"/>
  <c r="C11" i="10"/>
  <c r="O11" i="10"/>
  <c r="C10" i="10"/>
  <c r="O10" i="10"/>
  <c r="N7" i="10"/>
  <c r="N16" i="10"/>
  <c r="N10" i="10"/>
  <c r="N11" i="10"/>
  <c r="N12" i="10"/>
  <c r="N13" i="10"/>
  <c r="M7" i="10"/>
  <c r="M16" i="10"/>
  <c r="L7" i="10"/>
  <c r="L15" i="10"/>
  <c r="L14" i="10"/>
  <c r="L13" i="10"/>
  <c r="C8" i="10"/>
  <c r="O8" i="10"/>
  <c r="M8" i="10"/>
  <c r="O30" i="10"/>
  <c r="N31" i="10"/>
  <c r="N30" i="10"/>
  <c r="M30" i="10"/>
  <c r="Q37" i="10"/>
  <c r="Q38" i="10"/>
  <c r="Q39" i="10"/>
  <c r="Q25" i="10"/>
  <c r="Q26" i="10"/>
  <c r="Q27" i="10"/>
  <c r="B25" i="10"/>
  <c r="D25" i="10"/>
  <c r="E25" i="10"/>
  <c r="F25" i="10"/>
  <c r="G25" i="10"/>
  <c r="B26" i="10"/>
  <c r="D26" i="10"/>
  <c r="E26" i="10"/>
  <c r="F26" i="10"/>
  <c r="G26" i="10"/>
  <c r="B27" i="10"/>
  <c r="D27" i="10"/>
  <c r="E27" i="10"/>
  <c r="F27" i="10"/>
  <c r="G27" i="10"/>
  <c r="B13" i="10"/>
  <c r="D13" i="10"/>
  <c r="E13" i="10"/>
  <c r="F13" i="10"/>
  <c r="G13" i="10"/>
  <c r="B14" i="10"/>
  <c r="D14" i="10"/>
  <c r="E14" i="10"/>
  <c r="F14" i="10"/>
  <c r="G14" i="10"/>
  <c r="B15" i="10"/>
  <c r="D15" i="10"/>
  <c r="E15" i="10"/>
  <c r="F15" i="10"/>
  <c r="G15" i="10"/>
  <c r="B16" i="10"/>
  <c r="D16" i="10"/>
  <c r="E16" i="10"/>
  <c r="F16" i="10"/>
  <c r="G16" i="10"/>
  <c r="M6" i="10"/>
  <c r="O6" i="10"/>
  <c r="N6" i="10"/>
  <c r="AB11" i="6"/>
  <c r="AB19" i="6"/>
  <c r="AB17" i="6"/>
  <c r="AD11" i="6"/>
  <c r="AD12" i="6"/>
  <c r="AF10" i="6"/>
  <c r="AD10" i="6"/>
  <c r="H7" i="10"/>
  <c r="H6" i="10"/>
  <c r="Q40" i="10"/>
  <c r="Q36" i="10"/>
  <c r="Q35" i="10"/>
  <c r="Q34" i="10"/>
  <c r="C33" i="10"/>
  <c r="Q33" i="10"/>
  <c r="Q32" i="10"/>
  <c r="Q28" i="10"/>
  <c r="Q24" i="10"/>
  <c r="Q23" i="10"/>
  <c r="Q22" i="10"/>
  <c r="Q21" i="10"/>
  <c r="Q20" i="10"/>
  <c r="C9" i="10"/>
  <c r="Q9" i="10"/>
  <c r="Q10" i="10"/>
  <c r="Q11" i="10"/>
  <c r="Q12" i="10"/>
  <c r="Q16" i="10"/>
  <c r="Q8" i="10"/>
  <c r="B33" i="10"/>
  <c r="B34" i="10"/>
  <c r="B35" i="10"/>
  <c r="B36" i="10"/>
  <c r="B32" i="10"/>
  <c r="B21" i="10"/>
  <c r="B22" i="10"/>
  <c r="B23" i="10"/>
  <c r="B24" i="10"/>
  <c r="B28" i="10"/>
  <c r="B20" i="10"/>
  <c r="E32" i="10"/>
  <c r="F32" i="10"/>
  <c r="D33" i="10"/>
  <c r="E33" i="10"/>
  <c r="F33" i="10"/>
  <c r="D34" i="10"/>
  <c r="E34" i="10"/>
  <c r="F34" i="10"/>
  <c r="D35" i="10"/>
  <c r="E35" i="10"/>
  <c r="F35" i="10"/>
  <c r="D36" i="10"/>
  <c r="E36" i="10"/>
  <c r="F36" i="10"/>
  <c r="D32" i="10"/>
  <c r="D20" i="10"/>
  <c r="E20" i="10"/>
  <c r="F20" i="10"/>
  <c r="D21" i="10"/>
  <c r="E21" i="10"/>
  <c r="F21" i="10"/>
  <c r="D22" i="10"/>
  <c r="E22" i="10"/>
  <c r="F22" i="10"/>
  <c r="D23" i="10"/>
  <c r="E23" i="10"/>
  <c r="F23" i="10"/>
  <c r="D24" i="10"/>
  <c r="E24" i="10"/>
  <c r="F24" i="10"/>
  <c r="D28" i="10"/>
  <c r="E28" i="10"/>
  <c r="F28" i="10"/>
  <c r="B9" i="10"/>
  <c r="B10" i="10"/>
  <c r="B11" i="10"/>
  <c r="B12" i="10"/>
  <c r="B8" i="10"/>
  <c r="D8" i="10"/>
  <c r="D12" i="10"/>
  <c r="D11" i="10"/>
  <c r="D10" i="10"/>
  <c r="D9" i="10"/>
  <c r="E8" i="10"/>
  <c r="E12" i="10"/>
  <c r="E11" i="10"/>
  <c r="E10" i="10"/>
  <c r="E9" i="10"/>
  <c r="F8" i="10"/>
  <c r="F12" i="10"/>
  <c r="F11" i="10"/>
  <c r="F10" i="10"/>
  <c r="F9" i="10"/>
  <c r="O12" i="6"/>
  <c r="P12" i="6"/>
  <c r="Q12" i="6"/>
  <c r="S12" i="6"/>
  <c r="U12" i="6"/>
  <c r="V12" i="6"/>
  <c r="W12" i="6"/>
  <c r="O13" i="6"/>
  <c r="P13" i="6"/>
  <c r="Q13" i="6"/>
  <c r="R13" i="6"/>
  <c r="S13" i="6"/>
  <c r="U13" i="6"/>
  <c r="V13" i="6"/>
  <c r="W13" i="6"/>
  <c r="O14" i="6"/>
  <c r="P14" i="6"/>
  <c r="Q14" i="6"/>
  <c r="R14" i="6"/>
  <c r="S14" i="6"/>
  <c r="U14" i="6"/>
  <c r="V14" i="6"/>
  <c r="W14" i="6"/>
  <c r="O15" i="6"/>
  <c r="P15" i="6"/>
  <c r="Q15" i="6"/>
  <c r="R15" i="6"/>
  <c r="S15" i="6"/>
  <c r="U15" i="6"/>
  <c r="V15" i="6"/>
  <c r="W15" i="6"/>
  <c r="O16" i="6"/>
  <c r="P16" i="6"/>
  <c r="Q16" i="6"/>
  <c r="S16" i="6"/>
  <c r="U16" i="6"/>
  <c r="V16" i="6"/>
  <c r="W16" i="6"/>
  <c r="X10" i="6"/>
  <c r="AB10" i="6"/>
  <c r="AA10" i="6"/>
  <c r="Z10" i="6"/>
  <c r="Y10" i="6"/>
  <c r="AG12" i="6"/>
  <c r="AG16" i="6"/>
  <c r="AG15" i="6"/>
  <c r="AG14" i="6"/>
  <c r="AG13" i="6"/>
  <c r="I7" i="10"/>
  <c r="I6" i="10"/>
  <c r="J7" i="10"/>
  <c r="J6" i="10"/>
  <c r="K7" i="10"/>
  <c r="K6" i="10"/>
  <c r="L6" i="10"/>
  <c r="P6" i="10"/>
  <c r="H18" i="10"/>
  <c r="I18" i="10"/>
  <c r="J18" i="10"/>
  <c r="K18" i="10"/>
  <c r="L18" i="10"/>
  <c r="P18" i="10"/>
  <c r="H31" i="10"/>
  <c r="H30" i="10"/>
  <c r="I31" i="10"/>
  <c r="I30" i="10"/>
  <c r="J31" i="10"/>
  <c r="J30" i="10"/>
  <c r="K30" i="10"/>
  <c r="L31" i="10"/>
  <c r="L30" i="10"/>
  <c r="P31" i="10"/>
  <c r="P30" i="10"/>
  <c r="R12" i="6"/>
  <c r="R16" i="6"/>
  <c r="Y11" i="6"/>
  <c r="Y12" i="6"/>
  <c r="Z11" i="6"/>
  <c r="Z12" i="6"/>
  <c r="AA11" i="6"/>
  <c r="AA12" i="6"/>
  <c r="AB12" i="6"/>
  <c r="AF11" i="6"/>
  <c r="AF12" i="6"/>
  <c r="X11" i="6"/>
  <c r="X13" i="6"/>
  <c r="Z13" i="6"/>
  <c r="AA13" i="6"/>
  <c r="AB13" i="6"/>
  <c r="X14" i="6"/>
  <c r="Y14" i="6"/>
  <c r="AA14" i="6"/>
  <c r="AB14" i="6"/>
  <c r="X15" i="6"/>
  <c r="Y15" i="6"/>
  <c r="Z15" i="6"/>
  <c r="AB15" i="6"/>
  <c r="X16" i="6"/>
  <c r="Y16" i="6"/>
  <c r="Z16" i="6"/>
  <c r="AA16" i="6"/>
  <c r="I8" i="10"/>
  <c r="J8" i="10"/>
  <c r="K8" i="10"/>
  <c r="L8" i="10"/>
  <c r="P8" i="10"/>
  <c r="H9" i="10"/>
  <c r="J9" i="10"/>
  <c r="K9" i="10"/>
  <c r="L9" i="10"/>
  <c r="P9" i="10"/>
  <c r="H10" i="10"/>
  <c r="I10" i="10"/>
  <c r="K10" i="10"/>
  <c r="L10" i="10"/>
  <c r="P10" i="10"/>
  <c r="H11" i="10"/>
  <c r="I11" i="10"/>
  <c r="J11" i="10"/>
  <c r="L11" i="10"/>
  <c r="P11" i="10"/>
  <c r="H12" i="10"/>
  <c r="I12" i="10"/>
  <c r="J12" i="10"/>
  <c r="K12" i="10"/>
  <c r="P12" i="10"/>
  <c r="L16" i="10"/>
  <c r="I32" i="10"/>
  <c r="J32" i="10"/>
  <c r="K32" i="10"/>
  <c r="L32" i="10"/>
  <c r="P32" i="10"/>
  <c r="H33" i="10"/>
  <c r="J33" i="10"/>
  <c r="K33" i="10"/>
  <c r="L33" i="10"/>
  <c r="P33" i="10"/>
  <c r="H34" i="10"/>
  <c r="I34" i="10"/>
  <c r="K34" i="10"/>
  <c r="L34" i="10"/>
  <c r="P34" i="10"/>
  <c r="H35" i="10"/>
  <c r="I35" i="10"/>
  <c r="J35" i="10"/>
  <c r="L35" i="10"/>
  <c r="P35" i="10"/>
  <c r="H36" i="10"/>
  <c r="I36" i="10"/>
  <c r="J36" i="10"/>
  <c r="K36" i="10"/>
  <c r="P36" i="10"/>
  <c r="C30" i="28"/>
  <c r="C32" i="28"/>
  <c r="C30" i="29"/>
  <c r="C32" i="29"/>
  <c r="C30" i="30"/>
  <c r="C32" i="30"/>
  <c r="M12" i="6"/>
  <c r="M13" i="6"/>
  <c r="M14" i="6"/>
  <c r="M15" i="6"/>
  <c r="M16" i="6"/>
  <c r="M17" i="6"/>
  <c r="M18" i="6"/>
  <c r="M19" i="6"/>
  <c r="M20" i="6"/>
  <c r="O20" i="6"/>
  <c r="P20" i="6"/>
  <c r="Q20" i="6"/>
  <c r="R20" i="6"/>
  <c r="S20" i="6"/>
  <c r="U20" i="6"/>
  <c r="V20" i="6"/>
  <c r="W20" i="6"/>
  <c r="X20" i="6"/>
  <c r="Y20" i="6"/>
  <c r="Z20" i="6"/>
  <c r="AA20" i="6"/>
  <c r="AB20" i="6"/>
  <c r="AG20" i="6"/>
  <c r="O17" i="6"/>
  <c r="P17" i="6"/>
  <c r="Q17" i="6"/>
  <c r="R17" i="6"/>
  <c r="S17" i="6"/>
  <c r="U17" i="6"/>
  <c r="V17" i="6"/>
  <c r="W17" i="6"/>
  <c r="X17" i="6"/>
  <c r="Y17" i="6"/>
  <c r="Z17" i="6"/>
  <c r="AA17" i="6"/>
  <c r="AG17" i="6"/>
  <c r="O18" i="6"/>
  <c r="P18" i="6"/>
  <c r="Q18" i="6"/>
  <c r="R18" i="6"/>
  <c r="S18" i="6"/>
  <c r="U18" i="6"/>
  <c r="V18" i="6"/>
  <c r="W18" i="6"/>
  <c r="X18" i="6"/>
  <c r="Y18" i="6"/>
  <c r="Z18" i="6"/>
  <c r="AA18" i="6"/>
  <c r="AG18" i="6"/>
  <c r="O19" i="6"/>
  <c r="P19" i="6"/>
  <c r="Q19" i="6"/>
  <c r="R19" i="6"/>
  <c r="S19" i="6"/>
  <c r="U19" i="6"/>
  <c r="V19" i="6"/>
  <c r="W19" i="6"/>
  <c r="X19" i="6"/>
  <c r="Y19" i="6"/>
  <c r="Z19" i="6"/>
  <c r="AA19" i="6"/>
  <c r="AG19" i="6"/>
  <c r="AC10" i="6"/>
  <c r="AE10" i="6"/>
  <c r="AC11" i="6"/>
  <c r="AC12" i="6"/>
  <c r="AE11" i="6"/>
  <c r="AE12" i="6"/>
  <c r="AC13" i="6"/>
  <c r="AD13" i="6"/>
  <c r="AE13" i="6"/>
  <c r="AF13" i="6"/>
  <c r="AC14" i="6"/>
  <c r="AD14" i="6"/>
  <c r="AE14" i="6"/>
  <c r="AF14" i="6"/>
  <c r="AC15" i="6"/>
  <c r="AD15" i="6"/>
  <c r="AE15" i="6"/>
  <c r="AF15" i="6"/>
  <c r="AC16" i="6"/>
  <c r="AD16" i="6"/>
  <c r="AE16" i="6"/>
  <c r="AF16" i="6"/>
  <c r="AD17" i="6"/>
  <c r="AE17" i="6"/>
  <c r="AF17" i="6"/>
  <c r="AC18" i="6"/>
  <c r="AE18" i="6"/>
  <c r="AF18" i="6"/>
  <c r="AC19" i="6"/>
  <c r="AD19" i="6"/>
  <c r="AF19" i="6"/>
  <c r="AC20" i="6"/>
  <c r="AD20" i="6"/>
  <c r="AE20" i="6"/>
  <c r="AB18" i="6"/>
  <c r="G8" i="10"/>
  <c r="G9" i="10"/>
  <c r="G10" i="10"/>
  <c r="G11" i="10"/>
  <c r="G12" i="10"/>
  <c r="G20" i="10"/>
  <c r="G21" i="10"/>
  <c r="G22" i="10"/>
  <c r="G23" i="10"/>
  <c r="G24" i="10"/>
  <c r="G28" i="10"/>
  <c r="G32" i="10"/>
  <c r="G33" i="10"/>
  <c r="G34" i="10"/>
  <c r="G35" i="10"/>
  <c r="G36" i="10"/>
  <c r="Q15" i="10"/>
  <c r="Q14" i="10"/>
  <c r="Q13" i="10"/>
  <c r="G40" i="10"/>
  <c r="F40" i="10"/>
  <c r="E40" i="10"/>
  <c r="D40" i="10"/>
  <c r="B40" i="10"/>
  <c r="G39" i="10"/>
  <c r="F39" i="10"/>
  <c r="E39" i="10"/>
  <c r="D39" i="10"/>
  <c r="B39" i="10"/>
  <c r="G38" i="10"/>
  <c r="F38" i="10"/>
  <c r="E38" i="10"/>
  <c r="D38" i="10"/>
  <c r="B38" i="10"/>
  <c r="G37" i="10"/>
  <c r="F37" i="10"/>
  <c r="E37" i="10"/>
  <c r="D37" i="10"/>
  <c r="B37" i="10"/>
  <c r="M18" i="10"/>
  <c r="N18" i="10"/>
  <c r="O18" i="10"/>
  <c r="N8" i="10"/>
  <c r="K16" i="10"/>
  <c r="J16" i="10"/>
  <c r="I16" i="10"/>
  <c r="H16" i="10"/>
  <c r="K15" i="10"/>
  <c r="J15" i="10"/>
  <c r="I15" i="10"/>
  <c r="H15" i="10"/>
  <c r="K14" i="10"/>
  <c r="J14" i="10"/>
  <c r="I14" i="10"/>
  <c r="H14" i="10"/>
  <c r="K13" i="10"/>
  <c r="J13" i="10"/>
  <c r="I13" i="10"/>
  <c r="H13" i="10"/>
  <c r="M12" i="10"/>
  <c r="M11" i="10"/>
  <c r="M10" i="10"/>
  <c r="M9" i="10"/>
  <c r="M14" i="10"/>
  <c r="M15" i="10"/>
  <c r="N9" i="10"/>
  <c r="N15" i="10"/>
  <c r="O9" i="10"/>
  <c r="O16" i="10"/>
  <c r="M20" i="10"/>
  <c r="O20" i="10"/>
  <c r="M24" i="10"/>
  <c r="M23" i="10"/>
  <c r="M22" i="10"/>
  <c r="O26" i="10"/>
  <c r="O25" i="10"/>
  <c r="O24" i="10"/>
  <c r="O23" i="10"/>
  <c r="O22" i="10"/>
  <c r="M28" i="10"/>
  <c r="K28" i="10"/>
  <c r="K27" i="10"/>
  <c r="K26" i="10"/>
  <c r="K25" i="10"/>
  <c r="I28" i="10"/>
  <c r="I27" i="10"/>
  <c r="I26" i="10"/>
  <c r="I25" i="10"/>
  <c r="N27" i="10"/>
  <c r="N28" i="10"/>
  <c r="P27" i="10"/>
  <c r="P26" i="10"/>
  <c r="P25" i="10"/>
  <c r="N32" i="10"/>
  <c r="M33" i="10"/>
  <c r="N33" i="10"/>
  <c r="O33" i="10"/>
  <c r="N37" i="10"/>
  <c r="N36" i="10"/>
  <c r="N35" i="10"/>
  <c r="N34" i="10"/>
  <c r="P39" i="10"/>
  <c r="P38" i="10"/>
  <c r="P37" i="10"/>
  <c r="N39" i="10"/>
  <c r="N40" i="10"/>
  <c r="L37" i="10"/>
  <c r="L38" i="10"/>
  <c r="L39" i="10"/>
  <c r="L40" i="10"/>
  <c r="J40" i="10"/>
  <c r="I40" i="10"/>
  <c r="H40" i="10"/>
  <c r="J39" i="10"/>
  <c r="I39" i="10"/>
  <c r="H39" i="10"/>
  <c r="J38" i="10"/>
  <c r="I38" i="10"/>
  <c r="H38" i="10"/>
  <c r="J37" i="10"/>
  <c r="I37" i="10"/>
  <c r="H37" i="10"/>
  <c r="C52" i="10"/>
  <c r="C48" i="10"/>
  <c r="L43" i="10"/>
  <c r="L52" i="10"/>
  <c r="C51" i="10"/>
  <c r="L51" i="10"/>
  <c r="C50" i="10"/>
  <c r="L50" i="10"/>
  <c r="C49" i="10"/>
  <c r="L49" i="10"/>
  <c r="N43" i="10"/>
  <c r="N52" i="10"/>
  <c r="N51" i="10"/>
  <c r="C46" i="10"/>
  <c r="P43" i="10"/>
  <c r="P46" i="10"/>
  <c r="C47" i="10"/>
  <c r="P47" i="10"/>
  <c r="P48" i="10"/>
  <c r="P49" i="10"/>
  <c r="P50" i="10"/>
  <c r="P51" i="10"/>
  <c r="N46" i="10"/>
  <c r="N47" i="10"/>
  <c r="N48" i="10"/>
  <c r="N49" i="10"/>
  <c r="C44" i="10"/>
  <c r="O43" i="10"/>
  <c r="O44" i="10"/>
  <c r="M43" i="10"/>
  <c r="M44" i="10"/>
  <c r="O42" i="10"/>
  <c r="N42" i="10"/>
  <c r="M42" i="10"/>
  <c r="B49" i="10"/>
  <c r="D49" i="10"/>
  <c r="E49" i="10"/>
  <c r="F49" i="10"/>
  <c r="G49" i="10"/>
  <c r="B50" i="10"/>
  <c r="D50" i="10"/>
  <c r="E50" i="10"/>
  <c r="F50" i="10"/>
  <c r="G50" i="10"/>
  <c r="B51" i="10"/>
  <c r="D51" i="10"/>
  <c r="E51" i="10"/>
  <c r="F51" i="10"/>
  <c r="G51" i="10"/>
  <c r="B52" i="10"/>
  <c r="D52" i="10"/>
  <c r="E52" i="10"/>
  <c r="F52" i="10"/>
  <c r="G52" i="10"/>
  <c r="G48" i="10"/>
  <c r="G47" i="10"/>
  <c r="G46" i="10"/>
  <c r="C45" i="10"/>
  <c r="G45" i="10"/>
  <c r="G44" i="10"/>
  <c r="K43" i="10"/>
  <c r="K48" i="10"/>
  <c r="J43" i="10"/>
  <c r="J48" i="10"/>
  <c r="I43" i="10"/>
  <c r="I48" i="10"/>
  <c r="H43" i="10"/>
  <c r="H48" i="10"/>
  <c r="L47" i="10"/>
  <c r="J47" i="10"/>
  <c r="I47" i="10"/>
  <c r="H47" i="10"/>
  <c r="L46" i="10"/>
  <c r="K46" i="10"/>
  <c r="I46" i="10"/>
  <c r="H46" i="10"/>
  <c r="P45" i="10"/>
  <c r="L45" i="10"/>
  <c r="K45" i="10"/>
  <c r="J45" i="10"/>
  <c r="H45" i="10"/>
  <c r="P44" i="10"/>
  <c r="L44" i="10"/>
  <c r="K44" i="10"/>
  <c r="J44" i="10"/>
  <c r="I44" i="10"/>
  <c r="P42" i="10"/>
  <c r="L42" i="10"/>
  <c r="K42" i="10"/>
  <c r="J42" i="10"/>
  <c r="I42" i="10"/>
  <c r="H42" i="10"/>
  <c r="F48" i="10"/>
  <c r="E48" i="10"/>
  <c r="D48" i="10"/>
  <c r="F47" i="10"/>
  <c r="E47" i="10"/>
  <c r="D47" i="10"/>
  <c r="F46" i="10"/>
  <c r="E46" i="10"/>
  <c r="D46" i="10"/>
  <c r="F45" i="10"/>
  <c r="E45" i="10"/>
  <c r="D45" i="10"/>
  <c r="F44" i="10"/>
  <c r="E44" i="10"/>
  <c r="D44" i="10"/>
  <c r="B44" i="10"/>
  <c r="B48" i="10"/>
  <c r="B47" i="10"/>
  <c r="B46" i="10"/>
  <c r="B45" i="10"/>
  <c r="Q44" i="10"/>
  <c r="Q45" i="10"/>
  <c r="Q46" i="10"/>
  <c r="Q47" i="10"/>
  <c r="Q48" i="10"/>
  <c r="Q52" i="10"/>
  <c r="D17" i="3"/>
  <c r="Q51" i="10"/>
  <c r="Q50" i="10"/>
  <c r="Q49" i="10"/>
  <c r="N44" i="10"/>
  <c r="M45" i="10"/>
  <c r="N45" i="10"/>
  <c r="O45" i="10"/>
  <c r="M48" i="10"/>
  <c r="M47" i="10"/>
  <c r="M46" i="10"/>
  <c r="O50" i="10"/>
  <c r="O49" i="10"/>
  <c r="O48" i="10"/>
  <c r="O47" i="10"/>
  <c r="O46" i="10"/>
  <c r="O52" i="10"/>
  <c r="M50" i="10"/>
  <c r="M51" i="10"/>
  <c r="M52" i="10"/>
  <c r="K52" i="10"/>
  <c r="J52" i="10"/>
  <c r="I52" i="10"/>
  <c r="H52" i="10"/>
  <c r="K51" i="10"/>
  <c r="J51" i="10"/>
  <c r="I51" i="10"/>
  <c r="H51" i="10"/>
  <c r="K50" i="10"/>
  <c r="J50" i="10"/>
  <c r="I50" i="10"/>
  <c r="H50" i="10"/>
  <c r="K49" i="10"/>
  <c r="J49" i="10"/>
  <c r="I49" i="10"/>
  <c r="H49" i="10"/>
  <c r="C30" i="34"/>
  <c r="AF76" i="33"/>
  <c r="AF75" i="33"/>
  <c r="AF74" i="33"/>
  <c r="Z154" i="34"/>
  <c r="AA154" i="34"/>
  <c r="AB154" i="34"/>
  <c r="Z155" i="34"/>
  <c r="AA155" i="34"/>
  <c r="AB155" i="34"/>
  <c r="Z156" i="34"/>
  <c r="AA156" i="34"/>
  <c r="AB156" i="34"/>
  <c r="Z157" i="34"/>
  <c r="AA157" i="34"/>
  <c r="AB157" i="34"/>
  <c r="Z158" i="34"/>
  <c r="AA158" i="34"/>
  <c r="AB158" i="34"/>
  <c r="Z159" i="34"/>
  <c r="AA159" i="34"/>
  <c r="AB159" i="34"/>
  <c r="Z160" i="34"/>
  <c r="AA160" i="34"/>
  <c r="AB160" i="34"/>
  <c r="Z81" i="34"/>
  <c r="AB81" i="34"/>
  <c r="Z82" i="34"/>
  <c r="AB82" i="34"/>
  <c r="AF82" i="34"/>
  <c r="Z83" i="34"/>
  <c r="AB83" i="34"/>
  <c r="AF83" i="34"/>
  <c r="Z84" i="34"/>
  <c r="AB84" i="34"/>
  <c r="AF84" i="34"/>
  <c r="Z85" i="34"/>
  <c r="AB85" i="34"/>
  <c r="AF85" i="34"/>
  <c r="Z86" i="34"/>
  <c r="AB86" i="34"/>
  <c r="AF86" i="34"/>
  <c r="Z87" i="34"/>
  <c r="AB87" i="34"/>
  <c r="AF87" i="34"/>
  <c r="Z88" i="34"/>
  <c r="AB88" i="34"/>
  <c r="AF88" i="34"/>
  <c r="Z154" i="30"/>
  <c r="AA154" i="30"/>
  <c r="AB154" i="30"/>
  <c r="Z155" i="30"/>
  <c r="AA155" i="30"/>
  <c r="AB155" i="30"/>
  <c r="Z156" i="30"/>
  <c r="AA156" i="30"/>
  <c r="AB156" i="30"/>
  <c r="Z157" i="30"/>
  <c r="AA157" i="30"/>
  <c r="AB157" i="30"/>
  <c r="Z158" i="30"/>
  <c r="AA158" i="30"/>
  <c r="AB158" i="30"/>
  <c r="Z159" i="30"/>
  <c r="AA159" i="30"/>
  <c r="AB159" i="30"/>
  <c r="Z160" i="30"/>
  <c r="AA160" i="30"/>
  <c r="AB160" i="30"/>
  <c r="Z64" i="30"/>
  <c r="AB64" i="30"/>
  <c r="Z65" i="30"/>
  <c r="AB65" i="30"/>
  <c r="Z66" i="30"/>
  <c r="AB66" i="30"/>
  <c r="Z67" i="30"/>
  <c r="AB67" i="30"/>
  <c r="AF67" i="30"/>
  <c r="Z68" i="30"/>
  <c r="AB68" i="30"/>
  <c r="AF68" i="30"/>
  <c r="Z69" i="30"/>
  <c r="AB69" i="30"/>
  <c r="Z70" i="30"/>
  <c r="AB70" i="30"/>
  <c r="Z71" i="30"/>
  <c r="AB71" i="30"/>
  <c r="AF71" i="30"/>
  <c r="Z72" i="30"/>
  <c r="AB72" i="30"/>
  <c r="AF72" i="30"/>
  <c r="Z73" i="30"/>
  <c r="AB73" i="30"/>
  <c r="Z74" i="30"/>
  <c r="AB74" i="30"/>
  <c r="Z75" i="30"/>
  <c r="AB75" i="30"/>
  <c r="AF75" i="30"/>
  <c r="Z76" i="30"/>
  <c r="AB76" i="30"/>
  <c r="AF76" i="30"/>
  <c r="Z81" i="30"/>
  <c r="AB81" i="30"/>
  <c r="Z82" i="30"/>
  <c r="AB82" i="30"/>
  <c r="Z83" i="30"/>
  <c r="AB83" i="30"/>
  <c r="AF83" i="30"/>
  <c r="Z84" i="30"/>
  <c r="AB84" i="30"/>
  <c r="AF84" i="30"/>
  <c r="Z85" i="30"/>
  <c r="AB85" i="30"/>
  <c r="AF85" i="30"/>
  <c r="Z86" i="30"/>
  <c r="AB86" i="30"/>
  <c r="Z87" i="30"/>
  <c r="AB87" i="30"/>
  <c r="AF87" i="30"/>
  <c r="Z88" i="30"/>
  <c r="AB88" i="30"/>
  <c r="AF88" i="30"/>
  <c r="Z154" i="28"/>
  <c r="AA82" i="28"/>
  <c r="AA154" i="28"/>
  <c r="AB154" i="28"/>
  <c r="Z155" i="28"/>
  <c r="AA83" i="28"/>
  <c r="AA155" i="28"/>
  <c r="AB155" i="28"/>
  <c r="Z156" i="28"/>
  <c r="AA156" i="28"/>
  <c r="AB156" i="28"/>
  <c r="Z157" i="28"/>
  <c r="AA85" i="28"/>
  <c r="AA157" i="28"/>
  <c r="AB157" i="28"/>
  <c r="Z158" i="28"/>
  <c r="AA86" i="28"/>
  <c r="AA158" i="28"/>
  <c r="AB158" i="28"/>
  <c r="Z159" i="28"/>
  <c r="AA87" i="28"/>
  <c r="AA159" i="28"/>
  <c r="AB159" i="28"/>
  <c r="Z160" i="28"/>
  <c r="AA160" i="28"/>
  <c r="AB160" i="28"/>
  <c r="Z64" i="28"/>
  <c r="AB64" i="28"/>
  <c r="Z65" i="28"/>
  <c r="AB65" i="28"/>
  <c r="AE65" i="28"/>
  <c r="Z66" i="28"/>
  <c r="AB66" i="28"/>
  <c r="AE66" i="28"/>
  <c r="AF66" i="28"/>
  <c r="Z67" i="28"/>
  <c r="AB67" i="28"/>
  <c r="AE67" i="28"/>
  <c r="AF67" i="28"/>
  <c r="Z68" i="28"/>
  <c r="AB68" i="28"/>
  <c r="Z69" i="28"/>
  <c r="AB69" i="28"/>
  <c r="AE69" i="28"/>
  <c r="Z70" i="28"/>
  <c r="AB70" i="28"/>
  <c r="AE70" i="28"/>
  <c r="AF70" i="28"/>
  <c r="Z71" i="28"/>
  <c r="AB71" i="28"/>
  <c r="AE71" i="28"/>
  <c r="AF71" i="28"/>
  <c r="Z72" i="28"/>
  <c r="AB72" i="28"/>
  <c r="Z73" i="28"/>
  <c r="AB73" i="28"/>
  <c r="AE73" i="28"/>
  <c r="Z74" i="28"/>
  <c r="AB74" i="28"/>
  <c r="AE74" i="28"/>
  <c r="AF74" i="28"/>
  <c r="Z75" i="28"/>
  <c r="AB75" i="28"/>
  <c r="AE75" i="28"/>
  <c r="AF75" i="28"/>
  <c r="Z76" i="28"/>
  <c r="AB76" i="28"/>
  <c r="Z81" i="28"/>
  <c r="AB81" i="28"/>
  <c r="Z82" i="28"/>
  <c r="AB82" i="28"/>
  <c r="AE82" i="28"/>
  <c r="AF82" i="28"/>
  <c r="Z83" i="28"/>
  <c r="AB83" i="28"/>
  <c r="AE83" i="28"/>
  <c r="AF83" i="28"/>
  <c r="Z84" i="28"/>
  <c r="AB84" i="28"/>
  <c r="Z85" i="28"/>
  <c r="AB85" i="28"/>
  <c r="AE85" i="28"/>
  <c r="AF85" i="28"/>
  <c r="Z86" i="28"/>
  <c r="AB86" i="28"/>
  <c r="AE86" i="28"/>
  <c r="AF86" i="28"/>
  <c r="Z87" i="28"/>
  <c r="AB87" i="28"/>
  <c r="AE87" i="28"/>
  <c r="AF87" i="28"/>
  <c r="Z88" i="28"/>
  <c r="AB88" i="28"/>
  <c r="C16" i="27" a="1"/>
  <c r="C16" i="27"/>
  <c r="E16" i="27"/>
  <c r="C15" i="27" a="1"/>
  <c r="C15" i="27"/>
  <c r="E15" i="27"/>
  <c r="C17" i="27" a="1"/>
  <c r="C17" i="27"/>
  <c r="E17" i="27"/>
  <c r="C18" i="27" a="1"/>
  <c r="C18" i="27"/>
  <c r="E18" i="27"/>
  <c r="C19" i="27" a="1"/>
  <c r="C19" i="27"/>
  <c r="E19" i="27"/>
  <c r="C20" i="27" a="1"/>
  <c r="C20" i="27"/>
  <c r="E20" i="27"/>
  <c r="C21" i="27" a="1"/>
  <c r="C21" i="27"/>
  <c r="E21" i="27"/>
  <c r="C22" i="27" a="1"/>
  <c r="C22" i="27"/>
  <c r="E22" i="27"/>
  <c r="C23" i="27" a="1"/>
  <c r="C23" i="27"/>
  <c r="E23" i="27"/>
  <c r="C24" i="27" a="1"/>
  <c r="C24" i="27"/>
  <c r="E24" i="27"/>
  <c r="C25" i="27" a="1"/>
  <c r="C25" i="27"/>
  <c r="E25" i="27"/>
  <c r="C26" i="27" a="1"/>
  <c r="C26" i="27"/>
  <c r="E26" i="27"/>
  <c r="C27" i="27" a="1"/>
  <c r="C27" i="27"/>
  <c r="E27" i="27"/>
  <c r="C28" i="27" a="1"/>
  <c r="C28" i="27"/>
  <c r="E28" i="27"/>
  <c r="C14" i="27" a="1"/>
  <c r="C14" i="27"/>
  <c r="E14" i="27"/>
  <c r="C13" i="27" a="1"/>
  <c r="C13" i="27"/>
  <c r="E13" i="27"/>
  <c r="C36" i="27" a="1"/>
  <c r="C36" i="27"/>
  <c r="E36" i="27"/>
  <c r="C35" i="27" a="1"/>
  <c r="C35" i="27"/>
  <c r="E35" i="27"/>
  <c r="C34" i="27" a="1"/>
  <c r="C34" i="27"/>
  <c r="E34" i="27"/>
  <c r="C33" i="27" a="1"/>
  <c r="C33" i="27"/>
  <c r="E33" i="27"/>
  <c r="C32" i="27" a="1"/>
  <c r="C32" i="27"/>
  <c r="E32" i="27"/>
  <c r="C31" i="27" a="1"/>
  <c r="C31" i="27"/>
  <c r="E31" i="27"/>
  <c r="C30" i="27" a="1"/>
  <c r="C30" i="27"/>
  <c r="E30" i="27"/>
  <c r="C29" i="27" a="1"/>
  <c r="C29" i="27"/>
  <c r="E29" i="27"/>
  <c r="C12" i="30"/>
  <c r="C11" i="30"/>
  <c r="C10" i="30"/>
  <c r="C9" i="30"/>
  <c r="C8" i="30"/>
  <c r="R34" i="27"/>
  <c r="I54" i="27"/>
  <c r="R35" i="27"/>
  <c r="I55" i="27"/>
  <c r="I58" i="27"/>
  <c r="R13" i="22" a="1"/>
  <c r="R13" i="22"/>
  <c r="D12" i="32"/>
  <c r="D13" i="32" a="1"/>
  <c r="D13" i="32"/>
  <c r="D12" i="21"/>
  <c r="D13" i="21" a="1"/>
  <c r="D13" i="21"/>
  <c r="D18" i="32" a="1"/>
  <c r="D18" i="32"/>
  <c r="D17" i="32" a="1"/>
  <c r="D17" i="32"/>
  <c r="D16" i="32" a="1"/>
  <c r="D16" i="32"/>
  <c r="D15" i="32" a="1"/>
  <c r="D15" i="32"/>
  <c r="D14" i="32" a="1"/>
  <c r="D14" i="32"/>
  <c r="D20" i="32" a="1"/>
  <c r="D20" i="32"/>
  <c r="D21" i="32" a="1"/>
  <c r="D21" i="32"/>
  <c r="D23" i="32"/>
  <c r="D24" i="32"/>
  <c r="D17" i="21" a="1"/>
  <c r="D17" i="21"/>
  <c r="D18" i="21" a="1"/>
  <c r="D18" i="21"/>
  <c r="D16" i="21" a="1"/>
  <c r="D16" i="21"/>
  <c r="D15" i="21" a="1"/>
  <c r="D15" i="21"/>
  <c r="D19" i="21" a="1"/>
  <c r="D19" i="21"/>
  <c r="D14" i="21" a="1"/>
  <c r="D14" i="21"/>
  <c r="D20" i="21" a="1"/>
  <c r="D20" i="21"/>
  <c r="I22" i="21"/>
  <c r="R15" i="22"/>
  <c r="D12" i="27"/>
  <c r="D30" i="27" a="1"/>
  <c r="D30" i="27"/>
  <c r="D31" i="27" a="1"/>
  <c r="D31" i="27"/>
  <c r="D32" i="27" a="1"/>
  <c r="D32" i="27"/>
  <c r="D33" i="27" a="1"/>
  <c r="D33" i="27"/>
  <c r="D34" i="27" a="1"/>
  <c r="D34" i="27"/>
  <c r="D35" i="27" a="1"/>
  <c r="D35" i="27"/>
  <c r="D29" i="27" a="1"/>
  <c r="D29" i="27"/>
  <c r="D36" i="27" a="1"/>
  <c r="D36" i="27"/>
  <c r="K38" i="27"/>
  <c r="R18" i="22"/>
  <c r="D13" i="27" a="1"/>
  <c r="D13" i="27"/>
  <c r="D14" i="27" a="1"/>
  <c r="D14" i="27"/>
  <c r="D18" i="27" a="1"/>
  <c r="D18" i="27"/>
  <c r="D19" i="27" a="1"/>
  <c r="D19" i="27"/>
  <c r="D20" i="27" a="1"/>
  <c r="D20" i="27"/>
  <c r="D21" i="27" a="1"/>
  <c r="D21" i="27"/>
  <c r="D22" i="27" a="1"/>
  <c r="D22" i="27"/>
  <c r="D23" i="27" a="1"/>
  <c r="D23" i="27"/>
  <c r="D24" i="27" a="1"/>
  <c r="D24" i="27"/>
  <c r="D25" i="27" a="1"/>
  <c r="D25" i="27"/>
  <c r="D26" i="27" a="1"/>
  <c r="D26" i="27"/>
  <c r="D27" i="27" a="1"/>
  <c r="D27" i="27"/>
  <c r="D28" i="27" a="1"/>
  <c r="D28" i="27"/>
  <c r="D17" i="27" a="1"/>
  <c r="D17" i="27"/>
  <c r="D16" i="27" a="1"/>
  <c r="D16" i="27"/>
  <c r="D15" i="27" a="1"/>
  <c r="D15" i="27"/>
  <c r="D12" i="26"/>
  <c r="D13" i="26"/>
  <c r="D15" i="26"/>
  <c r="D16" i="26"/>
  <c r="I18" i="26"/>
  <c r="R17" i="22"/>
  <c r="W36" i="6"/>
  <c r="I26" i="32"/>
  <c r="R16" i="22"/>
</calcChain>
</file>

<file path=xl/sharedStrings.xml><?xml version="1.0" encoding="utf-8"?>
<sst xmlns="http://schemas.openxmlformats.org/spreadsheetml/2006/main" count="2558" uniqueCount="370">
  <si>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</si>
  <si>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</si>
  <si>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</si>
  <si>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</si>
  <si>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</si>
  <si>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</si>
  <si>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</si>
  <si>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</si>
  <si>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</si>
  <si>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</si>
  <si>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</si>
  <si>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</si>
  <si>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</si>
  <si>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</si>
  <si>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</si>
  <si>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</si>
  <si>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</si>
  <si>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</si>
  <si>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</si>
  <si>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</si>
  <si>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</si>
  <si>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</si>
  <si>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</si>
  <si>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</si>
  <si>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</si>
  <si>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</si>
  <si>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</si>
  <si>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</si>
  <si>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</si>
  <si>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</si>
  <si>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</si>
  <si>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</si>
  <si>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</si>
  <si>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</si>
  <si>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</si>
  <si>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</si>
  <si>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</si>
  <si>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</si>
  <si>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</si>
  <si>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</si>
  <si>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</si>
  <si>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</si>
  <si>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</si>
  <si>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</si>
  <si>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</si>
  <si>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</si>
  <si>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</si>
  <si>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</si>
  <si>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</si>
  <si>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</si>
  <si>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</si>
  <si>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</si>
  <si>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</si>
  <si>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</si>
  <si>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</si>
  <si>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</si>
  <si>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</si>
  <si>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</si>
  <si>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</si>
  <si>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</si>
  <si>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</si>
  <si>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</si>
  <si>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</si>
  <si>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</si>
  <si>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</si>
  <si>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</si>
  <si>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</si>
  <si>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</si>
  <si>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</si>
  <si>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</si>
  <si>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</si>
  <si>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</si>
  <si>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</si>
  <si>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</si>
  <si>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</si>
  <si>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</si>
  <si>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</si>
  <si>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</si>
  <si>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</si>
  <si>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</si>
  <si>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</si>
  <si>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</si>
  <si>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</si>
  <si>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</si>
  <si>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</si>
  <si>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</si>
  <si>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</si>
  <si>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</si>
  <si>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</si>
  <si>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</si>
  <si>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</si>
  <si>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</si>
  <si>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</si>
  <si>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</si>
  <si>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</si>
  <si>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</si>
  <si>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</si>
  <si>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</si>
  <si>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</si>
  <si>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</si>
  <si>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</si>
  <si>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</si>
  <si>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</si>
  <si>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</si>
  <si>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</si>
  <si>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</si>
  <si>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</si>
  <si>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</si>
  <si>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</si>
  <si>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</si>
  <si>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</si>
  <si>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</si>
  <si>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</si>
  <si>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</si>
  <si>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</si>
  <si>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</si>
  <si>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</si>
  <si>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</si>
  <si>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</si>
  <si>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</si>
  <si>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</si>
  <si>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</si>
  <si>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</si>
  <si>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</si>
  <si>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</si>
  <si>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</si>
  <si>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</si>
  <si>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</si>
  <si>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</si>
  <si>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</si>
  <si>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</si>
  <si>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</si>
  <si>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</si>
  <si>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</si>
  <si>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</si>
  <si>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</si>
  <si>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</si>
  <si>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</si>
  <si>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</si>
  <si>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</si>
  <si>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</si>
  <si>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</si>
  <si>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</si>
  <si>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</si>
  <si>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</si>
  <si>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</si>
  <si>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</si>
  <si>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</si>
  <si>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</si>
  <si>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</si>
  <si>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</si>
  <si>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</si>
  <si>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</si>
  <si>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</si>
  <si>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</si>
  <si>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</si>
  <si>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</si>
  <si>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</si>
  <si>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</si>
  <si>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</si>
  <si>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</si>
  <si>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</si>
  <si>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</si>
  <si>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</si>
  <si>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</si>
  <si>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</si>
  <si>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</si>
  <si>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</si>
  <si>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</si>
  <si>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</si>
  <si>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</si>
  <si>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</si>
  <si>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</si>
  <si>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</si>
  <si>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</si>
  <si>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</si>
  <si>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</si>
  <si>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</si>
  <si>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</si>
  <si>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</si>
  <si>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</si>
  <si>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</si>
  <si>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</si>
  <si>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</si>
  <si>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</si>
  <si>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</si>
  <si>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</si>
  <si>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</si>
  <si>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</si>
  <si>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</si>
  <si>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</si>
  <si>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</si>
  <si>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</si>
  <si>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</si>
  <si>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</si>
  <si>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</si>
  <si>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</si>
  <si>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</si>
  <si>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</si>
  <si>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</si>
  <si>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</si>
  <si>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</si>
  <si>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</si>
  <si>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</si>
  <si>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</si>
  <si>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</si>
  <si>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</si>
  <si>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</si>
  <si>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</si>
  <si>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</si>
  <si>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</si>
  <si>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</si>
  <si>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</si>
  <si>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</si>
  <si>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</si>
  <si>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</si>
  <si>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</si>
  <si>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</si>
  <si>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</si>
  <si>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</si>
  <si>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</si>
  <si>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</si>
  <si>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</si>
  <si>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</si>
  <si>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</si>
  <si>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</si>
  <si>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</si>
  <si>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</si>
  <si>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</si>
  <si>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</si>
  <si>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</si>
  <si>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</si>
  <si>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</si>
  <si>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</si>
  <si>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</si>
  <si>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</si>
  <si>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</si>
  <si>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</si>
  <si>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</si>
  <si>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</si>
  <si>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</si>
  <si>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</si>
  <si>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</si>
  <si>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</si>
  <si>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</si>
  <si>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</si>
  <si>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</si>
  <si>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</si>
  <si>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</si>
  <si>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</si>
  <si>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</si>
  <si>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</si>
  <si>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</si>
  <si>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</si>
  <si>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</si>
  <si>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</si>
  <si>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</si>
  <si>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</si>
  <si>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</si>
  <si>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</si>
  <si>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</si>
  <si>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</si>
  <si>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</si>
  <si>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</si>
  <si>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</si>
  <si>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</si>
  <si>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</si>
  <si>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</si>
  <si>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</si>
  <si>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</si>
  <si>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</si>
  <si>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Mainz 05</t>
  </si>
  <si>
    <t>Inter Mailand</t>
  </si>
  <si>
    <t>Manchester City</t>
  </si>
  <si>
    <t>SSV Wildbach</t>
  </si>
  <si>
    <t>FC Grönlingen</t>
  </si>
  <si>
    <t>Sporthalle Wiesengrund, Wendiger Str. 51, 65432 Riedwald</t>
  </si>
  <si>
    <t>dummy</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</si>
  <si>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</si>
  <si>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</si>
  <si>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</si>
  <si>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</si>
  <si>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</si>
  <si>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</si>
  <si>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</si>
  <si>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</si>
  <si>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</si>
  <si>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</si>
  <si>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</si>
  <si>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</si>
  <si>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</si>
  <si>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</si>
  <si>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</si>
  <si>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</si>
  <si>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</si>
  <si>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</si>
  <si>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</si>
  <si>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</si>
  <si>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</si>
  <si>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</si>
  <si>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</si>
  <si>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</si>
  <si>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</si>
  <si>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</si>
  <si>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</si>
  <si>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</si>
  <si>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</si>
  <si>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</si>
  <si>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Internationales U10-Turnier am 26.01.2024</t>
  </si>
  <si>
    <t>Anzahl der Spielfelder:</t>
  </si>
  <si>
    <t>Number of fields:</t>
  </si>
  <si>
    <t>Feld</t>
  </si>
  <si>
    <t>Start</t>
  </si>
  <si>
    <t>Beginn</t>
  </si>
  <si>
    <t>End of tournament (final round 3):</t>
  </si>
  <si>
    <t>Turnierende (Endrunde 3):</t>
  </si>
  <si>
    <t>GDz</t>
  </si>
  <si>
    <t>3A</t>
  </si>
  <si>
    <t>1B</t>
  </si>
  <si>
    <t>Gruppenerste und -zweite</t>
  </si>
  <si>
    <t>Gruppendritte und -vierte</t>
  </si>
  <si>
    <t>Gruppenfünfte und -sechste</t>
  </si>
  <si>
    <t>1A</t>
  </si>
  <si>
    <t>2A</t>
  </si>
  <si>
    <t>2B</t>
  </si>
  <si>
    <t>3B</t>
  </si>
  <si>
    <t>4A</t>
  </si>
  <si>
    <t>4B</t>
  </si>
  <si>
    <t>5A</t>
  </si>
  <si>
    <t>5B</t>
  </si>
  <si>
    <t>6A</t>
  </si>
  <si>
    <t>6B</t>
  </si>
  <si>
    <t>End of tournament (final round 4):</t>
  </si>
  <si>
    <t>Turnierende (Endrunde 4):</t>
  </si>
  <si>
    <t>VFB Essenheim</t>
  </si>
  <si>
    <t>A7</t>
  </si>
  <si>
    <t>A8</t>
  </si>
  <si>
    <t>A9</t>
  </si>
  <si>
    <t>B7</t>
  </si>
  <si>
    <t>B8</t>
  </si>
  <si>
    <t>B9</t>
  </si>
  <si>
    <t>n = 7</t>
  </si>
  <si>
    <t>n = 8</t>
  </si>
  <si>
    <t>n = 9</t>
  </si>
  <si>
    <t>Aktuelle Anzahl der Spielplätze</t>
  </si>
  <si>
    <t>Zeiten und Spielplätze ausblenden</t>
  </si>
  <si>
    <t>Maximal mögliche Anzahl der Spielplätze</t>
  </si>
  <si>
    <t>9A -9B</t>
  </si>
  <si>
    <t>8A - 8B</t>
  </si>
  <si>
    <t>7A - 7B</t>
  </si>
  <si>
    <t>Version  1.0
03.05.2024</t>
  </si>
  <si>
    <t>Gruppensiebte und -achte</t>
  </si>
  <si>
    <t>Gruppenneunte</t>
  </si>
  <si>
    <t>Seventh and eighth placed</t>
  </si>
  <si>
    <t>Ninth placed</t>
  </si>
  <si>
    <t>Fifth and sixth placed</t>
  </si>
  <si>
    <t>First and second placed</t>
  </si>
  <si>
    <t>Third and fourth placed</t>
  </si>
  <si>
    <t>7A</t>
  </si>
  <si>
    <t>7B</t>
  </si>
  <si>
    <t>8A</t>
  </si>
  <si>
    <t>8B</t>
  </si>
  <si>
    <t>9A</t>
  </si>
  <si>
    <t>9B</t>
  </si>
  <si>
    <t>Fun Kickers Oes</t>
  </si>
  <si>
    <t>Raslo Winners</t>
  </si>
  <si>
    <t>AC Roma</t>
  </si>
  <si>
    <t>VFL Ronsdorf</t>
  </si>
  <si>
    <t>Knock Out Rangers</t>
  </si>
  <si>
    <t>Borussia Heine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</si>
</sst>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1"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5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right style="thin">
        <color theme="2" tint="-0.499984740745262"/>
      </right>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bottom style="thick">
        <color theme="0" tint="-0.499984740745262"/>
      </bottom>
      <diagonal/>
    </border>
    <border>
      <left style="thin">
        <color theme="2" tint="-0.24994659260841701"/>
      </left>
      <right/>
      <top style="thin">
        <color theme="2" tint="-0.24994659260841701"/>
      </top>
      <bottom/>
      <diagonal/>
    </border>
    <border>
      <left style="thick">
        <color theme="2" tint="-0.499984740745262"/>
      </left>
      <right style="medium">
        <color theme="2" tint="-0.499984740745262"/>
      </right>
      <top style="medium">
        <color theme="2" tint="-0.499984740745262"/>
      </top>
      <bottom/>
      <diagonal/>
    </border>
    <border>
      <left style="thick">
        <color theme="2" tint="-0.499984740745262"/>
      </left>
      <right style="thin">
        <color theme="2" tint="-0.24994659260841701"/>
      </right>
      <top style="thick">
        <color theme="2" tint="-0.499984740745262"/>
      </top>
      <bottom style="thin">
        <color theme="2" tint="-0.24994659260841701"/>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770">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7"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7" fillId="0" borderId="42" xfId="0" applyNumberFormat="1" applyFont="1" applyFill="1" applyBorder="1" applyAlignment="1" applyProtection="1">
      <alignment horizontal="right" vertical="center" indent="1"/>
      <protection hidden="1"/>
    </xf>
    <xf numFmtId="0" fontId="18" fillId="0" borderId="0" xfId="0" applyFont="1"/>
    <xf numFmtId="0" fontId="21" fillId="0" borderId="56" xfId="0" applyFont="1" applyBorder="1" applyAlignment="1">
      <alignment horizontal="center" vertical="center"/>
    </xf>
    <xf numFmtId="0" fontId="21" fillId="0" borderId="70" xfId="0" applyFont="1" applyBorder="1" applyAlignment="1">
      <alignment horizontal="left" vertical="center"/>
    </xf>
    <xf numFmtId="0" fontId="21" fillId="0" borderId="51"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0" fontId="7" fillId="0" borderId="43"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4" xfId="0" applyFont="1" applyFill="1" applyBorder="1" applyAlignment="1">
      <alignment horizontal="center" vertical="center"/>
    </xf>
    <xf numFmtId="0" fontId="18" fillId="0" borderId="0" xfId="0" applyNumberFormat="1" applyFont="1" applyAlignment="1">
      <alignment horizontal="center"/>
    </xf>
    <xf numFmtId="0" fontId="7" fillId="0" borderId="83" xfId="0" applyNumberFormat="1" applyFont="1" applyFill="1" applyBorder="1" applyAlignment="1" applyProtection="1">
      <alignment horizontal="right" vertical="center" indent="1"/>
      <protection hidden="1"/>
    </xf>
    <xf numFmtId="0" fontId="7" fillId="0" borderId="84" xfId="0" applyNumberFormat="1" applyFont="1" applyFill="1" applyBorder="1" applyAlignment="1" applyProtection="1">
      <alignment horizontal="right" vertical="center" indent="1"/>
      <protection hidden="1"/>
    </xf>
    <xf numFmtId="0" fontId="7" fillId="0" borderId="85"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8" xfId="0" applyFill="1" applyBorder="1" applyAlignment="1" applyProtection="1">
      <alignment horizontal="left" indent="1"/>
      <protection locked="0"/>
    </xf>
    <xf numFmtId="0" fontId="0" fillId="13" borderId="99" xfId="0" applyFill="1" applyBorder="1" applyAlignment="1" applyProtection="1">
      <alignment horizontal="left" indent="1"/>
      <protection locked="0"/>
    </xf>
    <xf numFmtId="0" fontId="0" fillId="14" borderId="100" xfId="0" applyFill="1" applyBorder="1" applyAlignment="1" applyProtection="1">
      <alignment horizontal="left" indent="1"/>
      <protection locked="0"/>
    </xf>
    <xf numFmtId="0" fontId="36" fillId="0" borderId="93" xfId="0" applyFont="1" applyFill="1" applyBorder="1" applyAlignment="1">
      <alignment horizontal="left" indent="1"/>
    </xf>
    <xf numFmtId="0" fontId="0" fillId="0" borderId="94" xfId="0" applyBorder="1" applyAlignment="1">
      <alignment horizontal="left" indent="1"/>
    </xf>
    <xf numFmtId="0" fontId="0" fillId="0" borderId="101" xfId="0" applyBorder="1" applyAlignment="1">
      <alignment horizontal="left" indent="1"/>
    </xf>
    <xf numFmtId="0" fontId="36" fillId="0" borderId="96" xfId="0" applyFont="1" applyFill="1" applyBorder="1" applyAlignment="1">
      <alignment horizontal="left" indent="1"/>
    </xf>
    <xf numFmtId="0" fontId="0" fillId="0" borderId="0" xfId="0" applyBorder="1" applyAlignment="1">
      <alignment horizontal="left" indent="1"/>
    </xf>
    <xf numFmtId="0" fontId="0" fillId="0" borderId="92"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100" xfId="0" applyFill="1" applyBorder="1" applyAlignment="1" applyProtection="1">
      <alignment horizontal="left" vertical="top" wrapText="1" indent="1"/>
      <protection locked="0"/>
    </xf>
    <xf numFmtId="0" fontId="0" fillId="12" borderId="98" xfId="0" applyFill="1" applyBorder="1" applyAlignment="1" applyProtection="1">
      <alignment horizontal="left" vertical="top" wrapText="1" indent="1"/>
      <protection locked="0"/>
    </xf>
    <xf numFmtId="0" fontId="0" fillId="13" borderId="99" xfId="0" applyFill="1" applyBorder="1" applyAlignment="1" applyProtection="1">
      <alignment horizontal="left" vertical="top" wrapText="1" indent="1"/>
      <protection locked="0"/>
    </xf>
    <xf numFmtId="0" fontId="0" fillId="13" borderId="103"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indent="1"/>
      <protection locked="0"/>
    </xf>
    <xf numFmtId="0" fontId="4" fillId="12" borderId="98" xfId="0" applyFont="1" applyFill="1" applyBorder="1" applyAlignment="1" applyProtection="1">
      <alignment horizontal="left" vertical="center" indent="1"/>
      <protection locked="0"/>
    </xf>
    <xf numFmtId="0" fontId="4" fillId="14" borderId="100" xfId="0" applyFont="1" applyFill="1" applyBorder="1" applyAlignment="1" applyProtection="1">
      <alignment horizontal="left" vertical="center" indent="1"/>
      <protection locked="0"/>
    </xf>
    <xf numFmtId="0" fontId="4" fillId="14" borderId="100" xfId="0" applyFont="1" applyFill="1" applyBorder="1" applyAlignment="1" applyProtection="1">
      <alignment horizontal="left" vertical="top" wrapText="1" indent="1"/>
      <protection locked="0"/>
    </xf>
    <xf numFmtId="0" fontId="4" fillId="12" borderId="98" xfId="0" applyFont="1" applyFill="1" applyBorder="1" applyAlignment="1" applyProtection="1">
      <alignment horizontal="left" indent="1"/>
      <protection locked="0"/>
    </xf>
    <xf numFmtId="0" fontId="4" fillId="14" borderId="100" xfId="0" applyFont="1" applyFill="1" applyBorder="1" applyAlignment="1" applyProtection="1">
      <alignment horizontal="left" indent="1"/>
      <protection locked="0"/>
    </xf>
    <xf numFmtId="0" fontId="4" fillId="14" borderId="100" xfId="0" applyFont="1" applyFill="1" applyBorder="1" applyAlignment="1">
      <alignment horizontal="left" indent="1"/>
    </xf>
    <xf numFmtId="0" fontId="4" fillId="13" borderId="99" xfId="0" applyFont="1" applyFill="1" applyBorder="1" applyAlignment="1" applyProtection="1">
      <alignment horizontal="left" indent="1"/>
      <protection locked="0"/>
    </xf>
    <xf numFmtId="0" fontId="4" fillId="12" borderId="102" xfId="0" applyFont="1" applyFill="1" applyBorder="1" applyAlignment="1" applyProtection="1">
      <alignment horizontal="left" vertical="top" indent="1"/>
      <protection locked="0"/>
    </xf>
    <xf numFmtId="0" fontId="4" fillId="14" borderId="100"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4" xfId="0" applyFont="1" applyFill="1" applyBorder="1" applyAlignment="1" applyProtection="1">
      <alignment horizontal="left" vertical="top" indent="1"/>
      <protection locked="0"/>
    </xf>
    <xf numFmtId="0" fontId="1" fillId="13" borderId="91" xfId="0" applyFont="1" applyFill="1" applyBorder="1" applyAlignment="1" applyProtection="1">
      <alignment horizontal="center" vertical="center"/>
      <protection locked="0"/>
    </xf>
    <xf numFmtId="0" fontId="4" fillId="14" borderId="96" xfId="0" applyFont="1" applyFill="1" applyBorder="1" applyAlignment="1" applyProtection="1">
      <alignment horizontal="left" vertical="top" indent="1"/>
      <protection locked="0"/>
    </xf>
    <xf numFmtId="0" fontId="7" fillId="0" borderId="32"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2"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1" fillId="13" borderId="113" xfId="0" applyFont="1" applyFill="1" applyBorder="1" applyAlignment="1">
      <alignment horizontal="center" vertical="center"/>
    </xf>
    <xf numFmtId="164" fontId="20" fillId="0" borderId="35" xfId="0" applyNumberFormat="1" applyFont="1" applyBorder="1" applyAlignment="1">
      <alignment horizontal="center" vertical="center"/>
    </xf>
    <xf numFmtId="164" fontId="20" fillId="0" borderId="36" xfId="0" applyNumberFormat="1" applyFont="1" applyBorder="1" applyAlignment="1">
      <alignment horizontal="center" vertical="center"/>
    </xf>
    <xf numFmtId="0" fontId="18" fillId="13" borderId="34" xfId="0" applyFont="1" applyFill="1" applyBorder="1"/>
    <xf numFmtId="3" fontId="7" fillId="0" borderId="32"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5" xfId="0" applyFont="1" applyFill="1" applyBorder="1" applyAlignment="1">
      <alignment horizontal="center" vertical="center"/>
    </xf>
    <xf numFmtId="0" fontId="31" fillId="13" borderId="117" xfId="0" applyFont="1" applyFill="1" applyBorder="1" applyAlignment="1">
      <alignment horizontal="left" vertical="center" indent="1"/>
    </xf>
    <xf numFmtId="0" fontId="20" fillId="0" borderId="118" xfId="0" applyFont="1" applyBorder="1" applyAlignment="1">
      <alignment horizontal="left" vertical="center" indent="1"/>
    </xf>
    <xf numFmtId="0" fontId="20" fillId="0" borderId="119" xfId="0" applyFont="1" applyBorder="1" applyAlignment="1">
      <alignment horizontal="left" vertical="center" indent="1"/>
    </xf>
    <xf numFmtId="0" fontId="20" fillId="0" borderId="120" xfId="0" applyFont="1" applyBorder="1" applyAlignment="1">
      <alignment horizontal="left" vertical="center" indent="1"/>
    </xf>
    <xf numFmtId="0" fontId="31" fillId="13" borderId="115" xfId="0" applyFont="1" applyFill="1" applyBorder="1" applyAlignment="1">
      <alignment horizontal="center" vertical="center"/>
    </xf>
    <xf numFmtId="0" fontId="40" fillId="0" borderId="116" xfId="0" applyFont="1" applyBorder="1" applyAlignment="1">
      <alignment horizontal="center" vertical="center"/>
    </xf>
    <xf numFmtId="0" fontId="40" fillId="0" borderId="50" xfId="0" applyFont="1" applyBorder="1" applyAlignment="1">
      <alignment horizontal="center" vertical="center"/>
    </xf>
    <xf numFmtId="0" fontId="40" fillId="0" borderId="52" xfId="0" applyFont="1" applyBorder="1" applyAlignment="1">
      <alignment horizontal="center" vertical="center"/>
    </xf>
    <xf numFmtId="165" fontId="21" fillId="13" borderId="121" xfId="0" applyNumberFormat="1" applyFont="1" applyFill="1" applyBorder="1" applyAlignment="1">
      <alignment horizontal="center" vertical="center"/>
    </xf>
    <xf numFmtId="165" fontId="21" fillId="13" borderId="113"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3" xfId="0" applyFont="1" applyFill="1" applyBorder="1" applyAlignment="1">
      <alignment horizontal="center" vertical="center"/>
    </xf>
    <xf numFmtId="0" fontId="20" fillId="0" borderId="124" xfId="0" applyFont="1" applyBorder="1" applyAlignment="1">
      <alignment horizontal="center" vertical="center"/>
    </xf>
    <xf numFmtId="0" fontId="20" fillId="0" borderId="126" xfId="0" applyFont="1" applyBorder="1" applyAlignment="1">
      <alignment horizontal="center" vertical="center"/>
    </xf>
    <xf numFmtId="0" fontId="4" fillId="12" borderId="98" xfId="0" applyFont="1" applyFill="1" applyBorder="1" applyAlignment="1" applyProtection="1">
      <alignment horizontal="left" vertical="top" wrapText="1" indent="1"/>
      <protection locked="0"/>
    </xf>
    <xf numFmtId="0" fontId="7" fillId="0" borderId="38"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31" fillId="13" borderId="132" xfId="0" applyFont="1" applyFill="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165" fontId="21" fillId="13" borderId="135" xfId="0" applyNumberFormat="1" applyFont="1" applyFill="1" applyBorder="1" applyAlignment="1">
      <alignment horizontal="center" vertical="center"/>
    </xf>
    <xf numFmtId="0" fontId="20" fillId="0" borderId="136" xfId="0" applyFont="1" applyBorder="1" applyAlignment="1">
      <alignment horizontal="center" vertical="center"/>
    </xf>
    <xf numFmtId="0" fontId="20" fillId="0" borderId="46" xfId="0" applyFont="1" applyBorder="1" applyAlignment="1">
      <alignment horizontal="center" vertical="center"/>
    </xf>
    <xf numFmtId="0" fontId="20" fillId="8" borderId="49"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0" fontId="4" fillId="12" borderId="104" xfId="0" applyFont="1" applyFill="1" applyBorder="1" applyAlignment="1" applyProtection="1">
      <alignment horizontal="left" vertical="top" wrapText="1" indent="1"/>
      <protection locked="0"/>
    </xf>
    <xf numFmtId="0" fontId="4" fillId="14" borderId="96"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xf numFmtId="0" fontId="18" fillId="0" borderId="0" xfId="0" applyFont="1" applyProtection="1"/>
    <xf numFmtId="0" fontId="21" fillId="0" borderId="0" xfId="0" applyFont="1" applyProtection="1"/>
    <xf numFmtId="0" fontId="46" fillId="0" borderId="0" xfId="0" applyFont="1" applyBorder="1" applyAlignment="1">
      <alignment horizontal="left" vertical="center" wrapText="1"/>
    </xf>
    <xf numFmtId="0" fontId="47" fillId="0" borderId="0" xfId="0" applyFont="1" applyAlignment="1">
      <alignment horizontal="right" indent="1"/>
    </xf>
    <xf numFmtId="167" fontId="23" fillId="0" borderId="45" xfId="0" applyNumberFormat="1" applyFont="1" applyBorder="1" applyAlignment="1">
      <alignment horizontal="center" vertical="center"/>
    </xf>
    <xf numFmtId="0" fontId="23" fillId="0" borderId="112" xfId="0" applyNumberFormat="1" applyFont="1" applyBorder="1" applyAlignment="1">
      <alignment horizontal="center" vertical="center"/>
    </xf>
    <xf numFmtId="0" fontId="23" fillId="0" borderId="45" xfId="0" applyNumberFormat="1" applyFont="1" applyBorder="1" applyAlignment="1">
      <alignment horizontal="center" vertical="center"/>
    </xf>
    <xf numFmtId="167" fontId="23" fillId="0" borderId="48"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1" fillId="0" borderId="57" xfId="0" applyFont="1" applyBorder="1" applyAlignment="1">
      <alignment horizontal="center" vertical="center"/>
    </xf>
    <xf numFmtId="0" fontId="21" fillId="0" borderId="148" xfId="0" applyFont="1" applyBorder="1" applyAlignment="1">
      <alignment horizontal="right" vertical="center"/>
    </xf>
    <xf numFmtId="0" fontId="21" fillId="0" borderId="149" xfId="0" applyFont="1" applyBorder="1" applyAlignment="1">
      <alignment horizontal="center" vertical="center"/>
    </xf>
    <xf numFmtId="0" fontId="21" fillId="0" borderId="151" xfId="0" applyFont="1" applyBorder="1" applyAlignment="1">
      <alignment horizontal="left" vertical="center"/>
    </xf>
    <xf numFmtId="0" fontId="19" fillId="9" borderId="152" xfId="0" applyFont="1" applyFill="1" applyBorder="1" applyAlignment="1">
      <alignment horizontal="center"/>
    </xf>
    <xf numFmtId="0" fontId="19" fillId="9" borderId="115" xfId="0" applyFont="1" applyFill="1" applyBorder="1" applyAlignment="1">
      <alignment horizontal="center"/>
    </xf>
    <xf numFmtId="167" fontId="23" fillId="0" borderId="112" xfId="0" applyNumberFormat="1" applyFont="1" applyBorder="1" applyAlignment="1">
      <alignment horizontal="center" vertical="center"/>
    </xf>
    <xf numFmtId="0" fontId="14" fillId="9" borderId="80" xfId="0" applyFont="1" applyFill="1" applyBorder="1" applyAlignment="1">
      <alignment horizontal="center" vertical="center"/>
    </xf>
    <xf numFmtId="0" fontId="20" fillId="0" borderId="133" xfId="0" applyFont="1" applyBorder="1" applyAlignment="1">
      <alignment horizontal="left" vertical="center"/>
    </xf>
    <xf numFmtId="0" fontId="20" fillId="0" borderId="125" xfId="0" applyFont="1" applyBorder="1" applyAlignment="1">
      <alignment horizontal="left" vertical="center"/>
    </xf>
    <xf numFmtId="0" fontId="20" fillId="0" borderId="134" xfId="0" applyFont="1" applyBorder="1" applyAlignment="1">
      <alignment horizontal="left" vertical="center"/>
    </xf>
    <xf numFmtId="0" fontId="49" fillId="0" borderId="0" xfId="0" applyNumberFormat="1" applyFont="1" applyAlignment="1">
      <alignment horizontal="center" vertical="center"/>
    </xf>
    <xf numFmtId="0" fontId="0" fillId="0" borderId="155" xfId="0" applyBorder="1"/>
    <xf numFmtId="0" fontId="0" fillId="0" borderId="156" xfId="0" applyBorder="1" applyAlignment="1">
      <alignment horizontal="left" indent="1"/>
    </xf>
    <xf numFmtId="0" fontId="0" fillId="0" borderId="107" xfId="0" applyBorder="1"/>
    <xf numFmtId="0" fontId="0" fillId="0" borderId="108" xfId="0" applyBorder="1" applyAlignment="1">
      <alignment horizontal="left" indent="1"/>
    </xf>
    <xf numFmtId="0" fontId="0" fillId="0" borderId="109" xfId="0" applyBorder="1"/>
    <xf numFmtId="0" fontId="0" fillId="0" borderId="111" xfId="0" applyBorder="1" applyAlignment="1">
      <alignment horizontal="left" indent="1"/>
    </xf>
    <xf numFmtId="0" fontId="7" fillId="0" borderId="158" xfId="0" applyNumberFormat="1" applyFont="1" applyFill="1" applyBorder="1" applyAlignment="1" applyProtection="1">
      <alignment vertical="center"/>
      <protection hidden="1"/>
    </xf>
    <xf numFmtId="0" fontId="7" fillId="0" borderId="157" xfId="0" applyNumberFormat="1" applyFont="1" applyFill="1" applyBorder="1" applyAlignment="1" applyProtection="1">
      <alignment horizontal="center" vertical="center"/>
      <protection hidden="1"/>
    </xf>
    <xf numFmtId="0" fontId="6" fillId="0" borderId="45"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2" xfId="0" applyFont="1" applyFill="1" applyBorder="1" applyAlignment="1">
      <alignment horizontal="center" vertical="center" shrinkToFit="1"/>
    </xf>
    <xf numFmtId="0" fontId="14" fillId="9" borderId="71"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165" fontId="14" fillId="9" borderId="62" xfId="0" applyNumberFormat="1" applyFont="1" applyFill="1" applyBorder="1" applyAlignment="1">
      <alignment vertical="center" shrinkToFit="1"/>
    </xf>
    <xf numFmtId="165" fontId="14" fillId="9" borderId="71" xfId="0" applyNumberFormat="1" applyFont="1" applyFill="1" applyBorder="1" applyAlignment="1">
      <alignment vertical="center" shrinkToFit="1"/>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139" xfId="0" applyFont="1" applyBorder="1" applyAlignment="1">
      <alignment horizontal="right" vertical="center" shrinkToFit="1"/>
    </xf>
    <xf numFmtId="0" fontId="6" fillId="0" borderId="140" xfId="0" applyFont="1" applyBorder="1" applyAlignment="1">
      <alignment horizontal="center" vertical="center" shrinkToFit="1"/>
    </xf>
    <xf numFmtId="0" fontId="6" fillId="0" borderId="137" xfId="0" applyFont="1" applyBorder="1" applyAlignment="1">
      <alignment horizontal="left" vertical="center" shrinkToFit="1"/>
    </xf>
    <xf numFmtId="0" fontId="16" fillId="0" borderId="141" xfId="0" applyFont="1" applyBorder="1" applyAlignment="1">
      <alignment horizontal="center" vertical="center" shrinkToFit="1"/>
    </xf>
    <xf numFmtId="0" fontId="6" fillId="8" borderId="142" xfId="0" applyFont="1" applyFill="1" applyBorder="1" applyAlignment="1">
      <alignment horizontal="center" vertical="center" shrinkToFit="1"/>
    </xf>
    <xf numFmtId="0" fontId="6" fillId="0" borderId="141" xfId="0" applyFont="1" applyBorder="1" applyAlignment="1">
      <alignment horizontal="center" vertical="center" shrinkToFit="1"/>
    </xf>
    <xf numFmtId="0" fontId="6" fillId="0" borderId="130"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6" xfId="0" applyFont="1" applyBorder="1" applyAlignment="1">
      <alignment horizontal="center" vertical="center" shrinkToFit="1"/>
    </xf>
    <xf numFmtId="0" fontId="6" fillId="0" borderId="44" xfId="0" applyFont="1" applyBorder="1" applyAlignment="1">
      <alignment horizontal="center" vertical="center" shrinkToFit="1"/>
    </xf>
    <xf numFmtId="0" fontId="6" fillId="8" borderId="45" xfId="0" applyFont="1" applyFill="1" applyBorder="1" applyAlignment="1">
      <alignment horizontal="center" vertical="center" shrinkToFit="1"/>
    </xf>
    <xf numFmtId="0" fontId="6" fillId="0" borderId="46" xfId="0" applyFont="1" applyBorder="1" applyAlignment="1">
      <alignment horizontal="center" vertical="center" shrinkToFit="1"/>
    </xf>
    <xf numFmtId="0" fontId="6" fillId="0" borderId="131"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right" vertical="center" shrinkToFit="1"/>
    </xf>
    <xf numFmtId="0" fontId="6" fillId="0" borderId="57" xfId="0" applyFont="1" applyBorder="1" applyAlignment="1">
      <alignment horizontal="center" vertical="center" shrinkToFit="1"/>
    </xf>
    <xf numFmtId="0" fontId="6" fillId="0" borderId="52" xfId="0" applyFont="1" applyBorder="1" applyAlignment="1">
      <alignment horizontal="left" vertical="center" shrinkToFit="1"/>
    </xf>
    <xf numFmtId="0" fontId="16" fillId="0" borderId="49" xfId="0" applyFont="1" applyBorder="1" applyAlignment="1">
      <alignment horizontal="center" vertical="center" shrinkToFit="1"/>
    </xf>
    <xf numFmtId="0" fontId="6" fillId="0" borderId="47" xfId="0" applyFont="1" applyBorder="1" applyAlignment="1">
      <alignment horizontal="center" vertical="center" shrinkToFit="1"/>
    </xf>
    <xf numFmtId="0" fontId="6" fillId="8" borderId="49"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2"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1" fillId="0" borderId="0" xfId="0" applyFont="1"/>
    <xf numFmtId="0" fontId="39" fillId="15" borderId="161"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2" xfId="0" applyNumberFormat="1" applyFont="1" applyFill="1" applyBorder="1" applyAlignment="1" applyProtection="1">
      <alignment horizontal="center" vertical="center"/>
      <protection hidden="1"/>
    </xf>
    <xf numFmtId="0" fontId="52" fillId="0" borderId="162"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3" xfId="2" applyNumberFormat="1" applyBorder="1" applyAlignment="1" applyProtection="1">
      <alignment horizontal="center" vertical="center" readingOrder="1"/>
    </xf>
    <xf numFmtId="0" fontId="7" fillId="13" borderId="167" xfId="0" applyNumberFormat="1" applyFont="1" applyFill="1" applyBorder="1" applyAlignment="1" applyProtection="1">
      <alignment horizontal="center" vertical="center"/>
      <protection hidden="1"/>
    </xf>
    <xf numFmtId="0" fontId="4" fillId="14" borderId="168" xfId="0" applyFont="1" applyFill="1" applyBorder="1" applyAlignment="1" applyProtection="1">
      <alignment horizontal="left" vertical="top" wrapText="1" indent="1"/>
      <protection locked="0"/>
    </xf>
    <xf numFmtId="0" fontId="4" fillId="12" borderId="169" xfId="0" applyFont="1" applyFill="1" applyBorder="1" applyAlignment="1" applyProtection="1">
      <alignment horizontal="left" vertical="top" wrapText="1" indent="1"/>
      <protection locked="0"/>
    </xf>
    <xf numFmtId="0" fontId="4" fillId="14" borderId="170" xfId="0" applyFont="1" applyFill="1" applyBorder="1" applyAlignment="1" applyProtection="1">
      <alignment horizontal="left" vertical="top" wrapText="1" indent="1"/>
      <protection locked="0"/>
    </xf>
    <xf numFmtId="0" fontId="4" fillId="12" borderId="171" xfId="0" applyFont="1" applyFill="1" applyBorder="1" applyAlignment="1" applyProtection="1">
      <alignment horizontal="left" vertical="top" wrapText="1" indent="1"/>
      <protection locked="0"/>
    </xf>
    <xf numFmtId="0" fontId="0" fillId="13" borderId="172"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indent="1"/>
      <protection locked="0"/>
    </xf>
    <xf numFmtId="0" fontId="0" fillId="12" borderId="175" xfId="0" applyFill="1" applyBorder="1" applyAlignment="1" applyProtection="1">
      <alignment horizontal="left" vertical="top" indent="1"/>
      <protection locked="0"/>
    </xf>
    <xf numFmtId="0" fontId="0" fillId="13" borderId="176"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3" borderId="178"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wrapText="1" indent="1"/>
      <protection locked="0"/>
    </xf>
    <xf numFmtId="0" fontId="0" fillId="12" borderId="174" xfId="0" applyFill="1" applyBorder="1" applyAlignment="1" applyProtection="1">
      <alignment horizontal="left" vertical="top" wrapText="1" indent="1"/>
      <protection locked="0"/>
    </xf>
    <xf numFmtId="0" fontId="0" fillId="0" borderId="0" xfId="0" applyAlignment="1"/>
    <xf numFmtId="0" fontId="0" fillId="14" borderId="179" xfId="0" applyFill="1" applyBorder="1" applyAlignment="1" applyProtection="1">
      <alignment horizontal="left" vertical="top" wrapText="1" indent="1"/>
      <protection locked="0"/>
    </xf>
    <xf numFmtId="0" fontId="0" fillId="12" borderId="180" xfId="0" applyFill="1" applyBorder="1" applyAlignment="1" applyProtection="1">
      <alignment horizontal="left" vertical="top" wrapText="1" indent="1"/>
      <protection locked="0"/>
    </xf>
    <xf numFmtId="0" fontId="0" fillId="13" borderId="181" xfId="0" applyFill="1" applyBorder="1" applyAlignment="1" applyProtection="1">
      <alignment horizontal="left" vertical="top" wrapText="1" indent="1"/>
      <protection locked="0"/>
    </xf>
    <xf numFmtId="0" fontId="0" fillId="0" borderId="0" xfId="0" applyAlignment="1">
      <alignment horizontal="right"/>
    </xf>
    <xf numFmtId="0" fontId="53" fillId="15" borderId="161"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4" fillId="0" borderId="0" xfId="0" applyFont="1"/>
    <xf numFmtId="0" fontId="4" fillId="12" borderId="173" xfId="0" applyFont="1" applyFill="1" applyBorder="1" applyAlignment="1" applyProtection="1">
      <alignment horizontal="left" vertical="top" indent="1"/>
      <protection locked="0"/>
    </xf>
    <xf numFmtId="0" fontId="14" fillId="9" borderId="54" xfId="0" applyFont="1" applyFill="1" applyBorder="1" applyAlignment="1">
      <alignment horizontal="center" vertical="center" shrinkToFit="1"/>
    </xf>
    <xf numFmtId="0" fontId="42" fillId="0" borderId="72"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4" fillId="0" borderId="0" xfId="0" applyFont="1" applyAlignment="1">
      <alignment vertical="center"/>
    </xf>
    <xf numFmtId="0" fontId="55" fillId="0" borderId="127" xfId="0" applyFont="1" applyBorder="1" applyAlignment="1">
      <alignment horizontal="center" vertical="center" shrinkToFit="1"/>
    </xf>
    <xf numFmtId="0" fontId="55" fillId="0" borderId="128" xfId="0" applyFont="1" applyBorder="1" applyAlignment="1">
      <alignment horizontal="center" vertical="center" shrinkToFit="1"/>
    </xf>
    <xf numFmtId="0" fontId="55" fillId="0" borderId="129" xfId="0" applyFont="1" applyBorder="1" applyAlignment="1">
      <alignment horizontal="center" vertical="center" shrinkToFit="1"/>
    </xf>
    <xf numFmtId="0" fontId="41" fillId="0" borderId="0" xfId="0" applyNumberFormat="1" applyFont="1" applyBorder="1" applyAlignment="1">
      <alignment vertical="top"/>
    </xf>
    <xf numFmtId="0" fontId="23" fillId="0" borderId="1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6" fillId="0" borderId="182" xfId="0" applyFont="1" applyBorder="1" applyAlignment="1">
      <alignment horizontal="left" vertical="center" shrinkToFit="1"/>
    </xf>
    <xf numFmtId="0" fontId="38" fillId="0" borderId="0" xfId="0" applyFont="1" applyAlignment="1" applyProtection="1">
      <alignment horizontal="center" vertical="center" wrapText="1"/>
    </xf>
    <xf numFmtId="0" fontId="44" fillId="0" borderId="72"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56" fillId="0" borderId="0" xfId="0" applyFont="1" applyAlignment="1" applyProtection="1"/>
    <xf numFmtId="0" fontId="58" fillId="0" borderId="72" xfId="0" applyFont="1" applyFill="1" applyBorder="1" applyAlignment="1"/>
    <xf numFmtId="0" fontId="58"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9" fillId="0" borderId="0" xfId="0" applyFont="1" applyAlignment="1" applyProtection="1">
      <alignment vertical="top" wrapText="1"/>
    </xf>
    <xf numFmtId="165" fontId="29" fillId="0" borderId="72"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8" xfId="0" applyFont="1" applyFill="1" applyBorder="1" applyAlignment="1" applyProtection="1">
      <alignment horizontal="right" vertical="center"/>
    </xf>
    <xf numFmtId="0" fontId="22" fillId="17" borderId="149" xfId="0" applyFont="1" applyFill="1" applyBorder="1" applyAlignment="1" applyProtection="1">
      <alignment horizontal="center" vertical="center"/>
    </xf>
    <xf numFmtId="0" fontId="22" fillId="17" borderId="150"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22" fillId="17" borderId="57" xfId="0" applyFont="1" applyFill="1" applyBorder="1" applyAlignment="1" applyProtection="1">
      <alignment horizontal="center" vertical="center"/>
    </xf>
    <xf numFmtId="0" fontId="18" fillId="0" borderId="0" xfId="0" applyFont="1" applyAlignment="1">
      <alignment vertical="center"/>
    </xf>
    <xf numFmtId="0" fontId="21" fillId="10" borderId="130" xfId="0" applyFont="1" applyFill="1" applyBorder="1" applyAlignment="1" applyProtection="1">
      <alignment horizontal="center"/>
      <protection locked="0"/>
    </xf>
    <xf numFmtId="0" fontId="21" fillId="10" borderId="131" xfId="0" applyFont="1" applyFill="1" applyBorder="1" applyAlignment="1" applyProtection="1">
      <alignment horizontal="center"/>
      <protection locked="0"/>
    </xf>
    <xf numFmtId="0" fontId="21" fillId="10" borderId="189" xfId="0" applyFont="1" applyFill="1" applyBorder="1" applyAlignment="1" applyProtection="1">
      <alignment horizontal="center"/>
      <protection locked="0"/>
    </xf>
    <xf numFmtId="0" fontId="20" fillId="10" borderId="56" xfId="0" applyFont="1" applyFill="1" applyBorder="1" applyAlignment="1" applyProtection="1">
      <alignment horizontal="center" vertical="center"/>
      <protection locked="0"/>
    </xf>
    <xf numFmtId="0" fontId="20" fillId="10" borderId="70"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91" xfId="0" applyFont="1" applyFill="1" applyBorder="1" applyAlignment="1" applyProtection="1">
      <alignment horizontal="center" vertical="center"/>
      <protection locked="0"/>
    </xf>
    <xf numFmtId="0" fontId="20" fillId="0" borderId="51" xfId="0" applyFont="1" applyBorder="1" applyAlignment="1">
      <alignment horizontal="left" vertical="center"/>
    </xf>
    <xf numFmtId="0" fontId="20" fillId="0" borderId="53" xfId="0" applyFont="1" applyBorder="1" applyAlignment="1">
      <alignment horizontal="left" vertical="center"/>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61" fillId="0" borderId="45" xfId="0" applyFont="1" applyBorder="1" applyAlignment="1">
      <alignment horizontal="center" vertical="center"/>
    </xf>
    <xf numFmtId="0" fontId="61" fillId="0" borderId="48" xfId="0" applyFont="1" applyBorder="1" applyAlignment="1">
      <alignment horizontal="center" vertical="center"/>
    </xf>
    <xf numFmtId="0" fontId="61" fillId="0" borderId="192" xfId="0" applyFont="1" applyBorder="1" applyAlignment="1">
      <alignment horizontal="center" vertical="center"/>
    </xf>
    <xf numFmtId="0" fontId="20" fillId="0" borderId="148" xfId="0" applyFont="1" applyBorder="1" applyAlignment="1">
      <alignment horizontal="left" vertical="center"/>
    </xf>
    <xf numFmtId="0" fontId="20" fillId="0" borderId="149" xfId="0" applyFont="1" applyBorder="1" applyAlignment="1">
      <alignment horizontal="center" vertical="center"/>
    </xf>
    <xf numFmtId="0" fontId="20" fillId="0" borderId="150" xfId="0" applyFont="1" applyBorder="1" applyAlignment="1">
      <alignment horizontal="left" vertical="center"/>
    </xf>
    <xf numFmtId="0" fontId="14" fillId="9" borderId="113" xfId="0" applyFont="1" applyFill="1" applyBorder="1" applyAlignment="1">
      <alignment horizontal="center" vertical="center"/>
    </xf>
    <xf numFmtId="0" fontId="20" fillId="10" borderId="148" xfId="0" applyFont="1" applyFill="1" applyBorder="1" applyAlignment="1" applyProtection="1">
      <alignment horizontal="center" vertical="center"/>
      <protection locked="0"/>
    </xf>
    <xf numFmtId="0" fontId="20" fillId="10" borderId="151"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3"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56" xfId="0" applyFont="1" applyFill="1" applyBorder="1" applyAlignment="1">
      <alignment horizontal="center" vertical="center"/>
    </xf>
    <xf numFmtId="0" fontId="21" fillId="0" borderId="192" xfId="0" applyFont="1" applyBorder="1" applyAlignment="1">
      <alignment horizontal="center" vertical="center"/>
    </xf>
    <xf numFmtId="0" fontId="21" fillId="10" borderId="130" xfId="0" applyFont="1" applyFill="1" applyBorder="1" applyAlignment="1" applyProtection="1">
      <alignment horizontal="center" vertical="center"/>
      <protection locked="0"/>
    </xf>
    <xf numFmtId="0" fontId="21" fillId="10" borderId="131" xfId="0" applyFont="1" applyFill="1" applyBorder="1" applyAlignment="1" applyProtection="1">
      <alignment horizontal="center" vertical="center"/>
      <protection locked="0"/>
    </xf>
    <xf numFmtId="0" fontId="21" fillId="0" borderId="193" xfId="0" applyFont="1" applyBorder="1" applyAlignment="1">
      <alignment horizontal="center" vertical="center"/>
    </xf>
    <xf numFmtId="0" fontId="14" fillId="9" borderId="115" xfId="0" applyFont="1" applyFill="1" applyBorder="1" applyAlignment="1">
      <alignment horizontal="center" vertical="center"/>
    </xf>
    <xf numFmtId="167" fontId="21" fillId="0" borderId="150" xfId="0" applyNumberFormat="1" applyFont="1" applyBorder="1" applyAlignment="1">
      <alignment horizontal="center" vertical="center"/>
    </xf>
    <xf numFmtId="167" fontId="21" fillId="0" borderId="50"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14" fillId="0" borderId="41"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49" xfId="0" applyFont="1" applyFill="1" applyBorder="1" applyAlignment="1" applyProtection="1">
      <alignment horizontal="center" vertical="center"/>
      <protection locked="0"/>
    </xf>
    <xf numFmtId="0" fontId="20" fillId="10" borderId="194" xfId="0" applyFont="1" applyFill="1" applyBorder="1" applyAlignment="1" applyProtection="1">
      <alignment horizontal="center" vertical="center"/>
      <protection locked="0"/>
    </xf>
    <xf numFmtId="0" fontId="20" fillId="10" borderId="195" xfId="0" applyFont="1" applyFill="1" applyBorder="1" applyAlignment="1" applyProtection="1">
      <alignment horizontal="center" vertical="center"/>
      <protection locked="0"/>
    </xf>
    <xf numFmtId="0" fontId="20" fillId="10" borderId="19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189" xfId="0" applyFont="1" applyFill="1" applyBorder="1" applyAlignment="1" applyProtection="1">
      <alignment horizontal="center" vertical="center"/>
      <protection locked="0"/>
    </xf>
    <xf numFmtId="0" fontId="18" fillId="0" borderId="182" xfId="0" applyFont="1" applyBorder="1" applyAlignment="1">
      <alignment vertical="center"/>
    </xf>
    <xf numFmtId="0" fontId="21" fillId="0" borderId="198"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1" xfId="0" applyFont="1" applyBorder="1" applyAlignment="1">
      <alignment horizontal="center" vertical="center"/>
    </xf>
    <xf numFmtId="0" fontId="61" fillId="0" borderId="201" xfId="0" applyFont="1" applyBorder="1" applyAlignment="1">
      <alignment horizontal="center" vertical="center"/>
    </xf>
    <xf numFmtId="0" fontId="20" fillId="0" borderId="202" xfId="0" applyFont="1" applyBorder="1" applyAlignment="1">
      <alignment horizontal="left" vertical="center"/>
    </xf>
    <xf numFmtId="0" fontId="20" fillId="0" borderId="144" xfId="0" applyFont="1" applyBorder="1" applyAlignment="1">
      <alignment horizontal="center" vertical="center"/>
    </xf>
    <xf numFmtId="0" fontId="20" fillId="0" borderId="203" xfId="0" applyFont="1" applyBorder="1" applyAlignment="1">
      <alignment horizontal="left" vertical="center"/>
    </xf>
    <xf numFmtId="0" fontId="20" fillId="10" borderId="202" xfId="0" applyFont="1" applyFill="1" applyBorder="1" applyAlignment="1" applyProtection="1">
      <alignment horizontal="center" vertical="center"/>
      <protection locked="0"/>
    </xf>
    <xf numFmtId="0" fontId="20" fillId="10" borderId="144" xfId="0" applyFont="1" applyFill="1" applyBorder="1" applyAlignment="1">
      <alignment horizontal="center" vertical="center"/>
    </xf>
    <xf numFmtId="0" fontId="20" fillId="10" borderId="144"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10" borderId="145" xfId="0" applyFont="1" applyFill="1" applyBorder="1" applyAlignment="1" applyProtection="1">
      <alignment horizontal="center" vertical="center"/>
      <protection locked="0"/>
    </xf>
    <xf numFmtId="0" fontId="21" fillId="0" borderId="48" xfId="0" applyFont="1" applyBorder="1" applyAlignment="1">
      <alignment horizontal="center" vertical="center"/>
    </xf>
    <xf numFmtId="0" fontId="20" fillId="10" borderId="57" xfId="0" applyFont="1" applyFill="1" applyBorder="1" applyAlignment="1">
      <alignment horizontal="center" vertical="center"/>
    </xf>
    <xf numFmtId="0" fontId="21" fillId="10" borderId="182" xfId="0" applyFont="1" applyFill="1" applyBorder="1" applyAlignment="1" applyProtection="1">
      <alignment horizontal="center" vertical="center"/>
      <protection locked="0"/>
    </xf>
    <xf numFmtId="164" fontId="6" fillId="0" borderId="142" xfId="0" applyNumberFormat="1" applyFont="1" applyBorder="1" applyAlignment="1">
      <alignment vertical="center" shrinkToFit="1"/>
    </xf>
    <xf numFmtId="0" fontId="6" fillId="0" borderId="141"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6" xfId="0" applyFont="1" applyBorder="1" applyAlignment="1">
      <alignment horizontal="left" vertical="center" shrinkToFit="1"/>
    </xf>
    <xf numFmtId="164" fontId="6" fillId="0" borderId="47" xfId="0" applyNumberFormat="1" applyFont="1" applyBorder="1" applyAlignment="1">
      <alignment vertical="center" shrinkToFit="1"/>
    </xf>
    <xf numFmtId="0" fontId="6" fillId="0" borderId="49" xfId="0" applyFont="1" applyBorder="1" applyAlignment="1">
      <alignment horizontal="left" vertical="center" shrinkToFit="1"/>
    </xf>
    <xf numFmtId="0" fontId="21" fillId="0" borderId="4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190" xfId="0" applyNumberFormat="1" applyFont="1" applyBorder="1" applyAlignment="1">
      <alignment horizontal="center" vertical="center"/>
    </xf>
    <xf numFmtId="167" fontId="21" fillId="0" borderId="48" xfId="0" applyNumberFormat="1" applyFont="1" applyBorder="1" applyAlignment="1">
      <alignment horizontal="center" vertical="center"/>
    </xf>
    <xf numFmtId="0" fontId="21" fillId="0" borderId="143" xfId="0" applyNumberFormat="1" applyFont="1" applyBorder="1" applyAlignment="1">
      <alignment horizontal="center" vertical="center"/>
    </xf>
    <xf numFmtId="167" fontId="21" fillId="0" borderId="201" xfId="0" applyNumberFormat="1" applyFont="1" applyBorder="1" applyAlignment="1">
      <alignment horizontal="center" vertical="center"/>
    </xf>
    <xf numFmtId="0" fontId="21" fillId="0" borderId="58" xfId="0" applyNumberFormat="1" applyFont="1" applyBorder="1" applyAlignment="1">
      <alignment horizontal="center" vertical="center"/>
    </xf>
    <xf numFmtId="0" fontId="14" fillId="9" borderId="152" xfId="0" applyFont="1" applyFill="1" applyBorder="1" applyAlignment="1">
      <alignment horizontal="center" vertical="center"/>
    </xf>
    <xf numFmtId="164" fontId="20" fillId="18" borderId="143" xfId="0" applyNumberFormat="1" applyFont="1" applyFill="1" applyBorder="1" applyAlignment="1">
      <alignment horizontal="center" vertical="center"/>
    </xf>
    <xf numFmtId="164" fontId="20" fillId="19" borderId="146" xfId="0" applyNumberFormat="1" applyFont="1" applyFill="1" applyBorder="1" applyAlignment="1">
      <alignment horizontal="center" vertical="center"/>
    </xf>
    <xf numFmtId="164" fontId="20" fillId="11" borderId="146" xfId="0" applyNumberFormat="1" applyFont="1" applyFill="1" applyBorder="1" applyAlignment="1">
      <alignment horizontal="center" vertical="center"/>
    </xf>
    <xf numFmtId="164" fontId="20" fillId="0" borderId="146" xfId="0" applyNumberFormat="1" applyFont="1" applyBorder="1" applyAlignment="1">
      <alignment horizontal="center" vertical="center"/>
    </xf>
    <xf numFmtId="164" fontId="20" fillId="0" borderId="190"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5" xfId="0" applyFont="1" applyFill="1" applyBorder="1" applyAlignment="1">
      <alignment horizontal="center" vertical="center" shrinkToFit="1"/>
    </xf>
    <xf numFmtId="0" fontId="21" fillId="15" borderId="151" xfId="0" applyFont="1" applyFill="1" applyBorder="1" applyAlignment="1" applyProtection="1"/>
    <xf numFmtId="0" fontId="21" fillId="15" borderId="191" xfId="0" applyFont="1" applyFill="1" applyBorder="1" applyAlignment="1" applyProtection="1"/>
    <xf numFmtId="164" fontId="15" fillId="0" borderId="44" xfId="0" applyNumberFormat="1" applyFont="1" applyBorder="1" applyAlignment="1">
      <alignment horizontal="center" vertical="center" shrinkToFit="1"/>
    </xf>
    <xf numFmtId="164" fontId="15" fillId="0" borderId="47" xfId="0" applyNumberFormat="1" applyFont="1" applyBorder="1" applyAlignment="1">
      <alignment horizontal="center" vertical="center" shrinkToFit="1"/>
    </xf>
    <xf numFmtId="0" fontId="6" fillId="0" borderId="45" xfId="0" applyFont="1" applyBorder="1" applyAlignment="1">
      <alignment horizontal="left" vertical="center" shrinkToFit="1"/>
    </xf>
    <xf numFmtId="0" fontId="6" fillId="0" borderId="48" xfId="0" applyFont="1" applyBorder="1" applyAlignment="1">
      <alignment horizontal="left" vertical="center" shrinkToFit="1"/>
    </xf>
    <xf numFmtId="164" fontId="15" fillId="0" borderId="58" xfId="0" applyNumberFormat="1" applyFont="1" applyBorder="1" applyAlignment="1">
      <alignment horizontal="center" vertical="center" shrinkToFit="1"/>
    </xf>
    <xf numFmtId="0" fontId="6" fillId="0" borderId="192" xfId="0" applyFont="1" applyBorder="1" applyAlignment="1">
      <alignment horizontal="left" vertical="center" shrinkToFit="1"/>
    </xf>
    <xf numFmtId="0" fontId="14" fillId="9" borderId="152" xfId="0" applyFont="1" applyFill="1" applyBorder="1" applyAlignment="1">
      <alignment horizontal="center" vertical="center" shrinkToFit="1"/>
    </xf>
    <xf numFmtId="0" fontId="14" fillId="9" borderId="113" xfId="0" applyFont="1" applyFill="1" applyBorder="1" applyAlignment="1">
      <alignment vertical="center" shrinkToFit="1"/>
    </xf>
    <xf numFmtId="0" fontId="14" fillId="9" borderId="135" xfId="0" applyFont="1" applyFill="1" applyBorder="1" applyAlignment="1">
      <alignment horizontal="center" vertical="center" shrinkToFit="1"/>
    </xf>
    <xf numFmtId="0" fontId="5" fillId="0" borderId="0" xfId="0" applyFont="1" applyAlignment="1">
      <alignment wrapText="1"/>
    </xf>
    <xf numFmtId="0" fontId="6" fillId="10" borderId="59" xfId="0" applyFont="1" applyFill="1" applyBorder="1" applyAlignment="1" applyProtection="1">
      <alignment horizontal="center" vertical="center"/>
      <protection locked="0"/>
    </xf>
    <xf numFmtId="0" fontId="6" fillId="10" borderId="46" xfId="0" applyFont="1" applyFill="1" applyBorder="1" applyAlignment="1" applyProtection="1">
      <alignment horizontal="center" vertical="center"/>
      <protection locked="0"/>
    </xf>
    <xf numFmtId="0" fontId="6" fillId="10" borderId="49"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13" xfId="0" applyFont="1" applyBorder="1" applyAlignment="1">
      <alignment horizontal="center" vertical="center"/>
    </xf>
    <xf numFmtId="0" fontId="18" fillId="0" borderId="0" xfId="0" applyFont="1" applyAlignment="1">
      <alignment horizontal="center" vertical="top"/>
    </xf>
    <xf numFmtId="0" fontId="23" fillId="0" borderId="58"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10" borderId="214" xfId="0" applyFont="1" applyFill="1" applyBorder="1" applyAlignment="1" applyProtection="1">
      <alignment horizontal="center"/>
      <protection locked="0"/>
    </xf>
    <xf numFmtId="0" fontId="6" fillId="0" borderId="122" xfId="0" applyFont="1" applyBorder="1" applyAlignment="1">
      <alignment horizontal="center" vertical="center" shrinkToFit="1"/>
    </xf>
    <xf numFmtId="0" fontId="6" fillId="10" borderId="122" xfId="0" applyFont="1" applyFill="1" applyBorder="1" applyAlignment="1">
      <alignment horizontal="center" vertical="center" shrinkToFit="1"/>
    </xf>
    <xf numFmtId="0" fontId="6" fillId="10" borderId="206"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70" xfId="0" applyFont="1" applyFill="1" applyBorder="1" applyAlignment="1" applyProtection="1">
      <alignment horizontal="left" vertical="center" shrinkToFit="1"/>
      <protection locked="0"/>
    </xf>
    <xf numFmtId="0" fontId="6" fillId="10" borderId="57" xfId="0" applyFont="1" applyFill="1" applyBorder="1" applyAlignment="1">
      <alignment horizontal="center" vertical="center" shrinkToFit="1"/>
    </xf>
    <xf numFmtId="0" fontId="6" fillId="10" borderId="191" xfId="0" applyFont="1" applyFill="1" applyBorder="1" applyAlignment="1" applyProtection="1">
      <alignment horizontal="left" vertical="center" shrinkToFit="1"/>
      <protection locked="0"/>
    </xf>
    <xf numFmtId="0" fontId="13" fillId="0" borderId="207" xfId="0" applyFont="1" applyBorder="1" applyAlignment="1">
      <alignment horizontal="center" vertical="center" shrinkToFit="1"/>
    </xf>
    <xf numFmtId="0" fontId="13" fillId="0" borderId="146" xfId="0" applyFont="1" applyBorder="1" applyAlignment="1">
      <alignment horizontal="center" vertical="center" shrinkToFit="1"/>
    </xf>
    <xf numFmtId="0" fontId="13" fillId="0" borderId="190" xfId="0" applyFont="1" applyBorder="1" applyAlignment="1">
      <alignment horizontal="center" vertical="center" shrinkToFit="1"/>
    </xf>
    <xf numFmtId="0" fontId="6" fillId="10" borderId="122"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0" fontId="6" fillId="10" borderId="57" xfId="0" applyFont="1" applyFill="1" applyBorder="1" applyAlignment="1" applyProtection="1">
      <alignment horizontal="right" vertical="center" shrinkToFit="1"/>
      <protection locked="0"/>
    </xf>
    <xf numFmtId="167" fontId="48" fillId="0" borderId="112" xfId="0" applyNumberFormat="1" applyFont="1" applyBorder="1" applyAlignment="1">
      <alignment horizontal="center" vertical="center" shrinkToFit="1"/>
    </xf>
    <xf numFmtId="0" fontId="48" fillId="0" borderId="112" xfId="0" applyFont="1" applyBorder="1" applyAlignment="1">
      <alignment horizontal="center" vertical="center" shrinkToFit="1"/>
    </xf>
    <xf numFmtId="167" fontId="48" fillId="0" borderId="45" xfId="0" applyNumberFormat="1" applyFont="1" applyBorder="1" applyAlignment="1">
      <alignment horizontal="center" vertical="center" shrinkToFit="1"/>
    </xf>
    <xf numFmtId="0" fontId="48" fillId="0" borderId="45" xfId="0" applyFont="1" applyBorder="1" applyAlignment="1">
      <alignment horizontal="center" vertical="center" shrinkToFit="1"/>
    </xf>
    <xf numFmtId="167" fontId="48" fillId="0" borderId="48" xfId="0" applyNumberFormat="1" applyFont="1" applyBorder="1" applyAlignment="1">
      <alignment horizontal="center" vertical="center" shrinkToFit="1"/>
    </xf>
    <xf numFmtId="0" fontId="48" fillId="0" borderId="48" xfId="0" applyFont="1" applyBorder="1" applyAlignment="1">
      <alignment horizontal="center" vertical="center" shrinkToFit="1"/>
    </xf>
    <xf numFmtId="0" fontId="6" fillId="0" borderId="205" xfId="0" applyFont="1" applyBorder="1" applyAlignment="1">
      <alignment vertical="center" shrinkToFit="1"/>
    </xf>
    <xf numFmtId="0" fontId="6" fillId="0" borderId="51" xfId="0" applyFont="1" applyBorder="1" applyAlignment="1">
      <alignment vertical="center" shrinkToFit="1"/>
    </xf>
    <xf numFmtId="0" fontId="6" fillId="0" borderId="53" xfId="0" applyFont="1" applyBorder="1" applyAlignment="1">
      <alignment vertical="center" shrinkToFit="1"/>
    </xf>
    <xf numFmtId="0" fontId="6" fillId="0" borderId="116"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20" fillId="0" borderId="0" xfId="0" applyNumberFormat="1" applyFont="1" applyBorder="1" applyAlignment="1">
      <alignment horizontal="left" vertical="center"/>
    </xf>
    <xf numFmtId="0" fontId="21" fillId="0" borderId="127"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15" xfId="0" applyFont="1" applyBorder="1" applyAlignment="1">
      <alignment horizontal="center" vertical="center"/>
    </xf>
    <xf numFmtId="0" fontId="20" fillId="0" borderId="216" xfId="0" applyFont="1" applyBorder="1" applyAlignment="1">
      <alignment horizontal="center" vertical="center"/>
    </xf>
    <xf numFmtId="0" fontId="20" fillId="0" borderId="217" xfId="0" applyFont="1" applyBorder="1" applyAlignment="1">
      <alignment horizontal="center" vertical="center"/>
    </xf>
    <xf numFmtId="0" fontId="0" fillId="0" borderId="227" xfId="0" applyBorder="1"/>
    <xf numFmtId="0" fontId="0" fillId="0" borderId="227"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28" xfId="0" applyFont="1" applyBorder="1" applyAlignment="1">
      <alignment horizontal="center" vertical="center"/>
    </xf>
    <xf numFmtId="165" fontId="18" fillId="0" borderId="0" xfId="0" applyNumberFormat="1" applyFont="1" applyAlignment="1">
      <alignment horizontal="right" indent="1"/>
    </xf>
    <xf numFmtId="0" fontId="21" fillId="0" borderId="212" xfId="0" applyNumberFormat="1" applyFont="1" applyBorder="1" applyAlignment="1">
      <alignment horizontal="center" vertical="center"/>
    </xf>
    <xf numFmtId="167" fontId="21" fillId="0" borderId="192" xfId="0" applyNumberFormat="1" applyFont="1" applyBorder="1" applyAlignment="1">
      <alignment horizontal="center" vertical="center"/>
    </xf>
    <xf numFmtId="0" fontId="20" fillId="10" borderId="229" xfId="0" applyFont="1" applyFill="1" applyBorder="1" applyAlignment="1" applyProtection="1">
      <alignment horizontal="center" vertical="center"/>
      <protection locked="0"/>
    </xf>
    <xf numFmtId="0" fontId="21" fillId="15" borderId="70" xfId="0" applyFont="1" applyFill="1" applyBorder="1" applyAlignment="1" applyProtection="1"/>
    <xf numFmtId="0" fontId="18" fillId="15" borderId="212" xfId="0" applyFont="1" applyFill="1" applyBorder="1" applyAlignment="1" applyProtection="1">
      <alignment horizontal="left" vertical="center" indent="1" shrinkToFit="1"/>
    </xf>
    <xf numFmtId="0" fontId="18" fillId="15" borderId="146" xfId="0" applyFont="1" applyFill="1" applyBorder="1" applyAlignment="1" applyProtection="1">
      <alignment horizontal="left" vertical="center" indent="1" shrinkToFit="1"/>
    </xf>
    <xf numFmtId="0" fontId="18" fillId="15" borderId="190" xfId="0" applyFont="1" applyFill="1" applyBorder="1" applyAlignment="1" applyProtection="1">
      <alignment horizontal="left" vertical="center" indent="1" shrinkToFit="1"/>
    </xf>
    <xf numFmtId="167" fontId="52" fillId="15" borderId="149" xfId="0" applyNumberFormat="1" applyFont="1" applyFill="1" applyBorder="1" applyAlignment="1" applyProtection="1">
      <alignment horizontal="right" indent="1"/>
    </xf>
    <xf numFmtId="167" fontId="52" fillId="15" borderId="56" xfId="0" applyNumberFormat="1" applyFont="1" applyFill="1" applyBorder="1" applyAlignment="1" applyProtection="1">
      <alignment horizontal="right" indent="1"/>
    </xf>
    <xf numFmtId="167" fontId="52" fillId="15" borderId="57" xfId="0" applyNumberFormat="1" applyFont="1" applyFill="1" applyBorder="1" applyAlignment="1" applyProtection="1">
      <alignment horizontal="right" indent="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42" fillId="0" borderId="72" xfId="0" applyNumberFormat="1" applyFont="1" applyFill="1" applyBorder="1" applyAlignment="1" applyProtection="1">
      <alignment horizontal="center" vertical="center"/>
      <protection hidden="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14" fillId="9" borderId="54"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2" xfId="0" applyFont="1" applyFill="1" applyBorder="1" applyAlignment="1">
      <alignment horizontal="center" vertical="center"/>
    </xf>
    <xf numFmtId="0" fontId="20" fillId="0" borderId="149" xfId="0" applyFont="1" applyBorder="1" applyAlignment="1">
      <alignment horizontal="left" vertical="center"/>
    </xf>
    <xf numFmtId="0" fontId="20" fillId="0" borderId="56" xfId="0" applyFont="1" applyBorder="1" applyAlignment="1">
      <alignment horizontal="left" vertical="center"/>
    </xf>
    <xf numFmtId="0" fontId="14" fillId="9" borderId="230" xfId="0" applyFont="1" applyFill="1" applyBorder="1" applyAlignment="1">
      <alignment horizontal="center" vertical="center"/>
    </xf>
    <xf numFmtId="0" fontId="19" fillId="9" borderId="152" xfId="0" applyFont="1" applyFill="1" applyBorder="1" applyAlignment="1">
      <alignment vertical="center"/>
    </xf>
    <xf numFmtId="0" fontId="19" fillId="9" borderId="135" xfId="0" applyFont="1" applyFill="1" applyBorder="1" applyAlignment="1">
      <alignment vertical="center" shrinkToFit="1"/>
    </xf>
    <xf numFmtId="164" fontId="6" fillId="0" borderId="142" xfId="0" applyNumberFormat="1"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140" xfId="0" applyFont="1" applyBorder="1" applyAlignment="1">
      <alignment horizontal="center" vertical="center"/>
    </xf>
    <xf numFmtId="0" fontId="20" fillId="0" borderId="59" xfId="0" applyFont="1" applyFill="1" applyBorder="1" applyAlignment="1" applyProtection="1">
      <alignment vertical="center" shrinkToFit="1"/>
    </xf>
    <xf numFmtId="164" fontId="6" fillId="0" borderId="44"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4" xfId="0" applyNumberFormat="1" applyFont="1" applyBorder="1" applyAlignment="1">
      <alignment horizontal="center" vertical="center"/>
    </xf>
    <xf numFmtId="0" fontId="20" fillId="0" borderId="46" xfId="0" applyFont="1" applyFill="1" applyBorder="1" applyAlignment="1" applyProtection="1">
      <alignment vertical="center" shrinkToFit="1"/>
    </xf>
    <xf numFmtId="164" fontId="6" fillId="0" borderId="47" xfId="0" applyNumberFormat="1" applyFont="1" applyBorder="1" applyAlignment="1">
      <alignment horizontal="center" vertical="center" shrinkToFit="1"/>
    </xf>
    <xf numFmtId="0" fontId="6" fillId="0" borderId="57" xfId="0" applyFont="1" applyBorder="1" applyAlignment="1">
      <alignment horizontal="center" vertical="center"/>
    </xf>
    <xf numFmtId="49" fontId="24" fillId="0" borderId="47" xfId="0" applyNumberFormat="1" applyFont="1" applyBorder="1" applyAlignment="1">
      <alignment horizontal="center" vertical="center"/>
    </xf>
    <xf numFmtId="0" fontId="20" fillId="0" borderId="49"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36"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37" xfId="0" applyFont="1" applyFill="1" applyBorder="1" applyAlignment="1" applyProtection="1">
      <alignment horizontal="center" vertical="center"/>
    </xf>
    <xf numFmtId="0" fontId="21" fillId="17" borderId="148" xfId="0" applyFont="1" applyFill="1" applyBorder="1" applyAlignment="1">
      <alignment horizontal="right" vertical="center"/>
    </xf>
    <xf numFmtId="0" fontId="21" fillId="17" borderId="149" xfId="0" applyFont="1" applyFill="1" applyBorder="1" applyAlignment="1">
      <alignment horizontal="center" vertical="center"/>
    </xf>
    <xf numFmtId="0" fontId="21" fillId="17" borderId="150" xfId="0" applyFont="1" applyFill="1" applyBorder="1" applyAlignment="1">
      <alignment horizontal="left" vertical="center"/>
    </xf>
    <xf numFmtId="0" fontId="21" fillId="17" borderId="51"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0" xfId="0" applyFont="1" applyFill="1" applyBorder="1" applyAlignment="1">
      <alignment horizontal="left" vertical="center"/>
    </xf>
    <xf numFmtId="0" fontId="21" fillId="17" borderId="53" xfId="0" applyFont="1" applyFill="1" applyBorder="1" applyAlignment="1">
      <alignment horizontal="right" vertical="center"/>
    </xf>
    <xf numFmtId="0" fontId="21" fillId="17" borderId="57" xfId="0" applyFont="1" applyFill="1" applyBorder="1" applyAlignment="1">
      <alignment horizontal="center" vertical="center"/>
    </xf>
    <xf numFmtId="0" fontId="21" fillId="17" borderId="52" xfId="0" applyFont="1" applyFill="1" applyBorder="1" applyAlignment="1">
      <alignment horizontal="left" vertical="center"/>
    </xf>
    <xf numFmtId="0" fontId="21" fillId="0" borderId="45" xfId="0" applyFont="1" applyBorder="1" applyAlignment="1">
      <alignment horizontal="center" vertical="center"/>
    </xf>
    <xf numFmtId="0" fontId="20" fillId="0" borderId="72" xfId="0" applyFont="1" applyBorder="1" applyAlignment="1">
      <alignment horizontal="left" vertical="center"/>
    </xf>
    <xf numFmtId="0" fontId="20" fillId="0" borderId="72" xfId="0" applyFont="1" applyBorder="1" applyAlignment="1">
      <alignment horizontal="center" vertical="center"/>
    </xf>
    <xf numFmtId="0" fontId="20" fillId="0" borderId="238" xfId="0" applyFont="1" applyBorder="1" applyAlignment="1">
      <alignment horizontal="left" vertical="center"/>
    </xf>
    <xf numFmtId="0" fontId="60" fillId="0" borderId="0" xfId="0" applyFont="1" applyBorder="1" applyAlignment="1">
      <alignment vertical="center"/>
    </xf>
    <xf numFmtId="0" fontId="60" fillId="0" borderId="242" xfId="0" applyFont="1" applyBorder="1" applyAlignment="1">
      <alignment vertical="center"/>
    </xf>
    <xf numFmtId="14" fontId="62" fillId="0" borderId="0" xfId="0" applyNumberFormat="1" applyFont="1" applyBorder="1" applyAlignment="1">
      <alignment vertical="center"/>
    </xf>
    <xf numFmtId="14" fontId="62" fillId="0" borderId="242" xfId="0" applyNumberFormat="1" applyFont="1" applyBorder="1" applyAlignment="1">
      <alignment vertical="center"/>
    </xf>
    <xf numFmtId="0" fontId="62" fillId="0" borderId="0" xfId="0" applyFont="1" applyBorder="1" applyAlignment="1">
      <alignment vertical="center"/>
    </xf>
    <xf numFmtId="0" fontId="62" fillId="0" borderId="242" xfId="0" applyFont="1" applyBorder="1" applyAlignment="1">
      <alignment vertical="center"/>
    </xf>
    <xf numFmtId="165" fontId="21" fillId="0" borderId="0" xfId="0" applyNumberFormat="1" applyFont="1" applyAlignment="1">
      <alignment horizontal="center" vertical="center"/>
    </xf>
    <xf numFmtId="165" fontId="14" fillId="9" borderId="249" xfId="0" applyNumberFormat="1" applyFont="1" applyFill="1" applyBorder="1" applyAlignment="1">
      <alignment vertical="center" shrinkToFit="1"/>
    </xf>
    <xf numFmtId="49" fontId="24" fillId="0" borderId="61" xfId="0" applyNumberFormat="1" applyFont="1" applyBorder="1" applyAlignment="1">
      <alignment horizontal="center" vertical="center"/>
    </xf>
    <xf numFmtId="49" fontId="24" fillId="0" borderId="58" xfId="0" applyNumberFormat="1" applyFont="1" applyBorder="1" applyAlignment="1">
      <alignment horizontal="center" vertical="center"/>
    </xf>
    <xf numFmtId="164" fontId="24" fillId="0" borderId="0"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7" fillId="0" borderId="155" xfId="1" applyNumberFormat="1" applyFont="1" applyFill="1" applyBorder="1" applyAlignment="1" applyProtection="1">
      <alignment vertical="center"/>
      <protection hidden="1"/>
    </xf>
    <xf numFmtId="0" fontId="7" fillId="0" borderId="250" xfId="1" applyNumberFormat="1" applyFont="1" applyFill="1" applyBorder="1" applyAlignment="1" applyProtection="1">
      <alignment vertical="center"/>
      <protection hidden="1"/>
    </xf>
    <xf numFmtId="0" fontId="7" fillId="0" borderId="250"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6"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horizontal="center" vertical="center"/>
      <protection hidden="1"/>
    </xf>
    <xf numFmtId="0" fontId="7" fillId="0" borderId="109" xfId="1" applyNumberFormat="1" applyFont="1" applyFill="1" applyBorder="1" applyAlignment="1" applyProtection="1">
      <alignment vertical="center"/>
      <protection hidden="1"/>
    </xf>
    <xf numFmtId="0" fontId="7" fillId="0" borderId="110" xfId="1" applyNumberFormat="1" applyFont="1" applyFill="1" applyBorder="1" applyAlignment="1" applyProtection="1">
      <alignment vertical="center"/>
      <protection hidden="1"/>
    </xf>
    <xf numFmtId="0" fontId="7" fillId="0" borderId="110" xfId="1" applyNumberFormat="1" applyFont="1" applyFill="1" applyBorder="1" applyAlignment="1" applyProtection="1">
      <alignment horizontal="center" vertical="center"/>
      <protection hidden="1"/>
    </xf>
    <xf numFmtId="0" fontId="7" fillId="0" borderId="111" xfId="1" applyNumberFormat="1" applyFont="1" applyFill="1" applyBorder="1" applyAlignment="1" applyProtection="1">
      <alignment horizontal="center" vertical="center"/>
      <protection hidden="1"/>
    </xf>
    <xf numFmtId="166" fontId="7" fillId="0" borderId="110" xfId="1" applyNumberFormat="1" applyFont="1" applyFill="1" applyBorder="1" applyAlignment="1" applyProtection="1">
      <alignment horizontal="center" vertical="center"/>
      <protection hidden="1"/>
    </xf>
    <xf numFmtId="0" fontId="22" fillId="17" borderId="56" xfId="0" applyFont="1" applyFill="1" applyBorder="1" applyAlignment="1" applyProtection="1">
      <alignment horizontal="right" vertical="center"/>
    </xf>
    <xf numFmtId="0" fontId="22" fillId="17" borderId="56" xfId="0" applyFont="1" applyFill="1" applyBorder="1" applyAlignment="1" applyProtection="1">
      <alignment horizontal="left" vertical="center"/>
    </xf>
    <xf numFmtId="0" fontId="22" fillId="17" borderId="56" xfId="0" applyFont="1" applyFill="1" applyBorder="1" applyAlignment="1">
      <alignment horizontal="right"/>
    </xf>
    <xf numFmtId="0" fontId="22" fillId="17" borderId="56" xfId="0" applyFont="1" applyFill="1" applyBorder="1"/>
    <xf numFmtId="0" fontId="23" fillId="0" borderId="53" xfId="0" applyNumberFormat="1" applyFont="1" applyBorder="1" applyAlignment="1">
      <alignment horizontal="center" vertical="center"/>
    </xf>
    <xf numFmtId="0" fontId="22" fillId="17" borderId="57" xfId="0" applyFont="1" applyFill="1" applyBorder="1" applyAlignment="1">
      <alignment horizontal="right"/>
    </xf>
    <xf numFmtId="0" fontId="22" fillId="17" borderId="57" xfId="0" applyFont="1" applyFill="1" applyBorder="1"/>
    <xf numFmtId="0" fontId="21" fillId="0" borderId="53" xfId="0" applyFont="1" applyBorder="1" applyAlignment="1">
      <alignment horizontal="right" vertical="center"/>
    </xf>
    <xf numFmtId="0" fontId="21" fillId="0" borderId="191" xfId="0" applyFont="1" applyBorder="1" applyAlignment="1">
      <alignment horizontal="left" vertical="center"/>
    </xf>
    <xf numFmtId="0" fontId="7" fillId="0" borderId="25" xfId="0" applyNumberFormat="1" applyFont="1" applyFill="1" applyBorder="1" applyAlignment="1" applyProtection="1">
      <alignment vertical="center"/>
      <protection hidden="1"/>
    </xf>
    <xf numFmtId="0" fontId="7" fillId="0" borderId="251" xfId="0" applyNumberFormat="1" applyFont="1" applyFill="1" applyBorder="1" applyAlignment="1" applyProtection="1">
      <alignment horizontal="center" vertical="center"/>
      <protection hidden="1"/>
    </xf>
    <xf numFmtId="166" fontId="7" fillId="0" borderId="250" xfId="1" applyNumberFormat="1" applyFont="1" applyFill="1" applyBorder="1" applyAlignment="1" applyProtection="1">
      <alignment horizontal="center" vertical="center"/>
      <protection hidden="1"/>
    </xf>
    <xf numFmtId="0" fontId="55" fillId="0" borderId="239" xfId="0" applyFont="1" applyBorder="1" applyAlignment="1">
      <alignment horizontal="center" vertical="center" shrinkToFit="1"/>
    </xf>
    <xf numFmtId="165" fontId="14" fillId="9" borderId="54" xfId="0" applyNumberFormat="1" applyFont="1" applyFill="1" applyBorder="1" applyAlignment="1">
      <alignment vertical="center" shrinkToFit="1"/>
    </xf>
    <xf numFmtId="0" fontId="6" fillId="8" borderId="51" xfId="0" applyFont="1" applyFill="1" applyBorder="1" applyAlignment="1">
      <alignment horizontal="center" vertical="center" shrinkToFit="1"/>
    </xf>
    <xf numFmtId="165" fontId="21" fillId="13" borderId="230" xfId="0" applyNumberFormat="1" applyFont="1" applyFill="1" applyBorder="1" applyAlignment="1">
      <alignment horizontal="center" vertical="center"/>
    </xf>
    <xf numFmtId="0" fontId="20" fillId="0" borderId="205" xfId="0" applyFont="1" applyBorder="1" applyAlignment="1">
      <alignment horizontal="center" vertical="center"/>
    </xf>
    <xf numFmtId="0" fontId="20" fillId="0" borderId="51" xfId="0" applyFont="1" applyBorder="1" applyAlignment="1">
      <alignment horizontal="center" vertical="center"/>
    </xf>
    <xf numFmtId="0" fontId="20" fillId="8" borderId="252" xfId="0" applyFont="1" applyFill="1" applyBorder="1" applyAlignment="1">
      <alignment horizontal="center" vertical="center"/>
    </xf>
    <xf numFmtId="0" fontId="20" fillId="0" borderId="53" xfId="0" applyFont="1" applyBorder="1" applyAlignment="1">
      <alignment horizontal="center" vertical="center"/>
    </xf>
    <xf numFmtId="49" fontId="21" fillId="13" borderId="113" xfId="0" applyNumberFormat="1" applyFont="1" applyFill="1" applyBorder="1" applyAlignment="1">
      <alignment horizontal="center" vertical="center"/>
    </xf>
    <xf numFmtId="0" fontId="18" fillId="0" borderId="127" xfId="0" applyFont="1" applyBorder="1" applyAlignment="1">
      <alignment horizontal="left" vertical="center"/>
    </xf>
    <xf numFmtId="0" fontId="18" fillId="0" borderId="128" xfId="0" applyFont="1" applyBorder="1" applyAlignment="1">
      <alignment horizontal="left" vertical="center"/>
    </xf>
    <xf numFmtId="0" fontId="18" fillId="0" borderId="239" xfId="0" applyFont="1" applyBorder="1" applyAlignment="1">
      <alignment horizontal="left" vertical="center"/>
    </xf>
    <xf numFmtId="0" fontId="18" fillId="0" borderId="129" xfId="0" applyFont="1" applyBorder="1" applyAlignment="1">
      <alignment horizontal="left" vertical="center"/>
    </xf>
    <xf numFmtId="0" fontId="59" fillId="0" borderId="0" xfId="0" applyFont="1" applyAlignment="1" applyProtection="1">
      <alignment horizontal="left" vertical="top" wrapText="1" indent="1"/>
    </xf>
    <xf numFmtId="0" fontId="13" fillId="0" borderId="0" xfId="0" applyFont="1" applyAlignment="1">
      <alignment horizontal="left" vertical="center" indent="1"/>
    </xf>
    <xf numFmtId="0" fontId="0" fillId="0" borderId="0" xfId="0" applyFill="1" applyBorder="1" applyAlignment="1">
      <alignment horizontal="center" vertical="center"/>
    </xf>
    <xf numFmtId="0" fontId="69" fillId="0" borderId="0" xfId="0" applyFont="1" applyFill="1" applyBorder="1" applyAlignment="1" applyProtection="1">
      <alignment horizontal="center" vertical="center"/>
      <protection locked="0"/>
    </xf>
    <xf numFmtId="0" fontId="21" fillId="0" borderId="68" xfId="0" applyNumberFormat="1" applyFont="1" applyBorder="1" applyAlignment="1">
      <alignment horizontal="center" vertical="center"/>
    </xf>
    <xf numFmtId="0" fontId="21" fillId="10" borderId="253" xfId="0" applyFont="1" applyFill="1" applyBorder="1" applyAlignment="1" applyProtection="1">
      <alignment horizontal="center" vertical="center"/>
      <protection locked="0"/>
    </xf>
    <xf numFmtId="0" fontId="21" fillId="0" borderId="254" xfId="0" applyNumberFormat="1" applyFont="1" applyBorder="1" applyAlignment="1">
      <alignment horizontal="center" vertical="center"/>
    </xf>
    <xf numFmtId="167" fontId="21" fillId="0" borderId="203"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14" fillId="9" borderId="54" xfId="0" applyFont="1" applyFill="1" applyBorder="1" applyAlignment="1">
      <alignment horizontal="center" vertical="center" shrinkToFit="1"/>
    </xf>
    <xf numFmtId="0" fontId="13" fillId="9" borderId="231" xfId="0" applyFont="1" applyFill="1" applyBorder="1" applyAlignment="1">
      <alignment horizontal="center" vertical="center" shrinkToFit="1"/>
    </xf>
    <xf numFmtId="0" fontId="13" fillId="9" borderId="232" xfId="0" applyFont="1" applyFill="1" applyBorder="1" applyAlignment="1">
      <alignment horizontal="center" vertical="center" shrinkToFit="1"/>
    </xf>
    <xf numFmtId="0" fontId="14" fillId="9" borderId="233" xfId="0" applyFont="1" applyFill="1" applyBorder="1" applyAlignment="1">
      <alignment horizontal="center" vertical="center" shrinkToFit="1"/>
    </xf>
    <xf numFmtId="0" fontId="14" fillId="9" borderId="234" xfId="0" applyFont="1" applyFill="1" applyBorder="1" applyAlignment="1">
      <alignment horizontal="center" vertical="center" shrinkToFit="1"/>
    </xf>
    <xf numFmtId="0" fontId="14" fillId="9" borderId="235" xfId="0" applyFont="1" applyFill="1" applyBorder="1" applyAlignment="1">
      <alignment horizontal="center" vertical="center" shrinkToFit="1"/>
    </xf>
    <xf numFmtId="0" fontId="42" fillId="0" borderId="72" xfId="0" applyNumberFormat="1" applyFont="1" applyFill="1" applyBorder="1" applyAlignment="1" applyProtection="1">
      <alignment horizontal="center" vertical="center"/>
      <protection hidden="1"/>
    </xf>
    <xf numFmtId="165" fontId="18" fillId="0" borderId="0" xfId="0" applyNumberFormat="1" applyFont="1"/>
    <xf numFmtId="164"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protection locked="0"/>
    </xf>
    <xf numFmtId="49" fontId="24" fillId="0" borderId="60" xfId="0" applyNumberFormat="1" applyFont="1" applyBorder="1" applyAlignment="1">
      <alignment horizontal="center" vertical="center"/>
    </xf>
    <xf numFmtId="49" fontId="24" fillId="0" borderId="68"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0" fillId="10" borderId="69" xfId="0" applyFont="1" applyFill="1" applyBorder="1" applyAlignment="1" applyProtection="1">
      <alignment horizontal="left" vertical="center"/>
      <protection locked="0"/>
    </xf>
    <xf numFmtId="0" fontId="20" fillId="10" borderId="59" xfId="0" applyFont="1" applyFill="1" applyBorder="1" applyAlignment="1" applyProtection="1">
      <alignment horizontal="left" vertical="center"/>
      <protection locked="0"/>
    </xf>
    <xf numFmtId="49" fontId="24" fillId="0" borderId="58" xfId="0" applyNumberFormat="1" applyFont="1" applyBorder="1" applyAlignment="1">
      <alignment horizontal="center" vertical="center"/>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0" fontId="19" fillId="9" borderId="66" xfId="0" applyFont="1" applyFill="1" applyBorder="1" applyAlignment="1">
      <alignment horizontal="left" vertical="center"/>
    </xf>
    <xf numFmtId="0" fontId="19" fillId="9" borderId="67" xfId="0" applyFont="1" applyFill="1" applyBorder="1" applyAlignment="1">
      <alignment horizontal="left" vertical="center"/>
    </xf>
    <xf numFmtId="0" fontId="24" fillId="0" borderId="0" xfId="0" applyFont="1" applyAlignment="1">
      <alignment horizontal="left" vertical="center"/>
    </xf>
    <xf numFmtId="0" fontId="24" fillId="0" borderId="72" xfId="0" applyFont="1" applyBorder="1" applyAlignment="1">
      <alignment horizontal="left" vertical="center"/>
    </xf>
    <xf numFmtId="0" fontId="68"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2" xfId="0" applyFont="1" applyBorder="1" applyAlignment="1">
      <alignment horizontal="left" vertical="center"/>
    </xf>
    <xf numFmtId="0" fontId="18" fillId="0" borderId="0" xfId="0" applyFont="1" applyAlignment="1">
      <alignment horizontal="center" wrapText="1"/>
    </xf>
    <xf numFmtId="0" fontId="18" fillId="0" borderId="110" xfId="0" applyFont="1" applyBorder="1" applyAlignment="1">
      <alignment horizontal="center" wrapText="1"/>
    </xf>
    <xf numFmtId="167" fontId="20" fillId="10" borderId="144" xfId="0" applyNumberFormat="1" applyFont="1" applyFill="1" applyBorder="1" applyAlignment="1" applyProtection="1">
      <alignment horizontal="right" vertical="center" indent="1"/>
      <protection locked="0"/>
    </xf>
    <xf numFmtId="167" fontId="20" fillId="10" borderId="56" xfId="0" applyNumberFormat="1" applyFont="1" applyFill="1" applyBorder="1" applyAlignment="1" applyProtection="1">
      <alignment horizontal="right" vertical="center" indent="1"/>
      <protection locked="0"/>
    </xf>
    <xf numFmtId="0" fontId="20" fillId="0" borderId="145" xfId="0" applyFont="1" applyBorder="1" applyAlignment="1">
      <alignment horizontal="left" vertical="center"/>
    </xf>
    <xf numFmtId="0" fontId="20" fillId="0" borderId="70" xfId="0" applyFont="1" applyBorder="1" applyAlignment="1">
      <alignment horizontal="left" vertical="center"/>
    </xf>
    <xf numFmtId="0" fontId="20" fillId="10" borderId="56" xfId="0" applyFont="1" applyFill="1" applyBorder="1" applyAlignment="1" applyProtection="1">
      <alignment horizontal="right" vertical="center" indent="1"/>
      <protection locked="0"/>
    </xf>
    <xf numFmtId="167" fontId="20" fillId="15" borderId="250" xfId="0" applyNumberFormat="1" applyFont="1" applyFill="1" applyBorder="1" applyAlignment="1">
      <alignment horizontal="right" vertical="center" indent="1"/>
    </xf>
    <xf numFmtId="167" fontId="20" fillId="15" borderId="110" xfId="0" applyNumberFormat="1" applyFont="1" applyFill="1" applyBorder="1" applyAlignment="1">
      <alignment horizontal="right" vertical="center" indent="1"/>
    </xf>
    <xf numFmtId="0" fontId="20" fillId="15" borderId="209" xfId="0" applyFont="1" applyFill="1" applyBorder="1" applyAlignment="1">
      <alignment horizontal="center" vertical="center"/>
    </xf>
    <xf numFmtId="0" fontId="20" fillId="15" borderId="211" xfId="0" applyFont="1" applyFill="1" applyBorder="1" applyAlignment="1">
      <alignment horizontal="center" vertical="center"/>
    </xf>
    <xf numFmtId="165" fontId="66" fillId="0" borderId="0" xfId="0" applyNumberFormat="1" applyFont="1" applyAlignment="1" applyProtection="1">
      <alignment horizontal="left" vertical="top" wrapText="1" indent="1"/>
    </xf>
    <xf numFmtId="0" fontId="20" fillId="10" borderId="81" xfId="0" applyFont="1" applyFill="1" applyBorder="1" applyAlignment="1" applyProtection="1">
      <alignment horizontal="right" vertical="center" indent="1"/>
      <protection locked="0"/>
    </xf>
    <xf numFmtId="0" fontId="65" fillId="0" borderId="70" xfId="0" applyFont="1" applyBorder="1" applyAlignment="1">
      <alignment horizontal="left" vertical="center"/>
    </xf>
    <xf numFmtId="0" fontId="65" fillId="0" borderId="82" xfId="0" applyFont="1" applyBorder="1" applyAlignment="1">
      <alignment horizontal="left" vertical="center"/>
    </xf>
    <xf numFmtId="0" fontId="19" fillId="9" borderId="113" xfId="0" applyFont="1" applyFill="1" applyBorder="1" applyAlignment="1">
      <alignment horizontal="center"/>
    </xf>
    <xf numFmtId="0" fontId="19" fillId="9" borderId="135" xfId="0" applyFont="1" applyFill="1" applyBorder="1" applyAlignment="1">
      <alignment horizontal="center"/>
    </xf>
    <xf numFmtId="0" fontId="21" fillId="0" borderId="143" xfId="0" applyFont="1" applyBorder="1" applyAlignment="1">
      <alignment horizontal="left" vertical="center" indent="1"/>
    </xf>
    <xf numFmtId="0" fontId="21" fillId="0" borderId="146" xfId="0" applyFont="1" applyBorder="1" applyAlignment="1">
      <alignment horizontal="left" vertical="center" indent="1"/>
    </xf>
    <xf numFmtId="49" fontId="24" fillId="0" borderId="61" xfId="0" applyNumberFormat="1" applyFont="1" applyBorder="1" applyAlignment="1">
      <alignment horizontal="center" vertical="center"/>
    </xf>
    <xf numFmtId="0" fontId="20" fillId="10" borderId="65" xfId="0" applyFont="1" applyFill="1" applyBorder="1" applyAlignment="1" applyProtection="1">
      <alignment horizontal="left" vertical="center"/>
      <protection locked="0"/>
    </xf>
    <xf numFmtId="0" fontId="21" fillId="15" borderId="208" xfId="0" applyFont="1" applyFill="1" applyBorder="1" applyAlignment="1">
      <alignment horizontal="left" vertical="center" indent="1"/>
    </xf>
    <xf numFmtId="0" fontId="21" fillId="15" borderId="210" xfId="0" applyFont="1" applyFill="1" applyBorder="1" applyAlignment="1">
      <alignment horizontal="left" vertical="center" indent="1"/>
    </xf>
    <xf numFmtId="0" fontId="21" fillId="0" borderId="147" xfId="0" applyFont="1" applyBorder="1" applyAlignment="1">
      <alignment horizontal="left" vertical="center" indent="1"/>
    </xf>
    <xf numFmtId="0" fontId="0" fillId="0" borderId="0" xfId="0" applyAlignment="1">
      <alignment horizontal="center" vertical="center"/>
    </xf>
    <xf numFmtId="0" fontId="50" fillId="0" borderId="0" xfId="0" applyFont="1" applyAlignment="1">
      <alignment horizontal="center" vertical="top" textRotation="90"/>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56" fillId="0" borderId="72" xfId="0" applyFont="1" applyBorder="1" applyAlignment="1">
      <alignment horizontal="center"/>
    </xf>
    <xf numFmtId="0" fontId="67" fillId="0" borderId="0" xfId="0" applyFont="1" applyAlignment="1">
      <alignment horizontal="center" wrapText="1"/>
    </xf>
    <xf numFmtId="0" fontId="13" fillId="9" borderId="37" xfId="0" applyFont="1" applyFill="1" applyBorder="1" applyAlignment="1">
      <alignment horizontal="center" vertical="center" shrinkToFit="1"/>
    </xf>
    <xf numFmtId="0" fontId="13" fillId="9" borderId="39"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38" xfId="0" applyFont="1" applyFill="1" applyBorder="1" applyAlignment="1">
      <alignment horizontal="center" vertical="center" shrinkToFit="1"/>
    </xf>
    <xf numFmtId="0" fontId="14" fillId="9" borderId="55" xfId="0" applyFont="1" applyFill="1" applyBorder="1" applyAlignment="1">
      <alignment horizontal="center" vertical="center" shrinkToFit="1"/>
    </xf>
    <xf numFmtId="0" fontId="38" fillId="0" borderId="0" xfId="0" applyFont="1" applyAlignment="1">
      <alignment horizontal="center"/>
    </xf>
    <xf numFmtId="0" fontId="14" fillId="9" borderId="33"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8" xfId="0" applyFont="1" applyFill="1" applyBorder="1" applyAlignment="1">
      <alignment horizontal="center" vertical="center"/>
    </xf>
    <xf numFmtId="0" fontId="57" fillId="16" borderId="183" xfId="0" applyFont="1" applyFill="1" applyBorder="1" applyAlignment="1" applyProtection="1">
      <alignment horizontal="center"/>
    </xf>
    <xf numFmtId="0" fontId="57" fillId="16" borderId="184" xfId="0" applyFont="1" applyFill="1" applyBorder="1" applyAlignment="1" applyProtection="1">
      <alignment horizontal="center"/>
    </xf>
    <xf numFmtId="0" fontId="57" fillId="16" borderId="185" xfId="0" applyFont="1" applyFill="1" applyBorder="1" applyAlignment="1" applyProtection="1">
      <alignment horizontal="center"/>
    </xf>
    <xf numFmtId="0" fontId="57" fillId="16" borderId="186" xfId="0" applyFont="1" applyFill="1" applyBorder="1" applyAlignment="1" applyProtection="1">
      <alignment horizontal="center"/>
    </xf>
    <xf numFmtId="0" fontId="57" fillId="16" borderId="187" xfId="0" applyFont="1" applyFill="1" applyBorder="1" applyAlignment="1" applyProtection="1">
      <alignment horizontal="center"/>
    </xf>
    <xf numFmtId="0" fontId="57" fillId="16" borderId="188" xfId="0" applyFont="1" applyFill="1" applyBorder="1" applyAlignment="1" applyProtection="1">
      <alignment horizontal="center"/>
    </xf>
    <xf numFmtId="0" fontId="17" fillId="10" borderId="218" xfId="0" applyFont="1" applyFill="1" applyBorder="1" applyAlignment="1" applyProtection="1">
      <alignment horizontal="center" vertical="top"/>
      <protection locked="0"/>
    </xf>
    <xf numFmtId="0" fontId="17" fillId="10" borderId="219" xfId="0" applyFont="1" applyFill="1" applyBorder="1" applyAlignment="1" applyProtection="1">
      <alignment horizontal="center" vertical="top"/>
      <protection locked="0"/>
    </xf>
    <xf numFmtId="0" fontId="17" fillId="10" borderId="220" xfId="0" applyFont="1" applyFill="1" applyBorder="1" applyAlignment="1" applyProtection="1">
      <alignment horizontal="center" vertical="top"/>
      <protection locked="0"/>
    </xf>
    <xf numFmtId="14" fontId="26" fillId="10" borderId="221" xfId="0" applyNumberFormat="1" applyFont="1" applyFill="1" applyBorder="1" applyAlignment="1" applyProtection="1">
      <alignment horizontal="center" vertical="center"/>
      <protection locked="0"/>
    </xf>
    <xf numFmtId="14" fontId="26" fillId="10" borderId="197" xfId="0" applyNumberFormat="1" applyFont="1" applyFill="1" applyBorder="1" applyAlignment="1" applyProtection="1">
      <alignment horizontal="center" vertical="center"/>
      <protection locked="0"/>
    </xf>
    <xf numFmtId="14" fontId="26" fillId="10" borderId="222" xfId="0" applyNumberFormat="1" applyFont="1" applyFill="1" applyBorder="1" applyAlignment="1" applyProtection="1">
      <alignment horizontal="center" vertical="center"/>
      <protection locked="0"/>
    </xf>
    <xf numFmtId="0" fontId="26" fillId="10" borderId="221" xfId="0" applyFont="1" applyFill="1" applyBorder="1" applyAlignment="1" applyProtection="1">
      <alignment horizontal="center" vertical="center"/>
      <protection locked="0"/>
    </xf>
    <xf numFmtId="0" fontId="26" fillId="10" borderId="197" xfId="0" applyFont="1" applyFill="1" applyBorder="1" applyAlignment="1" applyProtection="1">
      <alignment horizontal="center" vertical="center"/>
      <protection locked="0"/>
    </xf>
    <xf numFmtId="0" fontId="26" fillId="10" borderId="222" xfId="0" applyFont="1" applyFill="1" applyBorder="1" applyAlignment="1" applyProtection="1">
      <alignment horizontal="center" vertical="center"/>
      <protection locked="0"/>
    </xf>
    <xf numFmtId="0" fontId="26" fillId="10" borderId="223" xfId="0" applyFont="1" applyFill="1" applyBorder="1" applyAlignment="1" applyProtection="1">
      <alignment horizontal="center" vertical="center"/>
      <protection locked="0"/>
    </xf>
    <xf numFmtId="0" fontId="26" fillId="10" borderId="224" xfId="0" applyFont="1" applyFill="1" applyBorder="1" applyAlignment="1" applyProtection="1">
      <alignment horizontal="center" vertical="center"/>
      <protection locked="0"/>
    </xf>
    <xf numFmtId="0" fontId="26" fillId="10" borderId="225" xfId="0" applyFont="1" applyFill="1" applyBorder="1" applyAlignment="1" applyProtection="1">
      <alignment horizontal="center" vertical="center"/>
      <protection locked="0"/>
    </xf>
    <xf numFmtId="0" fontId="40" fillId="0" borderId="57" xfId="0" applyFont="1" applyBorder="1" applyAlignment="1">
      <alignment horizontal="left" vertical="center" indent="1"/>
    </xf>
    <xf numFmtId="0" fontId="40" fillId="0" borderId="191" xfId="0" applyFont="1" applyBorder="1" applyAlignment="1">
      <alignment horizontal="left" vertical="center" indent="1"/>
    </xf>
    <xf numFmtId="0" fontId="21" fillId="0" borderId="128" xfId="0" applyFont="1" applyBorder="1" applyAlignment="1">
      <alignment horizontal="left" vertical="center"/>
    </xf>
    <xf numFmtId="0" fontId="21" fillId="0" borderId="129" xfId="0" applyFont="1" applyBorder="1" applyAlignment="1">
      <alignment horizontal="left" vertical="center"/>
    </xf>
    <xf numFmtId="0" fontId="63" fillId="16" borderId="183" xfId="0" applyFont="1" applyFill="1" applyBorder="1" applyAlignment="1">
      <alignment horizontal="center"/>
    </xf>
    <xf numFmtId="0" fontId="63" fillId="16" borderId="184" xfId="0" applyFont="1" applyFill="1" applyBorder="1" applyAlignment="1">
      <alignment horizontal="center"/>
    </xf>
    <xf numFmtId="0" fontId="63" fillId="16" borderId="185" xfId="0" applyFont="1" applyFill="1" applyBorder="1" applyAlignment="1">
      <alignment horizontal="center"/>
    </xf>
    <xf numFmtId="0" fontId="63" fillId="16" borderId="186" xfId="0" applyFont="1" applyFill="1" applyBorder="1" applyAlignment="1">
      <alignment horizontal="center"/>
    </xf>
    <xf numFmtId="0" fontId="63" fillId="16" borderId="187" xfId="0" applyFont="1" applyFill="1" applyBorder="1" applyAlignment="1">
      <alignment horizontal="center"/>
    </xf>
    <xf numFmtId="0" fontId="63" fillId="16" borderId="188" xfId="0" applyFont="1" applyFill="1" applyBorder="1" applyAlignment="1">
      <alignment horizontal="center"/>
    </xf>
    <xf numFmtId="0" fontId="40" fillId="0" borderId="56" xfId="0" applyFont="1" applyBorder="1" applyAlignment="1">
      <alignment horizontal="left" vertical="center" indent="1"/>
    </xf>
    <xf numFmtId="0" fontId="40" fillId="0" borderId="70" xfId="0" applyFont="1" applyBorder="1" applyAlignment="1">
      <alignment horizontal="left" vertical="center" indent="1"/>
    </xf>
    <xf numFmtId="167" fontId="21" fillId="15" borderId="0" xfId="0" applyNumberFormat="1" applyFont="1" applyFill="1" applyBorder="1" applyAlignment="1">
      <alignment horizontal="right" vertical="center" indent="1"/>
    </xf>
    <xf numFmtId="167" fontId="24" fillId="0" borderId="72" xfId="0" applyNumberFormat="1" applyFont="1" applyBorder="1" applyAlignment="1">
      <alignment horizontal="left"/>
    </xf>
    <xf numFmtId="0" fontId="60" fillId="0" borderId="218" xfId="0" applyFont="1" applyBorder="1" applyAlignment="1">
      <alignment horizontal="center" vertical="center"/>
    </xf>
    <xf numFmtId="0" fontId="60" fillId="0" borderId="219" xfId="0" applyFont="1" applyBorder="1" applyAlignment="1">
      <alignment horizontal="center" vertical="center"/>
    </xf>
    <xf numFmtId="0" fontId="60" fillId="0" borderId="220" xfId="0" applyFont="1" applyBorder="1" applyAlignment="1">
      <alignment horizontal="center" vertical="center"/>
    </xf>
    <xf numFmtId="14" fontId="62" fillId="0" borderId="221" xfId="0" applyNumberFormat="1" applyFont="1" applyBorder="1" applyAlignment="1">
      <alignment horizontal="center" vertical="center"/>
    </xf>
    <xf numFmtId="14" fontId="62" fillId="0" borderId="197" xfId="0" applyNumberFormat="1" applyFont="1" applyBorder="1" applyAlignment="1">
      <alignment horizontal="center" vertical="center"/>
    </xf>
    <xf numFmtId="14" fontId="62" fillId="0" borderId="222" xfId="0" applyNumberFormat="1" applyFont="1" applyBorder="1" applyAlignment="1">
      <alignment horizontal="center" vertical="center"/>
    </xf>
    <xf numFmtId="0" fontId="62" fillId="0" borderId="221" xfId="0" applyFont="1" applyBorder="1" applyAlignment="1">
      <alignment horizontal="center" vertical="center"/>
    </xf>
    <xf numFmtId="0" fontId="62" fillId="0" borderId="197" xfId="0" applyFont="1" applyBorder="1" applyAlignment="1">
      <alignment horizontal="center" vertical="center"/>
    </xf>
    <xf numFmtId="0" fontId="62" fillId="0" borderId="222" xfId="0" applyFont="1" applyBorder="1" applyAlignment="1">
      <alignment horizontal="center" vertical="center"/>
    </xf>
    <xf numFmtId="0" fontId="62" fillId="0" borderId="223" xfId="0" applyFont="1" applyBorder="1" applyAlignment="1">
      <alignment horizontal="center" vertical="center"/>
    </xf>
    <xf numFmtId="0" fontId="62" fillId="0" borderId="224" xfId="0" applyFont="1" applyBorder="1" applyAlignment="1">
      <alignment horizontal="center" vertical="center"/>
    </xf>
    <xf numFmtId="0" fontId="62" fillId="0" borderId="225" xfId="0" applyFont="1" applyBorder="1" applyAlignment="1">
      <alignment horizontal="center" vertical="center"/>
    </xf>
    <xf numFmtId="0" fontId="40" fillId="18" borderId="144" xfId="0" applyFont="1" applyFill="1" applyBorder="1" applyAlignment="1">
      <alignment horizontal="left" vertical="center" indent="1"/>
    </xf>
    <xf numFmtId="0" fontId="40" fillId="18" borderId="145" xfId="0" applyFont="1" applyFill="1" applyBorder="1" applyAlignment="1">
      <alignment horizontal="left" vertical="center" indent="1"/>
    </xf>
    <xf numFmtId="0" fontId="40" fillId="19" borderId="56" xfId="0" applyFont="1" applyFill="1" applyBorder="1" applyAlignment="1">
      <alignment horizontal="left" vertical="center" indent="1"/>
    </xf>
    <xf numFmtId="0" fontId="40" fillId="19" borderId="70" xfId="0" applyFont="1" applyFill="1" applyBorder="1" applyAlignment="1">
      <alignment horizontal="left" vertical="center" indent="1"/>
    </xf>
    <xf numFmtId="0" fontId="40" fillId="11" borderId="56" xfId="0" applyFont="1" applyFill="1" applyBorder="1" applyAlignment="1">
      <alignment horizontal="left" vertical="center" indent="1"/>
    </xf>
    <xf numFmtId="0" fontId="40" fillId="11" borderId="70" xfId="0" applyFont="1" applyFill="1" applyBorder="1" applyAlignment="1">
      <alignment horizontal="left" vertical="center" indent="1"/>
    </xf>
    <xf numFmtId="167" fontId="24" fillId="0" borderId="0" xfId="0" applyNumberFormat="1" applyFont="1" applyBorder="1" applyAlignment="1">
      <alignment horizontal="left"/>
    </xf>
    <xf numFmtId="0" fontId="25" fillId="0" borderId="0" xfId="0" applyFont="1" applyAlignment="1">
      <alignment horizontal="center" vertical="center"/>
    </xf>
    <xf numFmtId="0" fontId="45" fillId="0" borderId="0" xfId="0" applyFont="1" applyAlignment="1">
      <alignment horizontal="center" vertical="center"/>
    </xf>
    <xf numFmtId="0" fontId="64" fillId="0" borderId="0" xfId="0" applyFont="1" applyAlignment="1">
      <alignment horizontal="center" vertical="top"/>
    </xf>
    <xf numFmtId="0" fontId="40" fillId="0" borderId="57" xfId="0" applyFont="1" applyBorder="1" applyAlignment="1">
      <alignment horizontal="left" vertical="center"/>
    </xf>
    <xf numFmtId="0" fontId="40" fillId="0" borderId="191" xfId="0" applyFont="1" applyBorder="1" applyAlignment="1">
      <alignment horizontal="left" vertical="center"/>
    </xf>
    <xf numFmtId="167" fontId="24" fillId="0" borderId="226" xfId="0" applyNumberFormat="1" applyFont="1" applyBorder="1" applyAlignment="1">
      <alignment horizontal="left"/>
    </xf>
    <xf numFmtId="0" fontId="21" fillId="0" borderId="199" xfId="0" applyFont="1" applyBorder="1" applyAlignment="1">
      <alignment horizontal="left" vertical="center"/>
    </xf>
    <xf numFmtId="0" fontId="21" fillId="0" borderId="200" xfId="0" applyFont="1" applyBorder="1" applyAlignment="1">
      <alignment horizontal="left" vertical="center"/>
    </xf>
    <xf numFmtId="0" fontId="40" fillId="18" borderId="144" xfId="0" applyFont="1" applyFill="1" applyBorder="1" applyAlignment="1">
      <alignment horizontal="left" vertical="center"/>
    </xf>
    <xf numFmtId="0" fontId="40" fillId="18" borderId="145" xfId="0" applyFont="1" applyFill="1" applyBorder="1" applyAlignment="1">
      <alignment horizontal="left" vertical="center"/>
    </xf>
    <xf numFmtId="0" fontId="40" fillId="19" borderId="56" xfId="0" applyFont="1" applyFill="1" applyBorder="1" applyAlignment="1">
      <alignment horizontal="left" vertical="center"/>
    </xf>
    <xf numFmtId="0" fontId="40" fillId="19" borderId="70" xfId="0" applyFont="1" applyFill="1" applyBorder="1" applyAlignment="1">
      <alignment horizontal="left" vertical="center"/>
    </xf>
    <xf numFmtId="0" fontId="40" fillId="11" borderId="56" xfId="0" applyFont="1" applyFill="1" applyBorder="1" applyAlignment="1">
      <alignment horizontal="left" vertical="center"/>
    </xf>
    <xf numFmtId="0" fontId="40" fillId="11" borderId="70" xfId="0" applyFont="1" applyFill="1" applyBorder="1" applyAlignment="1">
      <alignment horizontal="left" vertical="center"/>
    </xf>
    <xf numFmtId="0" fontId="56" fillId="0" borderId="72" xfId="0" applyFont="1" applyBorder="1" applyAlignment="1">
      <alignment horizontal="left"/>
    </xf>
    <xf numFmtId="0" fontId="70" fillId="0" borderId="72" xfId="0" applyFont="1" applyBorder="1" applyAlignment="1">
      <alignment horizontal="left"/>
    </xf>
    <xf numFmtId="0" fontId="13" fillId="9" borderId="231" xfId="0" applyFont="1" applyFill="1" applyBorder="1" applyAlignment="1">
      <alignment horizontal="center" vertical="center" shrinkToFit="1"/>
    </xf>
    <xf numFmtId="0" fontId="13" fillId="9" borderId="232" xfId="0" applyFont="1" applyFill="1" applyBorder="1" applyAlignment="1">
      <alignment horizontal="center" vertical="center" shrinkToFit="1"/>
    </xf>
    <xf numFmtId="0" fontId="14" fillId="9" borderId="233" xfId="0" applyFont="1" applyFill="1" applyBorder="1" applyAlignment="1">
      <alignment horizontal="center" vertical="center" shrinkToFit="1"/>
    </xf>
    <xf numFmtId="0" fontId="14" fillId="9" borderId="234" xfId="0" applyFont="1" applyFill="1" applyBorder="1" applyAlignment="1">
      <alignment horizontal="center" vertical="center" shrinkToFit="1"/>
    </xf>
    <xf numFmtId="0" fontId="14" fillId="9" borderId="235" xfId="0" applyFont="1" applyFill="1" applyBorder="1" applyAlignment="1">
      <alignment horizontal="center" vertical="center" shrinkToFit="1"/>
    </xf>
    <xf numFmtId="0" fontId="21" fillId="0" borderId="239" xfId="0" applyFont="1" applyBorder="1" applyAlignment="1">
      <alignment horizontal="left" vertical="center"/>
    </xf>
    <xf numFmtId="0" fontId="21" fillId="0" borderId="240" xfId="0" applyFont="1" applyBorder="1" applyAlignment="1">
      <alignment horizontal="left" vertical="center"/>
    </xf>
    <xf numFmtId="0" fontId="21" fillId="0" borderId="241" xfId="0" applyFont="1" applyBorder="1" applyAlignment="1">
      <alignment horizontal="left" vertical="center"/>
    </xf>
    <xf numFmtId="0" fontId="63" fillId="16" borderId="243" xfId="0" applyFont="1" applyFill="1" applyBorder="1" applyAlignment="1">
      <alignment horizontal="center" vertical="center"/>
    </xf>
    <xf numFmtId="0" fontId="63" fillId="16" borderId="244" xfId="0" applyFont="1" applyFill="1" applyBorder="1" applyAlignment="1">
      <alignment horizontal="center" vertical="center"/>
    </xf>
    <xf numFmtId="0" fontId="63" fillId="16" borderId="245" xfId="0" applyFont="1" applyFill="1" applyBorder="1" applyAlignment="1">
      <alignment horizontal="center" vertical="center"/>
    </xf>
    <xf numFmtId="0" fontId="63" fillId="16" borderId="246" xfId="0" applyFont="1" applyFill="1" applyBorder="1" applyAlignment="1">
      <alignment horizontal="center" vertical="center"/>
    </xf>
    <xf numFmtId="0" fontId="63" fillId="16" borderId="247" xfId="0" applyFont="1" applyFill="1" applyBorder="1" applyAlignment="1">
      <alignment horizontal="center" vertical="center"/>
    </xf>
    <xf numFmtId="0" fontId="63" fillId="16" borderId="248" xfId="0" applyFont="1" applyFill="1" applyBorder="1" applyAlignment="1">
      <alignment horizontal="center" vertical="center"/>
    </xf>
    <xf numFmtId="0" fontId="35" fillId="13" borderId="95" xfId="0" applyFont="1" applyFill="1" applyBorder="1" applyAlignment="1">
      <alignment horizontal="center" vertical="center" wrapText="1"/>
    </xf>
    <xf numFmtId="0" fontId="35" fillId="13" borderId="97" xfId="0" applyFont="1" applyFill="1" applyBorder="1" applyAlignment="1">
      <alignment horizontal="center" vertical="center"/>
    </xf>
    <xf numFmtId="0" fontId="34" fillId="0" borderId="90"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2" xfId="0" applyBorder="1" applyAlignment="1" applyProtection="1">
      <alignment horizontal="center"/>
      <protection locked="0"/>
    </xf>
    <xf numFmtId="0" fontId="39" fillId="14" borderId="93" xfId="0" applyFont="1" applyFill="1" applyBorder="1" applyAlignment="1">
      <alignment horizontal="center" vertical="center" wrapText="1"/>
    </xf>
    <xf numFmtId="0" fontId="39" fillId="14" borderId="96" xfId="0" applyFont="1" applyFill="1" applyBorder="1" applyAlignment="1">
      <alignment horizontal="center" vertical="center"/>
    </xf>
    <xf numFmtId="0" fontId="39" fillId="12" borderId="159" xfId="0" applyFont="1" applyFill="1" applyBorder="1" applyAlignment="1">
      <alignment horizontal="center" vertical="center" wrapText="1"/>
    </xf>
    <xf numFmtId="0" fontId="39" fillId="12" borderId="160" xfId="0" applyFont="1" applyFill="1" applyBorder="1" applyAlignment="1">
      <alignment horizontal="center" vertical="center"/>
    </xf>
    <xf numFmtId="0" fontId="0" fillId="0" borderId="0" xfId="0" applyAlignment="1">
      <alignment horizontal="left" vertical="top" wrapText="1"/>
    </xf>
    <xf numFmtId="0" fontId="18" fillId="11" borderId="86" xfId="0" applyFont="1" applyFill="1" applyBorder="1" applyAlignment="1" applyProtection="1">
      <alignment horizontal="center"/>
    </xf>
    <xf numFmtId="0" fontId="18" fillId="11" borderId="87" xfId="0" applyFont="1" applyFill="1" applyBorder="1" applyAlignment="1" applyProtection="1">
      <alignment horizontal="center"/>
    </xf>
    <xf numFmtId="0" fontId="18" fillId="11" borderId="153" xfId="0" applyFont="1" applyFill="1" applyBorder="1" applyAlignment="1" applyProtection="1">
      <alignment horizontal="center"/>
    </xf>
    <xf numFmtId="0" fontId="18" fillId="11" borderId="88"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30" fillId="11" borderId="88"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9" xfId="3" applyFill="1" applyBorder="1" applyAlignment="1" applyProtection="1">
      <alignment horizontal="center" vertical="center"/>
      <protection locked="0"/>
    </xf>
    <xf numFmtId="0" fontId="18" fillId="11" borderId="105" xfId="0" applyFont="1" applyFill="1" applyBorder="1" applyAlignment="1" applyProtection="1">
      <alignment horizontal="center"/>
    </xf>
    <xf numFmtId="0" fontId="18" fillId="11" borderId="106" xfId="0" applyFont="1" applyFill="1" applyBorder="1" applyAlignment="1" applyProtection="1">
      <alignment horizontal="center"/>
    </xf>
    <xf numFmtId="0" fontId="18" fillId="11" borderId="154"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3" fontId="7" fillId="0" borderId="114" xfId="0" applyNumberFormat="1" applyFont="1" applyFill="1" applyBorder="1" applyAlignment="1" applyProtection="1">
      <alignment horizontal="center" vertical="center"/>
      <protection hidden="1"/>
    </xf>
    <xf numFmtId="0" fontId="7" fillId="0" borderId="114" xfId="0" applyNumberFormat="1" applyFont="1" applyFill="1" applyBorder="1" applyAlignment="1" applyProtection="1">
      <alignment horizontal="center" vertical="center"/>
      <protection hidden="1"/>
    </xf>
    <xf numFmtId="0" fontId="49" fillId="0" borderId="164" xfId="0" applyNumberFormat="1" applyFont="1" applyBorder="1" applyAlignment="1">
      <alignment horizontal="center" vertical="center"/>
    </xf>
    <xf numFmtId="0" fontId="49" fillId="0" borderId="165" xfId="0" applyNumberFormat="1" applyFont="1" applyBorder="1" applyAlignment="1">
      <alignment horizontal="center" vertical="center"/>
    </xf>
    <xf numFmtId="0" fontId="49" fillId="0" borderId="166" xfId="0" applyNumberFormat="1" applyFont="1" applyBorder="1" applyAlignment="1">
      <alignment horizontal="center" vertical="center"/>
    </xf>
  </cellXfs>
  <cellStyles count="4">
    <cellStyle name="Berechnung" xfId="2" builtinId="22"/>
    <cellStyle name="Link" xfId="3" builtinId="8"/>
    <cellStyle name="Standard" xfId="0" builtinId="0"/>
    <cellStyle name="Standard 2" xfId="1" xr:uid="{00000000-0005-0000-0000-000001000000}"/>
  </cellStyles>
  <dxfs count="57">
    <dxf>
      <font>
        <b/>
        <i val="0"/>
        <color rgb="FFDA0000"/>
      </font>
      <fill>
        <patternFill>
          <bgColor rgb="FFFFFFCC"/>
        </patternFill>
      </fill>
    </dxf>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theme="2" tint="-9.9948118533890809E-2"/>
      </font>
    </dxf>
    <dxf>
      <font>
        <color theme="2" tint="-9.9948118533890809E-2"/>
      </font>
    </dxf>
    <dxf>
      <font>
        <color theme="2" tint="-9.9948118533890809E-2"/>
      </font>
    </dxf>
    <dxf>
      <font>
        <color rgb="FFDA0000"/>
      </font>
    </dxf>
    <dxf>
      <numFmt numFmtId="165" formatCode=";;;"/>
    </dxf>
    <dxf>
      <font>
        <color rgb="FFDA0000"/>
      </font>
    </dxf>
    <dxf>
      <numFmt numFmtId="165" formatCode=";;;"/>
    </dxf>
    <dxf>
      <font>
        <color theme="2" tint="-9.9948118533890809E-2"/>
      </font>
    </dxf>
    <dxf>
      <numFmt numFmtId="165" formatCode=";;;"/>
    </dxf>
    <dxf>
      <font>
        <color rgb="FFDA0000"/>
      </font>
    </dxf>
    <dxf>
      <font>
        <color rgb="FFDA0000"/>
      </font>
    </dxf>
    <dxf>
      <numFmt numFmtId="165" formatCode=";;;"/>
    </dxf>
    <dxf>
      <numFmt numFmtId="165" formatCode=";;;"/>
    </dxf>
    <dxf>
      <numFmt numFmtId="165" formatCode=";;;"/>
    </dxf>
    <dxf>
      <font>
        <color theme="2" tint="-9.9948118533890809E-2"/>
      </font>
    </dxf>
    <dxf>
      <font>
        <color theme="2" tint="-9.9948118533890809E-2"/>
      </font>
    </dxf>
    <dxf>
      <font>
        <color theme="2" tint="-9.9948118533890809E-2"/>
      </font>
    </dxf>
    <dxf>
      <numFmt numFmtId="165" formatCode=";;;"/>
    </dxf>
    <dxf>
      <numFmt numFmtId="165" formatCode=";;;"/>
    </dxf>
    <dxf>
      <numFmt numFmtId="165" formatCode=";;;"/>
    </dxf>
    <dxf>
      <font>
        <color theme="2" tint="-9.9948118533890809E-2"/>
      </font>
    </dxf>
    <dxf>
      <font>
        <color theme="2" tint="-9.9948118533890809E-2"/>
      </font>
    </dxf>
    <dxf>
      <numFmt numFmtId="165" formatCode=";;;"/>
    </dxf>
    <dxf>
      <numFmt numFmtId="165" formatCode=";;;"/>
    </dxf>
    <dxf>
      <numFmt numFmtId="165" formatCode=";;;"/>
    </dxf>
    <dxf>
      <numFmt numFmtId="165" formatCode=";;;"/>
    </dxf>
    <dxf>
      <numFmt numFmtId="165" formatCode=";;;"/>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color theme="2" tint="-9.9948118533890809E-2"/>
      </font>
    </dxf>
    <dxf>
      <font>
        <b/>
        <i val="0"/>
        <color rgb="FFDA0000"/>
      </font>
      <fill>
        <patternFill patternType="none">
          <bgColor auto="1"/>
        </patternFill>
      </fill>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numFmt numFmtId="30" formatCode="@"/>
    </dxf>
    <dxf>
      <font>
        <color theme="2" tint="-9.9948118533890809E-2"/>
      </font>
    </dxf>
    <dxf>
      <font>
        <b/>
        <i val="0"/>
        <color rgb="FFDA0000"/>
      </font>
    </dxf>
    <dxf>
      <font>
        <b/>
        <i val="0"/>
        <color rgb="FFDA0000"/>
      </font>
      <fill>
        <patternFill>
          <bgColor rgb="FFFFFFCC"/>
        </patternFill>
      </fill>
    </dxf>
    <dxf>
      <fill>
        <patternFill>
          <bgColor rgb="FFFFB4B4"/>
        </patternFill>
      </fill>
    </dxf>
    <dxf>
      <font>
        <b/>
        <i val="0"/>
        <color rgb="FFDA0000"/>
      </font>
      <fill>
        <patternFill>
          <bgColor rgb="FFFFFFCC"/>
        </patternFill>
      </fill>
    </dxf>
  </dxfs>
  <tableStyles count="0" defaultTableStyle="TableStyleMedium2" defaultPivotStyle="PivotStyleLight16"/>
  <colors>
    <mruColors>
      <color rgb="FFFFFFE0"/>
      <color rgb="FFDA000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428625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D9579C8D-2493-4402-8C05-9431690EF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E81"/>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6" customWidth="1"/>
    <col min="18" max="18" width="12.42578125" style="166" customWidth="1"/>
    <col min="19" max="19" width="11.42578125" style="166" customWidth="1"/>
    <col min="20" max="20" width="10.7109375" style="166" customWidth="1"/>
    <col min="21" max="21" width="11.42578125" hidden="1" customWidth="1"/>
    <col min="22" max="31" width="4.7109375" hidden="1" customWidth="1"/>
    <col min="32" max="16384" width="11.42578125" hidden="1"/>
  </cols>
  <sheetData>
    <row r="1" spans="1:31" ht="9.75" customHeight="1" x14ac:dyDescent="0.25">
      <c r="A1" s="160"/>
    </row>
    <row r="2" spans="1:31" ht="33.75" x14ac:dyDescent="0.5">
      <c r="A2" s="159"/>
      <c r="B2" s="236"/>
      <c r="C2" s="236"/>
      <c r="D2" s="236"/>
      <c r="E2" s="612" t="str">
        <f>Sprache!$E$30</f>
        <v>Teilnehmer und Ablaufplan</v>
      </c>
      <c r="F2" s="612"/>
      <c r="G2" s="612"/>
      <c r="H2" s="612"/>
      <c r="I2" s="612"/>
      <c r="J2" s="612"/>
      <c r="K2" s="612"/>
      <c r="L2" s="612"/>
      <c r="M2" s="612"/>
      <c r="N2" s="612"/>
      <c r="O2" s="236"/>
      <c r="P2" s="236"/>
      <c r="Q2" s="236"/>
      <c r="R2" s="236"/>
      <c r="S2" s="236"/>
    </row>
    <row r="3" spans="1:31" x14ac:dyDescent="0.25"/>
    <row r="4" spans="1:31" ht="29.25" customHeight="1" thickBot="1" x14ac:dyDescent="0.3">
      <c r="C4" s="287" t="str">
        <f>Sprache!$E$16&amp;" A"</f>
        <v>Gruppe A</v>
      </c>
      <c r="D4" s="168"/>
      <c r="E4" s="613" t="str">
        <f>Sprache!$E$32</f>
        <v>Ablaufplan</v>
      </c>
      <c r="F4" s="613"/>
      <c r="G4" s="309"/>
      <c r="H4" s="309"/>
      <c r="I4" s="309"/>
      <c r="J4" s="309"/>
      <c r="K4" s="309"/>
      <c r="L4" s="309"/>
      <c r="M4" s="309"/>
      <c r="N4" s="309"/>
      <c r="O4" s="614" t="str">
        <f>Sprache!$E$20</f>
        <v>Zusätzl. Pause (min)</v>
      </c>
      <c r="Q4" s="366" t="str">
        <f>Sprache!$E$41</f>
        <v>Spielzeiten</v>
      </c>
    </row>
    <row r="5" spans="1:31" ht="15.95" customHeight="1" thickTop="1" thickBot="1" x14ac:dyDescent="0.3">
      <c r="A5" s="70"/>
      <c r="B5" s="605"/>
      <c r="C5" s="607" t="str">
        <f>Sprache!$E$10</f>
        <v>Teilnehmer bzw. Mannschaft</v>
      </c>
      <c r="D5" s="66"/>
      <c r="E5" s="182" t="str">
        <f>Sprache!$E$33</f>
        <v>Spiel-Nr.</v>
      </c>
      <c r="F5" s="183" t="str">
        <f>Sprache!$E$39</f>
        <v>Beginn</v>
      </c>
      <c r="G5" s="183" t="str">
        <f>Sprache!$E$48</f>
        <v>Feld</v>
      </c>
      <c r="H5" s="183" t="str">
        <f>Sprache!$E$17</f>
        <v>Grp</v>
      </c>
      <c r="I5" s="629" t="str">
        <f>Sprache!$E$34</f>
        <v>Paarungen</v>
      </c>
      <c r="J5" s="629"/>
      <c r="K5" s="629"/>
      <c r="L5" s="629" t="str">
        <f>Sprache!$E$31</f>
        <v>Teilnehmer</v>
      </c>
      <c r="M5" s="629"/>
      <c r="N5" s="630"/>
      <c r="O5" s="615"/>
      <c r="Q5" s="631" t="str">
        <f>Sprache!$E$39</f>
        <v>Beginn</v>
      </c>
      <c r="R5" s="616">
        <v>0.375</v>
      </c>
      <c r="S5" s="618" t="str">
        <f>Sprache!$E$45</f>
        <v>Uhr</v>
      </c>
      <c r="T5" s="167"/>
      <c r="V5" s="577"/>
      <c r="W5" s="577"/>
      <c r="X5" s="577"/>
      <c r="Y5" s="577"/>
      <c r="Z5" s="577"/>
      <c r="AA5" s="577"/>
      <c r="AB5" s="577"/>
      <c r="AC5" s="577"/>
      <c r="AD5" s="577"/>
      <c r="AE5" s="577"/>
    </row>
    <row r="6" spans="1:31" ht="15.95" customHeight="1" x14ac:dyDescent="0.25">
      <c r="A6" s="70"/>
      <c r="B6" s="606"/>
      <c r="C6" s="608"/>
      <c r="D6" s="471">
        <v>1</v>
      </c>
      <c r="E6" s="430">
        <f>IF($D6&gt;Calc1!$B$14,"",1)</f>
        <v>1</v>
      </c>
      <c r="F6" s="184">
        <f>IF(OR($U$16,$D6&gt;Calc1!$B$14),"",$R$5)</f>
        <v>0.375</v>
      </c>
      <c r="G6" s="174" t="str">
        <f>IF(OR($U$16,$D6&gt;Calc1!$B$14),"","1")</f>
        <v>1</v>
      </c>
      <c r="H6" s="292" t="str">
        <f ca="1">IF($I6="","",IF(LEFT($I6,1)&lt;&gt;LEFT($K6,1),"??",LEFT($I6,1)))</f>
        <v>A</v>
      </c>
      <c r="I6" s="312" t="str">
        <f t="array" aca="1" ref="I6:I77" ca="1">IF(Calc1!$F$14&lt;3,"",IF(OFFSET(Pairings!$A$1,0,(Calc1!$F$14-2)*4-1,72,1)="","",OFFSET(Pairings!$A$1,0,(Calc1!$F$14-2)*4-1,72,1)))</f>
        <v>A1</v>
      </c>
      <c r="J6" s="313" t="s">
        <v>5</v>
      </c>
      <c r="K6" s="314" t="str">
        <f t="array" aca="1" ref="K6:K77" ca="1">IF(Calc1!$F$14&lt;3,"",IF(OFFSET(Pairings!$A$1,0,(Calc1!$F$14-2)*4,72,1)="","",OFFSET(Pairings!$A$1,0,(Calc1!$F$14-2)*4,72,1)))</f>
        <v>A8</v>
      </c>
      <c r="L6" s="179" t="str">
        <f t="shared" ref="L6:L34" ca="1" si="0">IF($I6="","",IF(VLOOKUP($I6,$B$7:$C$48,2,0)="","",VLOOKUP($I6,$B$7:$C$48,2,0)))</f>
        <v>1. FC Riedwald</v>
      </c>
      <c r="M6" s="180" t="s">
        <v>5</v>
      </c>
      <c r="N6" s="181" t="str">
        <f t="shared" ref="N6:N34" ca="1" si="1">IF($K6="","",IF(VLOOKUP($K6,$B$7:$C$48,2,0)="","",VLOOKUP($K6,$B$7:$C$48,2,0)))</f>
        <v>Knock Out Rangers</v>
      </c>
      <c r="O6" s="320"/>
      <c r="P6" s="310"/>
      <c r="Q6" s="632"/>
      <c r="R6" s="617"/>
      <c r="S6" s="619"/>
      <c r="T6" s="167"/>
      <c r="V6" s="577"/>
      <c r="W6" s="578"/>
      <c r="X6" s="578"/>
      <c r="Y6" s="578"/>
      <c r="Z6" s="578"/>
      <c r="AA6" s="578"/>
      <c r="AB6" s="578"/>
      <c r="AC6" s="578"/>
      <c r="AD6" s="578"/>
      <c r="AE6" s="578"/>
    </row>
    <row r="7" spans="1:31" ht="15.95" customHeight="1" x14ac:dyDescent="0.25">
      <c r="A7" s="70"/>
      <c r="B7" s="633" t="s">
        <v>208</v>
      </c>
      <c r="C7" s="634" t="s">
        <v>267</v>
      </c>
      <c r="D7" s="471">
        <v>2</v>
      </c>
      <c r="E7" s="431">
        <f t="array" aca="1" ref="E7" ca="1">IF($D7&gt;Calc1!$B$14,"",ROW(2:2)-SUM((($L$6:$L6="")+($N$6:$N6="")&gt;0)*1))</f>
        <v>2</v>
      </c>
      <c r="F7" s="173">
        <f ca="1">IF(OR($U$16,$D7&gt;Calc1!$B$14),"",$R$5+QUOTIENT(($E7-1),$U$18)*($R$7+$R$9)/1440+SUM($O$6:$O6)/1440)</f>
        <v>0.375</v>
      </c>
      <c r="G7" s="175">
        <f ca="1">IF(OR($U$16,$D7&gt;Calc1!$B$14),"",MOD($E7-1,$U$18)+1)</f>
        <v>2</v>
      </c>
      <c r="H7" s="292" t="str">
        <f t="shared" ref="H7:H77" ca="1" si="2">IF($I7="","",IF(LEFT($I7,1)&lt;&gt;LEFT($K7,1),"??",LEFT($I7,1)))</f>
        <v>B</v>
      </c>
      <c r="I7" s="315" t="str">
        <f ca="1"/>
        <v>B1</v>
      </c>
      <c r="J7" s="316" t="s">
        <v>5</v>
      </c>
      <c r="K7" s="317" t="str">
        <f ca="1"/>
        <v>B8</v>
      </c>
      <c r="L7" s="179" t="str">
        <f t="shared" ca="1" si="0"/>
        <v>Mainz 05</v>
      </c>
      <c r="M7" s="50" t="s">
        <v>5</v>
      </c>
      <c r="N7" s="181" t="str">
        <f t="shared" ca="1" si="1"/>
        <v>Borussia Heine</v>
      </c>
      <c r="O7" s="321"/>
      <c r="P7" s="310"/>
      <c r="Q7" s="632" t="str">
        <f>Sprache!$E$42</f>
        <v>Spielzeit pro Spiel:</v>
      </c>
      <c r="R7" s="620">
        <v>30</v>
      </c>
      <c r="S7" s="619" t="s">
        <v>165</v>
      </c>
      <c r="T7" s="124"/>
      <c r="V7" s="577"/>
      <c r="W7" s="578"/>
      <c r="X7" s="578"/>
      <c r="Y7" s="578"/>
      <c r="Z7" s="578"/>
      <c r="AA7" s="578"/>
      <c r="AB7" s="578"/>
      <c r="AC7" s="578"/>
      <c r="AD7" s="578"/>
      <c r="AE7" s="578"/>
    </row>
    <row r="8" spans="1:31" ht="15.95" customHeight="1" x14ac:dyDescent="0.25">
      <c r="A8" s="70"/>
      <c r="B8" s="604"/>
      <c r="C8" s="603"/>
      <c r="D8" s="471">
        <v>3</v>
      </c>
      <c r="E8" s="431">
        <f t="array" aca="1" ref="E8" ca="1">IF($D8&gt;Calc1!$B$14,"",ROW(3:3)-SUM((($L$6:$L7="")+($N$6:$N7="")&gt;0)*1))</f>
        <v>3</v>
      </c>
      <c r="F8" s="173">
        <f ca="1">IF(OR($U$16,$D8&gt;Calc1!$B$14),"",$R$5+QUOTIENT(($E8-1),$U$18)*($R$7+$R$9)/1440+SUM($O$6:$O7)/1440)</f>
        <v>0.375</v>
      </c>
      <c r="G8" s="175">
        <f ca="1">IF(OR($U$16,$D8&gt;Calc1!$B$14),"",MOD($E8-1,$U$18)+1)</f>
        <v>3</v>
      </c>
      <c r="H8" s="292" t="str">
        <f t="shared" ca="1" si="2"/>
        <v>A</v>
      </c>
      <c r="I8" s="315" t="str">
        <f ca="1"/>
        <v>A7</v>
      </c>
      <c r="J8" s="316" t="s">
        <v>5</v>
      </c>
      <c r="K8" s="317" t="str">
        <f ca="1"/>
        <v>A2</v>
      </c>
      <c r="L8" s="179" t="str">
        <f t="shared" ca="1" si="0"/>
        <v>Raslo Winners</v>
      </c>
      <c r="M8" s="50" t="s">
        <v>5</v>
      </c>
      <c r="N8" s="181" t="str">
        <f t="shared" ca="1" si="1"/>
        <v>FC Barcelona</v>
      </c>
      <c r="O8" s="321"/>
      <c r="P8" s="310"/>
      <c r="Q8" s="632"/>
      <c r="R8" s="620"/>
      <c r="S8" s="619"/>
      <c r="T8" s="167"/>
      <c r="V8" s="577"/>
      <c r="W8" s="578"/>
      <c r="X8" s="578"/>
      <c r="Y8" s="578"/>
      <c r="Z8" s="578"/>
      <c r="AA8" s="578"/>
      <c r="AB8" s="578"/>
      <c r="AC8" s="578"/>
      <c r="AD8" s="578"/>
      <c r="AE8" s="578"/>
    </row>
    <row r="9" spans="1:31" ht="15.95" customHeight="1" x14ac:dyDescent="0.25">
      <c r="A9" s="70"/>
      <c r="B9" s="599" t="s">
        <v>210</v>
      </c>
      <c r="C9" s="601" t="s">
        <v>268</v>
      </c>
      <c r="D9" s="471">
        <v>4</v>
      </c>
      <c r="E9" s="431">
        <f t="array" aca="1" ref="E9" ca="1">IF($D9&gt;Calc1!$B$14,"",ROW(4:4)-SUM((($L$6:$L8="")+($N$6:$N8="")&gt;0)*1))</f>
        <v>4</v>
      </c>
      <c r="F9" s="173">
        <f ca="1">IF(OR($U$16,$D9&gt;Calc1!$B$14),"",$R$5+QUOTIENT(($E9-1),$U$18)*($R$7+$R$9)/1440+SUM($O$6:$O8)/1440)</f>
        <v>0.375</v>
      </c>
      <c r="G9" s="175">
        <f ca="1">IF(OR($U$16,$D9&gt;Calc1!$B$14),"",MOD($E9-1,$U$18)+1)</f>
        <v>4</v>
      </c>
      <c r="H9" s="292" t="str">
        <f t="shared" ca="1" si="2"/>
        <v>B</v>
      </c>
      <c r="I9" s="315" t="str">
        <f ca="1"/>
        <v>B7</v>
      </c>
      <c r="J9" s="316" t="s">
        <v>5</v>
      </c>
      <c r="K9" s="317" t="str">
        <f ca="1"/>
        <v>B2</v>
      </c>
      <c r="L9" s="179" t="str">
        <f t="shared" ca="1" si="0"/>
        <v>VFL Ronsdorf</v>
      </c>
      <c r="M9" s="50" t="s">
        <v>5</v>
      </c>
      <c r="N9" s="181" t="str">
        <f t="shared" ca="1" si="1"/>
        <v>Inter Mailand</v>
      </c>
      <c r="O9" s="321"/>
      <c r="P9" s="310"/>
      <c r="Q9" s="632" t="str">
        <f>Sprache!$E$43</f>
        <v>Wechselzeit:</v>
      </c>
      <c r="R9" s="620">
        <v>5</v>
      </c>
      <c r="S9" s="619" t="s">
        <v>165</v>
      </c>
      <c r="T9" s="167"/>
      <c r="V9" s="577"/>
      <c r="W9" s="578"/>
      <c r="X9" s="578"/>
      <c r="Y9" s="578"/>
      <c r="Z9" s="578"/>
      <c r="AA9" s="578"/>
      <c r="AB9" s="578"/>
      <c r="AC9" s="578"/>
      <c r="AD9" s="578"/>
      <c r="AE9" s="578"/>
    </row>
    <row r="10" spans="1:31" ht="15.95" customHeight="1" x14ac:dyDescent="0.25">
      <c r="A10" s="70"/>
      <c r="B10" s="604"/>
      <c r="C10" s="603"/>
      <c r="D10" s="471">
        <v>5</v>
      </c>
      <c r="E10" s="431">
        <f t="array" aca="1" ref="E10" ca="1">IF($D10&gt;Calc1!$B$14,"",ROW(5:5)-SUM((($L$6:$L9="")+($N$6:$N9="")&gt;0)*1))</f>
        <v>5</v>
      </c>
      <c r="F10" s="173">
        <f ca="1">IF(OR($U$16,$D10&gt;Calc1!$B$14),"",$R$5+QUOTIENT(($E10-1),$U$18)*($R$7+$R$9)/1440+SUM($O$6:$O9)/1440)</f>
        <v>0.39930555555555558</v>
      </c>
      <c r="G10" s="175">
        <f ca="1">IF(OR($U$16,$D10&gt;Calc1!$B$14),"",MOD($E10-1,$U$18)+1)</f>
        <v>1</v>
      </c>
      <c r="H10" s="292" t="str">
        <f t="shared" ca="1" si="2"/>
        <v>A</v>
      </c>
      <c r="I10" s="315" t="str">
        <f ca="1"/>
        <v>A3</v>
      </c>
      <c r="J10" s="316" t="s">
        <v>5</v>
      </c>
      <c r="K10" s="317" t="str">
        <f ca="1"/>
        <v>A6</v>
      </c>
      <c r="L10" s="179" t="str">
        <f t="shared" ca="1" si="0"/>
        <v>Eintracht Frankfurt</v>
      </c>
      <c r="M10" s="50" t="s">
        <v>5</v>
      </c>
      <c r="N10" s="181" t="str">
        <f t="shared" ca="1" si="1"/>
        <v>Fun Kickers Oes</v>
      </c>
      <c r="O10" s="321"/>
      <c r="P10" s="310"/>
      <c r="Q10" s="632"/>
      <c r="R10" s="620"/>
      <c r="S10" s="619"/>
      <c r="T10" s="167"/>
      <c r="V10" s="577"/>
      <c r="W10" s="578"/>
      <c r="X10" s="578"/>
      <c r="Y10" s="578"/>
      <c r="Z10" s="578"/>
      <c r="AA10" s="578"/>
      <c r="AB10" s="578"/>
      <c r="AC10" s="578"/>
      <c r="AD10" s="578"/>
      <c r="AE10" s="578"/>
    </row>
    <row r="11" spans="1:31" ht="15.95" customHeight="1" x14ac:dyDescent="0.25">
      <c r="A11" s="70"/>
      <c r="B11" s="599" t="s">
        <v>206</v>
      </c>
      <c r="C11" s="601" t="s">
        <v>269</v>
      </c>
      <c r="D11" s="471">
        <v>6</v>
      </c>
      <c r="E11" s="431">
        <f t="array" aca="1" ref="E11" ca="1">IF($D11&gt;Calc1!$B$14,"",ROW(6:6)-SUM((($L$6:$L10="")+($N$6:$N10="")&gt;0)*1))</f>
        <v>6</v>
      </c>
      <c r="F11" s="173">
        <f ca="1">IF(OR($U$16,$D11&gt;Calc1!$B$14),"",$R$5+QUOTIENT(($E11-1),$U$18)*($R$7+$R$9)/1440+SUM($O$6:$O10)/1440)</f>
        <v>0.39930555555555558</v>
      </c>
      <c r="G11" s="175">
        <f ca="1">IF(OR($U$16,$D11&gt;Calc1!$B$14),"",MOD($E11-1,$U$18)+1)</f>
        <v>2</v>
      </c>
      <c r="H11" s="292" t="str">
        <f t="shared" ca="1" si="2"/>
        <v>B</v>
      </c>
      <c r="I11" s="315" t="str">
        <f ca="1"/>
        <v>B3</v>
      </c>
      <c r="J11" s="316" t="s">
        <v>5</v>
      </c>
      <c r="K11" s="317" t="str">
        <f ca="1"/>
        <v>B6</v>
      </c>
      <c r="L11" s="179" t="str">
        <f t="shared" ca="1" si="0"/>
        <v>SSV Wildbach</v>
      </c>
      <c r="M11" s="50" t="s">
        <v>5</v>
      </c>
      <c r="N11" s="181" t="str">
        <f t="shared" ca="1" si="1"/>
        <v>AC Roma</v>
      </c>
      <c r="O11" s="321"/>
      <c r="P11" s="310"/>
      <c r="Q11" s="632" t="str">
        <f>Sprache!$E$44</f>
        <v>Anzahl der Spielfelder:</v>
      </c>
      <c r="R11" s="620">
        <v>4</v>
      </c>
      <c r="S11" s="627" t="str">
        <f>"(max. "&amp;$U$17&amp;")"</f>
        <v>(max. 6)</v>
      </c>
      <c r="V11" s="577"/>
      <c r="W11" s="578"/>
      <c r="X11" s="578"/>
      <c r="Y11" s="578"/>
      <c r="Z11" s="578"/>
      <c r="AA11" s="578"/>
      <c r="AB11" s="578"/>
      <c r="AC11" s="578"/>
      <c r="AD11" s="578"/>
      <c r="AE11" s="578"/>
    </row>
    <row r="12" spans="1:31" ht="15.95" customHeight="1" thickBot="1" x14ac:dyDescent="0.3">
      <c r="A12" s="70"/>
      <c r="B12" s="604"/>
      <c r="C12" s="603"/>
      <c r="D12" s="471">
        <v>7</v>
      </c>
      <c r="E12" s="431">
        <f t="array" aca="1" ref="E12" ca="1">IF($D12&gt;Calc1!$B$14,"",ROW(7:7)-SUM((($L$6:$L11="")+($N$6:$N11="")&gt;0)*1))</f>
        <v>7</v>
      </c>
      <c r="F12" s="173">
        <f ca="1">IF(OR($U$16,$D12&gt;Calc1!$B$14),"",$R$5+QUOTIENT(($E12-1),$U$18)*($R$7+$R$9)/1440+SUM($O$6:$O11)/1440)</f>
        <v>0.39930555555555558</v>
      </c>
      <c r="G12" s="175">
        <f ca="1">IF(OR($U$16,$D12&gt;Calc1!$B$14),"",MOD($E12-1,$U$18)+1)</f>
        <v>3</v>
      </c>
      <c r="H12" s="292" t="str">
        <f t="shared" ca="1" si="2"/>
        <v>A</v>
      </c>
      <c r="I12" s="315" t="str">
        <f ca="1"/>
        <v>A5</v>
      </c>
      <c r="J12" s="316" t="s">
        <v>5</v>
      </c>
      <c r="K12" s="317" t="str">
        <f ca="1"/>
        <v>A4</v>
      </c>
      <c r="L12" s="179" t="str">
        <f t="shared" ca="1" si="0"/>
        <v>VFB Essenheim</v>
      </c>
      <c r="M12" s="50" t="s">
        <v>5</v>
      </c>
      <c r="N12" s="181" t="str">
        <f t="shared" ca="1" si="1"/>
        <v>Maibach 1822 eV</v>
      </c>
      <c r="O12" s="321"/>
      <c r="P12" s="310"/>
      <c r="Q12" s="637"/>
      <c r="R12" s="626"/>
      <c r="S12" s="628"/>
      <c r="T12" s="124"/>
      <c r="U12" s="429"/>
      <c r="V12" s="577"/>
      <c r="W12" s="578"/>
      <c r="X12" s="578"/>
      <c r="Y12" s="578"/>
      <c r="Z12" s="578"/>
      <c r="AA12" s="578"/>
      <c r="AB12" s="578"/>
      <c r="AC12" s="578"/>
      <c r="AD12" s="578"/>
      <c r="AE12" s="578"/>
    </row>
    <row r="13" spans="1:31" ht="15.95" customHeight="1" x14ac:dyDescent="0.25">
      <c r="A13" s="70"/>
      <c r="B13" s="599" t="s">
        <v>212</v>
      </c>
      <c r="C13" s="601" t="s">
        <v>270</v>
      </c>
      <c r="D13" s="471">
        <v>8</v>
      </c>
      <c r="E13" s="431">
        <f t="array" aca="1" ref="E13" ca="1">IF($D13&gt;Calc1!$B$14,"",ROW(8:8)-SUM((($L$6:$L12="")+($N$6:$N12="")&gt;0)*1))</f>
        <v>8</v>
      </c>
      <c r="F13" s="173">
        <f ca="1">IF(OR($U$16,$D13&gt;Calc1!$B$14),"",$R$5+QUOTIENT(($E13-1),$U$18)*($R$7+$R$9)/1440+SUM($O$6:$O12)/1440)</f>
        <v>0.39930555555555558</v>
      </c>
      <c r="G13" s="175">
        <f ca="1">IF(OR($U$16,$D13&gt;Calc1!$B$14),"",MOD($E13-1,$U$18)+1)</f>
        <v>4</v>
      </c>
      <c r="H13" s="292" t="str">
        <f t="shared" ca="1" si="2"/>
        <v>B</v>
      </c>
      <c r="I13" s="315" t="str">
        <f ca="1"/>
        <v>B5</v>
      </c>
      <c r="J13" s="316" t="s">
        <v>5</v>
      </c>
      <c r="K13" s="317" t="str">
        <f ca="1"/>
        <v>B4</v>
      </c>
      <c r="L13" s="179" t="str">
        <f t="shared" ca="1" si="0"/>
        <v>FC Grönlingen</v>
      </c>
      <c r="M13" s="50" t="s">
        <v>5</v>
      </c>
      <c r="N13" s="181" t="str">
        <f t="shared" ca="1" si="1"/>
        <v>Manchester City</v>
      </c>
      <c r="O13" s="321"/>
      <c r="P13" s="310"/>
      <c r="Q13" s="635" t="str">
        <f>Sprache!$E$40</f>
        <v>Ende der Vorrunde:</v>
      </c>
      <c r="R13" s="621">
        <f t="array" aca="1" ref="R13" ca="1">IF($U$16,"",$R$5+(ROUNDUP((Calc1!$B$14-SUM(((OFFSET($L$6,,,Calc1!$B$14,1)="")+(OFFSET($N$6,,,Calc1!$B$14,1)="")&gt;0)*1))/$U18,0)*($R$7+$R$9)-$R$9)/1440+SUM(OFFSET($O$6,,,Calc1!$B$14-1,1))/1440)</f>
        <v>0.71180555555555558</v>
      </c>
      <c r="S13" s="623"/>
      <c r="T13" s="167"/>
      <c r="U13" s="408"/>
      <c r="V13" s="577"/>
      <c r="W13" s="578"/>
      <c r="X13" s="578"/>
      <c r="Y13" s="578"/>
      <c r="Z13" s="578"/>
      <c r="AA13" s="578"/>
      <c r="AB13" s="578"/>
      <c r="AC13" s="578"/>
      <c r="AD13" s="578"/>
      <c r="AE13" s="578"/>
    </row>
    <row r="14" spans="1:31" ht="15.95" customHeight="1" thickBot="1" x14ac:dyDescent="0.3">
      <c r="A14" s="70"/>
      <c r="B14" s="604"/>
      <c r="C14" s="603"/>
      <c r="D14" s="471">
        <v>9</v>
      </c>
      <c r="E14" s="431">
        <f t="array" aca="1" ref="E14" ca="1">IF($D14&gt;Calc1!$B$14,"",ROW(9:9)-SUM((($L$6:$L13="")+($N$6:$N13="")&gt;0)*1))</f>
        <v>9</v>
      </c>
      <c r="F14" s="173">
        <f ca="1">IF(OR($U$16,$D14&gt;Calc1!$B$14),"",$R$5+QUOTIENT(($E14-1),$U$18)*($R$7+$R$9)/1440+SUM($O$6:$O13)/1440)</f>
        <v>0.4236111111111111</v>
      </c>
      <c r="G14" s="175">
        <f ca="1">IF(OR($U$16,$D14&gt;Calc1!$B$14),"",MOD($E14-1,$U$18)+1)</f>
        <v>1</v>
      </c>
      <c r="H14" s="292" t="str">
        <f t="shared" ca="1" si="2"/>
        <v>A</v>
      </c>
      <c r="I14" s="315" t="str">
        <f ca="1"/>
        <v>A7</v>
      </c>
      <c r="J14" s="316" t="s">
        <v>5</v>
      </c>
      <c r="K14" s="317" t="str">
        <f ca="1"/>
        <v>A1</v>
      </c>
      <c r="L14" s="179" t="str">
        <f t="shared" ca="1" si="0"/>
        <v>Raslo Winners</v>
      </c>
      <c r="M14" s="50" t="s">
        <v>5</v>
      </c>
      <c r="N14" s="181" t="str">
        <f t="shared" ca="1" si="1"/>
        <v>1. FC Riedwald</v>
      </c>
      <c r="O14" s="321"/>
      <c r="P14" s="310"/>
      <c r="Q14" s="636"/>
      <c r="R14" s="622"/>
      <c r="S14" s="624"/>
      <c r="T14" s="167"/>
      <c r="U14" s="408"/>
      <c r="V14" s="577"/>
      <c r="W14" s="578"/>
      <c r="X14" s="578"/>
      <c r="Y14" s="578"/>
      <c r="Z14" s="578"/>
      <c r="AA14" s="578"/>
      <c r="AB14" s="578"/>
      <c r="AC14" s="578"/>
      <c r="AD14" s="578"/>
      <c r="AE14" s="578"/>
    </row>
    <row r="15" spans="1:31" ht="15.95" customHeight="1" x14ac:dyDescent="0.25">
      <c r="A15" s="70"/>
      <c r="B15" s="599" t="s">
        <v>214</v>
      </c>
      <c r="C15" s="601" t="s">
        <v>334</v>
      </c>
      <c r="D15" s="471">
        <v>10</v>
      </c>
      <c r="E15" s="431">
        <f t="array" aca="1" ref="E15" ca="1">IF($D15&gt;Calc1!$B$14,"",ROW(10:10)-SUM((($L$6:$L14="")+($N$6:$N14="")&gt;0)*1))</f>
        <v>10</v>
      </c>
      <c r="F15" s="173">
        <f ca="1">IF(OR($U$16,$D15&gt;Calc1!$B$14),"",$R$5+QUOTIENT(($E15-1),$U$18)*($R$7+$R$9)/1440+SUM($O$6:$O14)/1440)</f>
        <v>0.4236111111111111</v>
      </c>
      <c r="G15" s="175">
        <f ca="1">IF(OR($U$16,$D15&gt;Calc1!$B$14),"",MOD($E15-1,$U$18)+1)</f>
        <v>2</v>
      </c>
      <c r="H15" s="292" t="str">
        <f t="shared" ca="1" si="2"/>
        <v>B</v>
      </c>
      <c r="I15" s="315" t="str">
        <f ca="1"/>
        <v>B7</v>
      </c>
      <c r="J15" s="316" t="s">
        <v>5</v>
      </c>
      <c r="K15" s="317" t="str">
        <f ca="1"/>
        <v>B1</v>
      </c>
      <c r="L15" s="179" t="str">
        <f t="shared" ca="1" si="0"/>
        <v>VFL Ronsdorf</v>
      </c>
      <c r="M15" s="50" t="s">
        <v>5</v>
      </c>
      <c r="N15" s="181" t="str">
        <f t="shared" ca="1" si="1"/>
        <v>Mainz 05</v>
      </c>
      <c r="O15" s="321"/>
      <c r="P15" s="310"/>
      <c r="Q15" s="476" t="str">
        <f>Sprache!$E$86</f>
        <v>Turnierende (Endrunde 1):</v>
      </c>
      <c r="R15" s="479">
        <f ca="1">'Endrunde 1'!$I$22</f>
        <v>0.76041666666666674</v>
      </c>
      <c r="S15" s="412"/>
      <c r="T15" s="167"/>
    </row>
    <row r="16" spans="1:31" ht="15.95" customHeight="1" x14ac:dyDescent="0.25">
      <c r="A16" s="70"/>
      <c r="B16" s="604"/>
      <c r="C16" s="603"/>
      <c r="D16" s="471">
        <v>11</v>
      </c>
      <c r="E16" s="431">
        <f t="array" aca="1" ref="E16" ca="1">IF($D16&gt;Calc1!$B$14,"",ROW(11:11)-SUM((($L$6:$L15="")+($N$6:$N15="")&gt;0)*1))</f>
        <v>11</v>
      </c>
      <c r="F16" s="173">
        <f ca="1">IF(OR($U$16,$D16&gt;Calc1!$B$14),"",$R$5+QUOTIENT(($E16-1),$U$18)*($R$7+$R$9)/1440+SUM($O$6:$O15)/1440)</f>
        <v>0.4236111111111111</v>
      </c>
      <c r="G16" s="175">
        <f ca="1">IF(OR($U$16,$D16&gt;Calc1!$B$14),"",MOD($E16-1,$U$18)+1)</f>
        <v>3</v>
      </c>
      <c r="H16" s="292" t="str">
        <f t="shared" ca="1" si="2"/>
        <v>A</v>
      </c>
      <c r="I16" s="315" t="str">
        <f ca="1"/>
        <v>A6</v>
      </c>
      <c r="J16" s="316" t="s">
        <v>5</v>
      </c>
      <c r="K16" s="317" t="str">
        <f ca="1"/>
        <v>A8</v>
      </c>
      <c r="L16" s="179" t="str">
        <f t="shared" ca="1" si="0"/>
        <v>Fun Kickers Oes</v>
      </c>
      <c r="M16" s="50" t="s">
        <v>5</v>
      </c>
      <c r="N16" s="181" t="str">
        <f t="shared" ca="1" si="1"/>
        <v>Knock Out Rangers</v>
      </c>
      <c r="O16" s="321"/>
      <c r="P16" s="310"/>
      <c r="Q16" s="477" t="str">
        <f>Sprache!$E$87</f>
        <v>Turnierende (Endrunde 2):</v>
      </c>
      <c r="R16" s="480">
        <f ca="1">'Endrunde 2'!$I$26</f>
        <v>0.8090277777777779</v>
      </c>
      <c r="S16" s="475"/>
      <c r="T16" s="167"/>
      <c r="U16" s="409" t="b">
        <f>OR($R$5="",$R$7="",$R$9="",$R$11="",Calc1!$F$14&lt;3)</f>
        <v>0</v>
      </c>
      <c r="V16" t="s">
        <v>345</v>
      </c>
    </row>
    <row r="17" spans="1:28" ht="15.95" customHeight="1" x14ac:dyDescent="0.25">
      <c r="A17" s="70"/>
      <c r="B17" s="599" t="s">
        <v>216</v>
      </c>
      <c r="C17" s="601" t="s">
        <v>364</v>
      </c>
      <c r="D17" s="471">
        <v>12</v>
      </c>
      <c r="E17" s="431">
        <f t="array" aca="1" ref="E17" ca="1">IF($D17&gt;Calc1!$B$14,"",ROW(12:12)-SUM((($L$6:$L16="")+($N$6:$N16="")&gt;0)*1))</f>
        <v>12</v>
      </c>
      <c r="F17" s="173">
        <f ca="1">IF(OR($U$16,$D17&gt;Calc1!$B$14),"",$R$5+QUOTIENT(($E17-1),$U$18)*($R$7+$R$9)/1440+SUM($O$6:$O16)/1440)</f>
        <v>0.4236111111111111</v>
      </c>
      <c r="G17" s="175">
        <f ca="1">IF(OR($U$16,$D17&gt;Calc1!$B$14),"",MOD($E17-1,$U$18)+1)</f>
        <v>4</v>
      </c>
      <c r="H17" s="292" t="str">
        <f t="shared" ca="1" si="2"/>
        <v>B</v>
      </c>
      <c r="I17" s="315" t="str">
        <f ca="1"/>
        <v>B6</v>
      </c>
      <c r="J17" s="316" t="s">
        <v>5</v>
      </c>
      <c r="K17" s="317" t="str">
        <f ca="1"/>
        <v>B8</v>
      </c>
      <c r="L17" s="179" t="str">
        <f t="shared" ca="1" si="0"/>
        <v>AC Roma</v>
      </c>
      <c r="M17" s="50" t="s">
        <v>5</v>
      </c>
      <c r="N17" s="181" t="str">
        <f t="shared" ca="1" si="1"/>
        <v>Borussia Heine</v>
      </c>
      <c r="O17" s="321"/>
      <c r="P17" s="310"/>
      <c r="Q17" s="477" t="str">
        <f>Sprache!$E$88</f>
        <v>Turnierende (Endrunde 3):</v>
      </c>
      <c r="R17" s="480">
        <f ca="1">'Endrunde 3'!$I$18</f>
        <v>0.78472222222222232</v>
      </c>
      <c r="S17" s="475"/>
      <c r="T17" s="167"/>
      <c r="U17" s="407">
        <v>6</v>
      </c>
      <c r="V17" s="408" t="s">
        <v>346</v>
      </c>
      <c r="W17" s="165"/>
    </row>
    <row r="18" spans="1:28" ht="15.95" customHeight="1" thickBot="1" x14ac:dyDescent="0.3">
      <c r="A18" s="70"/>
      <c r="B18" s="604"/>
      <c r="C18" s="603"/>
      <c r="D18" s="471">
        <v>13</v>
      </c>
      <c r="E18" s="431">
        <f t="array" aca="1" ref="E18" ca="1">IF($D18&gt;Calc1!$B$14,"",ROW(13:13)-SUM((($L$6:$L17="")+($N$6:$N17="")&gt;0)*1))</f>
        <v>13</v>
      </c>
      <c r="F18" s="173">
        <f ca="1">IF(OR($U$16,$D18&gt;Calc1!$B$14),"",$R$5+QUOTIENT(($E18-1),$U$18)*($R$7+$R$9)/1440+SUM($O$6:$O17)/1440)</f>
        <v>0.44791666666666669</v>
      </c>
      <c r="G18" s="175">
        <f ca="1">IF(OR($U$16,$D18&gt;Calc1!$B$14),"",MOD($E18-1,$U$18)+1)</f>
        <v>1</v>
      </c>
      <c r="H18" s="292" t="str">
        <f t="shared" ca="1" si="2"/>
        <v>A</v>
      </c>
      <c r="I18" s="315" t="str">
        <f ca="1"/>
        <v>A2</v>
      </c>
      <c r="J18" s="316" t="s">
        <v>5</v>
      </c>
      <c r="K18" s="317" t="str">
        <f ca="1"/>
        <v>A5</v>
      </c>
      <c r="L18" s="179" t="str">
        <f t="shared" ca="1" si="0"/>
        <v>FC Barcelona</v>
      </c>
      <c r="M18" s="50" t="s">
        <v>5</v>
      </c>
      <c r="N18" s="181" t="str">
        <f t="shared" ca="1" si="1"/>
        <v>VFB Essenheim</v>
      </c>
      <c r="O18" s="321"/>
      <c r="P18" s="310"/>
      <c r="Q18" s="478" t="str">
        <f>Sprache!$E$89</f>
        <v>Turnierende (Endrunde 4):</v>
      </c>
      <c r="R18" s="481">
        <f ca="1">'Endrunde 4'!$K$38</f>
        <v>0.85763888888888895</v>
      </c>
      <c r="S18" s="413"/>
      <c r="T18" s="167"/>
      <c r="U18" s="407">
        <f>MIN($R$11,$U$17)</f>
        <v>4</v>
      </c>
      <c r="V18" t="s">
        <v>344</v>
      </c>
    </row>
    <row r="19" spans="1:28" ht="15.95" customHeight="1" thickTop="1" x14ac:dyDescent="0.25">
      <c r="A19" s="70"/>
      <c r="B19" s="599" t="s">
        <v>335</v>
      </c>
      <c r="C19" s="601" t="s">
        <v>365</v>
      </c>
      <c r="D19" s="471">
        <v>14</v>
      </c>
      <c r="E19" s="431">
        <f t="array" aca="1" ref="E19" ca="1">IF($D19&gt;Calc1!$B$14,"",ROW(14:14)-SUM((($L$6:$L18="")+($N$6:$N18="")&gt;0)*1))</f>
        <v>14</v>
      </c>
      <c r="F19" s="173">
        <f ca="1">IF(OR($U$16,$D19&gt;Calc1!$B$14),"",$R$5+QUOTIENT(($E19-1),$U$18)*($R$7+$R$9)/1440+SUM($O$6:$O18)/1440)</f>
        <v>0.44791666666666669</v>
      </c>
      <c r="G19" s="175">
        <f ca="1">IF(OR($U$16,$D19&gt;Calc1!$B$14),"",MOD($E19-1,$U$18)+1)</f>
        <v>2</v>
      </c>
      <c r="H19" s="292" t="str">
        <f t="shared" ca="1" si="2"/>
        <v>B</v>
      </c>
      <c r="I19" s="315" t="str">
        <f ca="1"/>
        <v>B2</v>
      </c>
      <c r="J19" s="316" t="s">
        <v>5</v>
      </c>
      <c r="K19" s="317" t="str">
        <f ca="1"/>
        <v>B5</v>
      </c>
      <c r="L19" s="179" t="str">
        <f t="shared" ca="1" si="0"/>
        <v>Inter Mailand</v>
      </c>
      <c r="M19" s="50" t="s">
        <v>5</v>
      </c>
      <c r="N19" s="181" t="str">
        <f t="shared" ca="1" si="1"/>
        <v>FC Grönlingen</v>
      </c>
      <c r="O19" s="321"/>
      <c r="P19" s="310"/>
      <c r="T19" s="167"/>
      <c r="V19" s="577"/>
      <c r="W19" s="577"/>
      <c r="X19" s="577"/>
      <c r="Y19" s="577"/>
      <c r="Z19" s="577"/>
      <c r="AA19" s="577"/>
      <c r="AB19" s="577"/>
    </row>
    <row r="20" spans="1:28" ht="15.95" customHeight="1" x14ac:dyDescent="0.25">
      <c r="A20" s="70"/>
      <c r="B20" s="604"/>
      <c r="C20" s="603"/>
      <c r="D20" s="471">
        <v>15</v>
      </c>
      <c r="E20" s="431">
        <f t="array" aca="1" ref="E20" ca="1">IF($D20&gt;Calc1!$B$14,"",ROW(15:15)-SUM((($L$6:$L19="")+($N$6:$N19="")&gt;0)*1))</f>
        <v>15</v>
      </c>
      <c r="F20" s="173">
        <f ca="1">IF(OR($U$16,$D20&gt;Calc1!$B$14),"",$R$5+QUOTIENT(($E20-1),$U$18)*($R$7+$R$9)/1440+SUM($O$6:$O19)/1440)</f>
        <v>0.44791666666666669</v>
      </c>
      <c r="G20" s="175">
        <f ca="1">IF(OR($U$16,$D20&gt;Calc1!$B$14),"",MOD($E20-1,$U$18)+1)</f>
        <v>3</v>
      </c>
      <c r="H20" s="292" t="str">
        <f t="shared" ca="1" si="2"/>
        <v>A</v>
      </c>
      <c r="I20" s="315" t="str">
        <f ca="1"/>
        <v>A4</v>
      </c>
      <c r="J20" s="316" t="s">
        <v>5</v>
      </c>
      <c r="K20" s="317" t="str">
        <f ca="1"/>
        <v>A3</v>
      </c>
      <c r="L20" s="179" t="str">
        <f t="shared" ca="1" si="0"/>
        <v>Maibach 1822 eV</v>
      </c>
      <c r="M20" s="50" t="s">
        <v>5</v>
      </c>
      <c r="N20" s="181" t="str">
        <f t="shared" ca="1" si="1"/>
        <v>Eintracht Frankfurt</v>
      </c>
      <c r="O20" s="321"/>
      <c r="P20" s="310"/>
      <c r="T20" s="167"/>
      <c r="V20" s="577"/>
      <c r="W20" s="578"/>
      <c r="X20" s="578"/>
      <c r="Y20" s="578"/>
      <c r="Z20" s="578"/>
      <c r="AA20" s="578"/>
      <c r="AB20" s="578"/>
    </row>
    <row r="21" spans="1:28" ht="15.95" customHeight="1" x14ac:dyDescent="0.25">
      <c r="A21" s="70"/>
      <c r="B21" s="599" t="s">
        <v>336</v>
      </c>
      <c r="C21" s="601" t="s">
        <v>368</v>
      </c>
      <c r="D21" s="471">
        <v>16</v>
      </c>
      <c r="E21" s="431">
        <f t="array" aca="1" ref="E21" ca="1">IF($D21&gt;Calc1!$B$14,"",ROW(16:16)-SUM((($L$6:$L20="")+($N$6:$N20="")&gt;0)*1))</f>
        <v>16</v>
      </c>
      <c r="F21" s="173">
        <f ca="1">IF(OR($U$16,$D21&gt;Calc1!$B$14),"",$R$5+QUOTIENT(($E21-1),$U$18)*($R$7+$R$9)/1440+SUM($O$6:$O20)/1440)</f>
        <v>0.44791666666666669</v>
      </c>
      <c r="G21" s="175">
        <f ca="1">IF(OR($U$16,$D21&gt;Calc1!$B$14),"",MOD($E21-1,$U$18)+1)</f>
        <v>4</v>
      </c>
      <c r="H21" s="292" t="str">
        <f t="shared" ca="1" si="2"/>
        <v>B</v>
      </c>
      <c r="I21" s="315" t="str">
        <f ca="1"/>
        <v>B4</v>
      </c>
      <c r="J21" s="316" t="s">
        <v>5</v>
      </c>
      <c r="K21" s="317" t="str">
        <f ca="1"/>
        <v>B3</v>
      </c>
      <c r="L21" s="179" t="str">
        <f t="shared" ca="1" si="0"/>
        <v>Manchester City</v>
      </c>
      <c r="M21" s="50" t="s">
        <v>5</v>
      </c>
      <c r="N21" s="181" t="str">
        <f t="shared" ca="1" si="1"/>
        <v>SSV Wildbach</v>
      </c>
      <c r="O21" s="321"/>
      <c r="P21" s="310"/>
      <c r="T21" s="167"/>
      <c r="V21" s="577"/>
      <c r="W21" s="578"/>
      <c r="X21" s="578"/>
      <c r="Y21" s="578"/>
      <c r="Z21" s="578"/>
      <c r="AA21" s="578"/>
      <c r="AB21" s="578"/>
    </row>
    <row r="22" spans="1:28" ht="15.95" customHeight="1" x14ac:dyDescent="0.25">
      <c r="A22" s="70"/>
      <c r="B22" s="604"/>
      <c r="C22" s="603"/>
      <c r="D22" s="471">
        <v>17</v>
      </c>
      <c r="E22" s="431">
        <f t="array" aca="1" ref="E22" ca="1">IF($D22&gt;Calc1!$B$14,"",ROW(17:17)-SUM((($L$6:$L21="")+($N$6:$N21="")&gt;0)*1))</f>
        <v>17</v>
      </c>
      <c r="F22" s="173">
        <f ca="1">IF(OR($U$16,$D22&gt;Calc1!$B$14),"",$R$5+QUOTIENT(($E22-1),$U$18)*($R$7+$R$9)/1440+SUM($O$6:$O21)/1440)</f>
        <v>0.47222222222222221</v>
      </c>
      <c r="G22" s="175">
        <f ca="1">IF(OR($U$16,$D22&gt;Calc1!$B$14),"",MOD($E22-1,$U$18)+1)</f>
        <v>1</v>
      </c>
      <c r="H22" s="292" t="str">
        <f t="shared" ca="1" si="2"/>
        <v>A</v>
      </c>
      <c r="I22" s="315" t="str">
        <f ca="1"/>
        <v>A1</v>
      </c>
      <c r="J22" s="316" t="s">
        <v>5</v>
      </c>
      <c r="K22" s="317" t="str">
        <f ca="1"/>
        <v>A6</v>
      </c>
      <c r="L22" s="179" t="str">
        <f t="shared" ca="1" si="0"/>
        <v>1. FC Riedwald</v>
      </c>
      <c r="M22" s="50" t="s">
        <v>5</v>
      </c>
      <c r="N22" s="181" t="str">
        <f t="shared" ca="1" si="1"/>
        <v>Fun Kickers Oes</v>
      </c>
      <c r="O22" s="321"/>
      <c r="P22" s="310"/>
      <c r="Q22" s="625" t="str">
        <f>Sprache!$E$84&amp;$U$17&amp;Sprache!$E$85</f>
        <v>Wegen zeitlicher Konflikte kann nur auf maximal 6 Spielplätzen gleichzeitig gespielt werden.</v>
      </c>
      <c r="R22" s="625"/>
      <c r="S22" s="625"/>
      <c r="T22" s="167"/>
      <c r="V22" s="577"/>
      <c r="W22" s="578"/>
      <c r="X22" s="578"/>
      <c r="Y22" s="578"/>
      <c r="Z22" s="578"/>
      <c r="AA22" s="578"/>
      <c r="AB22" s="578"/>
    </row>
    <row r="23" spans="1:28" ht="15.95" customHeight="1" x14ac:dyDescent="0.25">
      <c r="A23" s="70"/>
      <c r="B23" s="599" t="s">
        <v>337</v>
      </c>
      <c r="C23" s="601"/>
      <c r="D23" s="471">
        <v>18</v>
      </c>
      <c r="E23" s="431">
        <f t="array" aca="1" ref="E23" ca="1">IF($D23&gt;Calc1!$B$14,"",ROW(18:18)-SUM((($L$6:$L22="")+($N$6:$N22="")&gt;0)*1))</f>
        <v>18</v>
      </c>
      <c r="F23" s="173">
        <f ca="1">IF(OR($U$16,$D23&gt;Calc1!$B$14),"",$R$5+QUOTIENT(($E23-1),$U$18)*($R$7+$R$9)/1440+SUM($O$6:$O22)/1440)</f>
        <v>0.47222222222222221</v>
      </c>
      <c r="G23" s="175">
        <f ca="1">IF(OR($U$16,$D23&gt;Calc1!$B$14),"",MOD($E23-1,$U$18)+1)</f>
        <v>2</v>
      </c>
      <c r="H23" s="292" t="str">
        <f t="shared" ca="1" si="2"/>
        <v>B</v>
      </c>
      <c r="I23" s="315" t="str">
        <f ca="1"/>
        <v>B1</v>
      </c>
      <c r="J23" s="316" t="s">
        <v>5</v>
      </c>
      <c r="K23" s="317" t="str">
        <f ca="1"/>
        <v>B6</v>
      </c>
      <c r="L23" s="179" t="str">
        <f t="shared" ca="1" si="0"/>
        <v>Mainz 05</v>
      </c>
      <c r="M23" s="50" t="s">
        <v>5</v>
      </c>
      <c r="N23" s="181" t="str">
        <f t="shared" ca="1" si="1"/>
        <v>AC Roma</v>
      </c>
      <c r="O23" s="321"/>
      <c r="P23" s="310"/>
      <c r="Q23" s="625"/>
      <c r="R23" s="625"/>
      <c r="S23" s="625"/>
      <c r="T23" s="167"/>
      <c r="V23" s="577"/>
      <c r="W23" s="578"/>
      <c r="X23" s="578"/>
      <c r="Y23" s="578"/>
      <c r="Z23" s="578"/>
      <c r="AA23" s="578"/>
      <c r="AB23" s="578"/>
    </row>
    <row r="24" spans="1:28" ht="15.95" customHeight="1" thickBot="1" x14ac:dyDescent="0.3">
      <c r="A24" s="70"/>
      <c r="B24" s="600"/>
      <c r="C24" s="602"/>
      <c r="D24" s="471">
        <v>19</v>
      </c>
      <c r="E24" s="431">
        <f t="array" aca="1" ref="E24" ca="1">IF($D24&gt;Calc1!$B$14,"",ROW(19:19)-SUM((($L$6:$L23="")+($N$6:$N23="")&gt;0)*1))</f>
        <v>19</v>
      </c>
      <c r="F24" s="173">
        <f ca="1">IF(OR($U$16,$D24&gt;Calc1!$B$14),"",$R$5+QUOTIENT(($E24-1),$U$18)*($R$7+$R$9)/1440+SUM($O$6:$O23)/1440)</f>
        <v>0.47222222222222221</v>
      </c>
      <c r="G24" s="175">
        <f ca="1">IF(OR($U$16,$D24&gt;Calc1!$B$14),"",MOD($E24-1,$U$18)+1)</f>
        <v>3</v>
      </c>
      <c r="H24" s="292" t="str">
        <f t="shared" ca="1" si="2"/>
        <v>A</v>
      </c>
      <c r="I24" s="315" t="str">
        <f ca="1"/>
        <v>A5</v>
      </c>
      <c r="J24" s="316" t="s">
        <v>5</v>
      </c>
      <c r="K24" s="317" t="str">
        <f ca="1"/>
        <v>A7</v>
      </c>
      <c r="L24" s="179" t="str">
        <f t="shared" ca="1" si="0"/>
        <v>VFB Essenheim</v>
      </c>
      <c r="M24" s="50" t="s">
        <v>5</v>
      </c>
      <c r="N24" s="181" t="str">
        <f t="shared" ca="1" si="1"/>
        <v>Raslo Winners</v>
      </c>
      <c r="O24" s="321"/>
      <c r="P24" s="310"/>
      <c r="Q24" s="410"/>
      <c r="R24" s="462" t="str">
        <f t="array" aca="1" ref="R24" ca="1">IFERROR(proof!$E$3-SUM(((OFFSET($L$6,0,0,proof!$E$3,1)="")+(OFFSET($N$6,0,0,proof!$E$3,1)="")&gt;0)*1),"")</f>
        <v/>
      </c>
      <c r="S24" s="462" t="str">
        <f t="array" aca="1" ref="S24" ca="1">IFERROR(proof!$E$4-SUM(((OFFSET($L$6,0,0,proof!$E$4,1)="")+(OFFSET($N$6,0,0,proof!$E$4,1)="")&gt;0)*1),"")</f>
        <v/>
      </c>
      <c r="T24" s="167"/>
      <c r="V24" s="577"/>
      <c r="W24" s="578"/>
      <c r="X24" s="578"/>
      <c r="Y24" s="578"/>
      <c r="Z24" s="578"/>
      <c r="AA24" s="578"/>
      <c r="AB24" s="578"/>
    </row>
    <row r="25" spans="1:28" ht="15.95" customHeight="1" thickTop="1" x14ac:dyDescent="0.25">
      <c r="D25" s="471">
        <v>20</v>
      </c>
      <c r="E25" s="431">
        <f t="array" aca="1" ref="E25" ca="1">IF($D25&gt;Calc1!$B$14,"",ROW(20:20)-SUM((($L$6:$L24="")+($N$6:$N24="")&gt;0)*1))</f>
        <v>20</v>
      </c>
      <c r="F25" s="173">
        <f ca="1">IF(OR($U$16,$D25&gt;Calc1!$B$14),"",$R$5+QUOTIENT(($E25-1),$U$18)*($R$7+$R$9)/1440+SUM($O$6:$O24)/1440)</f>
        <v>0.47222222222222221</v>
      </c>
      <c r="G25" s="175">
        <f ca="1">IF(OR($U$16,$D25&gt;Calc1!$B$14),"",MOD($E25-1,$U$18)+1)</f>
        <v>4</v>
      </c>
      <c r="H25" s="292" t="str">
        <f t="shared" ca="1" si="2"/>
        <v>B</v>
      </c>
      <c r="I25" s="315" t="str">
        <f ca="1"/>
        <v>B5</v>
      </c>
      <c r="J25" s="316" t="s">
        <v>5</v>
      </c>
      <c r="K25" s="317" t="str">
        <f ca="1"/>
        <v>B7</v>
      </c>
      <c r="L25" s="179" t="str">
        <f t="shared" ca="1" si="0"/>
        <v>FC Grönlingen</v>
      </c>
      <c r="M25" s="50" t="s">
        <v>5</v>
      </c>
      <c r="N25" s="181" t="str">
        <f t="shared" ca="1" si="1"/>
        <v>VFL Ronsdorf</v>
      </c>
      <c r="O25" s="321"/>
      <c r="P25" s="310"/>
      <c r="Q25" s="611" t="str">
        <f ca="1">IF($U$16,"",IF(proof!$G$2="FEHLER",Sprache!$E$91&amp;proof!$E$6,""))</f>
        <v/>
      </c>
      <c r="R25" s="611"/>
      <c r="S25" s="611"/>
      <c r="T25" s="167"/>
      <c r="V25" s="577"/>
      <c r="W25" s="578"/>
      <c r="X25" s="578"/>
      <c r="Y25" s="578"/>
      <c r="Z25" s="578"/>
      <c r="AA25" s="578"/>
      <c r="AB25" s="578"/>
    </row>
    <row r="26" spans="1:28" ht="15.95" customHeight="1" x14ac:dyDescent="0.25">
      <c r="D26" s="471">
        <v>21</v>
      </c>
      <c r="E26" s="431">
        <f t="array" aca="1" ref="E26" ca="1">IF($D26&gt;Calc1!$B$14,"",ROW(21:21)-SUM((($L$6:$L25="")+($N$6:$N25="")&gt;0)*1))</f>
        <v>21</v>
      </c>
      <c r="F26" s="173">
        <f ca="1">IF(OR($U$16,$D26&gt;Calc1!$B$14),"",$R$5+QUOTIENT(($E26-1),$U$18)*($R$7+$R$9)/1440+SUM($O$6:$O25)/1440)</f>
        <v>0.49652777777777779</v>
      </c>
      <c r="G26" s="175">
        <f ca="1">IF(OR($U$16,$D26&gt;Calc1!$B$14),"",MOD($E26-1,$U$18)+1)</f>
        <v>1</v>
      </c>
      <c r="H26" s="292" t="str">
        <f t="shared" ca="1" si="2"/>
        <v>A</v>
      </c>
      <c r="I26" s="315" t="str">
        <f ca="1"/>
        <v>A8</v>
      </c>
      <c r="J26" s="316" t="s">
        <v>5</v>
      </c>
      <c r="K26" s="317" t="str">
        <f ca="1"/>
        <v>A4</v>
      </c>
      <c r="L26" s="179" t="str">
        <f t="shared" ca="1" si="0"/>
        <v>Knock Out Rangers</v>
      </c>
      <c r="M26" s="50" t="s">
        <v>5</v>
      </c>
      <c r="N26" s="181" t="str">
        <f t="shared" ca="1" si="1"/>
        <v>Maibach 1822 eV</v>
      </c>
      <c r="O26" s="321"/>
      <c r="P26" s="310"/>
      <c r="Q26" s="611" t="str">
        <f ca="1">IF($U$16,"",IF(proof!$G$2="FEHLER",Sprache!$E$92&amp;$R$24&amp;Sprache!$E$93&amp;$S$24,""))</f>
        <v/>
      </c>
      <c r="R26" s="611"/>
      <c r="S26" s="611"/>
      <c r="T26" s="167"/>
    </row>
    <row r="27" spans="1:28" ht="15.95" customHeight="1" x14ac:dyDescent="0.25">
      <c r="B27" s="534"/>
      <c r="C27" s="609" t="str">
        <f>Sprache!$E$16&amp;" B"</f>
        <v>Gruppe B</v>
      </c>
      <c r="D27" s="471">
        <v>22</v>
      </c>
      <c r="E27" s="431">
        <f t="array" aca="1" ref="E27" ca="1">IF($D27&gt;Calc1!$B$14,"",ROW(22:22)-SUM((($L$6:$L26="")+($N$6:$N26="")&gt;0)*1))</f>
        <v>22</v>
      </c>
      <c r="F27" s="173">
        <f ca="1">IF(OR($U$16,$D27&gt;Calc1!$B$14),"",$R$5+QUOTIENT(($E27-1),$U$18)*($R$7+$R$9)/1440+SUM($O$6:$O26)/1440)</f>
        <v>0.49652777777777779</v>
      </c>
      <c r="G27" s="175">
        <f ca="1">IF(OR($U$16,$D27&gt;Calc1!$B$14),"",MOD($E27-1,$U$18)+1)</f>
        <v>2</v>
      </c>
      <c r="H27" s="292" t="str">
        <f t="shared" ca="1" si="2"/>
        <v>B</v>
      </c>
      <c r="I27" s="315" t="str">
        <f ca="1"/>
        <v>B8</v>
      </c>
      <c r="J27" s="316" t="s">
        <v>5</v>
      </c>
      <c r="K27" s="317" t="str">
        <f ca="1"/>
        <v>B4</v>
      </c>
      <c r="L27" s="179" t="str">
        <f t="shared" ca="1" si="0"/>
        <v>Borussia Heine</v>
      </c>
      <c r="M27" s="50" t="s">
        <v>5</v>
      </c>
      <c r="N27" s="181" t="str">
        <f t="shared" ca="1" si="1"/>
        <v>Manchester City</v>
      </c>
      <c r="O27" s="321"/>
      <c r="P27" s="310"/>
      <c r="Q27" s="410"/>
      <c r="R27" s="170"/>
      <c r="S27" s="170"/>
      <c r="T27" s="167"/>
    </row>
    <row r="28" spans="1:28" ht="15.95" customHeight="1" thickBot="1" x14ac:dyDescent="0.3">
      <c r="B28" s="535"/>
      <c r="C28" s="610"/>
      <c r="D28" s="471">
        <v>23</v>
      </c>
      <c r="E28" s="431">
        <f t="array" aca="1" ref="E28" ca="1">IF($D28&gt;Calc1!$B$14,"",ROW(23:23)-SUM((($L$6:$L27="")+($N$6:$N27="")&gt;0)*1))</f>
        <v>23</v>
      </c>
      <c r="F28" s="173">
        <f ca="1">IF(OR($U$16,$D28&gt;Calc1!$B$14),"",$R$5+QUOTIENT(($E28-1),$U$18)*($R$7+$R$9)/1440+SUM($O$6:$O27)/1440)</f>
        <v>0.49652777777777779</v>
      </c>
      <c r="G28" s="175">
        <f ca="1">IF(OR($U$16,$D28&gt;Calc1!$B$14),"",MOD($E28-1,$U$18)+1)</f>
        <v>3</v>
      </c>
      <c r="H28" s="292" t="str">
        <f t="shared" ca="1" si="2"/>
        <v>A</v>
      </c>
      <c r="I28" s="315" t="str">
        <f ca="1"/>
        <v>A3</v>
      </c>
      <c r="J28" s="316" t="s">
        <v>5</v>
      </c>
      <c r="K28" s="317" t="str">
        <f ca="1"/>
        <v>A2</v>
      </c>
      <c r="L28" s="52" t="str">
        <f t="shared" ca="1" si="0"/>
        <v>Eintracht Frankfurt</v>
      </c>
      <c r="M28" s="50" t="s">
        <v>5</v>
      </c>
      <c r="N28" s="51" t="str">
        <f t="shared" ca="1" si="1"/>
        <v>FC Barcelona</v>
      </c>
      <c r="O28" s="321"/>
      <c r="P28" s="310"/>
      <c r="Q28" s="170"/>
      <c r="R28" s="170"/>
      <c r="S28" s="170"/>
      <c r="T28" s="167"/>
    </row>
    <row r="29" spans="1:28" ht="15.95" customHeight="1" thickTop="1" x14ac:dyDescent="0.25">
      <c r="B29" s="605"/>
      <c r="C29" s="607" t="str">
        <f>Sprache!$E$10</f>
        <v>Teilnehmer bzw. Mannschaft</v>
      </c>
      <c r="D29" s="471">
        <v>24</v>
      </c>
      <c r="E29" s="431">
        <f t="array" aca="1" ref="E29" ca="1">IF($D29&gt;Calc1!$B$14,"",ROW(24:24)-SUM((($L$6:$L28="")+($N$6:$N28="")&gt;0)*1))</f>
        <v>24</v>
      </c>
      <c r="F29" s="173">
        <f ca="1">IF(OR($U$16,$D29&gt;Calc1!$B$14),"",$R$5+QUOTIENT(($E29-1),$U$18)*($R$7+$R$9)/1440+SUM($O$6:$O28)/1440)</f>
        <v>0.49652777777777779</v>
      </c>
      <c r="G29" s="175">
        <f ca="1">IF(OR($U$16,$D29&gt;Calc1!$B$14),"",MOD($E29-1,$U$18)+1)</f>
        <v>4</v>
      </c>
      <c r="H29" s="292" t="str">
        <f t="shared" ca="1" si="2"/>
        <v>B</v>
      </c>
      <c r="I29" s="315" t="str">
        <f ca="1"/>
        <v>B3</v>
      </c>
      <c r="J29" s="316" t="s">
        <v>5</v>
      </c>
      <c r="K29" s="317" t="str">
        <f ca="1"/>
        <v>B2</v>
      </c>
      <c r="L29" s="179" t="str">
        <f t="shared" ca="1" si="0"/>
        <v>SSV Wildbach</v>
      </c>
      <c r="M29" s="50" t="s">
        <v>5</v>
      </c>
      <c r="N29" s="181" t="str">
        <f t="shared" ca="1" si="1"/>
        <v>Inter Mailand</v>
      </c>
      <c r="O29" s="321"/>
      <c r="P29" s="310"/>
      <c r="Q29" s="410"/>
      <c r="R29" s="170"/>
      <c r="S29" s="170"/>
      <c r="T29" s="167"/>
    </row>
    <row r="30" spans="1:28" ht="15.95" customHeight="1" x14ac:dyDescent="0.25">
      <c r="B30" s="606"/>
      <c r="C30" s="608"/>
      <c r="D30" s="471">
        <v>25</v>
      </c>
      <c r="E30" s="431">
        <f t="array" aca="1" ref="E30" ca="1">IF($D30&gt;Calc1!$B$14,"",ROW(25:25)-SUM((($L$6:$L29="")+($N$6:$N29="")&gt;0)*1))</f>
        <v>25</v>
      </c>
      <c r="F30" s="173">
        <f ca="1">IF(OR($U$16,$D30&gt;Calc1!$B$14),"",$R$5+QUOTIENT(($E30-1),$U$18)*($R$7+$R$9)/1440+SUM($O$6:$O29)/1440)</f>
        <v>0.52083333333333337</v>
      </c>
      <c r="G30" s="175">
        <f ca="1">IF(OR($U$16,$D30&gt;Calc1!$B$14),"",MOD($E30-1,$U$18)+1)</f>
        <v>1</v>
      </c>
      <c r="H30" s="292" t="str">
        <f t="shared" ca="1" si="2"/>
        <v>A</v>
      </c>
      <c r="I30" s="315" t="str">
        <f ca="1"/>
        <v>A5</v>
      </c>
      <c r="J30" s="316" t="s">
        <v>5</v>
      </c>
      <c r="K30" s="317" t="str">
        <f ca="1"/>
        <v>A1</v>
      </c>
      <c r="L30" s="179" t="str">
        <f t="shared" ca="1" si="0"/>
        <v>VFB Essenheim</v>
      </c>
      <c r="M30" s="50" t="s">
        <v>5</v>
      </c>
      <c r="N30" s="181" t="str">
        <f t="shared" ca="1" si="1"/>
        <v>1. FC Riedwald</v>
      </c>
      <c r="O30" s="321"/>
      <c r="P30" s="310"/>
      <c r="Q30" s="410"/>
      <c r="R30" s="170"/>
      <c r="S30" s="170"/>
      <c r="T30" s="167"/>
    </row>
    <row r="31" spans="1:28" ht="15.95" customHeight="1" x14ac:dyDescent="0.25">
      <c r="B31" s="532" t="s">
        <v>209</v>
      </c>
      <c r="C31" s="634" t="s">
        <v>271</v>
      </c>
      <c r="D31" s="471">
        <v>26</v>
      </c>
      <c r="E31" s="431">
        <f t="array" aca="1" ref="E31" ca="1">IF($D31&gt;Calc1!$B$14,"",ROW(26:26)-SUM((($L$6:$L30="")+($N$6:$N30="")&gt;0)*1))</f>
        <v>26</v>
      </c>
      <c r="F31" s="173">
        <f ca="1">IF(OR($U$16,$D31&gt;Calc1!$B$14),"",$R$5+QUOTIENT(($E31-1),$U$18)*($R$7+$R$9)/1440+SUM($O$6:$O30)/1440)</f>
        <v>0.52083333333333337</v>
      </c>
      <c r="G31" s="175">
        <f ca="1">IF(OR($U$16,$D31&gt;Calc1!$B$14),"",MOD($E31-1,$U$18)+1)</f>
        <v>2</v>
      </c>
      <c r="H31" s="292" t="str">
        <f t="shared" ca="1" si="2"/>
        <v>B</v>
      </c>
      <c r="I31" s="315" t="str">
        <f ca="1"/>
        <v>B5</v>
      </c>
      <c r="J31" s="316" t="s">
        <v>5</v>
      </c>
      <c r="K31" s="317" t="str">
        <f ca="1"/>
        <v>B1</v>
      </c>
      <c r="L31" s="179" t="str">
        <f t="shared" ca="1" si="0"/>
        <v>FC Grönlingen</v>
      </c>
      <c r="M31" s="50" t="s">
        <v>5</v>
      </c>
      <c r="N31" s="181" t="str">
        <f t="shared" ca="1" si="1"/>
        <v>Mainz 05</v>
      </c>
      <c r="O31" s="321"/>
      <c r="P31" s="310"/>
      <c r="Q31" s="410"/>
      <c r="R31" s="170"/>
      <c r="S31" s="170"/>
      <c r="T31" s="167"/>
    </row>
    <row r="32" spans="1:28" ht="15.95" customHeight="1" x14ac:dyDescent="0.25">
      <c r="B32" s="533"/>
      <c r="C32" s="603"/>
      <c r="D32" s="471">
        <v>27</v>
      </c>
      <c r="E32" s="431">
        <f t="array" aca="1" ref="E32" ca="1">IF($D32&gt;Calc1!$B$14,"",ROW(27:27)-SUM((($L$6:$L31="")+($N$6:$N31="")&gt;0)*1))</f>
        <v>27</v>
      </c>
      <c r="F32" s="173">
        <f ca="1">IF(OR($U$16,$D32&gt;Calc1!$B$14),"",$R$5+QUOTIENT(($E32-1),$U$18)*($R$7+$R$9)/1440+SUM($O$6:$O31)/1440)</f>
        <v>0.52083333333333337</v>
      </c>
      <c r="G32" s="175">
        <f ca="1">IF(OR($U$16,$D32&gt;Calc1!$B$14),"",MOD($E32-1,$U$18)+1)</f>
        <v>3</v>
      </c>
      <c r="H32" s="293" t="str">
        <f t="shared" ca="1" si="2"/>
        <v>A</v>
      </c>
      <c r="I32" s="315" t="str">
        <f ca="1"/>
        <v>A4</v>
      </c>
      <c r="J32" s="316" t="s">
        <v>5</v>
      </c>
      <c r="K32" s="317" t="str">
        <f ca="1"/>
        <v>A6</v>
      </c>
      <c r="L32" s="52" t="str">
        <f t="shared" ca="1" si="0"/>
        <v>Maibach 1822 eV</v>
      </c>
      <c r="M32" s="50" t="s">
        <v>5</v>
      </c>
      <c r="N32" s="51" t="str">
        <f t="shared" ca="1" si="1"/>
        <v>Fun Kickers Oes</v>
      </c>
      <c r="O32" s="321"/>
      <c r="P32" s="310"/>
      <c r="Q32" s="410"/>
      <c r="R32" s="170"/>
      <c r="S32" s="170"/>
      <c r="T32" s="167"/>
    </row>
    <row r="33" spans="2:20" ht="15.95" customHeight="1" x14ac:dyDescent="0.25">
      <c r="B33" s="599" t="s">
        <v>211</v>
      </c>
      <c r="C33" s="601" t="s">
        <v>272</v>
      </c>
      <c r="D33" s="471">
        <v>28</v>
      </c>
      <c r="E33" s="431">
        <f t="array" aca="1" ref="E33" ca="1">IF($D33&gt;Calc1!$B$14,"",ROW(28:28)-SUM((($L$6:$L32="")+($N$6:$N32="")&gt;0)*1))</f>
        <v>28</v>
      </c>
      <c r="F33" s="173">
        <f ca="1">IF(OR($U$16,$D33&gt;Calc1!$B$14),"",$R$5+QUOTIENT(($E33-1),$U$18)*($R$7+$R$9)/1440+SUM($O$6:$O32)/1440)</f>
        <v>0.52083333333333337</v>
      </c>
      <c r="G33" s="175">
        <f ca="1">IF(OR($U$16,$D33&gt;Calc1!$B$14),"",MOD($E33-1,$U$18)+1)</f>
        <v>4</v>
      </c>
      <c r="H33" s="293" t="str">
        <f t="shared" ca="1" si="2"/>
        <v>B</v>
      </c>
      <c r="I33" s="315" t="str">
        <f ca="1"/>
        <v>B4</v>
      </c>
      <c r="J33" s="316" t="s">
        <v>5</v>
      </c>
      <c r="K33" s="317" t="str">
        <f ca="1"/>
        <v>B6</v>
      </c>
      <c r="L33" s="52" t="str">
        <f t="shared" ca="1" si="0"/>
        <v>Manchester City</v>
      </c>
      <c r="M33" s="50" t="s">
        <v>5</v>
      </c>
      <c r="N33" s="51" t="str">
        <f t="shared" ca="1" si="1"/>
        <v>AC Roma</v>
      </c>
      <c r="O33" s="321"/>
      <c r="P33" s="310"/>
      <c r="Q33" s="410"/>
      <c r="R33" s="170"/>
      <c r="S33" s="170"/>
      <c r="T33" s="167"/>
    </row>
    <row r="34" spans="2:20" ht="15.95" customHeight="1" x14ac:dyDescent="0.25">
      <c r="B34" s="604"/>
      <c r="C34" s="603"/>
      <c r="D34" s="471">
        <v>29</v>
      </c>
      <c r="E34" s="431">
        <f t="array" aca="1" ref="E34" ca="1">IF($D34&gt;Calc1!$B$14,"",ROW(29:29)-SUM((($L$6:$L33="")+($N$6:$N33="")&gt;0)*1))</f>
        <v>29</v>
      </c>
      <c r="F34" s="173">
        <f ca="1">IF(OR($U$16,$D34&gt;Calc1!$B$14),"",$R$5+QUOTIENT(($E34-1),$U$18)*($R$7+$R$9)/1440+SUM($O$6:$O33)/1440)</f>
        <v>0.54513888888888884</v>
      </c>
      <c r="G34" s="175">
        <f ca="1">IF(OR($U$16,$D34&gt;Calc1!$B$14),"",MOD($E34-1,$U$18)+1)</f>
        <v>1</v>
      </c>
      <c r="H34" s="292" t="str">
        <f t="shared" ca="1" si="2"/>
        <v>A</v>
      </c>
      <c r="I34" s="315" t="str">
        <f ca="1"/>
        <v>A7</v>
      </c>
      <c r="J34" s="316" t="s">
        <v>5</v>
      </c>
      <c r="K34" s="317" t="str">
        <f ca="1"/>
        <v>A3</v>
      </c>
      <c r="L34" s="52" t="str">
        <f t="shared" ca="1" si="0"/>
        <v>Raslo Winners</v>
      </c>
      <c r="M34" s="50" t="s">
        <v>5</v>
      </c>
      <c r="N34" s="51" t="str">
        <f t="shared" ca="1" si="1"/>
        <v>Eintracht Frankfurt</v>
      </c>
      <c r="O34" s="322"/>
      <c r="P34" s="310"/>
      <c r="Q34" s="410"/>
      <c r="R34" s="170"/>
      <c r="S34" s="170"/>
      <c r="T34" s="167"/>
    </row>
    <row r="35" spans="2:20" ht="15.95" customHeight="1" x14ac:dyDescent="0.25">
      <c r="B35" s="599" t="s">
        <v>207</v>
      </c>
      <c r="C35" s="601" t="s">
        <v>274</v>
      </c>
      <c r="D35" s="471">
        <v>30</v>
      </c>
      <c r="E35" s="431">
        <f t="array" aca="1" ref="E35" ca="1">IF($D35&gt;Calc1!$B$14,"",ROW(30:30)-SUM((($L$6:$L34="")+($N$6:$N34="")&gt;0)*1))</f>
        <v>30</v>
      </c>
      <c r="F35" s="173">
        <f ca="1">IF(OR($U$16,$D35&gt;Calc1!$B$14),"",$R$5+QUOTIENT(($E35-1),$U$18)*($R$7+$R$9)/1440+SUM($O$6:$O34)/1440)</f>
        <v>0.54513888888888884</v>
      </c>
      <c r="G35" s="175">
        <f ca="1">IF(OR($U$16,$D35&gt;Calc1!$B$14),"",MOD($E35-1,$U$18)+1)</f>
        <v>2</v>
      </c>
      <c r="H35" s="293" t="str">
        <f t="shared" ca="1" si="2"/>
        <v>B</v>
      </c>
      <c r="I35" s="315" t="str">
        <f ca="1"/>
        <v>B7</v>
      </c>
      <c r="J35" s="316" t="s">
        <v>5</v>
      </c>
      <c r="K35" s="317" t="str">
        <f ca="1"/>
        <v>B3</v>
      </c>
      <c r="L35" s="52" t="str">
        <f t="shared" ref="L35:L77" ca="1" si="3">IF($I35="","",IF(VLOOKUP($I35,$B$7:$C$48,2,0)="","",VLOOKUP($I35,$B$7:$C$48,2,0)))</f>
        <v>VFL Ronsdorf</v>
      </c>
      <c r="M35" s="50" t="s">
        <v>5</v>
      </c>
      <c r="N35" s="51" t="str">
        <f t="shared" ref="N35:N77" ca="1" si="4">IF($K35="","",IF(VLOOKUP($K35,$B$7:$C$48,2,0)="","",VLOOKUP($K35,$B$7:$C$48,2,0)))</f>
        <v>SSV Wildbach</v>
      </c>
      <c r="O35" s="321"/>
      <c r="P35" s="310"/>
      <c r="Q35" s="410"/>
      <c r="R35" s="170"/>
      <c r="S35" s="170"/>
      <c r="T35" s="167"/>
    </row>
    <row r="36" spans="2:20" ht="17.25" x14ac:dyDescent="0.25">
      <c r="B36" s="604"/>
      <c r="C36" s="603"/>
      <c r="D36" s="471">
        <v>31</v>
      </c>
      <c r="E36" s="431">
        <f t="array" aca="1" ref="E36" ca="1">IF($D36&gt;Calc1!$B$14,"",ROW(31:31)-SUM((($L$6:$L35="")+($N$6:$N35="")&gt;0)*1))</f>
        <v>31</v>
      </c>
      <c r="F36" s="173">
        <f ca="1">IF(OR($U$16,$D36&gt;Calc1!$B$14),"",$R$5+QUOTIENT(($E36-1),$U$18)*($R$7+$R$9)/1440+SUM($O$6:$O35)/1440)</f>
        <v>0.54513888888888884</v>
      </c>
      <c r="G36" s="175">
        <f ca="1">IF(OR($U$16,$D36&gt;Calc1!$B$14),"",MOD($E36-1,$U$18)+1)</f>
        <v>3</v>
      </c>
      <c r="H36" s="293" t="str">
        <f t="shared" ca="1" si="2"/>
        <v>A</v>
      </c>
      <c r="I36" s="550" t="str">
        <f ca="1"/>
        <v>A2</v>
      </c>
      <c r="J36" s="316" t="s">
        <v>5</v>
      </c>
      <c r="K36" s="551" t="str">
        <f ca="1"/>
        <v>A8</v>
      </c>
      <c r="L36" s="52" t="str">
        <f t="shared" ca="1" si="3"/>
        <v>FC Barcelona</v>
      </c>
      <c r="M36" s="50" t="s">
        <v>5</v>
      </c>
      <c r="N36" s="51" t="str">
        <f t="shared" ca="1" si="4"/>
        <v>Knock Out Rangers</v>
      </c>
      <c r="O36" s="321"/>
      <c r="P36" s="169"/>
      <c r="Q36" s="410"/>
      <c r="R36" s="170"/>
      <c r="S36" s="170"/>
      <c r="T36" s="311"/>
    </row>
    <row r="37" spans="2:20" ht="17.25" x14ac:dyDescent="0.25">
      <c r="B37" s="599" t="s">
        <v>213</v>
      </c>
      <c r="C37" s="601" t="s">
        <v>273</v>
      </c>
      <c r="D37" s="471">
        <v>32</v>
      </c>
      <c r="E37" s="431">
        <f t="array" aca="1" ref="E37" ca="1">IF($D37&gt;Calc1!$B$14,"",ROW(32:32)-SUM((($L$6:$L36="")+($N$6:$N36="")&gt;0)*1))</f>
        <v>32</v>
      </c>
      <c r="F37" s="173">
        <f ca="1">IF(OR($U$16,$D37&gt;Calc1!$B$14),"",$R$5+QUOTIENT(($E37-1),$U$18)*($R$7+$R$9)/1440+SUM($O$6:$O36)/1440)</f>
        <v>0.54513888888888884</v>
      </c>
      <c r="G37" s="175">
        <f ca="1">IF(OR($U$16,$D37&gt;Calc1!$B$14),"",MOD($E37-1,$U$18)+1)</f>
        <v>4</v>
      </c>
      <c r="H37" s="293" t="str">
        <f t="shared" ca="1" si="2"/>
        <v>B</v>
      </c>
      <c r="I37" s="550" t="str">
        <f ca="1"/>
        <v>B2</v>
      </c>
      <c r="J37" s="316" t="s">
        <v>5</v>
      </c>
      <c r="K37" s="551" t="str">
        <f ca="1"/>
        <v>B8</v>
      </c>
      <c r="L37" s="52" t="str">
        <f t="shared" ca="1" si="3"/>
        <v>Inter Mailand</v>
      </c>
      <c r="M37" s="50" t="s">
        <v>5</v>
      </c>
      <c r="N37" s="51" t="str">
        <f t="shared" ca="1" si="4"/>
        <v>Borussia Heine</v>
      </c>
      <c r="O37" s="321"/>
      <c r="P37" s="169"/>
      <c r="Q37" s="410"/>
      <c r="R37" s="170"/>
      <c r="S37" s="170"/>
      <c r="T37" s="311"/>
    </row>
    <row r="38" spans="2:20" ht="17.25" customHeight="1" x14ac:dyDescent="0.25">
      <c r="B38" s="604"/>
      <c r="C38" s="603"/>
      <c r="D38" s="471">
        <v>33</v>
      </c>
      <c r="E38" s="431">
        <f t="array" aca="1" ref="E38" ca="1">IF($D38&gt;Calc1!$B$14,"",ROW(33:33)-SUM((($L$6:$L37="")+($N$6:$N37="")&gt;0)*1))</f>
        <v>33</v>
      </c>
      <c r="F38" s="173">
        <f ca="1">IF(OR($U$16,$D38&gt;Calc1!$B$14),"",$R$5+QUOTIENT(($E38-1),$U$18)*($R$7+$R$9)/1440+SUM($O$6:$O37)/1440)</f>
        <v>0.56944444444444442</v>
      </c>
      <c r="G38" s="175">
        <f ca="1">IF(OR($U$16,$D38&gt;Calc1!$B$14),"",MOD($E38-1,$U$18)+1)</f>
        <v>1</v>
      </c>
      <c r="H38" s="293" t="str">
        <f t="shared" ca="1" si="2"/>
        <v>A</v>
      </c>
      <c r="I38" s="550" t="str">
        <f ca="1"/>
        <v>A1</v>
      </c>
      <c r="J38" s="316" t="s">
        <v>5</v>
      </c>
      <c r="K38" s="551" t="str">
        <f ca="1"/>
        <v>A4</v>
      </c>
      <c r="L38" s="52" t="str">
        <f t="shared" ca="1" si="3"/>
        <v>1. FC Riedwald</v>
      </c>
      <c r="M38" s="50" t="s">
        <v>5</v>
      </c>
      <c r="N38" s="51" t="str">
        <f t="shared" ca="1" si="4"/>
        <v>Maibach 1822 eV</v>
      </c>
      <c r="O38" s="321"/>
      <c r="P38" s="169"/>
      <c r="Q38" s="410"/>
      <c r="R38" s="170"/>
      <c r="S38" s="170"/>
      <c r="T38" s="170"/>
    </row>
    <row r="39" spans="2:20" ht="18" customHeight="1" x14ac:dyDescent="0.25">
      <c r="B39" s="599" t="s">
        <v>215</v>
      </c>
      <c r="C39" s="601" t="s">
        <v>275</v>
      </c>
      <c r="D39" s="471">
        <v>34</v>
      </c>
      <c r="E39" s="431">
        <f t="array" aca="1" ref="E39" ca="1">IF($D39&gt;Calc1!$B$14,"",ROW(34:34)-SUM((($L$6:$L38="")+($N$6:$N38="")&gt;0)*1))</f>
        <v>34</v>
      </c>
      <c r="F39" s="173">
        <f ca="1">IF(OR($U$16,$D39&gt;Calc1!$B$14),"",$R$5+QUOTIENT(($E39-1),$U$18)*($R$7+$R$9)/1440+SUM($O$6:$O38)/1440)</f>
        <v>0.56944444444444442</v>
      </c>
      <c r="G39" s="175">
        <f ca="1">IF(OR($U$16,$D39&gt;Calc1!$B$14),"",MOD($E39-1,$U$18)+1)</f>
        <v>2</v>
      </c>
      <c r="H39" s="293" t="str">
        <f t="shared" ca="1" si="2"/>
        <v>B</v>
      </c>
      <c r="I39" s="550" t="str">
        <f ca="1"/>
        <v>B1</v>
      </c>
      <c r="J39" s="316" t="s">
        <v>5</v>
      </c>
      <c r="K39" s="551" t="str">
        <f ca="1"/>
        <v>B4</v>
      </c>
      <c r="L39" s="52" t="str">
        <f t="shared" ca="1" si="3"/>
        <v>Mainz 05</v>
      </c>
      <c r="M39" s="50" t="s">
        <v>5</v>
      </c>
      <c r="N39" s="51" t="str">
        <f t="shared" ca="1" si="4"/>
        <v>Manchester City</v>
      </c>
      <c r="O39" s="321"/>
      <c r="P39" s="169"/>
      <c r="Q39" s="170"/>
      <c r="R39" s="170"/>
      <c r="S39" s="170"/>
      <c r="T39" s="170"/>
    </row>
    <row r="40" spans="2:20" ht="17.25" x14ac:dyDescent="0.3">
      <c r="B40" s="604"/>
      <c r="C40" s="603"/>
      <c r="D40" s="471">
        <v>35</v>
      </c>
      <c r="E40" s="431">
        <f t="array" aca="1" ref="E40" ca="1">IF($D40&gt;Calc1!$B$14,"",ROW(35:35)-SUM((($L$6:$L39="")+($N$6:$N39="")&gt;0)*1))</f>
        <v>35</v>
      </c>
      <c r="F40" s="173">
        <f ca="1">IF(OR($U$16,$D40&gt;Calc1!$B$14),"",$R$5+QUOTIENT(($E40-1),$U$18)*($R$7+$R$9)/1440+SUM($O$6:$O39)/1440)</f>
        <v>0.56944444444444442</v>
      </c>
      <c r="G40" s="175">
        <f ca="1">IF(OR($U$16,$D40&gt;Calc1!$B$14),"",MOD($E40-1,$U$18)+1)</f>
        <v>3</v>
      </c>
      <c r="H40" s="293" t="str">
        <f t="shared" ca="1" si="2"/>
        <v>A</v>
      </c>
      <c r="I40" s="552" t="str">
        <f ca="1"/>
        <v>A3</v>
      </c>
      <c r="J40" s="316" t="s">
        <v>5</v>
      </c>
      <c r="K40" s="553" t="str">
        <f ca="1"/>
        <v>A5</v>
      </c>
      <c r="L40" s="52" t="str">
        <f t="shared" ca="1" si="3"/>
        <v>Eintracht Frankfurt</v>
      </c>
      <c r="M40" s="50" t="s">
        <v>5</v>
      </c>
      <c r="N40" s="51" t="str">
        <f t="shared" ca="1" si="4"/>
        <v>VFB Essenheim</v>
      </c>
      <c r="O40" s="321"/>
    </row>
    <row r="41" spans="2:20" ht="15.75" customHeight="1" x14ac:dyDescent="0.3">
      <c r="B41" s="599" t="s">
        <v>217</v>
      </c>
      <c r="C41" s="601" t="s">
        <v>366</v>
      </c>
      <c r="D41" s="471">
        <v>36</v>
      </c>
      <c r="E41" s="431">
        <f t="array" aca="1" ref="E41" ca="1">IF($D41&gt;Calc1!$B$14,"",ROW(36:36)-SUM((($L$6:$L40="")+($N$6:$N40="")&gt;0)*1))</f>
        <v>36</v>
      </c>
      <c r="F41" s="173">
        <f ca="1">IF(OR($U$16,$D41&gt;Calc1!$B$14),"",$R$5+QUOTIENT(($E41-1),$U$18)*($R$7+$R$9)/1440+SUM($O$6:$O40)/1440)</f>
        <v>0.56944444444444442</v>
      </c>
      <c r="G41" s="175">
        <f ca="1">IF(OR($U$16,$D41&gt;Calc1!$B$14),"",MOD($E41-1,$U$18)+1)</f>
        <v>4</v>
      </c>
      <c r="H41" s="293" t="str">
        <f t="shared" ca="1" si="2"/>
        <v>B</v>
      </c>
      <c r="I41" s="552" t="str">
        <f ca="1"/>
        <v>B3</v>
      </c>
      <c r="J41" s="316" t="s">
        <v>5</v>
      </c>
      <c r="K41" s="553" t="str">
        <f ca="1"/>
        <v>B5</v>
      </c>
      <c r="L41" s="52" t="str">
        <f t="shared" ca="1" si="3"/>
        <v>SSV Wildbach</v>
      </c>
      <c r="M41" s="50" t="s">
        <v>5</v>
      </c>
      <c r="N41" s="51" t="str">
        <f t="shared" ca="1" si="4"/>
        <v>FC Grönlingen</v>
      </c>
      <c r="O41" s="321"/>
    </row>
    <row r="42" spans="2:20" ht="15.75" customHeight="1" x14ac:dyDescent="0.3">
      <c r="B42" s="604"/>
      <c r="C42" s="603"/>
      <c r="D42" s="471">
        <v>37</v>
      </c>
      <c r="E42" s="431">
        <f t="array" aca="1" ref="E42" ca="1">IF($D42&gt;Calc1!$B$14,"",ROW(37:37)-SUM((($L$6:$L41="")+($N$6:$N41="")&gt;0)*1))</f>
        <v>37</v>
      </c>
      <c r="F42" s="173">
        <f ca="1">IF(OR($U$16,$D42&gt;Calc1!$B$14),"",$R$5+QUOTIENT(($E42-1),$U$18)*($R$7+$R$9)/1440+SUM($O$6:$O41)/1440)</f>
        <v>0.59375</v>
      </c>
      <c r="G42" s="175">
        <f ca="1">IF(OR($U$16,$D42&gt;Calc1!$B$14),"",MOD($E42-1,$U$18)+1)</f>
        <v>1</v>
      </c>
      <c r="H42" s="293" t="str">
        <f t="shared" ca="1" si="2"/>
        <v>A</v>
      </c>
      <c r="I42" s="552" t="str">
        <f ca="1"/>
        <v>A6</v>
      </c>
      <c r="J42" s="316" t="s">
        <v>5</v>
      </c>
      <c r="K42" s="553" t="str">
        <f ca="1"/>
        <v>A2</v>
      </c>
      <c r="L42" s="52" t="str">
        <f t="shared" ca="1" si="3"/>
        <v>Fun Kickers Oes</v>
      </c>
      <c r="M42" s="50" t="s">
        <v>5</v>
      </c>
      <c r="N42" s="51" t="str">
        <f t="shared" ca="1" si="4"/>
        <v>FC Barcelona</v>
      </c>
      <c r="O42" s="321"/>
    </row>
    <row r="43" spans="2:20" ht="15.75" customHeight="1" x14ac:dyDescent="0.3">
      <c r="B43" s="599" t="s">
        <v>338</v>
      </c>
      <c r="C43" s="601" t="s">
        <v>367</v>
      </c>
      <c r="D43" s="471">
        <v>38</v>
      </c>
      <c r="E43" s="431">
        <f t="array" aca="1" ref="E43" ca="1">IF($D43&gt;Calc1!$B$14,"",ROW(38:38)-SUM((($L$6:$L42="")+($N$6:$N42="")&gt;0)*1))</f>
        <v>38</v>
      </c>
      <c r="F43" s="173">
        <f ca="1">IF(OR($U$16,$D43&gt;Calc1!$B$14),"",$R$5+QUOTIENT(($E43-1),$U$18)*($R$7+$R$9)/1440+SUM($O$6:$O42)/1440)</f>
        <v>0.59375</v>
      </c>
      <c r="G43" s="175">
        <f ca="1">IF(OR($U$16,$D43&gt;Calc1!$B$14),"",MOD($E43-1,$U$18)+1)</f>
        <v>2</v>
      </c>
      <c r="H43" s="293" t="str">
        <f t="shared" ca="1" si="2"/>
        <v>B</v>
      </c>
      <c r="I43" s="552" t="str">
        <f ca="1"/>
        <v>B6</v>
      </c>
      <c r="J43" s="316" t="s">
        <v>5</v>
      </c>
      <c r="K43" s="553" t="str">
        <f ca="1"/>
        <v>B2</v>
      </c>
      <c r="L43" s="52" t="str">
        <f t="shared" ca="1" si="3"/>
        <v>AC Roma</v>
      </c>
      <c r="M43" s="50" t="s">
        <v>5</v>
      </c>
      <c r="N43" s="51" t="str">
        <f t="shared" ca="1" si="4"/>
        <v>Inter Mailand</v>
      </c>
      <c r="O43" s="321"/>
    </row>
    <row r="44" spans="2:20" ht="17.25" x14ac:dyDescent="0.3">
      <c r="B44" s="604"/>
      <c r="C44" s="603"/>
      <c r="D44" s="471">
        <v>39</v>
      </c>
      <c r="E44" s="431">
        <f t="array" aca="1" ref="E44" ca="1">IF($D44&gt;Calc1!$B$14,"",ROW(39:39)-SUM((($L$6:$L43="")+($N$6:$N43="")&gt;0)*1))</f>
        <v>39</v>
      </c>
      <c r="F44" s="173">
        <f ca="1">IF(OR($U$16,$D44&gt;Calc1!$B$14),"",$R$5+QUOTIENT(($E44-1),$U$18)*($R$7+$R$9)/1440+SUM($O$6:$O43)/1440)</f>
        <v>0.59375</v>
      </c>
      <c r="G44" s="175">
        <f ca="1">IF(OR($U$16,$D44&gt;Calc1!$B$14),"",MOD($E44-1,$U$18)+1)</f>
        <v>3</v>
      </c>
      <c r="H44" s="293" t="str">
        <f t="shared" ca="1" si="2"/>
        <v>A</v>
      </c>
      <c r="I44" s="552" t="str">
        <f ca="1"/>
        <v>A8</v>
      </c>
      <c r="J44" s="316" t="s">
        <v>5</v>
      </c>
      <c r="K44" s="553" t="str">
        <f ca="1"/>
        <v>A7</v>
      </c>
      <c r="L44" s="52" t="str">
        <f t="shared" ca="1" si="3"/>
        <v>Knock Out Rangers</v>
      </c>
      <c r="M44" s="50" t="s">
        <v>5</v>
      </c>
      <c r="N44" s="51" t="str">
        <f t="shared" ca="1" si="4"/>
        <v>Raslo Winners</v>
      </c>
      <c r="O44" s="321"/>
    </row>
    <row r="45" spans="2:20" ht="17.25" x14ac:dyDescent="0.3">
      <c r="B45" s="599" t="s">
        <v>339</v>
      </c>
      <c r="C45" s="601" t="s">
        <v>369</v>
      </c>
      <c r="D45" s="471">
        <v>40</v>
      </c>
      <c r="E45" s="431">
        <f t="array" aca="1" ref="E45" ca="1">IF($D45&gt;Calc1!$B$14,"",ROW(40:40)-SUM((($L$6:$L44="")+($N$6:$N44="")&gt;0)*1))</f>
        <v>40</v>
      </c>
      <c r="F45" s="173">
        <f ca="1">IF(OR($U$16,$D45&gt;Calc1!$B$14),"",$R$5+QUOTIENT(($E45-1),$U$18)*($R$7+$R$9)/1440+SUM($O$6:$O44)/1440)</f>
        <v>0.59375</v>
      </c>
      <c r="G45" s="175">
        <f ca="1">IF(OR($U$16,$D45&gt;Calc1!$B$14),"",MOD($E45-1,$U$18)+1)</f>
        <v>4</v>
      </c>
      <c r="H45" s="293" t="str">
        <f t="shared" ca="1" si="2"/>
        <v>B</v>
      </c>
      <c r="I45" s="552" t="str">
        <f ca="1"/>
        <v>B8</v>
      </c>
      <c r="J45" s="316" t="s">
        <v>5</v>
      </c>
      <c r="K45" s="553" t="str">
        <f ca="1"/>
        <v>B7</v>
      </c>
      <c r="L45" s="52" t="str">
        <f t="shared" ca="1" si="3"/>
        <v>Borussia Heine</v>
      </c>
      <c r="M45" s="50" t="s">
        <v>5</v>
      </c>
      <c r="N45" s="51" t="str">
        <f t="shared" ca="1" si="4"/>
        <v>VFL Ronsdorf</v>
      </c>
      <c r="O45" s="321"/>
    </row>
    <row r="46" spans="2:20" ht="17.25" x14ac:dyDescent="0.3">
      <c r="B46" s="604"/>
      <c r="C46" s="603"/>
      <c r="D46" s="471">
        <v>41</v>
      </c>
      <c r="E46" s="431">
        <f t="array" aca="1" ref="E46" ca="1">IF($D46&gt;Calc1!$B$14,"",ROW(41:41)-SUM((($L$6:$L45="")+($N$6:$N45="")&gt;0)*1))</f>
        <v>41</v>
      </c>
      <c r="F46" s="173">
        <f ca="1">IF(OR($U$16,$D46&gt;Calc1!$B$14),"",$R$5+QUOTIENT(($E46-1),$U$18)*($R$7+$R$9)/1440+SUM($O$6:$O45)/1440)</f>
        <v>0.61805555555555558</v>
      </c>
      <c r="G46" s="175">
        <f ca="1">IF(OR($U$16,$D46&gt;Calc1!$B$14),"",MOD($E46-1,$U$18)+1)</f>
        <v>1</v>
      </c>
      <c r="H46" s="293" t="str">
        <f t="shared" ca="1" si="2"/>
        <v>A</v>
      </c>
      <c r="I46" s="552" t="str">
        <f ca="1"/>
        <v>A3</v>
      </c>
      <c r="J46" s="316" t="s">
        <v>5</v>
      </c>
      <c r="K46" s="553" t="str">
        <f ca="1"/>
        <v>A1</v>
      </c>
      <c r="L46" s="52" t="str">
        <f t="shared" ca="1" si="3"/>
        <v>Eintracht Frankfurt</v>
      </c>
      <c r="M46" s="50" t="s">
        <v>5</v>
      </c>
      <c r="N46" s="51" t="str">
        <f t="shared" ca="1" si="4"/>
        <v>1. FC Riedwald</v>
      </c>
      <c r="O46" s="321"/>
    </row>
    <row r="47" spans="2:20" ht="18.75" customHeight="1" x14ac:dyDescent="0.3">
      <c r="B47" s="599" t="s">
        <v>340</v>
      </c>
      <c r="C47" s="601"/>
      <c r="D47" s="471">
        <v>42</v>
      </c>
      <c r="E47" s="431">
        <f t="array" aca="1" ref="E47" ca="1">IF($D47&gt;Calc1!$B$14,"",ROW(42:42)-SUM((($L$6:$L46="")+($N$6:$N46="")&gt;0)*1))</f>
        <v>42</v>
      </c>
      <c r="F47" s="173">
        <f ca="1">IF(OR($U$16,$D47&gt;Calc1!$B$14),"",$R$5+QUOTIENT(($E47-1),$U$18)*($R$7+$R$9)/1440+SUM($O$6:$O46)/1440)</f>
        <v>0.61805555555555558</v>
      </c>
      <c r="G47" s="175">
        <f ca="1">IF(OR($U$16,$D47&gt;Calc1!$B$14),"",MOD($E47-1,$U$18)+1)</f>
        <v>2</v>
      </c>
      <c r="H47" s="293" t="str">
        <f t="shared" ca="1" si="2"/>
        <v>B</v>
      </c>
      <c r="I47" s="552" t="str">
        <f ca="1"/>
        <v>B3</v>
      </c>
      <c r="J47" s="316" t="s">
        <v>5</v>
      </c>
      <c r="K47" s="553" t="str">
        <f ca="1"/>
        <v>B1</v>
      </c>
      <c r="L47" s="52" t="str">
        <f t="shared" ca="1" si="3"/>
        <v>SSV Wildbach</v>
      </c>
      <c r="M47" s="50" t="s">
        <v>5</v>
      </c>
      <c r="N47" s="51" t="str">
        <f t="shared" ca="1" si="4"/>
        <v>Mainz 05</v>
      </c>
      <c r="O47" s="321"/>
    </row>
    <row r="48" spans="2:20" ht="18" thickBot="1" x14ac:dyDescent="0.35">
      <c r="B48" s="600"/>
      <c r="C48" s="602"/>
      <c r="D48" s="471">
        <v>43</v>
      </c>
      <c r="E48" s="431">
        <f t="array" aca="1" ref="E48" ca="1">IF($D48&gt;Calc1!$B$14,"",ROW(43:43)-SUM((($L$6:$L47="")+($N$6:$N47="")&gt;0)*1))</f>
        <v>43</v>
      </c>
      <c r="F48" s="173">
        <f ca="1">IF(OR($U$16,$D48&gt;Calc1!$B$14),"",$R$5+QUOTIENT(($E48-1),$U$18)*($R$7+$R$9)/1440+SUM($O$6:$O47)/1440)</f>
        <v>0.61805555555555558</v>
      </c>
      <c r="G48" s="175">
        <f ca="1">IF(OR($U$16,$D48&gt;Calc1!$B$14),"",MOD($E48-1,$U$18)+1)</f>
        <v>3</v>
      </c>
      <c r="H48" s="293" t="str">
        <f t="shared" ca="1" si="2"/>
        <v>A</v>
      </c>
      <c r="I48" s="552" t="str">
        <f ca="1"/>
        <v>A2</v>
      </c>
      <c r="J48" s="316" t="s">
        <v>5</v>
      </c>
      <c r="K48" s="553" t="str">
        <f ca="1"/>
        <v>A4</v>
      </c>
      <c r="L48" s="52" t="str">
        <f t="shared" ca="1" si="3"/>
        <v>FC Barcelona</v>
      </c>
      <c r="M48" s="50" t="s">
        <v>5</v>
      </c>
      <c r="N48" s="51" t="str">
        <f t="shared" ca="1" si="4"/>
        <v>Maibach 1822 eV</v>
      </c>
      <c r="O48" s="321"/>
    </row>
    <row r="49" spans="4:15" ht="18" thickTop="1" x14ac:dyDescent="0.3">
      <c r="D49" s="471">
        <v>44</v>
      </c>
      <c r="E49" s="431">
        <f t="array" aca="1" ref="E49" ca="1">IF($D49&gt;Calc1!$B$14,"",ROW(44:44)-SUM((($L$6:$L48="")+($N$6:$N48="")&gt;0)*1))</f>
        <v>44</v>
      </c>
      <c r="F49" s="173">
        <f ca="1">IF(OR($U$16,$D49&gt;Calc1!$B$14),"",$R$5+QUOTIENT(($E49-1),$U$18)*($R$7+$R$9)/1440+SUM($O$6:$O48)/1440)</f>
        <v>0.61805555555555558</v>
      </c>
      <c r="G49" s="175">
        <f ca="1">IF(OR($U$16,$D49&gt;Calc1!$B$14),"",MOD($E49-1,$U$18)+1)</f>
        <v>4</v>
      </c>
      <c r="H49" s="293" t="str">
        <f t="shared" ca="1" si="2"/>
        <v>B</v>
      </c>
      <c r="I49" s="552" t="str">
        <f ca="1"/>
        <v>B2</v>
      </c>
      <c r="J49" s="316" t="s">
        <v>5</v>
      </c>
      <c r="K49" s="553" t="str">
        <f ca="1"/>
        <v>B4</v>
      </c>
      <c r="L49" s="52" t="str">
        <f t="shared" ca="1" si="3"/>
        <v>Inter Mailand</v>
      </c>
      <c r="M49" s="50" t="s">
        <v>5</v>
      </c>
      <c r="N49" s="51" t="str">
        <f t="shared" ca="1" si="4"/>
        <v>Manchester City</v>
      </c>
      <c r="O49" s="321"/>
    </row>
    <row r="50" spans="4:15" ht="17.25" x14ac:dyDescent="0.3">
      <c r="D50" s="471">
        <v>45</v>
      </c>
      <c r="E50" s="431">
        <f t="array" aca="1" ref="E50" ca="1">IF($D50&gt;Calc1!$B$14,"",ROW(45:45)-SUM((($L$6:$L49="")+($N$6:$N49="")&gt;0)*1))</f>
        <v>45</v>
      </c>
      <c r="F50" s="173">
        <f ca="1">IF(OR($U$16,$D50&gt;Calc1!$B$14),"",$R$5+QUOTIENT(($E50-1),$U$18)*($R$7+$R$9)/1440+SUM($O$6:$O49)/1440)</f>
        <v>0.64236111111111116</v>
      </c>
      <c r="G50" s="175">
        <f ca="1">IF(OR($U$16,$D50&gt;Calc1!$B$14),"",MOD($E50-1,$U$18)+1)</f>
        <v>1</v>
      </c>
      <c r="H50" s="293" t="str">
        <f t="shared" ca="1" si="2"/>
        <v>A</v>
      </c>
      <c r="I50" s="552" t="str">
        <f ca="1"/>
        <v>A5</v>
      </c>
      <c r="J50" s="316" t="s">
        <v>5</v>
      </c>
      <c r="K50" s="553" t="str">
        <f ca="1"/>
        <v>A8</v>
      </c>
      <c r="L50" s="52" t="str">
        <f t="shared" ca="1" si="3"/>
        <v>VFB Essenheim</v>
      </c>
      <c r="M50" s="50" t="s">
        <v>5</v>
      </c>
      <c r="N50" s="51" t="str">
        <f t="shared" ca="1" si="4"/>
        <v>Knock Out Rangers</v>
      </c>
      <c r="O50" s="321"/>
    </row>
    <row r="51" spans="4:15" ht="17.25" x14ac:dyDescent="0.3">
      <c r="D51" s="471">
        <v>46</v>
      </c>
      <c r="E51" s="431">
        <f t="array" aca="1" ref="E51" ca="1">IF($D51&gt;Calc1!$B$14,"",ROW(46:46)-SUM((($L$6:$L50="")+($N$6:$N50="")&gt;0)*1))</f>
        <v>46</v>
      </c>
      <c r="F51" s="173">
        <f ca="1">IF(OR($U$16,$D51&gt;Calc1!$B$14),"",$R$5+QUOTIENT(($E51-1),$U$18)*($R$7+$R$9)/1440+SUM($O$6:$O50)/1440)</f>
        <v>0.64236111111111116</v>
      </c>
      <c r="G51" s="175">
        <f ca="1">IF(OR($U$16,$D51&gt;Calc1!$B$14),"",MOD($E51-1,$U$18)+1)</f>
        <v>2</v>
      </c>
      <c r="H51" s="293" t="str">
        <f t="shared" ca="1" si="2"/>
        <v>B</v>
      </c>
      <c r="I51" s="552" t="str">
        <f ca="1"/>
        <v>B5</v>
      </c>
      <c r="J51" s="316" t="s">
        <v>5</v>
      </c>
      <c r="K51" s="553" t="str">
        <f ca="1"/>
        <v>B8</v>
      </c>
      <c r="L51" s="52" t="str">
        <f t="shared" ca="1" si="3"/>
        <v>FC Grönlingen</v>
      </c>
      <c r="M51" s="50" t="s">
        <v>5</v>
      </c>
      <c r="N51" s="51" t="str">
        <f t="shared" ca="1" si="4"/>
        <v>Borussia Heine</v>
      </c>
      <c r="O51" s="321"/>
    </row>
    <row r="52" spans="4:15" ht="17.25" x14ac:dyDescent="0.3">
      <c r="D52" s="471">
        <v>47</v>
      </c>
      <c r="E52" s="431">
        <f t="array" aca="1" ref="E52" ca="1">IF($D52&gt;Calc1!$B$14,"",ROW(47:47)-SUM((($L$6:$L51="")+($N$6:$N51="")&gt;0)*1))</f>
        <v>47</v>
      </c>
      <c r="F52" s="173">
        <f ca="1">IF(OR($U$16,$D52&gt;Calc1!$B$14),"",$R$5+QUOTIENT(($E52-1),$U$18)*($R$7+$R$9)/1440+SUM($O$6:$O51)/1440)</f>
        <v>0.64236111111111116</v>
      </c>
      <c r="G52" s="175">
        <f ca="1">IF(OR($U$16,$D52&gt;Calc1!$B$14),"",MOD($E52-1,$U$18)+1)</f>
        <v>3</v>
      </c>
      <c r="H52" s="293" t="str">
        <f t="shared" ca="1" si="2"/>
        <v>A</v>
      </c>
      <c r="I52" s="552" t="str">
        <f ca="1"/>
        <v>A7</v>
      </c>
      <c r="J52" s="316" t="s">
        <v>5</v>
      </c>
      <c r="K52" s="553" t="str">
        <f ca="1"/>
        <v>A6</v>
      </c>
      <c r="L52" s="52" t="str">
        <f t="shared" ca="1" si="3"/>
        <v>Raslo Winners</v>
      </c>
      <c r="M52" s="50" t="s">
        <v>5</v>
      </c>
      <c r="N52" s="51" t="str">
        <f t="shared" ca="1" si="4"/>
        <v>Fun Kickers Oes</v>
      </c>
      <c r="O52" s="321"/>
    </row>
    <row r="53" spans="4:15" ht="17.25" x14ac:dyDescent="0.3">
      <c r="D53" s="471">
        <v>48</v>
      </c>
      <c r="E53" s="431">
        <f t="array" aca="1" ref="E53" ca="1">IF($D53&gt;Calc1!$B$14,"",ROW(48:48)-SUM((($L$6:$L52="")+($N$6:$N52="")&gt;0)*1))</f>
        <v>48</v>
      </c>
      <c r="F53" s="173">
        <f ca="1">IF(OR($U$16,$D53&gt;Calc1!$B$14),"",$R$5+QUOTIENT(($E53-1),$U$18)*($R$7+$R$9)/1440+SUM($O$6:$O52)/1440)</f>
        <v>0.64236111111111116</v>
      </c>
      <c r="G53" s="175">
        <f ca="1">IF(OR($U$16,$D53&gt;Calc1!$B$14),"",MOD($E53-1,$U$18)+1)</f>
        <v>4</v>
      </c>
      <c r="H53" s="293" t="str">
        <f t="shared" ca="1" si="2"/>
        <v>B</v>
      </c>
      <c r="I53" s="552" t="str">
        <f ca="1"/>
        <v>B7</v>
      </c>
      <c r="J53" s="316" t="s">
        <v>5</v>
      </c>
      <c r="K53" s="553" t="str">
        <f ca="1"/>
        <v>B6</v>
      </c>
      <c r="L53" s="52" t="str">
        <f t="shared" ca="1" si="3"/>
        <v>VFL Ronsdorf</v>
      </c>
      <c r="M53" s="50" t="s">
        <v>5</v>
      </c>
      <c r="N53" s="51" t="str">
        <f t="shared" ca="1" si="4"/>
        <v>AC Roma</v>
      </c>
      <c r="O53" s="321"/>
    </row>
    <row r="54" spans="4:15" ht="17.25" x14ac:dyDescent="0.3">
      <c r="D54" s="471">
        <v>49</v>
      </c>
      <c r="E54" s="431">
        <f t="array" aca="1" ref="E54" ca="1">IF($D54&gt;Calc1!$B$14,"",ROW(49:49)-SUM((($L$6:$L53="")+($N$6:$N53="")&gt;0)*1))</f>
        <v>49</v>
      </c>
      <c r="F54" s="173">
        <f ca="1">IF(OR($U$16,$D54&gt;Calc1!$B$14),"",$R$5+QUOTIENT(($E54-1),$U$18)*($R$7+$R$9)/1440+SUM($O$6:$O53)/1440)</f>
        <v>0.66666666666666674</v>
      </c>
      <c r="G54" s="175">
        <f ca="1">IF(OR($U$16,$D54&gt;Calc1!$B$14),"",MOD($E54-1,$U$18)+1)</f>
        <v>1</v>
      </c>
      <c r="H54" s="293" t="str">
        <f t="shared" ca="1" si="2"/>
        <v>A</v>
      </c>
      <c r="I54" s="552" t="str">
        <f ca="1"/>
        <v>A1</v>
      </c>
      <c r="J54" s="316" t="s">
        <v>5</v>
      </c>
      <c r="K54" s="553" t="str">
        <f ca="1"/>
        <v>A2</v>
      </c>
      <c r="L54" s="52" t="str">
        <f t="shared" ca="1" si="3"/>
        <v>1. FC Riedwald</v>
      </c>
      <c r="M54" s="50" t="s">
        <v>5</v>
      </c>
      <c r="N54" s="51" t="str">
        <f t="shared" ca="1" si="4"/>
        <v>FC Barcelona</v>
      </c>
      <c r="O54" s="321"/>
    </row>
    <row r="55" spans="4:15" ht="17.25" x14ac:dyDescent="0.3">
      <c r="D55" s="471">
        <v>50</v>
      </c>
      <c r="E55" s="431">
        <f t="array" aca="1" ref="E55" ca="1">IF($D55&gt;Calc1!$B$14,"",ROW(50:50)-SUM((($L$6:$L54="")+($N$6:$N54="")&gt;0)*1))</f>
        <v>50</v>
      </c>
      <c r="F55" s="173">
        <f ca="1">IF(OR($U$16,$D55&gt;Calc1!$B$14),"",$R$5+QUOTIENT(($E55-1),$U$18)*($R$7+$R$9)/1440+SUM($O$6:$O54)/1440)</f>
        <v>0.66666666666666674</v>
      </c>
      <c r="G55" s="175">
        <f ca="1">IF(OR($U$16,$D55&gt;Calc1!$B$14),"",MOD($E55-1,$U$18)+1)</f>
        <v>2</v>
      </c>
      <c r="H55" s="293" t="str">
        <f t="shared" ca="1" si="2"/>
        <v>B</v>
      </c>
      <c r="I55" s="552" t="str">
        <f ca="1"/>
        <v>B1</v>
      </c>
      <c r="J55" s="316" t="s">
        <v>5</v>
      </c>
      <c r="K55" s="553" t="str">
        <f ca="1"/>
        <v>B2</v>
      </c>
      <c r="L55" s="52" t="str">
        <f t="shared" ca="1" si="3"/>
        <v>Mainz 05</v>
      </c>
      <c r="M55" s="50" t="s">
        <v>5</v>
      </c>
      <c r="N55" s="51" t="str">
        <f t="shared" ca="1" si="4"/>
        <v>Inter Mailand</v>
      </c>
      <c r="O55" s="321"/>
    </row>
    <row r="56" spans="4:15" ht="17.25" x14ac:dyDescent="0.3">
      <c r="D56" s="471">
        <v>51</v>
      </c>
      <c r="E56" s="431">
        <f t="array" aca="1" ref="E56" ca="1">IF($D56&gt;Calc1!$B$14,"",ROW(51:51)-SUM((($L$6:$L55="")+($N$6:$N55="")&gt;0)*1))</f>
        <v>51</v>
      </c>
      <c r="F56" s="173">
        <f ca="1">IF(OR($U$16,$D56&gt;Calc1!$B$14),"",$R$5+QUOTIENT(($E56-1),$U$18)*($R$7+$R$9)/1440+SUM($O$6:$O55)/1440)</f>
        <v>0.66666666666666674</v>
      </c>
      <c r="G56" s="175">
        <f ca="1">IF(OR($U$16,$D56&gt;Calc1!$B$14),"",MOD($E56-1,$U$18)+1)</f>
        <v>3</v>
      </c>
      <c r="H56" s="293" t="str">
        <f t="shared" ca="1" si="2"/>
        <v>A</v>
      </c>
      <c r="I56" s="552" t="str">
        <f ca="1"/>
        <v>A8</v>
      </c>
      <c r="J56" s="316" t="s">
        <v>5</v>
      </c>
      <c r="K56" s="553" t="str">
        <f ca="1"/>
        <v>A3</v>
      </c>
      <c r="L56" s="52" t="str">
        <f t="shared" ca="1" si="3"/>
        <v>Knock Out Rangers</v>
      </c>
      <c r="M56" s="50" t="s">
        <v>5</v>
      </c>
      <c r="N56" s="51" t="str">
        <f t="shared" ca="1" si="4"/>
        <v>Eintracht Frankfurt</v>
      </c>
      <c r="O56" s="321"/>
    </row>
    <row r="57" spans="4:15" ht="17.25" x14ac:dyDescent="0.3">
      <c r="D57" s="471">
        <v>52</v>
      </c>
      <c r="E57" s="431">
        <f t="array" aca="1" ref="E57" ca="1">IF($D57&gt;Calc1!$B$14,"",ROW(52:52)-SUM((($L$6:$L56="")+($N$6:$N56="")&gt;0)*1))</f>
        <v>52</v>
      </c>
      <c r="F57" s="173">
        <f ca="1">IF(OR($U$16,$D57&gt;Calc1!$B$14),"",$R$5+QUOTIENT(($E57-1),$U$18)*($R$7+$R$9)/1440+SUM($O$6:$O56)/1440)</f>
        <v>0.66666666666666674</v>
      </c>
      <c r="G57" s="175">
        <f ca="1">IF(OR($U$16,$D57&gt;Calc1!$B$14),"",MOD($E57-1,$U$18)+1)</f>
        <v>4</v>
      </c>
      <c r="H57" s="293" t="str">
        <f t="shared" ca="1" si="2"/>
        <v>B</v>
      </c>
      <c r="I57" s="552" t="str">
        <f ca="1"/>
        <v>B8</v>
      </c>
      <c r="J57" s="316" t="s">
        <v>5</v>
      </c>
      <c r="K57" s="553" t="str">
        <f ca="1"/>
        <v>B3</v>
      </c>
      <c r="L57" s="52" t="str">
        <f t="shared" ca="1" si="3"/>
        <v>Borussia Heine</v>
      </c>
      <c r="M57" s="50" t="s">
        <v>5</v>
      </c>
      <c r="N57" s="51" t="str">
        <f t="shared" ca="1" si="4"/>
        <v>SSV Wildbach</v>
      </c>
      <c r="O57" s="321"/>
    </row>
    <row r="58" spans="4:15" ht="17.25" x14ac:dyDescent="0.3">
      <c r="D58" s="471">
        <v>53</v>
      </c>
      <c r="E58" s="431">
        <f t="array" aca="1" ref="E58" ca="1">IF($D58&gt;Calc1!$B$14,"",ROW(53:53)-SUM((($L$6:$L57="")+($N$6:$N57="")&gt;0)*1))</f>
        <v>53</v>
      </c>
      <c r="F58" s="173">
        <f ca="1">IF(OR($U$16,$D58&gt;Calc1!$B$14),"",$R$5+QUOTIENT(($E58-1),$U$18)*($R$7+$R$9)/1440+SUM($O$6:$O57)/1440)</f>
        <v>0.69097222222222221</v>
      </c>
      <c r="G58" s="175">
        <f ca="1">IF(OR($U$16,$D58&gt;Calc1!$B$14),"",MOD($E58-1,$U$18)+1)</f>
        <v>1</v>
      </c>
      <c r="H58" s="293" t="str">
        <f t="shared" ca="1" si="2"/>
        <v>A</v>
      </c>
      <c r="I58" s="552" t="str">
        <f ca="1"/>
        <v>A4</v>
      </c>
      <c r="J58" s="316" t="s">
        <v>5</v>
      </c>
      <c r="K58" s="553" t="str">
        <f ca="1"/>
        <v>A7</v>
      </c>
      <c r="L58" s="52" t="str">
        <f t="shared" ca="1" si="3"/>
        <v>Maibach 1822 eV</v>
      </c>
      <c r="M58" s="50" t="s">
        <v>5</v>
      </c>
      <c r="N58" s="51" t="str">
        <f t="shared" ca="1" si="4"/>
        <v>Raslo Winners</v>
      </c>
      <c r="O58" s="321"/>
    </row>
    <row r="59" spans="4:15" ht="17.25" x14ac:dyDescent="0.3">
      <c r="D59" s="471">
        <v>54</v>
      </c>
      <c r="E59" s="431">
        <f t="array" aca="1" ref="E59" ca="1">IF($D59&gt;Calc1!$B$14,"",ROW(54:54)-SUM((($L$6:$L58="")+($N$6:$N58="")&gt;0)*1))</f>
        <v>54</v>
      </c>
      <c r="F59" s="173">
        <f ca="1">IF(OR($U$16,$D59&gt;Calc1!$B$14),"",$R$5+QUOTIENT(($E59-1),$U$18)*($R$7+$R$9)/1440+SUM($O$6:$O58)/1440)</f>
        <v>0.69097222222222221</v>
      </c>
      <c r="G59" s="175">
        <f ca="1">IF(OR($U$16,$D59&gt;Calc1!$B$14),"",MOD($E59-1,$U$18)+1)</f>
        <v>2</v>
      </c>
      <c r="H59" s="293" t="str">
        <f t="shared" ca="1" si="2"/>
        <v>B</v>
      </c>
      <c r="I59" s="552" t="str">
        <f ca="1"/>
        <v>B4</v>
      </c>
      <c r="J59" s="316" t="s">
        <v>5</v>
      </c>
      <c r="K59" s="553" t="str">
        <f ca="1"/>
        <v>B7</v>
      </c>
      <c r="L59" s="52" t="str">
        <f t="shared" ca="1" si="3"/>
        <v>Manchester City</v>
      </c>
      <c r="M59" s="50" t="s">
        <v>5</v>
      </c>
      <c r="N59" s="51" t="str">
        <f t="shared" ca="1" si="4"/>
        <v>VFL Ronsdorf</v>
      </c>
      <c r="O59" s="321"/>
    </row>
    <row r="60" spans="4:15" ht="17.25" x14ac:dyDescent="0.3">
      <c r="D60" s="471">
        <v>55</v>
      </c>
      <c r="E60" s="431">
        <f t="array" aca="1" ref="E60" ca="1">IF($D60&gt;Calc1!$B$14,"",ROW(55:55)-SUM((($L$6:$L59="")+($N$6:$N59="")&gt;0)*1))</f>
        <v>55</v>
      </c>
      <c r="F60" s="173">
        <f ca="1">IF(OR($U$16,$D60&gt;Calc1!$B$14),"",$R$5+QUOTIENT(($E60-1),$U$18)*($R$7+$R$9)/1440+SUM($O$6:$O59)/1440)</f>
        <v>0.69097222222222221</v>
      </c>
      <c r="G60" s="175">
        <f ca="1">IF(OR($U$16,$D60&gt;Calc1!$B$14),"",MOD($E60-1,$U$18)+1)</f>
        <v>3</v>
      </c>
      <c r="H60" s="293" t="str">
        <f t="shared" ca="1" si="2"/>
        <v>A</v>
      </c>
      <c r="I60" s="552" t="str">
        <f ca="1"/>
        <v>A6</v>
      </c>
      <c r="J60" s="316" t="s">
        <v>5</v>
      </c>
      <c r="K60" s="553" t="str">
        <f ca="1"/>
        <v>A5</v>
      </c>
      <c r="L60" s="52" t="str">
        <f t="shared" ca="1" si="3"/>
        <v>Fun Kickers Oes</v>
      </c>
      <c r="M60" s="50" t="s">
        <v>5</v>
      </c>
      <c r="N60" s="51" t="str">
        <f t="shared" ca="1" si="4"/>
        <v>VFB Essenheim</v>
      </c>
      <c r="O60" s="321"/>
    </row>
    <row r="61" spans="4:15" ht="17.25" x14ac:dyDescent="0.3">
      <c r="D61" s="471">
        <v>56</v>
      </c>
      <c r="E61" s="431">
        <f t="array" aca="1" ref="E61" ca="1">IF($D61&gt;Calc1!$B$14,"",ROW(56:56)-SUM((($L$6:$L60="")+($N$6:$N60="")&gt;0)*1))</f>
        <v>56</v>
      </c>
      <c r="F61" s="173">
        <f ca="1">IF(OR($U$16,$D61&gt;Calc1!$B$14),"",$R$5+QUOTIENT(($E61-1),$U$18)*($R$7+$R$9)/1440+SUM($O$6:$O60)/1440)</f>
        <v>0.69097222222222221</v>
      </c>
      <c r="G61" s="175">
        <f ca="1">IF(OR($U$16,$D61&gt;Calc1!$B$14),"",MOD($E61-1,$U$18)+1)</f>
        <v>4</v>
      </c>
      <c r="H61" s="293" t="str">
        <f t="shared" ca="1" si="2"/>
        <v>B</v>
      </c>
      <c r="I61" s="552" t="str">
        <f ca="1"/>
        <v>B6</v>
      </c>
      <c r="J61" s="316" t="s">
        <v>5</v>
      </c>
      <c r="K61" s="553" t="str">
        <f ca="1"/>
        <v>B5</v>
      </c>
      <c r="L61" s="52" t="str">
        <f t="shared" ca="1" si="3"/>
        <v>AC Roma</v>
      </c>
      <c r="M61" s="50" t="s">
        <v>5</v>
      </c>
      <c r="N61" s="51" t="str">
        <f t="shared" ca="1" si="4"/>
        <v>FC Grönlingen</v>
      </c>
      <c r="O61" s="321"/>
    </row>
    <row r="62" spans="4:15" ht="17.25" x14ac:dyDescent="0.3">
      <c r="D62" s="471">
        <v>57</v>
      </c>
      <c r="E62" s="431" t="str">
        <f t="array" ref="E62">IF($D62&gt;Calc1!$B$14,"",ROW(57:57)-SUM((($L$6:$L61="")+($N$6:$N61="")&gt;0)*1))</f>
        <v/>
      </c>
      <c r="F62" s="173" t="str">
        <f>IF(OR($U$16,$D62&gt;Calc1!$B$14),"",$R$5+QUOTIENT(($E62-1),$U$18)*($R$7+$R$9)/1440+SUM($O$6:$O61)/1440)</f>
        <v/>
      </c>
      <c r="G62" s="175" t="str">
        <f>IF(OR($U$16,$D62&gt;Calc1!$B$14),"",MOD($E62-1,$U$18)+1)</f>
        <v/>
      </c>
      <c r="H62" s="293" t="str">
        <f t="shared" ca="1" si="2"/>
        <v/>
      </c>
      <c r="I62" s="552" t="str">
        <f ca="1"/>
        <v/>
      </c>
      <c r="J62" s="316" t="s">
        <v>5</v>
      </c>
      <c r="K62" s="553" t="str">
        <f ca="1"/>
        <v/>
      </c>
      <c r="L62" s="52" t="str">
        <f t="shared" ca="1" si="3"/>
        <v/>
      </c>
      <c r="M62" s="50" t="s">
        <v>5</v>
      </c>
      <c r="N62" s="51" t="str">
        <f t="shared" ca="1" si="4"/>
        <v/>
      </c>
      <c r="O62" s="321"/>
    </row>
    <row r="63" spans="4:15" ht="17.25" x14ac:dyDescent="0.3">
      <c r="D63" s="471">
        <v>58</v>
      </c>
      <c r="E63" s="431" t="str">
        <f t="array" ref="E63">IF($D63&gt;Calc1!$B$14,"",ROW(58:58)-SUM((($L$6:$L62="")+($N$6:$N62="")&gt;0)*1))</f>
        <v/>
      </c>
      <c r="F63" s="173" t="str">
        <f>IF(OR($U$16,$D63&gt;Calc1!$B$14),"",$R$5+QUOTIENT(($E63-1),$U$18)*($R$7+$R$9)/1440+SUM($O$6:$O62)/1440)</f>
        <v/>
      </c>
      <c r="G63" s="175" t="str">
        <f>IF(OR($U$16,$D63&gt;Calc1!$B$14),"",MOD($E63-1,$U$18)+1)</f>
        <v/>
      </c>
      <c r="H63" s="293" t="str">
        <f t="shared" ca="1" si="2"/>
        <v/>
      </c>
      <c r="I63" s="552" t="str">
        <f ca="1"/>
        <v/>
      </c>
      <c r="J63" s="316" t="s">
        <v>5</v>
      </c>
      <c r="K63" s="553" t="str">
        <f ca="1"/>
        <v/>
      </c>
      <c r="L63" s="52" t="str">
        <f t="shared" ca="1" si="3"/>
        <v/>
      </c>
      <c r="M63" s="50" t="s">
        <v>5</v>
      </c>
      <c r="N63" s="51" t="str">
        <f t="shared" ca="1" si="4"/>
        <v/>
      </c>
      <c r="O63" s="321"/>
    </row>
    <row r="64" spans="4:15" ht="17.25" x14ac:dyDescent="0.3">
      <c r="D64" s="471">
        <v>59</v>
      </c>
      <c r="E64" s="431" t="str">
        <f t="array" ref="E64">IF($D64&gt;Calc1!$B$14,"",ROW(59:59)-SUM((($L$6:$L63="")+($N$6:$N63="")&gt;0)*1))</f>
        <v/>
      </c>
      <c r="F64" s="173" t="str">
        <f>IF(OR($U$16,$D64&gt;Calc1!$B$14),"",$R$5+QUOTIENT(($E64-1),$U$18)*($R$7+$R$9)/1440+SUM($O$6:$O63)/1440)</f>
        <v/>
      </c>
      <c r="G64" s="175" t="str">
        <f>IF(OR($U$16,$D64&gt;Calc1!$B$14),"",MOD($E64-1,$U$18)+1)</f>
        <v/>
      </c>
      <c r="H64" s="293" t="str">
        <f t="shared" ca="1" si="2"/>
        <v/>
      </c>
      <c r="I64" s="552" t="str">
        <f ca="1"/>
        <v/>
      </c>
      <c r="J64" s="316" t="s">
        <v>5</v>
      </c>
      <c r="K64" s="553" t="str">
        <f ca="1"/>
        <v/>
      </c>
      <c r="L64" s="52" t="str">
        <f t="shared" ca="1" si="3"/>
        <v/>
      </c>
      <c r="M64" s="50" t="s">
        <v>5</v>
      </c>
      <c r="N64" s="51" t="str">
        <f t="shared" ca="1" si="4"/>
        <v/>
      </c>
      <c r="O64" s="321"/>
    </row>
    <row r="65" spans="4:16" ht="17.25" x14ac:dyDescent="0.3">
      <c r="D65" s="471">
        <v>60</v>
      </c>
      <c r="E65" s="431" t="str">
        <f t="array" ref="E65">IF($D65&gt;Calc1!$B$14,"",ROW(60:60)-SUM((($L$6:$L64="")+($N$6:$N64="")&gt;0)*1))</f>
        <v/>
      </c>
      <c r="F65" s="173" t="str">
        <f>IF(OR($U$16,$D65&gt;Calc1!$B$14),"",$R$5+QUOTIENT(($E65-1),$U$18)*($R$7+$R$9)/1440+SUM($O$6:$O64)/1440)</f>
        <v/>
      </c>
      <c r="G65" s="175" t="str">
        <f>IF(OR($U$16,$D65&gt;Calc1!$B$14),"",MOD($E65-1,$U$18)+1)</f>
        <v/>
      </c>
      <c r="H65" s="293" t="str">
        <f t="shared" ca="1" si="2"/>
        <v/>
      </c>
      <c r="I65" s="552" t="str">
        <f ca="1"/>
        <v/>
      </c>
      <c r="J65" s="316" t="s">
        <v>5</v>
      </c>
      <c r="K65" s="553" t="str">
        <f ca="1"/>
        <v/>
      </c>
      <c r="L65" s="52" t="str">
        <f t="shared" ca="1" si="3"/>
        <v/>
      </c>
      <c r="M65" s="50" t="s">
        <v>5</v>
      </c>
      <c r="N65" s="51" t="str">
        <f t="shared" ca="1" si="4"/>
        <v/>
      </c>
      <c r="O65" s="321"/>
    </row>
    <row r="66" spans="4:16" ht="17.25" x14ac:dyDescent="0.3">
      <c r="D66" s="471">
        <v>61</v>
      </c>
      <c r="E66" s="431" t="str">
        <f t="array" ref="E66">IF($D66&gt;Calc1!$B$14,"",ROW(61:61)-SUM((($L$6:$L65="")+($N$6:$N65="")&gt;0)*1))</f>
        <v/>
      </c>
      <c r="F66" s="173" t="str">
        <f>IF(OR($U$16,$D66&gt;Calc1!$B$14),"",$R$5+QUOTIENT(($E66-1),$U$18)*($R$7+$R$9)/1440+SUM($O$6:$O65)/1440)</f>
        <v/>
      </c>
      <c r="G66" s="175" t="str">
        <f>IF(OR($U$16,$D66&gt;Calc1!$B$14),"",MOD($E66-1,$U$18)+1)</f>
        <v/>
      </c>
      <c r="H66" s="293" t="str">
        <f t="shared" ca="1" si="2"/>
        <v/>
      </c>
      <c r="I66" s="552" t="str">
        <f ca="1"/>
        <v/>
      </c>
      <c r="J66" s="316" t="s">
        <v>5</v>
      </c>
      <c r="K66" s="553" t="str">
        <f ca="1"/>
        <v/>
      </c>
      <c r="L66" s="52" t="str">
        <f t="shared" ca="1" si="3"/>
        <v/>
      </c>
      <c r="M66" s="50" t="s">
        <v>5</v>
      </c>
      <c r="N66" s="51" t="str">
        <f t="shared" ca="1" si="4"/>
        <v/>
      </c>
      <c r="O66" s="321"/>
    </row>
    <row r="67" spans="4:16" ht="17.25" x14ac:dyDescent="0.3">
      <c r="D67" s="471">
        <v>62</v>
      </c>
      <c r="E67" s="431" t="str">
        <f t="array" ref="E67">IF($D67&gt;Calc1!$B$14,"",ROW(62:62)-SUM((($L$6:$L66="")+($N$6:$N66="")&gt;0)*1))</f>
        <v/>
      </c>
      <c r="F67" s="173" t="str">
        <f>IF(OR($U$16,$D67&gt;Calc1!$B$14),"",$R$5+QUOTIENT(($E67-1),$U$18)*($R$7+$R$9)/1440+SUM($O$6:$O66)/1440)</f>
        <v/>
      </c>
      <c r="G67" s="175" t="str">
        <f>IF(OR($U$16,$D67&gt;Calc1!$B$14),"",MOD($E67-1,$U$18)+1)</f>
        <v/>
      </c>
      <c r="H67" s="293" t="str">
        <f t="shared" ca="1" si="2"/>
        <v/>
      </c>
      <c r="I67" s="552" t="str">
        <f ca="1"/>
        <v/>
      </c>
      <c r="J67" s="316" t="s">
        <v>5</v>
      </c>
      <c r="K67" s="553" t="str">
        <f ca="1"/>
        <v/>
      </c>
      <c r="L67" s="52" t="str">
        <f t="shared" ca="1" si="3"/>
        <v/>
      </c>
      <c r="M67" s="50" t="s">
        <v>5</v>
      </c>
      <c r="N67" s="51" t="str">
        <f t="shared" ca="1" si="4"/>
        <v/>
      </c>
      <c r="O67" s="321"/>
    </row>
    <row r="68" spans="4:16" ht="17.25" x14ac:dyDescent="0.3">
      <c r="D68" s="471">
        <v>63</v>
      </c>
      <c r="E68" s="431" t="str">
        <f t="array" ref="E68">IF($D68&gt;Calc1!$B$14,"",ROW(63:63)-SUM((($L$6:$L67="")+($N$6:$N67="")&gt;0)*1))</f>
        <v/>
      </c>
      <c r="F68" s="173" t="str">
        <f>IF(OR($U$16,$D68&gt;Calc1!$B$14),"",$R$5+QUOTIENT(($E68-1),$U$18)*($R$7+$R$9)/1440+SUM($O$6:$O67)/1440)</f>
        <v/>
      </c>
      <c r="G68" s="175" t="str">
        <f>IF(OR($U$16,$D68&gt;Calc1!$B$14),"",MOD($E68-1,$U$18)+1)</f>
        <v/>
      </c>
      <c r="H68" s="293" t="str">
        <f t="shared" ca="1" si="2"/>
        <v/>
      </c>
      <c r="I68" s="552" t="str">
        <f ca="1"/>
        <v/>
      </c>
      <c r="J68" s="316" t="s">
        <v>5</v>
      </c>
      <c r="K68" s="553" t="str">
        <f ca="1"/>
        <v/>
      </c>
      <c r="L68" s="52" t="str">
        <f t="shared" ca="1" si="3"/>
        <v/>
      </c>
      <c r="M68" s="50" t="s">
        <v>5</v>
      </c>
      <c r="N68" s="51" t="str">
        <f t="shared" ca="1" si="4"/>
        <v/>
      </c>
      <c r="O68" s="321"/>
    </row>
    <row r="69" spans="4:16" ht="17.25" x14ac:dyDescent="0.3">
      <c r="D69" s="471">
        <v>64</v>
      </c>
      <c r="E69" s="431" t="str">
        <f t="array" ref="E69">IF($D69&gt;Calc1!$B$14,"",ROW(64:64)-SUM((($L$6:$L68="")+($N$6:$N68="")&gt;0)*1))</f>
        <v/>
      </c>
      <c r="F69" s="173" t="str">
        <f>IF(OR($U$16,$D69&gt;Calc1!$B$14),"",$R$5+QUOTIENT(($E69-1),$U$18)*($R$7+$R$9)/1440+SUM($O$6:$O68)/1440)</f>
        <v/>
      </c>
      <c r="G69" s="175" t="str">
        <f>IF(OR($U$16,$D69&gt;Calc1!$B$14),"",MOD($E69-1,$U$18)+1)</f>
        <v/>
      </c>
      <c r="H69" s="293" t="str">
        <f t="shared" ca="1" si="2"/>
        <v/>
      </c>
      <c r="I69" s="552" t="str">
        <f ca="1"/>
        <v/>
      </c>
      <c r="J69" s="316" t="s">
        <v>5</v>
      </c>
      <c r="K69" s="553" t="str">
        <f ca="1"/>
        <v/>
      </c>
      <c r="L69" s="52" t="str">
        <f t="shared" ca="1" si="3"/>
        <v/>
      </c>
      <c r="M69" s="50" t="s">
        <v>5</v>
      </c>
      <c r="N69" s="51" t="str">
        <f t="shared" ca="1" si="4"/>
        <v/>
      </c>
      <c r="O69" s="321"/>
    </row>
    <row r="70" spans="4:16" ht="17.25" x14ac:dyDescent="0.3">
      <c r="D70" s="471">
        <v>65</v>
      </c>
      <c r="E70" s="431" t="str">
        <f t="array" ref="E70">IF($D70&gt;Calc1!$B$14,"",ROW(65:65)-SUM((($L$6:$L69="")+($N$6:$N69="")&gt;0)*1))</f>
        <v/>
      </c>
      <c r="F70" s="173" t="str">
        <f>IF(OR($U$16,$D70&gt;Calc1!$B$14),"",$R$5+QUOTIENT(($E70-1),$U$18)*($R$7+$R$9)/1440+SUM($O$6:$O69)/1440)</f>
        <v/>
      </c>
      <c r="G70" s="175" t="str">
        <f>IF(OR($U$16,$D70&gt;Calc1!$B$14),"",MOD($E70-1,$U$18)+1)</f>
        <v/>
      </c>
      <c r="H70" s="293" t="str">
        <f t="shared" ca="1" si="2"/>
        <v/>
      </c>
      <c r="I70" s="552" t="str">
        <f ca="1"/>
        <v/>
      </c>
      <c r="J70" s="316" t="s">
        <v>5</v>
      </c>
      <c r="K70" s="553" t="str">
        <f ca="1"/>
        <v/>
      </c>
      <c r="L70" s="52" t="str">
        <f t="shared" ca="1" si="3"/>
        <v/>
      </c>
      <c r="M70" s="50" t="s">
        <v>5</v>
      </c>
      <c r="N70" s="51" t="str">
        <f t="shared" ca="1" si="4"/>
        <v/>
      </c>
      <c r="O70" s="321"/>
    </row>
    <row r="71" spans="4:16" ht="17.25" x14ac:dyDescent="0.3">
      <c r="D71" s="471">
        <v>66</v>
      </c>
      <c r="E71" s="431" t="str">
        <f t="array" ref="E71">IF($D71&gt;Calc1!$B$14,"",ROW(66:66)-SUM((($L$6:$L70="")+($N$6:$N70="")&gt;0)*1))</f>
        <v/>
      </c>
      <c r="F71" s="173" t="str">
        <f>IF(OR($U$16,$D71&gt;Calc1!$B$14),"",$R$5+QUOTIENT(($E71-1),$U$18)*($R$7+$R$9)/1440+SUM($O$6:$O70)/1440)</f>
        <v/>
      </c>
      <c r="G71" s="175" t="str">
        <f>IF(OR($U$16,$D71&gt;Calc1!$B$14),"",MOD($E71-1,$U$18)+1)</f>
        <v/>
      </c>
      <c r="H71" s="293" t="str">
        <f t="shared" ca="1" si="2"/>
        <v/>
      </c>
      <c r="I71" s="552" t="str">
        <f ca="1"/>
        <v/>
      </c>
      <c r="J71" s="316" t="s">
        <v>5</v>
      </c>
      <c r="K71" s="553" t="str">
        <f ca="1"/>
        <v/>
      </c>
      <c r="L71" s="52" t="str">
        <f t="shared" ca="1" si="3"/>
        <v/>
      </c>
      <c r="M71" s="50" t="s">
        <v>5</v>
      </c>
      <c r="N71" s="51" t="str">
        <f t="shared" ca="1" si="4"/>
        <v/>
      </c>
      <c r="O71" s="321"/>
    </row>
    <row r="72" spans="4:16" ht="17.25" x14ac:dyDescent="0.3">
      <c r="D72" s="471">
        <v>67</v>
      </c>
      <c r="E72" s="431" t="str">
        <f t="array" ref="E72">IF($D72&gt;Calc1!$B$14,"",ROW(67:67)-SUM((($L$6:$L71="")+($N$6:$N71="")&gt;0)*1))</f>
        <v/>
      </c>
      <c r="F72" s="173" t="str">
        <f>IF(OR($U$16,$D72&gt;Calc1!$B$14),"",$R$5+QUOTIENT(($E72-1),$U$18)*($R$7+$R$9)/1440+SUM($O$6:$O71)/1440)</f>
        <v/>
      </c>
      <c r="G72" s="175" t="str">
        <f>IF(OR($U$16,$D72&gt;Calc1!$B$14),"",MOD($E72-1,$U$18)+1)</f>
        <v/>
      </c>
      <c r="H72" s="293" t="str">
        <f t="shared" ca="1" si="2"/>
        <v/>
      </c>
      <c r="I72" s="552" t="str">
        <f ca="1"/>
        <v/>
      </c>
      <c r="J72" s="316" t="s">
        <v>5</v>
      </c>
      <c r="K72" s="553" t="str">
        <f ca="1"/>
        <v/>
      </c>
      <c r="L72" s="52" t="str">
        <f t="shared" ca="1" si="3"/>
        <v/>
      </c>
      <c r="M72" s="50" t="s">
        <v>5</v>
      </c>
      <c r="N72" s="51" t="str">
        <f t="shared" ca="1" si="4"/>
        <v/>
      </c>
      <c r="O72" s="321"/>
    </row>
    <row r="73" spans="4:16" ht="17.25" x14ac:dyDescent="0.3">
      <c r="D73" s="471">
        <v>68</v>
      </c>
      <c r="E73" s="431" t="str">
        <f t="array" ref="E73">IF($D73&gt;Calc1!$B$14,"",ROW(68:68)-SUM((($L$6:$L72="")+($N$6:$N72="")&gt;0)*1))</f>
        <v/>
      </c>
      <c r="F73" s="173" t="str">
        <f>IF(OR($U$16,$D73&gt;Calc1!$B$14),"",$R$5+QUOTIENT(($E73-1),$U$18)*($R$7+$R$9)/1440+SUM($O$6:$O72)/1440)</f>
        <v/>
      </c>
      <c r="G73" s="175" t="str">
        <f>IF(OR($U$16,$D73&gt;Calc1!$B$14),"",MOD($E73-1,$U$18)+1)</f>
        <v/>
      </c>
      <c r="H73" s="293" t="str">
        <f t="shared" ca="1" si="2"/>
        <v/>
      </c>
      <c r="I73" s="552" t="str">
        <f ca="1"/>
        <v/>
      </c>
      <c r="J73" s="316" t="s">
        <v>5</v>
      </c>
      <c r="K73" s="553" t="str">
        <f ca="1"/>
        <v/>
      </c>
      <c r="L73" s="52" t="str">
        <f t="shared" ca="1" si="3"/>
        <v/>
      </c>
      <c r="M73" s="50" t="s">
        <v>5</v>
      </c>
      <c r="N73" s="51" t="str">
        <f t="shared" ca="1" si="4"/>
        <v/>
      </c>
      <c r="O73" s="321"/>
    </row>
    <row r="74" spans="4:16" ht="17.25" x14ac:dyDescent="0.3">
      <c r="D74" s="471">
        <v>69</v>
      </c>
      <c r="E74" s="431" t="str">
        <f t="array" ref="E74">IF($D74&gt;Calc1!$B$14,"",ROW(69:69)-SUM((($L$6:$L73="")+($N$6:$N73="")&gt;0)*1))</f>
        <v/>
      </c>
      <c r="F74" s="173" t="str">
        <f>IF(OR($U$16,$D74&gt;Calc1!$B$14),"",$R$5+QUOTIENT(($E74-1),$U$18)*($R$7+$R$9)/1440+SUM($O$6:$O73)/1440)</f>
        <v/>
      </c>
      <c r="G74" s="175" t="str">
        <f>IF(OR($U$16,$D74&gt;Calc1!$B$14),"",MOD($E74-1,$U$18)+1)</f>
        <v/>
      </c>
      <c r="H74" s="293" t="str">
        <f t="shared" ca="1" si="2"/>
        <v/>
      </c>
      <c r="I74" s="552" t="str">
        <f ca="1"/>
        <v/>
      </c>
      <c r="J74" s="316" t="s">
        <v>5</v>
      </c>
      <c r="K74" s="553" t="str">
        <f ca="1"/>
        <v/>
      </c>
      <c r="L74" s="52" t="str">
        <f t="shared" ca="1" si="3"/>
        <v/>
      </c>
      <c r="M74" s="50" t="s">
        <v>5</v>
      </c>
      <c r="N74" s="51" t="str">
        <f t="shared" ca="1" si="4"/>
        <v/>
      </c>
      <c r="O74" s="321"/>
    </row>
    <row r="75" spans="4:16" ht="17.25" x14ac:dyDescent="0.3">
      <c r="D75" s="471">
        <v>70</v>
      </c>
      <c r="E75" s="431" t="str">
        <f t="array" ref="E75">IF($D75&gt;Calc1!$B$14,"",ROW(70:70)-SUM((($L$6:$L74="")+($N$6:$N74="")&gt;0)*1))</f>
        <v/>
      </c>
      <c r="F75" s="173" t="str">
        <f>IF(OR($U$16,$D75&gt;Calc1!$B$14),"",$R$5+QUOTIENT(($E75-1),$U$18)*($R$7+$R$9)/1440+SUM($O$6:$O74)/1440)</f>
        <v/>
      </c>
      <c r="G75" s="175" t="str">
        <f>IF(OR($U$16,$D75&gt;Calc1!$B$14),"",MOD($E75-1,$U$18)+1)</f>
        <v/>
      </c>
      <c r="H75" s="293" t="str">
        <f t="shared" ca="1" si="2"/>
        <v/>
      </c>
      <c r="I75" s="552" t="str">
        <f ca="1"/>
        <v/>
      </c>
      <c r="J75" s="316" t="s">
        <v>5</v>
      </c>
      <c r="K75" s="553" t="str">
        <f ca="1"/>
        <v/>
      </c>
      <c r="L75" s="52" t="str">
        <f t="shared" ca="1" si="3"/>
        <v/>
      </c>
      <c r="M75" s="50" t="s">
        <v>5</v>
      </c>
      <c r="N75" s="51" t="str">
        <f t="shared" ca="1" si="4"/>
        <v/>
      </c>
      <c r="O75" s="321"/>
    </row>
    <row r="76" spans="4:16" ht="17.25" x14ac:dyDescent="0.3">
      <c r="D76" s="471">
        <v>71</v>
      </c>
      <c r="E76" s="431" t="str">
        <f t="array" ref="E76">IF($D76&gt;Calc1!$B$14,"",ROW(71:71)-SUM((($L$6:$L75="")+($N$6:$N75="")&gt;0)*1))</f>
        <v/>
      </c>
      <c r="F76" s="173" t="str">
        <f>IF(OR($U$16,$D76&gt;Calc1!$B$14),"",$R$5+QUOTIENT(($E76-1),$U$18)*($R$7+$R$9)/1440+SUM($O$6:$O75)/1440)</f>
        <v/>
      </c>
      <c r="G76" s="175" t="str">
        <f>IF(OR($U$16,$D76&gt;Calc1!$B$14),"",MOD($E76-1,$U$18)+1)</f>
        <v/>
      </c>
      <c r="H76" s="293" t="str">
        <f t="shared" ca="1" si="2"/>
        <v/>
      </c>
      <c r="I76" s="552" t="str">
        <f ca="1"/>
        <v/>
      </c>
      <c r="J76" s="316" t="s">
        <v>5</v>
      </c>
      <c r="K76" s="553" t="str">
        <f ca="1"/>
        <v/>
      </c>
      <c r="L76" s="52" t="str">
        <f t="shared" ca="1" si="3"/>
        <v/>
      </c>
      <c r="M76" s="50" t="s">
        <v>5</v>
      </c>
      <c r="N76" s="51" t="str">
        <f t="shared" ca="1" si="4"/>
        <v/>
      </c>
      <c r="O76" s="321"/>
    </row>
    <row r="77" spans="4:16" ht="18" thickBot="1" x14ac:dyDescent="0.35">
      <c r="D77" s="471">
        <v>72</v>
      </c>
      <c r="E77" s="432" t="str">
        <f t="array" ref="E77">IF($D77&gt;Calc1!$B$14,"",ROW(72:72)-SUM((($L$6:$L76="")+($N$6:$N76="")&gt;0)*1))</f>
        <v/>
      </c>
      <c r="F77" s="176" t="str">
        <f>IF(OR($U$16,$D77&gt;Calc1!$B$14),"",$R$5+QUOTIENT(($E77-1),$U$18)*($R$7+$R$9)/1440+SUM($O$6:$O76)/1440)</f>
        <v/>
      </c>
      <c r="G77" s="177" t="str">
        <f>IF(OR($U$16,$D77&gt;Calc1!$B$14),"",MOD($E77-1,$U$18)+1)</f>
        <v/>
      </c>
      <c r="H77" s="554" t="str">
        <f t="shared" ca="1" si="2"/>
        <v/>
      </c>
      <c r="I77" s="555" t="str">
        <f ca="1"/>
        <v/>
      </c>
      <c r="J77" s="318" t="s">
        <v>5</v>
      </c>
      <c r="K77" s="556" t="str">
        <f ca="1"/>
        <v/>
      </c>
      <c r="L77" s="557" t="str">
        <f t="shared" ca="1" si="3"/>
        <v/>
      </c>
      <c r="M77" s="178" t="s">
        <v>5</v>
      </c>
      <c r="N77" s="558" t="str">
        <f t="shared" ca="1" si="4"/>
        <v/>
      </c>
      <c r="O77" s="433"/>
      <c r="P77" s="592">
        <f ca="1">OFFSET($O$6,Calc1!$B$14-1,0)</f>
        <v>0</v>
      </c>
    </row>
    <row r="78" spans="4:16" ht="16.5" thickTop="1" x14ac:dyDescent="0.25"/>
    <row r="79" spans="4:16" x14ac:dyDescent="0.25"/>
    <row r="80" spans="4:16" x14ac:dyDescent="0.25"/>
    <row r="81" x14ac:dyDescent="0.25"/>
  </sheetData>
  <sheetProtection sheet="1" selectLockedCells="1"/>
  <mergeCells count="63">
    <mergeCell ref="C17:C18"/>
    <mergeCell ref="B15:B16"/>
    <mergeCell ref="C15:C16"/>
    <mergeCell ref="B17:B18"/>
    <mergeCell ref="B41:B42"/>
    <mergeCell ref="C41:C42"/>
    <mergeCell ref="B35:B36"/>
    <mergeCell ref="C35:C36"/>
    <mergeCell ref="B37:B38"/>
    <mergeCell ref="C37:C38"/>
    <mergeCell ref="B39:B40"/>
    <mergeCell ref="C39:C40"/>
    <mergeCell ref="B33:B34"/>
    <mergeCell ref="C33:C34"/>
    <mergeCell ref="C31:C32"/>
    <mergeCell ref="B9:B10"/>
    <mergeCell ref="C9:C10"/>
    <mergeCell ref="Q9:Q10"/>
    <mergeCell ref="B13:B14"/>
    <mergeCell ref="C13:C14"/>
    <mergeCell ref="Q13:Q14"/>
    <mergeCell ref="B11:B12"/>
    <mergeCell ref="C11:C12"/>
    <mergeCell ref="Q11:Q12"/>
    <mergeCell ref="B7:B8"/>
    <mergeCell ref="C7:C8"/>
    <mergeCell ref="Q7:Q8"/>
    <mergeCell ref="R7:R8"/>
    <mergeCell ref="S7:S8"/>
    <mergeCell ref="B5:B6"/>
    <mergeCell ref="C5:C6"/>
    <mergeCell ref="I5:K5"/>
    <mergeCell ref="L5:N5"/>
    <mergeCell ref="Q5:Q6"/>
    <mergeCell ref="Q25:S25"/>
    <mergeCell ref="Q26:S26"/>
    <mergeCell ref="E2:N2"/>
    <mergeCell ref="E4:F4"/>
    <mergeCell ref="O4:O5"/>
    <mergeCell ref="R5:R6"/>
    <mergeCell ref="S5:S6"/>
    <mergeCell ref="R9:R10"/>
    <mergeCell ref="S9:S10"/>
    <mergeCell ref="R13:R14"/>
    <mergeCell ref="S13:S14"/>
    <mergeCell ref="Q22:S23"/>
    <mergeCell ref="R11:R12"/>
    <mergeCell ref="S11:S12"/>
    <mergeCell ref="B47:B48"/>
    <mergeCell ref="C23:C24"/>
    <mergeCell ref="C47:C48"/>
    <mergeCell ref="C19:C20"/>
    <mergeCell ref="B19:B20"/>
    <mergeCell ref="B23:B24"/>
    <mergeCell ref="B43:B44"/>
    <mergeCell ref="C43:C44"/>
    <mergeCell ref="B29:B30"/>
    <mergeCell ref="C29:C30"/>
    <mergeCell ref="C27:C28"/>
    <mergeCell ref="C21:C22"/>
    <mergeCell ref="B21:B22"/>
    <mergeCell ref="B45:B46"/>
    <mergeCell ref="C45:C46"/>
  </mergeCells>
  <conditionalFormatting sqref="C31 C7:C23 C33:C40">
    <cfRule type="duplicateValues" dxfId="56" priority="6"/>
  </conditionalFormatting>
  <conditionalFormatting sqref="H6:H77">
    <cfRule type="expression" dxfId="55" priority="3">
      <formula>$H6="??"</formula>
    </cfRule>
  </conditionalFormatting>
  <conditionalFormatting sqref="C43:C47">
    <cfRule type="duplicateValues" dxfId="54" priority="2"/>
  </conditionalFormatting>
  <conditionalFormatting sqref="E6:N34 I35 E35:H77 K35 J35:J77 L35:N77">
    <cfRule type="expression" dxfId="53" priority="318">
      <formula>AND($L6&lt;&gt;"",$N6&lt;&gt;"",OR($E6=$R$24,$E6=$S$24),NOT($U$16))</formula>
    </cfRule>
    <cfRule type="expression" dxfId="52" priority="319">
      <formula>OR($L6="",$N6="")</formula>
    </cfRule>
  </conditionalFormatting>
  <conditionalFormatting sqref="Q22:S23">
    <cfRule type="expression" dxfId="51" priority="330">
      <formula>AND($R$11&gt;$U$18,NOT($U$16))</formula>
    </cfRule>
  </conditionalFormatting>
  <conditionalFormatting sqref="C41:C42">
    <cfRule type="duplicateValues" dxfId="0" priority="1"/>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146"/>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27">
        <f ca="1">COUNTIF($C$3:$C$146,"")</f>
        <v>0</v>
      </c>
      <c r="F2" s="427">
        <f t="array" aca="1" ref="F2" ca="1">SUMPRODUCT(($C$3:$C$146&lt;&gt;"")/($D$3:$D$146+($C$3:$C$146="")))</f>
        <v>144</v>
      </c>
      <c r="G2" s="428" t="str">
        <f ca="1">IF(E2+F2&lt;144,"FEHLER","okay")</f>
        <v>okay</v>
      </c>
    </row>
    <row r="3" spans="2:7" ht="13.5" thickTop="1" x14ac:dyDescent="0.2">
      <c r="B3" s="165">
        <v>1</v>
      </c>
      <c r="C3" t="str">
        <f ca="1">IF(OR(Planung!$L6="",Planung!$N6=""),"Z"&amp;ROW($M6),Planung!$I6&amp;Planung!$F6)</f>
        <v>A10,375</v>
      </c>
      <c r="D3" s="165">
        <f t="array" aca="1" ref="D3:D146" ca="1">COUNTIF($C$3:$C$146,$C$3:$C$146)</f>
        <v>1</v>
      </c>
      <c r="E3" s="165" t="e">
        <f ca="1">IF($F$8&gt;72,$F$8-72,$F$8)</f>
        <v>#NUM!</v>
      </c>
      <c r="F3" s="408" t="s">
        <v>290</v>
      </c>
    </row>
    <row r="4" spans="2:7" x14ac:dyDescent="0.2">
      <c r="B4" s="165">
        <v>2</v>
      </c>
      <c r="C4" t="str">
        <f ca="1">IF(OR(Planung!$L7="",Planung!$N7=""),"Z"&amp;ROW($M7),Planung!$I7&amp;Planung!$F7)</f>
        <v>B10,375</v>
      </c>
      <c r="D4" s="165">
        <f ca="1"/>
        <v>1</v>
      </c>
      <c r="E4" s="165" t="e">
        <f ca="1">IF($F$9&gt;72,$F$9-72,$F$9)</f>
        <v>#NUM!</v>
      </c>
      <c r="F4" s="408" t="s">
        <v>291</v>
      </c>
    </row>
    <row r="5" spans="2:7" x14ac:dyDescent="0.2">
      <c r="B5" s="165">
        <v>3</v>
      </c>
      <c r="C5" t="str">
        <f ca="1">IF(OR(Planung!$L8="",Planung!$N8=""),"Z"&amp;ROW($M8),Planung!$I8&amp;Planung!$F8)</f>
        <v>A70,375</v>
      </c>
      <c r="D5" s="165">
        <f ca="1"/>
        <v>1</v>
      </c>
      <c r="E5" s="408" t="str">
        <f t="array" aca="1" ref="E5" ca="1">VLOOKUP(MATCH($E$7,$D$3:$D$146,0),$B$3:$C$146,2,0)</f>
        <v>A10,375</v>
      </c>
      <c r="F5" s="461" t="s">
        <v>292</v>
      </c>
    </row>
    <row r="6" spans="2:7" ht="13.5" thickBot="1" x14ac:dyDescent="0.25">
      <c r="B6" s="165">
        <v>4</v>
      </c>
      <c r="C6" t="str">
        <f ca="1">IF(OR(Planung!$L9="",Planung!$N9=""),"Z"&amp;ROW($M9),Planung!$I9&amp;Planung!$F9)</f>
        <v>B70,375</v>
      </c>
      <c r="D6" s="165">
        <f ca="1"/>
        <v>1</v>
      </c>
      <c r="E6" s="165" t="str">
        <f ca="1">LEFT($E$5,2)</f>
        <v>A1</v>
      </c>
      <c r="F6" s="165"/>
    </row>
    <row r="7" spans="2:7" ht="13.5" thickBot="1" x14ac:dyDescent="0.25">
      <c r="B7" s="165">
        <v>5</v>
      </c>
      <c r="C7" t="str">
        <f ca="1">IF(OR(Planung!$L10="",Planung!$N10=""),"Z"&amp;ROW($M10),Planung!$I10&amp;Planung!$F10)</f>
        <v>A30,399305555555556</v>
      </c>
      <c r="D7" s="165">
        <f ca="1"/>
        <v>1</v>
      </c>
      <c r="E7" s="470">
        <f ca="1">MAX($D$3:$D$146)</f>
        <v>1</v>
      </c>
    </row>
    <row r="8" spans="2:7" x14ac:dyDescent="0.2">
      <c r="B8" s="165">
        <v>6</v>
      </c>
      <c r="C8" t="str">
        <f ca="1">IF(OR(Planung!$L11="",Planung!$N11=""),"Z"&amp;ROW($M11),Planung!$I11&amp;Planung!$F11)</f>
        <v>B30,399305555555556</v>
      </c>
      <c r="D8" s="165">
        <f ca="1"/>
        <v>1</v>
      </c>
      <c r="E8" s="165">
        <f ca="1">MATCH($E$7,$D$3:$D$146,0)</f>
        <v>1</v>
      </c>
      <c r="F8" s="165" t="e">
        <f ca="1">IF($E$8&lt;$E$9,$E$8,$E$9)</f>
        <v>#NUM!</v>
      </c>
    </row>
    <row r="9" spans="2:7" x14ac:dyDescent="0.2">
      <c r="B9" s="165">
        <v>7</v>
      </c>
      <c r="C9" t="str">
        <f ca="1">IF(OR(Planung!$L12="",Planung!$N12=""),"Z"&amp;ROW($M12),Planung!$I12&amp;Planung!$F12)</f>
        <v>A50,399305555555556</v>
      </c>
      <c r="D9" s="165">
        <f ca="1"/>
        <v>1</v>
      </c>
      <c r="E9" s="165" t="e">
        <f t="array" aca="1" ref="E9" ca="1">INDEX($B$3:$B$146,SMALL(IF($E$5=$C$3:$C$146,ROW($C$3:$C$146)-ROW($C$3)+1),2))</f>
        <v>#NUM!</v>
      </c>
      <c r="F9" s="165" t="e">
        <f ca="1">IF($E$8&gt;$E$9,$E$8,$E$9)</f>
        <v>#NUM!</v>
      </c>
    </row>
    <row r="10" spans="2:7" x14ac:dyDescent="0.2">
      <c r="B10" s="165">
        <v>8</v>
      </c>
      <c r="C10" t="str">
        <f ca="1">IF(OR(Planung!$L13="",Planung!$N13=""),"Z"&amp;ROW($M13),Planung!$I13&amp;Planung!$F13)</f>
        <v>B50,399305555555556</v>
      </c>
      <c r="D10" s="165">
        <f ca="1"/>
        <v>1</v>
      </c>
    </row>
    <row r="11" spans="2:7" x14ac:dyDescent="0.2">
      <c r="B11" s="165">
        <v>9</v>
      </c>
      <c r="C11" t="str">
        <f ca="1">IF(OR(Planung!$L14="",Planung!$N14=""),"Z"&amp;ROW($M14),Planung!$I14&amp;Planung!$F14)</f>
        <v>A70,423611111111111</v>
      </c>
      <c r="D11" s="165">
        <f ca="1"/>
        <v>1</v>
      </c>
    </row>
    <row r="12" spans="2:7" x14ac:dyDescent="0.2">
      <c r="B12" s="165">
        <v>10</v>
      </c>
      <c r="C12" t="str">
        <f ca="1">IF(OR(Planung!$L15="",Planung!$N15=""),"Z"&amp;ROW($M15),Planung!$I15&amp;Planung!$F15)</f>
        <v>B70,423611111111111</v>
      </c>
      <c r="D12" s="165">
        <f ca="1"/>
        <v>1</v>
      </c>
    </row>
    <row r="13" spans="2:7" x14ac:dyDescent="0.2">
      <c r="B13" s="165">
        <v>11</v>
      </c>
      <c r="C13" t="str">
        <f ca="1">IF(OR(Planung!$L16="",Planung!$N16=""),"Z"&amp;ROW($M16),Planung!$I16&amp;Planung!$F16)</f>
        <v>A60,423611111111111</v>
      </c>
      <c r="D13" s="165">
        <f ca="1"/>
        <v>1</v>
      </c>
    </row>
    <row r="14" spans="2:7" x14ac:dyDescent="0.2">
      <c r="B14" s="165">
        <v>12</v>
      </c>
      <c r="C14" t="str">
        <f ca="1">IF(OR(Planung!$L17="",Planung!$N17=""),"Z"&amp;ROW($M17),Planung!$I17&amp;Planung!$F17)</f>
        <v>B60,423611111111111</v>
      </c>
      <c r="D14" s="165">
        <f ca="1"/>
        <v>1</v>
      </c>
    </row>
    <row r="15" spans="2:7" x14ac:dyDescent="0.2">
      <c r="B15" s="165">
        <v>13</v>
      </c>
      <c r="C15" t="str">
        <f ca="1">IF(OR(Planung!$L18="",Planung!$N18=""),"Z"&amp;ROW($M18),Planung!$I18&amp;Planung!$F18)</f>
        <v>A20,447916666666667</v>
      </c>
      <c r="D15" s="165">
        <f ca="1"/>
        <v>1</v>
      </c>
    </row>
    <row r="16" spans="2:7" x14ac:dyDescent="0.2">
      <c r="B16" s="165">
        <v>14</v>
      </c>
      <c r="C16" t="str">
        <f ca="1">IF(OR(Planung!$L19="",Planung!$N19=""),"Z"&amp;ROW($M19),Planung!$I19&amp;Planung!$F19)</f>
        <v>B20,447916666666667</v>
      </c>
      <c r="D16" s="165">
        <f ca="1"/>
        <v>1</v>
      </c>
    </row>
    <row r="17" spans="1:7" x14ac:dyDescent="0.2">
      <c r="B17" s="165">
        <v>15</v>
      </c>
      <c r="C17" t="str">
        <f ca="1">IF(OR(Planung!$L20="",Planung!$N20=""),"Z"&amp;ROW($M20),Planung!$I20&amp;Planung!$F20)</f>
        <v>A40,447916666666667</v>
      </c>
      <c r="D17" s="165">
        <f ca="1"/>
        <v>1</v>
      </c>
    </row>
    <row r="18" spans="1:7" x14ac:dyDescent="0.2">
      <c r="B18" s="165">
        <v>16</v>
      </c>
      <c r="C18" t="str">
        <f ca="1">IF(OR(Planung!$L21="",Planung!$N21=""),"Z"&amp;ROW($M21),Planung!$I21&amp;Planung!$F21)</f>
        <v>B40,447916666666667</v>
      </c>
      <c r="D18" s="165">
        <f ca="1"/>
        <v>1</v>
      </c>
    </row>
    <row r="19" spans="1:7" x14ac:dyDescent="0.2">
      <c r="B19" s="165">
        <v>17</v>
      </c>
      <c r="C19" t="str">
        <f ca="1">IF(OR(Planung!$L22="",Planung!$N22=""),"Z"&amp;ROW($M22),Planung!$I22&amp;Planung!$F22)</f>
        <v>A10,472222222222222</v>
      </c>
      <c r="D19" s="165">
        <f ca="1"/>
        <v>1</v>
      </c>
    </row>
    <row r="20" spans="1:7" x14ac:dyDescent="0.2">
      <c r="B20" s="165">
        <v>18</v>
      </c>
      <c r="C20" t="str">
        <f ca="1">IF(OR(Planung!$L23="",Planung!$N23=""),"Z"&amp;ROW($M23),Planung!$I23&amp;Planung!$F23)</f>
        <v>B10,472222222222222</v>
      </c>
      <c r="D20" s="165">
        <f ca="1"/>
        <v>1</v>
      </c>
    </row>
    <row r="21" spans="1:7" x14ac:dyDescent="0.2">
      <c r="B21" s="165">
        <v>19</v>
      </c>
      <c r="C21" t="str">
        <f ca="1">IF(OR(Planung!$L24="",Planung!$N24=""),"Z"&amp;ROW($M24),Planung!$I24&amp;Planung!$F24)</f>
        <v>A50,472222222222222</v>
      </c>
      <c r="D21" s="165">
        <f ca="1"/>
        <v>1</v>
      </c>
      <c r="G21" s="638" t="s">
        <v>267</v>
      </c>
    </row>
    <row r="22" spans="1:7" x14ac:dyDescent="0.2">
      <c r="B22" s="165">
        <v>20</v>
      </c>
      <c r="C22" t="str">
        <f ca="1">IF(OR(Planung!$L25="",Planung!$N25=""),"Z"&amp;ROW($M25),Planung!$I25&amp;Planung!$F25)</f>
        <v>B50,472222222222222</v>
      </c>
      <c r="D22" s="165">
        <f ca="1"/>
        <v>1</v>
      </c>
      <c r="G22" s="638"/>
    </row>
    <row r="23" spans="1:7" x14ac:dyDescent="0.2">
      <c r="B23" s="165">
        <v>21</v>
      </c>
      <c r="C23" t="str">
        <f ca="1">IF(OR(Planung!$L26="",Planung!$N26=""),"Z"&amp;ROW($M26),Planung!$I26&amp;Planung!$F26)</f>
        <v>A80,496527777777778</v>
      </c>
      <c r="D23" s="165">
        <f ca="1"/>
        <v>1</v>
      </c>
      <c r="G23" s="638" t="s">
        <v>268</v>
      </c>
    </row>
    <row r="24" spans="1:7" x14ac:dyDescent="0.2">
      <c r="B24" s="165">
        <v>22</v>
      </c>
      <c r="C24" t="str">
        <f ca="1">IF(OR(Planung!$L27="",Planung!$N27=""),"Z"&amp;ROW($M27),Planung!$I27&amp;Planung!$F27)</f>
        <v>B80,496527777777778</v>
      </c>
      <c r="D24" s="165">
        <f ca="1"/>
        <v>1</v>
      </c>
      <c r="G24" s="638"/>
    </row>
    <row r="25" spans="1:7" x14ac:dyDescent="0.2">
      <c r="B25" s="165">
        <v>23</v>
      </c>
      <c r="C25" t="str">
        <f ca="1">IF(OR(Planung!$L28="",Planung!$N28=""),"Z"&amp;ROW($M28),Planung!$I28&amp;Planung!$F28)</f>
        <v>A30,496527777777778</v>
      </c>
      <c r="D25" s="165">
        <f ca="1"/>
        <v>1</v>
      </c>
      <c r="G25" s="638" t="s">
        <v>269</v>
      </c>
    </row>
    <row r="26" spans="1:7" x14ac:dyDescent="0.2">
      <c r="B26" s="165">
        <v>24</v>
      </c>
      <c r="C26" t="str">
        <f ca="1">IF(OR(Planung!$L29="",Planung!$N29=""),"Z"&amp;ROW($M29),Planung!$I29&amp;Planung!$F29)</f>
        <v>B30,496527777777778</v>
      </c>
      <c r="D26" s="165">
        <f ca="1"/>
        <v>1</v>
      </c>
      <c r="G26" s="638"/>
    </row>
    <row r="27" spans="1:7" x14ac:dyDescent="0.2">
      <c r="B27" s="165">
        <v>25</v>
      </c>
      <c r="C27" t="str">
        <f ca="1">IF(OR(Planung!$L30="",Planung!$N30=""),"Z"&amp;ROW($M30),Planung!$I30&amp;Planung!$F30)</f>
        <v>A50,520833333333333</v>
      </c>
      <c r="D27" s="165">
        <f ca="1"/>
        <v>1</v>
      </c>
      <c r="G27" s="638" t="s">
        <v>270</v>
      </c>
    </row>
    <row r="28" spans="1:7" x14ac:dyDescent="0.2">
      <c r="B28" s="165">
        <v>26</v>
      </c>
      <c r="C28" t="str">
        <f ca="1">IF(OR(Planung!$L31="",Planung!$N31=""),"Z"&amp;ROW($M31),Planung!$I31&amp;Planung!$F31)</f>
        <v>B50,520833333333333</v>
      </c>
      <c r="D28" s="165">
        <f ca="1"/>
        <v>1</v>
      </c>
      <c r="G28" s="638"/>
    </row>
    <row r="29" spans="1:7" x14ac:dyDescent="0.2">
      <c r="B29" s="165">
        <v>27</v>
      </c>
      <c r="C29" t="str">
        <f ca="1">IF(OR(Planung!$L32="",Planung!$N32=""),"Z"&amp;ROW($M32),Planung!$I32&amp;Planung!$F32)</f>
        <v>A40,520833333333333</v>
      </c>
      <c r="D29" s="165">
        <f ca="1"/>
        <v>1</v>
      </c>
      <c r="G29" s="638" t="s">
        <v>334</v>
      </c>
    </row>
    <row r="30" spans="1:7" x14ac:dyDescent="0.2">
      <c r="B30" s="165">
        <v>28</v>
      </c>
      <c r="C30" t="str">
        <f ca="1">IF(OR(Planung!$L33="",Planung!$N33=""),"Z"&amp;ROW($M33),Planung!$I33&amp;Planung!$F33)</f>
        <v>B40,520833333333333</v>
      </c>
      <c r="D30" s="165">
        <f ca="1"/>
        <v>1</v>
      </c>
      <c r="G30" s="638"/>
    </row>
    <row r="31" spans="1:7" x14ac:dyDescent="0.2">
      <c r="B31" s="165">
        <v>29</v>
      </c>
      <c r="C31" t="str">
        <f ca="1">IF(OR(Planung!$L34="",Planung!$N34=""),"Z"&amp;ROW($M34),Planung!$I34&amp;Planung!$F34)</f>
        <v>A70,545138888888889</v>
      </c>
      <c r="D31" s="165">
        <f ca="1"/>
        <v>1</v>
      </c>
      <c r="G31" s="165"/>
    </row>
    <row r="32" spans="1:7" x14ac:dyDescent="0.2">
      <c r="A32" s="296"/>
      <c r="B32" s="295">
        <v>30</v>
      </c>
      <c r="C32" t="str">
        <f ca="1">IF(OR(Planung!$L35="",Planung!$N35=""),"Z"&amp;ROW($M35),Planung!$I35&amp;Planung!$F35)</f>
        <v>B70,545138888888889</v>
      </c>
      <c r="D32" s="165">
        <f ca="1"/>
        <v>1</v>
      </c>
      <c r="G32" s="165"/>
    </row>
    <row r="33" spans="1:7" x14ac:dyDescent="0.2">
      <c r="A33" s="295"/>
      <c r="B33" s="295">
        <v>31</v>
      </c>
      <c r="C33" t="str">
        <f ca="1">IF(OR(Planung!$L36="",Planung!$N36=""),"Z"&amp;ROW($M36),Planung!$I36&amp;Planung!$F36)</f>
        <v>A20,545138888888889</v>
      </c>
      <c r="D33" s="165">
        <f ca="1"/>
        <v>1</v>
      </c>
      <c r="G33" s="638" t="s">
        <v>271</v>
      </c>
    </row>
    <row r="34" spans="1:7" x14ac:dyDescent="0.2">
      <c r="A34" s="165"/>
      <c r="B34" s="165">
        <v>32</v>
      </c>
      <c r="C34" t="str">
        <f ca="1">IF(OR(Planung!$L37="",Planung!$N37=""),"Z"&amp;ROW($M37),Planung!$I37&amp;Planung!$F37)</f>
        <v>B20,545138888888889</v>
      </c>
      <c r="D34" s="165">
        <f ca="1"/>
        <v>1</v>
      </c>
      <c r="G34" s="638"/>
    </row>
    <row r="35" spans="1:7" x14ac:dyDescent="0.2">
      <c r="A35" s="165"/>
      <c r="B35" s="165">
        <v>33</v>
      </c>
      <c r="C35" t="str">
        <f ca="1">IF(OR(Planung!$L38="",Planung!$N38=""),"Z"&amp;ROW($M38),Planung!$I38&amp;Planung!$F38)</f>
        <v>A10,569444444444444</v>
      </c>
      <c r="D35" s="165">
        <f ca="1"/>
        <v>1</v>
      </c>
      <c r="G35" s="638" t="s">
        <v>272</v>
      </c>
    </row>
    <row r="36" spans="1:7" x14ac:dyDescent="0.2">
      <c r="A36" s="165"/>
      <c r="B36" s="165">
        <v>34</v>
      </c>
      <c r="C36" t="str">
        <f ca="1">IF(OR(Planung!$L39="",Planung!$N39=""),"Z"&amp;ROW($M39),Planung!$I39&amp;Planung!$F39)</f>
        <v>B10,569444444444444</v>
      </c>
      <c r="D36" s="165">
        <f ca="1"/>
        <v>1</v>
      </c>
      <c r="G36" s="638"/>
    </row>
    <row r="37" spans="1:7" x14ac:dyDescent="0.2">
      <c r="A37" s="165"/>
      <c r="B37" s="165">
        <v>35</v>
      </c>
      <c r="C37" t="str">
        <f ca="1">IF(OR(Planung!$L40="",Planung!$N40=""),"Z"&amp;ROW($M40),Planung!$I40&amp;Planung!$F40)</f>
        <v>A30,569444444444444</v>
      </c>
      <c r="D37" s="165">
        <f ca="1"/>
        <v>1</v>
      </c>
      <c r="G37" s="638" t="s">
        <v>274</v>
      </c>
    </row>
    <row r="38" spans="1:7" x14ac:dyDescent="0.2">
      <c r="A38" s="165"/>
      <c r="B38" s="165">
        <v>36</v>
      </c>
      <c r="C38" t="str">
        <f ca="1">IF(OR(Planung!$L41="",Planung!$N41=""),"Z"&amp;ROW($M41),Planung!$I41&amp;Planung!$F41)</f>
        <v>B30,569444444444444</v>
      </c>
      <c r="D38" s="165">
        <f ca="1"/>
        <v>1</v>
      </c>
      <c r="G38" s="638"/>
    </row>
    <row r="39" spans="1:7" x14ac:dyDescent="0.2">
      <c r="A39" s="165"/>
      <c r="B39" s="165">
        <v>37</v>
      </c>
      <c r="C39" t="str">
        <f ca="1">IF(OR(Planung!$L42="",Planung!$N42=""),"Z"&amp;ROW($M42),Planung!$I42&amp;Planung!$F42)</f>
        <v>A60,59375</v>
      </c>
      <c r="D39" s="165">
        <f ca="1"/>
        <v>1</v>
      </c>
      <c r="G39" s="638" t="s">
        <v>273</v>
      </c>
    </row>
    <row r="40" spans="1:7" x14ac:dyDescent="0.2">
      <c r="A40" s="165"/>
      <c r="B40" s="165">
        <v>38</v>
      </c>
      <c r="C40" t="str">
        <f ca="1">IF(OR(Planung!$L43="",Planung!$N43=""),"Z"&amp;ROW($M43),Planung!$I43&amp;Planung!$F43)</f>
        <v>B60,59375</v>
      </c>
      <c r="D40" s="165">
        <f ca="1"/>
        <v>1</v>
      </c>
      <c r="G40" s="638"/>
    </row>
    <row r="41" spans="1:7" x14ac:dyDescent="0.2">
      <c r="A41" s="165"/>
      <c r="B41" s="165">
        <v>39</v>
      </c>
      <c r="C41" t="str">
        <f ca="1">IF(OR(Planung!$L44="",Planung!$N44=""),"Z"&amp;ROW($M44),Planung!$I44&amp;Planung!$F44)</f>
        <v>A80,59375</v>
      </c>
      <c r="D41" s="165">
        <f ca="1"/>
        <v>1</v>
      </c>
      <c r="G41" s="638" t="s">
        <v>275</v>
      </c>
    </row>
    <row r="42" spans="1:7" x14ac:dyDescent="0.2">
      <c r="A42" s="165"/>
      <c r="B42" s="165">
        <v>40</v>
      </c>
      <c r="C42" t="str">
        <f ca="1">IF(OR(Planung!$L45="",Planung!$N45=""),"Z"&amp;ROW($M45),Planung!$I45&amp;Planung!$F45)</f>
        <v>B80,59375</v>
      </c>
      <c r="D42" s="165">
        <f ca="1"/>
        <v>1</v>
      </c>
      <c r="G42" s="638"/>
    </row>
    <row r="43" spans="1:7" x14ac:dyDescent="0.2">
      <c r="A43" s="165"/>
      <c r="B43" s="165">
        <v>41</v>
      </c>
      <c r="C43" t="str">
        <f ca="1">IF(OR(Planung!$L46="",Planung!$N46=""),"Z"&amp;ROW($M46),Planung!$I46&amp;Planung!$F46)</f>
        <v>A30,618055555555556</v>
      </c>
      <c r="D43" s="165">
        <f ca="1"/>
        <v>1</v>
      </c>
    </row>
    <row r="44" spans="1:7" x14ac:dyDescent="0.2">
      <c r="A44" s="165"/>
      <c r="B44" s="165">
        <v>42</v>
      </c>
      <c r="C44" t="str">
        <f ca="1">IF(OR(Planung!$L47="",Planung!$N47=""),"Z"&amp;ROW($M47),Planung!$I47&amp;Planung!$F47)</f>
        <v>B30,618055555555556</v>
      </c>
      <c r="D44" s="165">
        <f ca="1"/>
        <v>1</v>
      </c>
    </row>
    <row r="45" spans="1:7" x14ac:dyDescent="0.2">
      <c r="A45" s="165"/>
      <c r="B45" s="165">
        <v>43</v>
      </c>
      <c r="C45" t="str">
        <f ca="1">IF(OR(Planung!$L48="",Planung!$N48=""),"Z"&amp;ROW($M48),Planung!$I48&amp;Planung!$F48)</f>
        <v>A20,618055555555556</v>
      </c>
      <c r="D45" s="165">
        <f ca="1"/>
        <v>1</v>
      </c>
    </row>
    <row r="46" spans="1:7" x14ac:dyDescent="0.2">
      <c r="A46" s="165"/>
      <c r="B46" s="165">
        <v>44</v>
      </c>
      <c r="C46" t="str">
        <f ca="1">IF(OR(Planung!$L49="",Planung!$N49=""),"Z"&amp;ROW($M49),Planung!$I49&amp;Planung!$F49)</f>
        <v>B20,618055555555556</v>
      </c>
      <c r="D46" s="165">
        <f ca="1"/>
        <v>1</v>
      </c>
    </row>
    <row r="47" spans="1:7" x14ac:dyDescent="0.2">
      <c r="A47" s="165"/>
      <c r="B47" s="165">
        <v>45</v>
      </c>
      <c r="C47" t="str">
        <f ca="1">IF(OR(Planung!$L50="",Planung!$N50=""),"Z"&amp;ROW($M50),Planung!$I50&amp;Planung!$F50)</f>
        <v>A50,642361111111111</v>
      </c>
      <c r="D47" s="165">
        <f ca="1"/>
        <v>1</v>
      </c>
    </row>
    <row r="48" spans="1:7" x14ac:dyDescent="0.2">
      <c r="A48" s="165"/>
      <c r="B48" s="165">
        <v>46</v>
      </c>
      <c r="C48" t="str">
        <f ca="1">IF(OR(Planung!$L51="",Planung!$N51=""),"Z"&amp;ROW($M51),Planung!$I51&amp;Planung!$F51)</f>
        <v>B50,642361111111111</v>
      </c>
      <c r="D48" s="165">
        <f ca="1"/>
        <v>1</v>
      </c>
    </row>
    <row r="49" spans="1:4" x14ac:dyDescent="0.2">
      <c r="A49" s="165"/>
      <c r="B49" s="165">
        <v>47</v>
      </c>
      <c r="C49" t="str">
        <f ca="1">IF(OR(Planung!$L52="",Planung!$N52=""),"Z"&amp;ROW($M52),Planung!$I52&amp;Planung!$F52)</f>
        <v>A70,642361111111111</v>
      </c>
      <c r="D49" s="165">
        <f ca="1"/>
        <v>1</v>
      </c>
    </row>
    <row r="50" spans="1:4" x14ac:dyDescent="0.2">
      <c r="A50" s="165"/>
      <c r="B50" s="165">
        <v>48</v>
      </c>
      <c r="C50" t="str">
        <f ca="1">IF(OR(Planung!$L53="",Planung!$N53=""),"Z"&amp;ROW($M53),Planung!$I53&amp;Planung!$F53)</f>
        <v>B70,642361111111111</v>
      </c>
      <c r="D50" s="165">
        <f ca="1"/>
        <v>1</v>
      </c>
    </row>
    <row r="51" spans="1:4" x14ac:dyDescent="0.2">
      <c r="A51" s="165"/>
      <c r="B51" s="165">
        <v>49</v>
      </c>
      <c r="C51" t="str">
        <f ca="1">IF(OR(Planung!$L54="",Planung!$N54=""),"Z"&amp;ROW($M54),Planung!$I54&amp;Planung!$F54)</f>
        <v>A10,666666666666667</v>
      </c>
      <c r="D51" s="165">
        <f ca="1"/>
        <v>1</v>
      </c>
    </row>
    <row r="52" spans="1:4" x14ac:dyDescent="0.2">
      <c r="A52" s="165"/>
      <c r="B52" s="165">
        <v>50</v>
      </c>
      <c r="C52" t="str">
        <f ca="1">IF(OR(Planung!$L55="",Planung!$N55=""),"Z"&amp;ROW($M55),Planung!$I55&amp;Planung!$F55)</f>
        <v>B10,666666666666667</v>
      </c>
      <c r="D52" s="165">
        <f ca="1"/>
        <v>1</v>
      </c>
    </row>
    <row r="53" spans="1:4" x14ac:dyDescent="0.2">
      <c r="A53" s="165"/>
      <c r="B53" s="165">
        <v>51</v>
      </c>
      <c r="C53" t="str">
        <f ca="1">IF(OR(Planung!$L56="",Planung!$N56=""),"Z"&amp;ROW($M56),Planung!$I56&amp;Planung!$F56)</f>
        <v>A80,666666666666667</v>
      </c>
      <c r="D53" s="165">
        <f ca="1"/>
        <v>1</v>
      </c>
    </row>
    <row r="54" spans="1:4" x14ac:dyDescent="0.2">
      <c r="A54" s="165"/>
      <c r="B54" s="165">
        <v>52</v>
      </c>
      <c r="C54" t="str">
        <f ca="1">IF(OR(Planung!$L57="",Planung!$N57=""),"Z"&amp;ROW($M57),Planung!$I57&amp;Planung!$F57)</f>
        <v>B80,666666666666667</v>
      </c>
      <c r="D54" s="165">
        <f ca="1"/>
        <v>1</v>
      </c>
    </row>
    <row r="55" spans="1:4" x14ac:dyDescent="0.2">
      <c r="A55" s="165"/>
      <c r="B55" s="165">
        <v>53</v>
      </c>
      <c r="C55" t="str">
        <f ca="1">IF(OR(Planung!$L58="",Planung!$N58=""),"Z"&amp;ROW($M58),Planung!$I58&amp;Planung!$F58)</f>
        <v>A40,690972222222222</v>
      </c>
      <c r="D55" s="165">
        <f ca="1"/>
        <v>1</v>
      </c>
    </row>
    <row r="56" spans="1:4" x14ac:dyDescent="0.2">
      <c r="A56" s="165"/>
      <c r="B56" s="165">
        <v>54</v>
      </c>
      <c r="C56" t="str">
        <f ca="1">IF(OR(Planung!$L59="",Planung!$N59=""),"Z"&amp;ROW($M59),Planung!$I59&amp;Planung!$F59)</f>
        <v>B40,690972222222222</v>
      </c>
      <c r="D56" s="165">
        <f ca="1"/>
        <v>1</v>
      </c>
    </row>
    <row r="57" spans="1:4" x14ac:dyDescent="0.2">
      <c r="A57" s="165"/>
      <c r="B57" s="165">
        <v>55</v>
      </c>
      <c r="C57" t="str">
        <f ca="1">IF(OR(Planung!$L60="",Planung!$N60=""),"Z"&amp;ROW($M60),Planung!$I60&amp;Planung!$F60)</f>
        <v>A60,690972222222222</v>
      </c>
      <c r="D57" s="165">
        <f ca="1"/>
        <v>1</v>
      </c>
    </row>
    <row r="58" spans="1:4" x14ac:dyDescent="0.2">
      <c r="A58" s="165"/>
      <c r="B58" s="165">
        <v>56</v>
      </c>
      <c r="C58" t="str">
        <f ca="1">IF(OR(Planung!$L61="",Planung!$N61=""),"Z"&amp;ROW($M61),Planung!$I61&amp;Planung!$F61)</f>
        <v>B60,690972222222222</v>
      </c>
      <c r="D58" s="165">
        <f ca="1"/>
        <v>1</v>
      </c>
    </row>
    <row r="59" spans="1:4" x14ac:dyDescent="0.2">
      <c r="A59" s="165"/>
      <c r="B59" s="165">
        <v>57</v>
      </c>
      <c r="C59" t="str">
        <f ca="1">IF(OR(Planung!$L62="",Planung!$N62=""),"Z"&amp;ROW($M62),Planung!$I62&amp;Planung!$F62)</f>
        <v>Z62</v>
      </c>
      <c r="D59" s="165">
        <f ca="1"/>
        <v>1</v>
      </c>
    </row>
    <row r="60" spans="1:4" x14ac:dyDescent="0.2">
      <c r="A60" s="165"/>
      <c r="B60" s="165">
        <v>58</v>
      </c>
      <c r="C60" t="str">
        <f ca="1">IF(OR(Planung!$L63="",Planung!$N63=""),"Z"&amp;ROW($M63),Planung!$I63&amp;Planung!$F63)</f>
        <v>Z63</v>
      </c>
      <c r="D60" s="165">
        <f ca="1"/>
        <v>1</v>
      </c>
    </row>
    <row r="61" spans="1:4" x14ac:dyDescent="0.2">
      <c r="A61" s="165"/>
      <c r="B61" s="165">
        <v>59</v>
      </c>
      <c r="C61" t="str">
        <f ca="1">IF(OR(Planung!$L64="",Planung!$N64=""),"Z"&amp;ROW($M64),Planung!$I64&amp;Planung!$F64)</f>
        <v>Z64</v>
      </c>
      <c r="D61" s="165">
        <f ca="1"/>
        <v>1</v>
      </c>
    </row>
    <row r="62" spans="1:4" x14ac:dyDescent="0.2">
      <c r="A62" s="165"/>
      <c r="B62" s="165">
        <v>60</v>
      </c>
      <c r="C62" t="str">
        <f ca="1">IF(OR(Planung!$L65="",Planung!$N65=""),"Z"&amp;ROW($M65),Planung!$I65&amp;Planung!$F65)</f>
        <v>Z65</v>
      </c>
      <c r="D62" s="165">
        <f ca="1"/>
        <v>1</v>
      </c>
    </row>
    <row r="63" spans="1:4" x14ac:dyDescent="0.2">
      <c r="B63" s="165">
        <v>61</v>
      </c>
      <c r="C63" t="str">
        <f ca="1">IF(OR(Planung!$L66="",Planung!$N66=""),"Z"&amp;ROW($M66),Planung!$I66&amp;Planung!$F66)</f>
        <v>Z66</v>
      </c>
      <c r="D63" s="165">
        <f ca="1"/>
        <v>1</v>
      </c>
    </row>
    <row r="64" spans="1:4" x14ac:dyDescent="0.2">
      <c r="B64" s="165">
        <v>62</v>
      </c>
      <c r="C64" t="str">
        <f ca="1">IF(OR(Planung!$L67="",Planung!$N67=""),"Z"&amp;ROW($M67),Planung!$I67&amp;Planung!$F67)</f>
        <v>Z67</v>
      </c>
      <c r="D64" s="165">
        <f ca="1"/>
        <v>1</v>
      </c>
    </row>
    <row r="65" spans="1:4" x14ac:dyDescent="0.2">
      <c r="B65" s="165">
        <v>63</v>
      </c>
      <c r="C65" t="str">
        <f ca="1">IF(OR(Planung!$L68="",Planung!$N68=""),"Z"&amp;ROW($M68),Planung!$I68&amp;Planung!$F68)</f>
        <v>Z68</v>
      </c>
      <c r="D65" s="165">
        <f ca="1"/>
        <v>1</v>
      </c>
    </row>
    <row r="66" spans="1:4" x14ac:dyDescent="0.2">
      <c r="B66" s="165">
        <v>64</v>
      </c>
      <c r="C66" t="str">
        <f ca="1">IF(OR(Planung!$L69="",Planung!$N69=""),"Z"&amp;ROW($M69),Planung!$I69&amp;Planung!$F69)</f>
        <v>Z69</v>
      </c>
      <c r="D66" s="165">
        <f ca="1"/>
        <v>1</v>
      </c>
    </row>
    <row r="67" spans="1:4" x14ac:dyDescent="0.2">
      <c r="B67" s="165">
        <v>65</v>
      </c>
      <c r="C67" t="str">
        <f ca="1">IF(OR(Planung!$L70="",Planung!$N70=""),"Z"&amp;ROW($M70),Planung!$I70&amp;Planung!$F70)</f>
        <v>Z70</v>
      </c>
      <c r="D67" s="165">
        <f ca="1"/>
        <v>1</v>
      </c>
    </row>
    <row r="68" spans="1:4" x14ac:dyDescent="0.2">
      <c r="B68" s="165">
        <v>66</v>
      </c>
      <c r="C68" t="str">
        <f ca="1">IF(OR(Planung!$L71="",Planung!$N71=""),"Z"&amp;ROW($M71),Planung!$I71&amp;Planung!$F71)</f>
        <v>Z71</v>
      </c>
      <c r="D68" s="165">
        <f ca="1"/>
        <v>1</v>
      </c>
    </row>
    <row r="69" spans="1:4" x14ac:dyDescent="0.2">
      <c r="B69" s="165">
        <v>67</v>
      </c>
      <c r="C69" t="str">
        <f ca="1">IF(OR(Planung!$L72="",Planung!$N72=""),"Z"&amp;ROW($M72),Planung!$I72&amp;Planung!$F72)</f>
        <v>Z72</v>
      </c>
      <c r="D69" s="165">
        <f ca="1"/>
        <v>1</v>
      </c>
    </row>
    <row r="70" spans="1:4" x14ac:dyDescent="0.2">
      <c r="B70" s="165">
        <v>68</v>
      </c>
      <c r="C70" t="str">
        <f ca="1">IF(OR(Planung!$L73="",Planung!$N73=""),"Z"&amp;ROW($M73),Planung!$I73&amp;Planung!$F73)</f>
        <v>Z73</v>
      </c>
      <c r="D70" s="165">
        <f ca="1"/>
        <v>1</v>
      </c>
    </row>
    <row r="71" spans="1:4" x14ac:dyDescent="0.2">
      <c r="B71" s="165">
        <v>69</v>
      </c>
      <c r="C71" t="str">
        <f ca="1">IF(OR(Planung!$L74="",Planung!$N74=""),"Z"&amp;ROW($M74),Planung!$I74&amp;Planung!$F74)</f>
        <v>Z74</v>
      </c>
      <c r="D71" s="165">
        <f ca="1"/>
        <v>1</v>
      </c>
    </row>
    <row r="72" spans="1:4" x14ac:dyDescent="0.2">
      <c r="B72" s="165">
        <v>70</v>
      </c>
      <c r="C72" t="str">
        <f ca="1">IF(OR(Planung!$L75="",Planung!$N75=""),"Z"&amp;ROW($M75),Planung!$I75&amp;Planung!$F75)</f>
        <v>Z75</v>
      </c>
      <c r="D72" s="165">
        <f ca="1"/>
        <v>1</v>
      </c>
    </row>
    <row r="73" spans="1:4" x14ac:dyDescent="0.2">
      <c r="B73" s="165">
        <v>71</v>
      </c>
      <c r="C73" t="str">
        <f ca="1">IF(OR(Planung!$L76="",Planung!$N76=""),"Z"&amp;ROW($M76),Planung!$I76&amp;Planung!$F76)</f>
        <v>Z76</v>
      </c>
      <c r="D73" s="165">
        <f ca="1"/>
        <v>1</v>
      </c>
    </row>
    <row r="74" spans="1:4" ht="13.5" thickBot="1" x14ac:dyDescent="0.25">
      <c r="A74" s="296"/>
      <c r="B74" s="467">
        <v>72</v>
      </c>
      <c r="C74" s="466" t="str">
        <f ca="1">IF(OR(Planung!$L77="",Planung!$N77=""),"Z"&amp;ROW($M77),Planung!$I77&amp;Planung!$F77)</f>
        <v>Z77</v>
      </c>
      <c r="D74" s="467">
        <f ca="1"/>
        <v>1</v>
      </c>
    </row>
    <row r="75" spans="1:4" x14ac:dyDescent="0.2">
      <c r="A75" s="165"/>
      <c r="B75" s="165">
        <v>73</v>
      </c>
      <c r="C75" t="str">
        <f ca="1">IF(OR(Planung!$L6="",Planung!$N6=""),"ZZ"&amp;ROW($M6)+100,Planung!$K6&amp;Planung!$F6)</f>
        <v>A80,375</v>
      </c>
      <c r="D75" s="165">
        <f ca="1"/>
        <v>1</v>
      </c>
    </row>
    <row r="76" spans="1:4" x14ac:dyDescent="0.2">
      <c r="B76" s="165">
        <v>74</v>
      </c>
      <c r="C76" t="str">
        <f ca="1">IF(OR(Planung!$L7="",Planung!$N7=""),"ZZ"&amp;ROW($M7)+100,Planung!$K7&amp;Planung!$F7)</f>
        <v>B80,375</v>
      </c>
      <c r="D76" s="165">
        <f ca="1"/>
        <v>1</v>
      </c>
    </row>
    <row r="77" spans="1:4" x14ac:dyDescent="0.2">
      <c r="B77" s="165">
        <v>75</v>
      </c>
      <c r="C77" t="str">
        <f ca="1">IF(OR(Planung!$L8="",Planung!$N8=""),"ZZ"&amp;ROW($M8)+100,Planung!$K8&amp;Planung!$F8)</f>
        <v>A20,375</v>
      </c>
      <c r="D77" s="165">
        <f ca="1"/>
        <v>1</v>
      </c>
    </row>
    <row r="78" spans="1:4" x14ac:dyDescent="0.2">
      <c r="B78" s="165">
        <v>76</v>
      </c>
      <c r="C78" t="str">
        <f ca="1">IF(OR(Planung!$L9="",Planung!$N9=""),"ZZ"&amp;ROW($M9)+100,Planung!$K9&amp;Planung!$F9)</f>
        <v>B20,375</v>
      </c>
      <c r="D78" s="165">
        <f ca="1"/>
        <v>1</v>
      </c>
    </row>
    <row r="79" spans="1:4" x14ac:dyDescent="0.2">
      <c r="B79" s="165">
        <v>77</v>
      </c>
      <c r="C79" t="str">
        <f ca="1">IF(OR(Planung!$L10="",Planung!$N10=""),"ZZ"&amp;ROW($M10)+100,Planung!$K10&amp;Planung!$F10)</f>
        <v>A60,399305555555556</v>
      </c>
      <c r="D79" s="165">
        <f ca="1"/>
        <v>1</v>
      </c>
    </row>
    <row r="80" spans="1:4" x14ac:dyDescent="0.2">
      <c r="B80" s="165">
        <v>78</v>
      </c>
      <c r="C80" t="str">
        <f ca="1">IF(OR(Planung!$L11="",Planung!$N11=""),"ZZ"&amp;ROW($M11)+100,Planung!$K11&amp;Planung!$F11)</f>
        <v>B60,399305555555556</v>
      </c>
      <c r="D80" s="165">
        <f ca="1"/>
        <v>1</v>
      </c>
    </row>
    <row r="81" spans="2:4" x14ac:dyDescent="0.2">
      <c r="B81" s="165">
        <v>79</v>
      </c>
      <c r="C81" t="str">
        <f ca="1">IF(OR(Planung!$L12="",Planung!$N12=""),"ZZ"&amp;ROW($M12)+100,Planung!$K12&amp;Planung!$F12)</f>
        <v>A40,399305555555556</v>
      </c>
      <c r="D81" s="165">
        <f ca="1"/>
        <v>1</v>
      </c>
    </row>
    <row r="82" spans="2:4" x14ac:dyDescent="0.2">
      <c r="B82" s="165">
        <v>80</v>
      </c>
      <c r="C82" t="str">
        <f ca="1">IF(OR(Planung!$L13="",Planung!$N13=""),"ZZ"&amp;ROW($M13)+100,Planung!$K13&amp;Planung!$F13)</f>
        <v>B40,399305555555556</v>
      </c>
      <c r="D82" s="165">
        <f ca="1"/>
        <v>1</v>
      </c>
    </row>
    <row r="83" spans="2:4" x14ac:dyDescent="0.2">
      <c r="B83" s="165">
        <v>81</v>
      </c>
      <c r="C83" t="str">
        <f ca="1">IF(OR(Planung!$L14="",Planung!$N14=""),"ZZ"&amp;ROW($M14)+100,Planung!$K14&amp;Planung!$F14)</f>
        <v>A10,423611111111111</v>
      </c>
      <c r="D83" s="165">
        <f ca="1"/>
        <v>1</v>
      </c>
    </row>
    <row r="84" spans="2:4" x14ac:dyDescent="0.2">
      <c r="B84" s="165">
        <v>82</v>
      </c>
      <c r="C84" t="str">
        <f ca="1">IF(OR(Planung!$L15="",Planung!$N15=""),"ZZ"&amp;ROW($M15)+100,Planung!$K15&amp;Planung!$F15)</f>
        <v>B10,423611111111111</v>
      </c>
      <c r="D84" s="165">
        <f ca="1"/>
        <v>1</v>
      </c>
    </row>
    <row r="85" spans="2:4" x14ac:dyDescent="0.2">
      <c r="B85" s="165">
        <v>83</v>
      </c>
      <c r="C85" t="str">
        <f ca="1">IF(OR(Planung!$L16="",Planung!$N16=""),"ZZ"&amp;ROW($M16)+100,Planung!$K16&amp;Planung!$F16)</f>
        <v>A80,423611111111111</v>
      </c>
      <c r="D85" s="165">
        <f ca="1"/>
        <v>1</v>
      </c>
    </row>
    <row r="86" spans="2:4" x14ac:dyDescent="0.2">
      <c r="B86" s="165">
        <v>84</v>
      </c>
      <c r="C86" t="str">
        <f ca="1">IF(OR(Planung!$L17="",Planung!$N17=""),"ZZ"&amp;ROW($M17)+100,Planung!$K17&amp;Planung!$F17)</f>
        <v>B80,423611111111111</v>
      </c>
      <c r="D86" s="165">
        <f ca="1"/>
        <v>1</v>
      </c>
    </row>
    <row r="87" spans="2:4" x14ac:dyDescent="0.2">
      <c r="B87" s="165">
        <v>85</v>
      </c>
      <c r="C87" t="str">
        <f ca="1">IF(OR(Planung!$L18="",Planung!$N18=""),"ZZ"&amp;ROW($M18)+100,Planung!$K18&amp;Planung!$F18)</f>
        <v>A50,447916666666667</v>
      </c>
      <c r="D87" s="165">
        <f ca="1"/>
        <v>1</v>
      </c>
    </row>
    <row r="88" spans="2:4" x14ac:dyDescent="0.2">
      <c r="B88" s="165">
        <v>86</v>
      </c>
      <c r="C88" t="str">
        <f ca="1">IF(OR(Planung!$L19="",Planung!$N19=""),"ZZ"&amp;ROW($M19)+100,Planung!$K19&amp;Planung!$F19)</f>
        <v>B50,447916666666667</v>
      </c>
      <c r="D88" s="165">
        <f ca="1"/>
        <v>1</v>
      </c>
    </row>
    <row r="89" spans="2:4" x14ac:dyDescent="0.2">
      <c r="B89" s="165">
        <v>87</v>
      </c>
      <c r="C89" t="str">
        <f ca="1">IF(OR(Planung!$L20="",Planung!$N20=""),"ZZ"&amp;ROW($M20)+100,Planung!$K20&amp;Planung!$F20)</f>
        <v>A30,447916666666667</v>
      </c>
      <c r="D89" s="165">
        <f ca="1"/>
        <v>1</v>
      </c>
    </row>
    <row r="90" spans="2:4" x14ac:dyDescent="0.2">
      <c r="B90" s="165">
        <v>88</v>
      </c>
      <c r="C90" t="str">
        <f ca="1">IF(OR(Planung!$L21="",Planung!$N21=""),"ZZ"&amp;ROW($M21)+100,Planung!$K21&amp;Planung!$F21)</f>
        <v>B30,447916666666667</v>
      </c>
      <c r="D90" s="165">
        <f ca="1"/>
        <v>1</v>
      </c>
    </row>
    <row r="91" spans="2:4" x14ac:dyDescent="0.2">
      <c r="B91" s="165">
        <v>89</v>
      </c>
      <c r="C91" t="str">
        <f ca="1">IF(OR(Planung!$L22="",Planung!$N22=""),"ZZ"&amp;ROW($M22)+100,Planung!$K22&amp;Planung!$F22)</f>
        <v>A60,472222222222222</v>
      </c>
      <c r="D91" s="165">
        <f ca="1"/>
        <v>1</v>
      </c>
    </row>
    <row r="92" spans="2:4" x14ac:dyDescent="0.2">
      <c r="B92" s="165">
        <v>90</v>
      </c>
      <c r="C92" t="str">
        <f ca="1">IF(OR(Planung!$L23="",Planung!$N23=""),"ZZ"&amp;ROW($M23)+100,Planung!$K23&amp;Planung!$F23)</f>
        <v>B60,472222222222222</v>
      </c>
      <c r="D92" s="165">
        <f ca="1"/>
        <v>1</v>
      </c>
    </row>
    <row r="93" spans="2:4" x14ac:dyDescent="0.2">
      <c r="B93" s="165">
        <v>91</v>
      </c>
      <c r="C93" t="str">
        <f ca="1">IF(OR(Planung!$L24="",Planung!$N24=""),"ZZ"&amp;ROW($M24)+100,Planung!$K24&amp;Planung!$F24)</f>
        <v>A70,472222222222222</v>
      </c>
      <c r="D93" s="165">
        <f ca="1"/>
        <v>1</v>
      </c>
    </row>
    <row r="94" spans="2:4" x14ac:dyDescent="0.2">
      <c r="B94" s="165">
        <v>92</v>
      </c>
      <c r="C94" t="str">
        <f ca="1">IF(OR(Planung!$L25="",Planung!$N25=""),"ZZ"&amp;ROW($M25)+100,Planung!$K25&amp;Planung!$F25)</f>
        <v>B70,472222222222222</v>
      </c>
      <c r="D94" s="165">
        <f ca="1"/>
        <v>1</v>
      </c>
    </row>
    <row r="95" spans="2:4" x14ac:dyDescent="0.2">
      <c r="B95" s="165">
        <v>93</v>
      </c>
      <c r="C95" t="str">
        <f ca="1">IF(OR(Planung!$L26="",Planung!$N26=""),"ZZ"&amp;ROW($M26)+100,Planung!$K26&amp;Planung!$F26)</f>
        <v>A40,496527777777778</v>
      </c>
      <c r="D95" s="165">
        <f ca="1"/>
        <v>1</v>
      </c>
    </row>
    <row r="96" spans="2:4" x14ac:dyDescent="0.2">
      <c r="B96" s="165">
        <v>94</v>
      </c>
      <c r="C96" t="str">
        <f ca="1">IF(OR(Planung!$L27="",Planung!$N27=""),"ZZ"&amp;ROW($M27)+100,Planung!$K27&amp;Planung!$F27)</f>
        <v>B40,496527777777778</v>
      </c>
      <c r="D96" s="165">
        <f ca="1"/>
        <v>1</v>
      </c>
    </row>
    <row r="97" spans="2:4" x14ac:dyDescent="0.2">
      <c r="B97" s="165">
        <v>95</v>
      </c>
      <c r="C97" t="str">
        <f ca="1">IF(OR(Planung!$L28="",Planung!$N28=""),"ZZ"&amp;ROW($M28)+100,Planung!$K28&amp;Planung!$F28)</f>
        <v>A20,496527777777778</v>
      </c>
      <c r="D97" s="165">
        <f ca="1"/>
        <v>1</v>
      </c>
    </row>
    <row r="98" spans="2:4" x14ac:dyDescent="0.2">
      <c r="B98" s="165">
        <v>96</v>
      </c>
      <c r="C98" t="str">
        <f ca="1">IF(OR(Planung!$L29="",Planung!$N29=""),"ZZ"&amp;ROW($M29)+100,Planung!$K29&amp;Planung!$F29)</f>
        <v>B20,496527777777778</v>
      </c>
      <c r="D98" s="165">
        <f ca="1"/>
        <v>1</v>
      </c>
    </row>
    <row r="99" spans="2:4" x14ac:dyDescent="0.2">
      <c r="B99" s="165">
        <v>97</v>
      </c>
      <c r="C99" t="str">
        <f ca="1">IF(OR(Planung!$L30="",Planung!$N30=""),"ZZ"&amp;ROW($M30)+100,Planung!$K30&amp;Planung!$F30)</f>
        <v>A10,520833333333333</v>
      </c>
      <c r="D99" s="165">
        <f ca="1"/>
        <v>1</v>
      </c>
    </row>
    <row r="100" spans="2:4" x14ac:dyDescent="0.2">
      <c r="B100" s="165">
        <v>98</v>
      </c>
      <c r="C100" t="str">
        <f ca="1">IF(OR(Planung!$L31="",Planung!$N31=""),"ZZ"&amp;ROW($M31)+100,Planung!$K31&amp;Planung!$F31)</f>
        <v>B10,520833333333333</v>
      </c>
      <c r="D100" s="165">
        <f ca="1"/>
        <v>1</v>
      </c>
    </row>
    <row r="101" spans="2:4" x14ac:dyDescent="0.2">
      <c r="B101" s="165">
        <v>99</v>
      </c>
      <c r="C101" t="str">
        <f ca="1">IF(OR(Planung!$L32="",Planung!$N32=""),"ZZ"&amp;ROW($M32)+100,Planung!$K32&amp;Planung!$F32)</f>
        <v>A60,520833333333333</v>
      </c>
      <c r="D101" s="165">
        <f ca="1"/>
        <v>1</v>
      </c>
    </row>
    <row r="102" spans="2:4" x14ac:dyDescent="0.2">
      <c r="B102" s="165">
        <v>100</v>
      </c>
      <c r="C102" t="str">
        <f ca="1">IF(OR(Planung!$L33="",Planung!$N33=""),"ZZ"&amp;ROW($M33)+100,Planung!$K33&amp;Planung!$F33)</f>
        <v>B60,520833333333333</v>
      </c>
      <c r="D102" s="165">
        <f ca="1"/>
        <v>1</v>
      </c>
    </row>
    <row r="103" spans="2:4" x14ac:dyDescent="0.2">
      <c r="B103" s="165">
        <v>101</v>
      </c>
      <c r="C103" t="str">
        <f ca="1">IF(OR(Planung!$L34="",Planung!$N34=""),"ZZ"&amp;ROW($M34)+100,Planung!$K34&amp;Planung!$F34)</f>
        <v>A30,545138888888889</v>
      </c>
      <c r="D103" s="165">
        <f ca="1"/>
        <v>1</v>
      </c>
    </row>
    <row r="104" spans="2:4" x14ac:dyDescent="0.2">
      <c r="B104" s="165">
        <v>102</v>
      </c>
      <c r="C104" t="str">
        <f ca="1">IF(OR(Planung!$L35="",Planung!$N35=""),"ZZ"&amp;ROW($M35)+100,Planung!$K35&amp;Planung!$F35)</f>
        <v>B30,545138888888889</v>
      </c>
      <c r="D104" s="165">
        <f ca="1"/>
        <v>1</v>
      </c>
    </row>
    <row r="105" spans="2:4" x14ac:dyDescent="0.2">
      <c r="B105" s="165">
        <v>103</v>
      </c>
      <c r="C105" t="str">
        <f ca="1">IF(OR(Planung!$L36="",Planung!$N36=""),"ZZ"&amp;ROW($M36)+100,Planung!$K36&amp;Planung!$F36)</f>
        <v>A80,545138888888889</v>
      </c>
      <c r="D105" s="165">
        <f ca="1"/>
        <v>1</v>
      </c>
    </row>
    <row r="106" spans="2:4" x14ac:dyDescent="0.2">
      <c r="B106" s="165">
        <v>104</v>
      </c>
      <c r="C106" t="str">
        <f ca="1">IF(OR(Planung!$L37="",Planung!$N37=""),"ZZ"&amp;ROW($M37)+100,Planung!$K37&amp;Planung!$F37)</f>
        <v>B80,545138888888889</v>
      </c>
      <c r="D106" s="165">
        <f ca="1"/>
        <v>1</v>
      </c>
    </row>
    <row r="107" spans="2:4" x14ac:dyDescent="0.2">
      <c r="B107" s="165">
        <v>105</v>
      </c>
      <c r="C107" t="str">
        <f ca="1">IF(OR(Planung!$L38="",Planung!$N38=""),"ZZ"&amp;ROW($M38)+100,Planung!$K38&amp;Planung!$F38)</f>
        <v>A40,569444444444444</v>
      </c>
      <c r="D107" s="165">
        <f ca="1"/>
        <v>1</v>
      </c>
    </row>
    <row r="108" spans="2:4" x14ac:dyDescent="0.2">
      <c r="B108" s="165">
        <v>106</v>
      </c>
      <c r="C108" t="str">
        <f ca="1">IF(OR(Planung!$L39="",Planung!$N39=""),"ZZ"&amp;ROW($M39)+100,Planung!$K39&amp;Planung!$F39)</f>
        <v>B40,569444444444444</v>
      </c>
      <c r="D108" s="165">
        <f ca="1"/>
        <v>1</v>
      </c>
    </row>
    <row r="109" spans="2:4" x14ac:dyDescent="0.2">
      <c r="B109" s="165">
        <v>107</v>
      </c>
      <c r="C109" t="str">
        <f ca="1">IF(OR(Planung!$L40="",Planung!$N40=""),"ZZ"&amp;ROW($M40)+100,Planung!$K40&amp;Planung!$F40)</f>
        <v>A50,569444444444444</v>
      </c>
      <c r="D109" s="165">
        <f ca="1"/>
        <v>1</v>
      </c>
    </row>
    <row r="110" spans="2:4" x14ac:dyDescent="0.2">
      <c r="B110" s="165">
        <v>108</v>
      </c>
      <c r="C110" t="str">
        <f ca="1">IF(OR(Planung!$L41="",Planung!$N41=""),"ZZ"&amp;ROW($M41)+100,Planung!$K41&amp;Planung!$F41)</f>
        <v>B50,569444444444444</v>
      </c>
      <c r="D110" s="165">
        <f ca="1"/>
        <v>1</v>
      </c>
    </row>
    <row r="111" spans="2:4" x14ac:dyDescent="0.2">
      <c r="B111" s="165">
        <v>109</v>
      </c>
      <c r="C111" t="str">
        <f ca="1">IF(OR(Planung!$L42="",Planung!$N42=""),"ZZ"&amp;ROW($M42)+100,Planung!$K42&amp;Planung!$F42)</f>
        <v>A20,59375</v>
      </c>
      <c r="D111" s="165">
        <f ca="1"/>
        <v>1</v>
      </c>
    </row>
    <row r="112" spans="2:4" x14ac:dyDescent="0.2">
      <c r="B112" s="165">
        <v>110</v>
      </c>
      <c r="C112" t="str">
        <f ca="1">IF(OR(Planung!$L43="",Planung!$N43=""),"ZZ"&amp;ROW($M43)+100,Planung!$K43&amp;Planung!$F43)</f>
        <v>B20,59375</v>
      </c>
      <c r="D112" s="165">
        <f ca="1"/>
        <v>1</v>
      </c>
    </row>
    <row r="113" spans="2:4" x14ac:dyDescent="0.2">
      <c r="B113" s="165">
        <v>111</v>
      </c>
      <c r="C113" t="str">
        <f ca="1">IF(OR(Planung!$L44="",Planung!$N44=""),"ZZ"&amp;ROW($M44)+100,Planung!$K44&amp;Planung!$F44)</f>
        <v>A70,59375</v>
      </c>
      <c r="D113" s="165">
        <f ca="1"/>
        <v>1</v>
      </c>
    </row>
    <row r="114" spans="2:4" x14ac:dyDescent="0.2">
      <c r="B114" s="165">
        <v>112</v>
      </c>
      <c r="C114" t="str">
        <f ca="1">IF(OR(Planung!$L45="",Planung!$N45=""),"ZZ"&amp;ROW($M45)+100,Planung!$K45&amp;Planung!$F45)</f>
        <v>B70,59375</v>
      </c>
      <c r="D114" s="165">
        <f ca="1"/>
        <v>1</v>
      </c>
    </row>
    <row r="115" spans="2:4" x14ac:dyDescent="0.2">
      <c r="B115" s="165">
        <v>113</v>
      </c>
      <c r="C115" t="str">
        <f ca="1">IF(OR(Planung!$L46="",Planung!$N46=""),"ZZ"&amp;ROW($M46)+100,Planung!$K46&amp;Planung!$F46)</f>
        <v>A10,618055555555556</v>
      </c>
      <c r="D115" s="165">
        <f ca="1"/>
        <v>1</v>
      </c>
    </row>
    <row r="116" spans="2:4" x14ac:dyDescent="0.2">
      <c r="B116" s="165">
        <v>114</v>
      </c>
      <c r="C116" t="str">
        <f ca="1">IF(OR(Planung!$L47="",Planung!$N47=""),"ZZ"&amp;ROW($M47)+100,Planung!$K47&amp;Planung!$F47)</f>
        <v>B10,618055555555556</v>
      </c>
      <c r="D116" s="165">
        <f ca="1"/>
        <v>1</v>
      </c>
    </row>
    <row r="117" spans="2:4" x14ac:dyDescent="0.2">
      <c r="B117" s="165">
        <v>115</v>
      </c>
      <c r="C117" t="str">
        <f ca="1">IF(OR(Planung!$L48="",Planung!$N48=""),"ZZ"&amp;ROW($M48)+100,Planung!$K48&amp;Planung!$F48)</f>
        <v>A40,618055555555556</v>
      </c>
      <c r="D117" s="165">
        <f ca="1"/>
        <v>1</v>
      </c>
    </row>
    <row r="118" spans="2:4" x14ac:dyDescent="0.2">
      <c r="B118" s="165">
        <v>116</v>
      </c>
      <c r="C118" t="str">
        <f ca="1">IF(OR(Planung!$L49="",Planung!$N49=""),"ZZ"&amp;ROW($M49)+100,Planung!$K49&amp;Planung!$F49)</f>
        <v>B40,618055555555556</v>
      </c>
      <c r="D118" s="165">
        <f ca="1"/>
        <v>1</v>
      </c>
    </row>
    <row r="119" spans="2:4" x14ac:dyDescent="0.2">
      <c r="B119" s="165">
        <v>117</v>
      </c>
      <c r="C119" t="str">
        <f ca="1">IF(OR(Planung!$L50="",Planung!$N50=""),"ZZ"&amp;ROW($M50)+100,Planung!$K50&amp;Planung!$F50)</f>
        <v>A80,642361111111111</v>
      </c>
      <c r="D119" s="165">
        <f ca="1"/>
        <v>1</v>
      </c>
    </row>
    <row r="120" spans="2:4" x14ac:dyDescent="0.2">
      <c r="B120" s="165">
        <v>118</v>
      </c>
      <c r="C120" t="str">
        <f ca="1">IF(OR(Planung!$L51="",Planung!$N51=""),"ZZ"&amp;ROW($M51)+100,Planung!$K51&amp;Planung!$F51)</f>
        <v>B80,642361111111111</v>
      </c>
      <c r="D120" s="165">
        <f ca="1"/>
        <v>1</v>
      </c>
    </row>
    <row r="121" spans="2:4" x14ac:dyDescent="0.2">
      <c r="B121" s="165">
        <v>119</v>
      </c>
      <c r="C121" t="str">
        <f ca="1">IF(OR(Planung!$L52="",Planung!$N52=""),"ZZ"&amp;ROW($M52)+100,Planung!$K52&amp;Planung!$F52)</f>
        <v>A60,642361111111111</v>
      </c>
      <c r="D121" s="165">
        <f ca="1"/>
        <v>1</v>
      </c>
    </row>
    <row r="122" spans="2:4" x14ac:dyDescent="0.2">
      <c r="B122" s="165">
        <v>120</v>
      </c>
      <c r="C122" t="str">
        <f ca="1">IF(OR(Planung!$L53="",Planung!$N53=""),"ZZ"&amp;ROW($M53)+100,Planung!$K53&amp;Planung!$F53)</f>
        <v>B60,642361111111111</v>
      </c>
      <c r="D122" s="165">
        <f ca="1"/>
        <v>1</v>
      </c>
    </row>
    <row r="123" spans="2:4" x14ac:dyDescent="0.2">
      <c r="B123" s="165">
        <v>121</v>
      </c>
      <c r="C123" t="str">
        <f ca="1">IF(OR(Planung!$L54="",Planung!$N54=""),"ZZ"&amp;ROW($M54)+100,Planung!$K54&amp;Planung!$F54)</f>
        <v>A20,666666666666667</v>
      </c>
      <c r="D123" s="165">
        <f ca="1"/>
        <v>1</v>
      </c>
    </row>
    <row r="124" spans="2:4" x14ac:dyDescent="0.2">
      <c r="B124" s="165">
        <v>122</v>
      </c>
      <c r="C124" t="str">
        <f ca="1">IF(OR(Planung!$L55="",Planung!$N55=""),"ZZ"&amp;ROW($M55)+100,Planung!$K55&amp;Planung!$F55)</f>
        <v>B20,666666666666667</v>
      </c>
      <c r="D124" s="165">
        <f ca="1"/>
        <v>1</v>
      </c>
    </row>
    <row r="125" spans="2:4" x14ac:dyDescent="0.2">
      <c r="B125" s="165">
        <v>123</v>
      </c>
      <c r="C125" t="str">
        <f ca="1">IF(OR(Planung!$L56="",Planung!$N56=""),"ZZ"&amp;ROW($M56)+100,Planung!$K56&amp;Planung!$F56)</f>
        <v>A30,666666666666667</v>
      </c>
      <c r="D125" s="165">
        <f ca="1"/>
        <v>1</v>
      </c>
    </row>
    <row r="126" spans="2:4" x14ac:dyDescent="0.2">
      <c r="B126" s="165">
        <v>124</v>
      </c>
      <c r="C126" t="str">
        <f ca="1">IF(OR(Planung!$L57="",Planung!$N57=""),"ZZ"&amp;ROW($M57)+100,Planung!$K57&amp;Planung!$F57)</f>
        <v>B30,666666666666667</v>
      </c>
      <c r="D126" s="165">
        <f ca="1"/>
        <v>1</v>
      </c>
    </row>
    <row r="127" spans="2:4" x14ac:dyDescent="0.2">
      <c r="B127" s="165">
        <v>125</v>
      </c>
      <c r="C127" t="str">
        <f ca="1">IF(OR(Planung!$L58="",Planung!$N58=""),"ZZ"&amp;ROW($M58)+100,Planung!$K58&amp;Planung!$F58)</f>
        <v>A70,690972222222222</v>
      </c>
      <c r="D127" s="165">
        <f ca="1"/>
        <v>1</v>
      </c>
    </row>
    <row r="128" spans="2:4" x14ac:dyDescent="0.2">
      <c r="B128" s="165">
        <v>126</v>
      </c>
      <c r="C128" t="str">
        <f ca="1">IF(OR(Planung!$L59="",Planung!$N59=""),"ZZ"&amp;ROW($M59)+100,Planung!$K59&amp;Planung!$F59)</f>
        <v>B70,690972222222222</v>
      </c>
      <c r="D128" s="165">
        <f ca="1"/>
        <v>1</v>
      </c>
    </row>
    <row r="129" spans="2:4" x14ac:dyDescent="0.2">
      <c r="B129" s="165">
        <v>127</v>
      </c>
      <c r="C129" t="str">
        <f ca="1">IF(OR(Planung!$L60="",Planung!$N60=""),"ZZ"&amp;ROW($M60)+100,Planung!$K60&amp;Planung!$F60)</f>
        <v>A50,690972222222222</v>
      </c>
      <c r="D129" s="165">
        <f ca="1"/>
        <v>1</v>
      </c>
    </row>
    <row r="130" spans="2:4" x14ac:dyDescent="0.2">
      <c r="B130" s="165">
        <v>128</v>
      </c>
      <c r="C130" t="str">
        <f ca="1">IF(OR(Planung!$L61="",Planung!$N61=""),"ZZ"&amp;ROW($M61)+100,Planung!$K61&amp;Planung!$F61)</f>
        <v>B50,690972222222222</v>
      </c>
      <c r="D130" s="165">
        <f ca="1"/>
        <v>1</v>
      </c>
    </row>
    <row r="131" spans="2:4" x14ac:dyDescent="0.2">
      <c r="B131" s="165">
        <v>129</v>
      </c>
      <c r="C131" t="str">
        <f ca="1">IF(OR(Planung!$L62="",Planung!$N62=""),"ZZ"&amp;ROW($M62)+100,Planung!$K62&amp;Planung!$F62)</f>
        <v>ZZ162</v>
      </c>
      <c r="D131" s="165">
        <f ca="1"/>
        <v>1</v>
      </c>
    </row>
    <row r="132" spans="2:4" x14ac:dyDescent="0.2">
      <c r="B132" s="165">
        <v>130</v>
      </c>
      <c r="C132" t="str">
        <f ca="1">IF(OR(Planung!$L63="",Planung!$N63=""),"ZZ"&amp;ROW($M63)+100,Planung!$K63&amp;Planung!$F63)</f>
        <v>ZZ163</v>
      </c>
      <c r="D132" s="165">
        <f ca="1"/>
        <v>1</v>
      </c>
    </row>
    <row r="133" spans="2:4" x14ac:dyDescent="0.2">
      <c r="B133" s="165">
        <v>131</v>
      </c>
      <c r="C133" t="str">
        <f ca="1">IF(OR(Planung!$L64="",Planung!$N64=""),"ZZ"&amp;ROW($M64)+100,Planung!$K64&amp;Planung!$F64)</f>
        <v>ZZ164</v>
      </c>
      <c r="D133" s="165">
        <f ca="1"/>
        <v>1</v>
      </c>
    </row>
    <row r="134" spans="2:4" x14ac:dyDescent="0.2">
      <c r="B134" s="165">
        <v>132</v>
      </c>
      <c r="C134" t="str">
        <f ca="1">IF(OR(Planung!$L65="",Planung!$N65=""),"ZZ"&amp;ROW($M65)+100,Planung!$K65&amp;Planung!$F65)</f>
        <v>ZZ165</v>
      </c>
      <c r="D134" s="165">
        <f ca="1"/>
        <v>1</v>
      </c>
    </row>
    <row r="135" spans="2:4" x14ac:dyDescent="0.2">
      <c r="B135" s="165">
        <v>133</v>
      </c>
      <c r="C135" t="str">
        <f ca="1">IF(OR(Planung!$L66="",Planung!$N66=""),"ZZ"&amp;ROW($M66)+100,Planung!$K66&amp;Planung!$F66)</f>
        <v>ZZ166</v>
      </c>
      <c r="D135" s="165">
        <f ca="1"/>
        <v>1</v>
      </c>
    </row>
    <row r="136" spans="2:4" x14ac:dyDescent="0.2">
      <c r="B136" s="165">
        <v>134</v>
      </c>
      <c r="C136" t="str">
        <f ca="1">IF(OR(Planung!$L67="",Planung!$N67=""),"ZZ"&amp;ROW($M67)+100,Planung!$K67&amp;Planung!$F67)</f>
        <v>ZZ167</v>
      </c>
      <c r="D136" s="165">
        <f ca="1"/>
        <v>1</v>
      </c>
    </row>
    <row r="137" spans="2:4" x14ac:dyDescent="0.2">
      <c r="B137" s="165">
        <v>135</v>
      </c>
      <c r="C137" t="str">
        <f ca="1">IF(OR(Planung!$L68="",Planung!$N68=""),"ZZ"&amp;ROW($M68)+100,Planung!$K68&amp;Planung!$F68)</f>
        <v>ZZ168</v>
      </c>
      <c r="D137" s="165">
        <f ca="1"/>
        <v>1</v>
      </c>
    </row>
    <row r="138" spans="2:4" x14ac:dyDescent="0.2">
      <c r="B138" s="165">
        <v>136</v>
      </c>
      <c r="C138" t="str">
        <f ca="1">IF(OR(Planung!$L69="",Planung!$N69=""),"ZZ"&amp;ROW($M69)+100,Planung!$K69&amp;Planung!$F69)</f>
        <v>ZZ169</v>
      </c>
      <c r="D138" s="165">
        <f ca="1"/>
        <v>1</v>
      </c>
    </row>
    <row r="139" spans="2:4" x14ac:dyDescent="0.2">
      <c r="B139" s="165">
        <v>137</v>
      </c>
      <c r="C139" t="str">
        <f ca="1">IF(OR(Planung!$L70="",Planung!$N70=""),"ZZ"&amp;ROW($M70)+100,Planung!$K70&amp;Planung!$F70)</f>
        <v>ZZ170</v>
      </c>
      <c r="D139" s="165">
        <f ca="1"/>
        <v>1</v>
      </c>
    </row>
    <row r="140" spans="2:4" x14ac:dyDescent="0.2">
      <c r="B140" s="165">
        <v>138</v>
      </c>
      <c r="C140" t="str">
        <f ca="1">IF(OR(Planung!$L71="",Planung!$N71=""),"ZZ"&amp;ROW($M71)+100,Planung!$K71&amp;Planung!$F71)</f>
        <v>ZZ171</v>
      </c>
      <c r="D140" s="165">
        <f ca="1"/>
        <v>1</v>
      </c>
    </row>
    <row r="141" spans="2:4" x14ac:dyDescent="0.2">
      <c r="B141" s="165">
        <v>139</v>
      </c>
      <c r="C141" t="str">
        <f ca="1">IF(OR(Planung!$L72="",Planung!$N72=""),"ZZ"&amp;ROW($M72)+100,Planung!$K72&amp;Planung!$F72)</f>
        <v>ZZ172</v>
      </c>
      <c r="D141" s="165">
        <f ca="1"/>
        <v>1</v>
      </c>
    </row>
    <row r="142" spans="2:4" x14ac:dyDescent="0.2">
      <c r="B142" s="165">
        <v>140</v>
      </c>
      <c r="C142" t="str">
        <f ca="1">IF(OR(Planung!$L73="",Planung!$N73=""),"ZZ"&amp;ROW($M73)+100,Planung!$K73&amp;Planung!$F73)</f>
        <v>ZZ173</v>
      </c>
      <c r="D142" s="165">
        <f ca="1"/>
        <v>1</v>
      </c>
    </row>
    <row r="143" spans="2:4" x14ac:dyDescent="0.2">
      <c r="B143" s="165">
        <v>141</v>
      </c>
      <c r="C143" t="str">
        <f ca="1">IF(OR(Planung!$L74="",Planung!$N74=""),"ZZ"&amp;ROW($M74)+100,Planung!$K74&amp;Planung!$F74)</f>
        <v>ZZ174</v>
      </c>
      <c r="D143" s="165">
        <f ca="1"/>
        <v>1</v>
      </c>
    </row>
    <row r="144" spans="2:4" x14ac:dyDescent="0.2">
      <c r="B144" s="165">
        <v>142</v>
      </c>
      <c r="C144" t="str">
        <f ca="1">IF(OR(Planung!$L75="",Planung!$N75=""),"ZZ"&amp;ROW($M75)+100,Planung!$K75&amp;Planung!$F75)</f>
        <v>ZZ175</v>
      </c>
      <c r="D144" s="165">
        <f ca="1"/>
        <v>1</v>
      </c>
    </row>
    <row r="145" spans="2:4" x14ac:dyDescent="0.2">
      <c r="B145" s="165">
        <v>143</v>
      </c>
      <c r="C145" t="str">
        <f ca="1">IF(OR(Planung!$L76="",Planung!$N76=""),"ZZ"&amp;ROW($M76)+100,Planung!$K76&amp;Planung!$F76)</f>
        <v>ZZ176</v>
      </c>
      <c r="D145" s="165">
        <f ca="1"/>
        <v>1</v>
      </c>
    </row>
    <row r="146" spans="2:4" x14ac:dyDescent="0.2">
      <c r="B146" s="165">
        <v>144</v>
      </c>
      <c r="C146" t="str">
        <f ca="1">IF(OR(Planung!$L77="",Planung!$N77=""),"ZZ"&amp;ROW($M77)+100,Planung!$K77&amp;Planung!$F77)</f>
        <v>ZZ177</v>
      </c>
      <c r="D146" s="165">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50" priority="9">
      <formula>G2="FEHLER"</formula>
    </cfRule>
  </conditionalFormatting>
  <conditionalFormatting sqref="C3:C73">
    <cfRule type="duplicateValues" dxfId="49" priority="8"/>
  </conditionalFormatting>
  <conditionalFormatting sqref="E3">
    <cfRule type="cellIs" dxfId="48" priority="5" operator="greaterThan">
      <formula>0</formula>
    </cfRule>
  </conditionalFormatting>
  <conditionalFormatting sqref="E4">
    <cfRule type="cellIs" dxfId="47" priority="4" operator="greaterThan">
      <formula>0</formula>
    </cfRule>
  </conditionalFormatting>
  <conditionalFormatting sqref="E7">
    <cfRule type="expression" dxfId="46" priority="3">
      <formula>E7="FEHLER"</formula>
    </cfRule>
  </conditionalFormatting>
  <conditionalFormatting sqref="C75:C146">
    <cfRule type="duplicateValues" dxfId="45" priority="1"/>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AC72"/>
  <sheetViews>
    <sheetView topLeftCell="A31" workbookViewId="0">
      <selection activeCell="AD72" sqref="AD72"/>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s>
  <sheetData>
    <row r="1" spans="1:29" x14ac:dyDescent="0.2">
      <c r="A1" s="639" t="str">
        <f>Sprache!$E$50</f>
        <v>Spielpaarungen</v>
      </c>
      <c r="C1" s="237" t="s">
        <v>187</v>
      </c>
      <c r="D1" s="242" t="s">
        <v>206</v>
      </c>
      <c r="E1" s="242" t="s">
        <v>210</v>
      </c>
      <c r="G1" s="237" t="s">
        <v>178</v>
      </c>
      <c r="H1" s="76" t="s">
        <v>208</v>
      </c>
      <c r="I1" s="76" t="s">
        <v>212</v>
      </c>
      <c r="K1" s="237" t="s">
        <v>179</v>
      </c>
      <c r="L1" s="76" t="s">
        <v>214</v>
      </c>
      <c r="M1" s="76" t="s">
        <v>210</v>
      </c>
      <c r="O1" s="237" t="s">
        <v>180</v>
      </c>
      <c r="P1" s="76" t="s">
        <v>208</v>
      </c>
      <c r="Q1" s="76" t="s">
        <v>216</v>
      </c>
      <c r="S1" s="237" t="s">
        <v>341</v>
      </c>
      <c r="T1" s="76" t="s">
        <v>335</v>
      </c>
      <c r="U1" s="76" t="s">
        <v>210</v>
      </c>
      <c r="W1" s="237" t="s">
        <v>342</v>
      </c>
      <c r="X1" s="76" t="s">
        <v>208</v>
      </c>
      <c r="Y1" s="76" t="s">
        <v>336</v>
      </c>
      <c r="AA1" s="237" t="s">
        <v>343</v>
      </c>
      <c r="AB1" s="76" t="s">
        <v>337</v>
      </c>
      <c r="AC1" s="76" t="s">
        <v>210</v>
      </c>
    </row>
    <row r="2" spans="1:29" x14ac:dyDescent="0.2">
      <c r="A2" s="639"/>
      <c r="C2" s="297"/>
      <c r="D2" s="242" t="s">
        <v>207</v>
      </c>
      <c r="E2" s="242" t="s">
        <v>211</v>
      </c>
      <c r="G2" s="297"/>
      <c r="H2" s="76" t="s">
        <v>209</v>
      </c>
      <c r="I2" s="76" t="s">
        <v>213</v>
      </c>
      <c r="J2" s="76"/>
      <c r="K2" s="297"/>
      <c r="L2" s="76" t="s">
        <v>215</v>
      </c>
      <c r="M2" s="76" t="s">
        <v>211</v>
      </c>
      <c r="O2" s="297"/>
      <c r="P2" s="76" t="s">
        <v>209</v>
      </c>
      <c r="Q2" s="76" t="s">
        <v>217</v>
      </c>
      <c r="S2" s="297"/>
      <c r="T2" s="76" t="s">
        <v>338</v>
      </c>
      <c r="U2" s="76" t="s">
        <v>211</v>
      </c>
      <c r="V2" s="76"/>
      <c r="W2" s="297"/>
      <c r="X2" s="76" t="s">
        <v>209</v>
      </c>
      <c r="Y2" s="76" t="s">
        <v>339</v>
      </c>
      <c r="AA2" s="297"/>
      <c r="AB2" s="76" t="s">
        <v>340</v>
      </c>
      <c r="AC2" s="76" t="s">
        <v>211</v>
      </c>
    </row>
    <row r="3" spans="1:29" ht="12.75" customHeight="1" x14ac:dyDescent="0.2">
      <c r="A3" s="639"/>
      <c r="C3" s="294"/>
      <c r="D3" s="242" t="s">
        <v>206</v>
      </c>
      <c r="E3" s="242" t="s">
        <v>208</v>
      </c>
      <c r="G3" s="294"/>
      <c r="H3" s="76" t="s">
        <v>206</v>
      </c>
      <c r="I3" s="76" t="s">
        <v>210</v>
      </c>
      <c r="K3" s="295"/>
      <c r="L3" s="76" t="s">
        <v>206</v>
      </c>
      <c r="M3" s="76" t="s">
        <v>212</v>
      </c>
      <c r="O3" s="165"/>
      <c r="P3" s="76" t="s">
        <v>214</v>
      </c>
      <c r="Q3" s="76" t="s">
        <v>210</v>
      </c>
      <c r="S3" s="294"/>
      <c r="T3" s="76" t="s">
        <v>206</v>
      </c>
      <c r="U3" s="76" t="s">
        <v>216</v>
      </c>
      <c r="W3" s="295"/>
      <c r="X3" s="76" t="s">
        <v>335</v>
      </c>
      <c r="Y3" s="76" t="s">
        <v>210</v>
      </c>
      <c r="AA3" s="165"/>
      <c r="AB3" s="76" t="s">
        <v>206</v>
      </c>
      <c r="AC3" s="76" t="s">
        <v>336</v>
      </c>
    </row>
    <row r="4" spans="1:29" ht="12.75" customHeight="1" x14ac:dyDescent="0.2">
      <c r="A4" s="639"/>
      <c r="C4" s="294"/>
      <c r="D4" s="242" t="s">
        <v>207</v>
      </c>
      <c r="E4" s="242" t="s">
        <v>209</v>
      </c>
      <c r="G4" s="294"/>
      <c r="H4" s="76" t="s">
        <v>207</v>
      </c>
      <c r="I4" s="76" t="s">
        <v>211</v>
      </c>
      <c r="K4" s="295"/>
      <c r="L4" s="76" t="s">
        <v>207</v>
      </c>
      <c r="M4" s="76" t="s">
        <v>213</v>
      </c>
      <c r="O4" s="165"/>
      <c r="P4" s="76" t="s">
        <v>215</v>
      </c>
      <c r="Q4" s="76" t="s">
        <v>211</v>
      </c>
      <c r="S4" s="294"/>
      <c r="T4" s="76" t="s">
        <v>207</v>
      </c>
      <c r="U4" s="76" t="s">
        <v>217</v>
      </c>
      <c r="W4" s="295"/>
      <c r="X4" s="76" t="s">
        <v>338</v>
      </c>
      <c r="Y4" s="76" t="s">
        <v>211</v>
      </c>
      <c r="AA4" s="165"/>
      <c r="AB4" s="76" t="s">
        <v>207</v>
      </c>
      <c r="AC4" s="76" t="s">
        <v>339</v>
      </c>
    </row>
    <row r="5" spans="1:29" x14ac:dyDescent="0.2">
      <c r="A5" s="639"/>
      <c r="C5" s="294"/>
      <c r="D5" s="242" t="s">
        <v>208</v>
      </c>
      <c r="E5" s="242" t="s">
        <v>210</v>
      </c>
      <c r="G5" s="294"/>
      <c r="H5" s="76" t="s">
        <v>206</v>
      </c>
      <c r="I5" s="76" t="s">
        <v>208</v>
      </c>
      <c r="K5" s="296"/>
      <c r="L5" s="76" t="s">
        <v>214</v>
      </c>
      <c r="M5" s="76" t="s">
        <v>208</v>
      </c>
      <c r="P5" s="76" t="s">
        <v>206</v>
      </c>
      <c r="Q5" s="76" t="s">
        <v>212</v>
      </c>
      <c r="S5" s="294"/>
      <c r="T5" s="76" t="s">
        <v>214</v>
      </c>
      <c r="U5" s="76" t="s">
        <v>212</v>
      </c>
      <c r="W5" s="296"/>
      <c r="X5" s="76" t="s">
        <v>206</v>
      </c>
      <c r="Y5" s="76" t="s">
        <v>216</v>
      </c>
      <c r="AB5" s="76" t="s">
        <v>335</v>
      </c>
      <c r="AC5" s="76" t="s">
        <v>212</v>
      </c>
    </row>
    <row r="6" spans="1:29" x14ac:dyDescent="0.2">
      <c r="A6" s="639"/>
      <c r="C6" s="294"/>
      <c r="D6" s="242" t="s">
        <v>209</v>
      </c>
      <c r="E6" s="242" t="s">
        <v>211</v>
      </c>
      <c r="G6" s="294"/>
      <c r="H6" s="76" t="s">
        <v>210</v>
      </c>
      <c r="I6" s="76" t="s">
        <v>212</v>
      </c>
      <c r="J6" s="468" t="s">
        <v>299</v>
      </c>
      <c r="K6" s="76"/>
      <c r="L6" s="76" t="s">
        <v>215</v>
      </c>
      <c r="M6" s="76" t="s">
        <v>209</v>
      </c>
      <c r="P6" s="76" t="s">
        <v>207</v>
      </c>
      <c r="Q6" s="76" t="s">
        <v>213</v>
      </c>
      <c r="S6" s="294"/>
      <c r="T6" s="76" t="s">
        <v>215</v>
      </c>
      <c r="U6" s="76" t="s">
        <v>213</v>
      </c>
      <c r="V6" s="468"/>
      <c r="W6" s="76"/>
      <c r="X6" s="76" t="s">
        <v>207</v>
      </c>
      <c r="Y6" s="76" t="s">
        <v>217</v>
      </c>
      <c r="AB6" s="76" t="s">
        <v>338</v>
      </c>
      <c r="AC6" s="76" t="s">
        <v>213</v>
      </c>
    </row>
    <row r="7" spans="1:29" ht="12.75" customHeight="1" x14ac:dyDescent="0.2">
      <c r="A7" s="639"/>
      <c r="C7" s="294"/>
      <c r="D7" s="242"/>
      <c r="E7" s="242"/>
      <c r="G7" s="294"/>
      <c r="H7" s="76" t="s">
        <v>207</v>
      </c>
      <c r="I7" s="76" t="s">
        <v>209</v>
      </c>
      <c r="J7" s="468" t="s">
        <v>299</v>
      </c>
      <c r="K7" s="76"/>
      <c r="L7" s="76" t="s">
        <v>210</v>
      </c>
      <c r="M7" s="76" t="s">
        <v>206</v>
      </c>
      <c r="P7" s="76" t="s">
        <v>214</v>
      </c>
      <c r="Q7" s="76" t="s">
        <v>208</v>
      </c>
      <c r="S7" s="294"/>
      <c r="T7" s="76" t="s">
        <v>335</v>
      </c>
      <c r="U7" s="76" t="s">
        <v>208</v>
      </c>
      <c r="V7" s="468"/>
      <c r="W7" s="76"/>
      <c r="X7" s="76" t="s">
        <v>214</v>
      </c>
      <c r="Y7" s="76" t="s">
        <v>212</v>
      </c>
      <c r="AB7" s="76" t="s">
        <v>214</v>
      </c>
      <c r="AC7" s="76" t="s">
        <v>216</v>
      </c>
    </row>
    <row r="8" spans="1:29" ht="12.75" customHeight="1" x14ac:dyDescent="0.2">
      <c r="A8" s="639"/>
      <c r="C8" s="294"/>
      <c r="D8" s="242"/>
      <c r="E8" s="242"/>
      <c r="G8" s="294"/>
      <c r="H8" s="76" t="s">
        <v>211</v>
      </c>
      <c r="I8" s="76" t="s">
        <v>213</v>
      </c>
      <c r="K8" s="296"/>
      <c r="L8" s="76" t="s">
        <v>211</v>
      </c>
      <c r="M8" s="76" t="s">
        <v>207</v>
      </c>
      <c r="P8" s="76" t="s">
        <v>215</v>
      </c>
      <c r="Q8" s="76" t="s">
        <v>209</v>
      </c>
      <c r="S8" s="294"/>
      <c r="T8" s="76" t="s">
        <v>338</v>
      </c>
      <c r="U8" s="76" t="s">
        <v>209</v>
      </c>
      <c r="W8" s="296"/>
      <c r="X8" s="76" t="s">
        <v>215</v>
      </c>
      <c r="Y8" s="76" t="s">
        <v>213</v>
      </c>
      <c r="AB8" s="76" t="s">
        <v>215</v>
      </c>
      <c r="AC8" s="76" t="s">
        <v>217</v>
      </c>
    </row>
    <row r="9" spans="1:29" x14ac:dyDescent="0.2">
      <c r="A9" s="639"/>
      <c r="C9" s="294"/>
      <c r="D9" s="242"/>
      <c r="E9" s="242"/>
      <c r="G9" s="294"/>
      <c r="H9" s="76" t="s">
        <v>208</v>
      </c>
      <c r="I9" s="76" t="s">
        <v>210</v>
      </c>
      <c r="K9" s="296"/>
      <c r="L9" s="76" t="s">
        <v>208</v>
      </c>
      <c r="M9" s="76" t="s">
        <v>212</v>
      </c>
      <c r="P9" s="76" t="s">
        <v>212</v>
      </c>
      <c r="Q9" s="76" t="s">
        <v>216</v>
      </c>
      <c r="S9" s="294"/>
      <c r="T9" s="76" t="s">
        <v>210</v>
      </c>
      <c r="U9" s="76" t="s">
        <v>214</v>
      </c>
      <c r="W9" s="296"/>
      <c r="X9" s="76" t="s">
        <v>335</v>
      </c>
      <c r="Y9" s="76" t="s">
        <v>208</v>
      </c>
      <c r="AB9" s="76" t="s">
        <v>337</v>
      </c>
      <c r="AC9" s="76" t="s">
        <v>208</v>
      </c>
    </row>
    <row r="10" spans="1:29" x14ac:dyDescent="0.2">
      <c r="A10" s="639"/>
      <c r="C10" s="294"/>
      <c r="D10" s="242"/>
      <c r="E10" s="242"/>
      <c r="G10" s="294"/>
      <c r="H10" s="76" t="s">
        <v>209</v>
      </c>
      <c r="I10" s="76" t="s">
        <v>211</v>
      </c>
      <c r="K10" s="296"/>
      <c r="L10" s="76" t="s">
        <v>209</v>
      </c>
      <c r="M10" s="76" t="s">
        <v>213</v>
      </c>
      <c r="P10" s="76" t="s">
        <v>213</v>
      </c>
      <c r="Q10" s="76" t="s">
        <v>217</v>
      </c>
      <c r="S10" s="294"/>
      <c r="T10" s="76" t="s">
        <v>211</v>
      </c>
      <c r="U10" s="76" t="s">
        <v>215</v>
      </c>
      <c r="W10" s="296"/>
      <c r="X10" s="76" t="s">
        <v>338</v>
      </c>
      <c r="Y10" s="76" t="s">
        <v>209</v>
      </c>
      <c r="AB10" s="76" t="s">
        <v>340</v>
      </c>
      <c r="AC10" s="76" t="s">
        <v>209</v>
      </c>
    </row>
    <row r="11" spans="1:29" ht="13.5" customHeight="1" x14ac:dyDescent="0.2">
      <c r="A11" s="639"/>
      <c r="C11" s="294"/>
      <c r="D11" s="242"/>
      <c r="E11" s="242"/>
      <c r="G11" s="294"/>
      <c r="H11" s="76" t="s">
        <v>212</v>
      </c>
      <c r="I11" s="76" t="s">
        <v>206</v>
      </c>
      <c r="K11" s="294"/>
      <c r="L11" s="76" t="s">
        <v>206</v>
      </c>
      <c r="M11" s="76" t="s">
        <v>214</v>
      </c>
      <c r="P11" s="76" t="s">
        <v>210</v>
      </c>
      <c r="Q11" s="76" t="s">
        <v>206</v>
      </c>
      <c r="S11" s="294"/>
      <c r="T11" s="76" t="s">
        <v>212</v>
      </c>
      <c r="U11" s="76" t="s">
        <v>206</v>
      </c>
      <c r="W11" s="294"/>
      <c r="X11" s="76" t="s">
        <v>216</v>
      </c>
      <c r="Y11" s="76" t="s">
        <v>336</v>
      </c>
      <c r="AB11" s="76" t="s">
        <v>210</v>
      </c>
      <c r="AC11" s="76" t="s">
        <v>335</v>
      </c>
    </row>
    <row r="12" spans="1:29" ht="13.5" customHeight="1" x14ac:dyDescent="0.2">
      <c r="A12" s="639"/>
      <c r="C12" s="294"/>
      <c r="D12" s="242"/>
      <c r="E12" s="242"/>
      <c r="G12" s="294"/>
      <c r="H12" s="76" t="s">
        <v>213</v>
      </c>
      <c r="I12" s="76" t="s">
        <v>207</v>
      </c>
      <c r="K12" s="294"/>
      <c r="L12" s="76" t="s">
        <v>207</v>
      </c>
      <c r="M12" s="76" t="s">
        <v>215</v>
      </c>
      <c r="P12" s="76" t="s">
        <v>211</v>
      </c>
      <c r="Q12" s="76" t="s">
        <v>207</v>
      </c>
      <c r="S12" s="294"/>
      <c r="T12" s="76" t="s">
        <v>213</v>
      </c>
      <c r="U12" s="76" t="s">
        <v>207</v>
      </c>
      <c r="W12" s="294"/>
      <c r="X12" s="76" t="s">
        <v>217</v>
      </c>
      <c r="Y12" s="76" t="s">
        <v>339</v>
      </c>
      <c r="AB12" s="76" t="s">
        <v>211</v>
      </c>
      <c r="AC12" s="76" t="s">
        <v>338</v>
      </c>
    </row>
    <row r="13" spans="1:29" ht="12.75" customHeight="1" x14ac:dyDescent="0.2">
      <c r="A13" s="639"/>
      <c r="D13" s="76"/>
      <c r="E13" s="76"/>
      <c r="G13" s="294"/>
      <c r="H13" s="76"/>
      <c r="I13" s="76"/>
      <c r="K13" s="294"/>
      <c r="L13" s="76" t="s">
        <v>210</v>
      </c>
      <c r="M13" s="76" t="s">
        <v>212</v>
      </c>
      <c r="P13" s="76" t="s">
        <v>208</v>
      </c>
      <c r="Q13" s="76" t="s">
        <v>212</v>
      </c>
      <c r="S13" s="294"/>
      <c r="T13" s="76" t="s">
        <v>208</v>
      </c>
      <c r="U13" s="76" t="s">
        <v>216</v>
      </c>
      <c r="W13" s="294"/>
      <c r="X13" s="76" t="s">
        <v>210</v>
      </c>
      <c r="Y13" s="76" t="s">
        <v>214</v>
      </c>
      <c r="AB13" s="76" t="s">
        <v>216</v>
      </c>
      <c r="AC13" s="76" t="s">
        <v>206</v>
      </c>
    </row>
    <row r="14" spans="1:29" ht="12.75" customHeight="1" x14ac:dyDescent="0.2">
      <c r="A14" s="639"/>
      <c r="D14" s="76"/>
      <c r="E14" s="76"/>
      <c r="G14" s="294"/>
      <c r="K14" s="294"/>
      <c r="L14" s="76" t="s">
        <v>211</v>
      </c>
      <c r="M14" s="76" t="s">
        <v>213</v>
      </c>
      <c r="P14" s="76" t="s">
        <v>209</v>
      </c>
      <c r="Q14" s="76" t="s">
        <v>213</v>
      </c>
      <c r="S14" s="294"/>
      <c r="T14" s="165" t="s">
        <v>209</v>
      </c>
      <c r="U14" s="165" t="s">
        <v>217</v>
      </c>
      <c r="W14" s="294"/>
      <c r="X14" s="76" t="s">
        <v>211</v>
      </c>
      <c r="Y14" s="76" t="s">
        <v>215</v>
      </c>
      <c r="AB14" s="76" t="s">
        <v>217</v>
      </c>
      <c r="AC14" s="76" t="s">
        <v>207</v>
      </c>
    </row>
    <row r="15" spans="1:29" x14ac:dyDescent="0.2">
      <c r="A15" s="639"/>
      <c r="C15" s="243"/>
      <c r="D15" s="76"/>
      <c r="E15" s="76"/>
      <c r="G15" s="294"/>
      <c r="H15" s="76"/>
      <c r="I15" s="469"/>
      <c r="J15" s="468" t="s">
        <v>306</v>
      </c>
      <c r="K15" s="294"/>
      <c r="L15" s="76" t="s">
        <v>206</v>
      </c>
      <c r="M15" s="76" t="s">
        <v>208</v>
      </c>
      <c r="P15" s="76" t="s">
        <v>206</v>
      </c>
      <c r="Q15" s="76" t="s">
        <v>214</v>
      </c>
      <c r="S15" s="294"/>
      <c r="T15" s="76" t="s">
        <v>214</v>
      </c>
      <c r="U15" s="76" t="s">
        <v>335</v>
      </c>
      <c r="V15" s="468"/>
      <c r="W15" s="294"/>
      <c r="X15" s="76" t="s">
        <v>212</v>
      </c>
      <c r="Y15" s="76" t="s">
        <v>206</v>
      </c>
      <c r="AB15" s="76" t="s">
        <v>212</v>
      </c>
      <c r="AC15" s="76" t="s">
        <v>214</v>
      </c>
    </row>
    <row r="16" spans="1:29" x14ac:dyDescent="0.2">
      <c r="A16" s="639"/>
      <c r="C16" s="243"/>
      <c r="D16" s="76"/>
      <c r="E16" s="76"/>
      <c r="G16" s="294"/>
      <c r="H16" s="76"/>
      <c r="I16" s="76"/>
      <c r="J16" s="408" t="s">
        <v>300</v>
      </c>
      <c r="K16" s="294"/>
      <c r="L16" s="76" t="s">
        <v>207</v>
      </c>
      <c r="M16" s="76" t="s">
        <v>209</v>
      </c>
      <c r="P16" s="76" t="s">
        <v>207</v>
      </c>
      <c r="Q16" s="76" t="s">
        <v>215</v>
      </c>
      <c r="S16" s="294"/>
      <c r="T16" s="76" t="s">
        <v>215</v>
      </c>
      <c r="U16" s="76" t="s">
        <v>338</v>
      </c>
      <c r="V16" s="408"/>
      <c r="W16" s="294"/>
      <c r="X16" s="76" t="s">
        <v>213</v>
      </c>
      <c r="Y16" s="76" t="s">
        <v>207</v>
      </c>
      <c r="AB16" s="76" t="s">
        <v>213</v>
      </c>
      <c r="AC16" s="76" t="s">
        <v>215</v>
      </c>
    </row>
    <row r="17" spans="1:29" x14ac:dyDescent="0.2">
      <c r="A17" s="639"/>
      <c r="C17" s="243"/>
      <c r="D17" s="76"/>
      <c r="E17" s="76"/>
      <c r="G17" s="294"/>
      <c r="H17" s="76"/>
      <c r="I17" s="76"/>
      <c r="J17" s="408" t="s">
        <v>168</v>
      </c>
      <c r="K17" s="294"/>
      <c r="L17" s="76" t="s">
        <v>212</v>
      </c>
      <c r="M17" s="76" t="s">
        <v>214</v>
      </c>
      <c r="P17" s="76" t="s">
        <v>216</v>
      </c>
      <c r="Q17" s="76" t="s">
        <v>210</v>
      </c>
      <c r="S17" s="294"/>
      <c r="T17" s="76" t="s">
        <v>206</v>
      </c>
      <c r="U17" s="76" t="s">
        <v>210</v>
      </c>
      <c r="V17" s="408"/>
      <c r="W17" s="294"/>
      <c r="X17" s="76" t="s">
        <v>208</v>
      </c>
      <c r="Y17" s="76" t="s">
        <v>216</v>
      </c>
      <c r="AB17" s="76" t="s">
        <v>208</v>
      </c>
      <c r="AC17" s="76" t="s">
        <v>336</v>
      </c>
    </row>
    <row r="18" spans="1:29" x14ac:dyDescent="0.2">
      <c r="A18" s="639"/>
      <c r="C18" s="243"/>
      <c r="D18" s="76"/>
      <c r="E18" s="76"/>
      <c r="G18" s="294"/>
      <c r="H18" s="76"/>
      <c r="I18" s="76"/>
      <c r="J18" s="408" t="s">
        <v>301</v>
      </c>
      <c r="K18" s="294"/>
      <c r="L18" s="76" t="s">
        <v>213</v>
      </c>
      <c r="M18" s="76" t="s">
        <v>215</v>
      </c>
      <c r="P18" s="76" t="s">
        <v>217</v>
      </c>
      <c r="Q18" s="76" t="s">
        <v>211</v>
      </c>
      <c r="S18" s="294"/>
      <c r="T18" s="76" t="s">
        <v>207</v>
      </c>
      <c r="U18" s="76" t="s">
        <v>211</v>
      </c>
      <c r="V18" s="408"/>
      <c r="W18" s="294"/>
      <c r="X18" s="76" t="s">
        <v>209</v>
      </c>
      <c r="Y18" s="76" t="s">
        <v>217</v>
      </c>
      <c r="AB18" s="76" t="s">
        <v>209</v>
      </c>
      <c r="AC18" s="76" t="s">
        <v>339</v>
      </c>
    </row>
    <row r="19" spans="1:29" x14ac:dyDescent="0.2">
      <c r="A19" s="639"/>
      <c r="C19" s="243"/>
      <c r="D19" s="76"/>
      <c r="E19" s="76"/>
      <c r="G19" s="294"/>
      <c r="H19" s="76"/>
      <c r="I19" s="76"/>
      <c r="J19" s="408" t="s">
        <v>302</v>
      </c>
      <c r="K19" s="294"/>
      <c r="L19" s="76" t="s">
        <v>208</v>
      </c>
      <c r="M19" s="76" t="s">
        <v>210</v>
      </c>
      <c r="P19" s="76" t="s">
        <v>206</v>
      </c>
      <c r="Q19" s="76" t="s">
        <v>208</v>
      </c>
      <c r="S19" s="294"/>
      <c r="T19" s="76" t="s">
        <v>214</v>
      </c>
      <c r="U19" s="76" t="s">
        <v>208</v>
      </c>
      <c r="V19" s="408"/>
      <c r="W19" s="294"/>
      <c r="X19" s="76" t="s">
        <v>214</v>
      </c>
      <c r="Y19" s="76" t="s">
        <v>335</v>
      </c>
      <c r="AB19" s="76" t="s">
        <v>335</v>
      </c>
      <c r="AC19" s="76" t="s">
        <v>337</v>
      </c>
    </row>
    <row r="20" spans="1:29" x14ac:dyDescent="0.2">
      <c r="A20" s="639"/>
      <c r="C20" s="243"/>
      <c r="D20" s="76"/>
      <c r="E20" s="76"/>
      <c r="G20" s="294"/>
      <c r="H20" s="76"/>
      <c r="I20" s="76"/>
      <c r="K20" s="294"/>
      <c r="L20" s="76" t="s">
        <v>209</v>
      </c>
      <c r="M20" s="76" t="s">
        <v>211</v>
      </c>
      <c r="P20" s="76" t="s">
        <v>207</v>
      </c>
      <c r="Q20" s="76" t="s">
        <v>209</v>
      </c>
      <c r="S20" s="294"/>
      <c r="T20" s="76" t="s">
        <v>215</v>
      </c>
      <c r="U20" s="76" t="s">
        <v>209</v>
      </c>
      <c r="W20" s="294"/>
      <c r="X20" s="76" t="s">
        <v>215</v>
      </c>
      <c r="Y20" s="76" t="s">
        <v>338</v>
      </c>
      <c r="AB20" s="76" t="s">
        <v>338</v>
      </c>
      <c r="AC20" s="76" t="s">
        <v>340</v>
      </c>
    </row>
    <row r="21" spans="1:29" x14ac:dyDescent="0.2">
      <c r="A21" s="639"/>
      <c r="C21" s="243"/>
      <c r="D21" s="76"/>
      <c r="E21" s="76"/>
      <c r="G21" s="294"/>
      <c r="H21" s="76"/>
      <c r="I21" s="469"/>
      <c r="J21" s="408" t="s">
        <v>307</v>
      </c>
      <c r="K21" s="294"/>
      <c r="L21" s="76"/>
      <c r="M21" s="76"/>
      <c r="O21" s="294"/>
      <c r="P21" s="76" t="s">
        <v>210</v>
      </c>
      <c r="Q21" s="76" t="s">
        <v>212</v>
      </c>
      <c r="S21" s="294"/>
      <c r="T21" s="76" t="s">
        <v>212</v>
      </c>
      <c r="U21" s="76" t="s">
        <v>216</v>
      </c>
      <c r="V21" s="408"/>
      <c r="W21" s="294"/>
      <c r="X21" s="76" t="s">
        <v>336</v>
      </c>
      <c r="Y21" s="76" t="s">
        <v>212</v>
      </c>
      <c r="AA21" s="294"/>
      <c r="AB21" s="76" t="s">
        <v>214</v>
      </c>
      <c r="AC21" s="76" t="s">
        <v>210</v>
      </c>
    </row>
    <row r="22" spans="1:29" x14ac:dyDescent="0.2">
      <c r="A22" s="639"/>
      <c r="C22" s="243"/>
      <c r="D22" s="76"/>
      <c r="E22" s="76"/>
      <c r="G22" s="294"/>
      <c r="H22" s="76"/>
      <c r="I22" s="76"/>
      <c r="J22" s="408" t="s">
        <v>303</v>
      </c>
      <c r="K22" s="294"/>
      <c r="L22" s="76"/>
      <c r="M22" s="76"/>
      <c r="O22" s="294"/>
      <c r="P22" s="76" t="s">
        <v>211</v>
      </c>
      <c r="Q22" s="76" t="s">
        <v>213</v>
      </c>
      <c r="S22" s="294"/>
      <c r="T22" s="76" t="s">
        <v>213</v>
      </c>
      <c r="U22" s="76" t="s">
        <v>217</v>
      </c>
      <c r="V22" s="408"/>
      <c r="W22" s="294"/>
      <c r="X22" s="76" t="s">
        <v>339</v>
      </c>
      <c r="Y22" s="76" t="s">
        <v>213</v>
      </c>
      <c r="AA22" s="294"/>
      <c r="AB22" s="76" t="s">
        <v>215</v>
      </c>
      <c r="AC22" s="76" t="s">
        <v>211</v>
      </c>
    </row>
    <row r="23" spans="1:29" x14ac:dyDescent="0.2">
      <c r="A23" s="639"/>
      <c r="D23" s="76"/>
      <c r="E23" s="76"/>
      <c r="H23" s="76"/>
      <c r="I23" s="76"/>
      <c r="J23" s="408" t="s">
        <v>304</v>
      </c>
      <c r="K23" s="294"/>
      <c r="L23" s="76"/>
      <c r="M23" s="76"/>
      <c r="O23" s="294"/>
      <c r="P23" s="76" t="s">
        <v>214</v>
      </c>
      <c r="Q23" s="76" t="s">
        <v>216</v>
      </c>
      <c r="T23" s="76" t="s">
        <v>335</v>
      </c>
      <c r="U23" s="76" t="s">
        <v>206</v>
      </c>
      <c r="V23" s="408"/>
      <c r="W23" s="294"/>
      <c r="X23" s="76" t="s">
        <v>206</v>
      </c>
      <c r="Y23" s="76" t="s">
        <v>210</v>
      </c>
      <c r="AA23" s="294"/>
      <c r="AB23" s="76" t="s">
        <v>206</v>
      </c>
      <c r="AC23" s="76" t="s">
        <v>212</v>
      </c>
    </row>
    <row r="24" spans="1:29" x14ac:dyDescent="0.2">
      <c r="A24" s="639"/>
      <c r="D24" s="76"/>
      <c r="E24" s="76"/>
      <c r="H24" s="76"/>
      <c r="I24" s="76"/>
      <c r="J24" s="408" t="s">
        <v>305</v>
      </c>
      <c r="K24" s="294"/>
      <c r="L24" s="76"/>
      <c r="M24" s="76"/>
      <c r="O24" s="294"/>
      <c r="P24" s="76" t="s">
        <v>215</v>
      </c>
      <c r="Q24" s="76" t="s">
        <v>217</v>
      </c>
      <c r="T24" s="76" t="s">
        <v>338</v>
      </c>
      <c r="U24" s="76" t="s">
        <v>207</v>
      </c>
      <c r="V24" s="408"/>
      <c r="W24" s="294"/>
      <c r="X24" s="76" t="s">
        <v>207</v>
      </c>
      <c r="Y24" s="76" t="s">
        <v>211</v>
      </c>
      <c r="AA24" s="294"/>
      <c r="AB24" s="76" t="s">
        <v>207</v>
      </c>
      <c r="AC24" s="76" t="s">
        <v>213</v>
      </c>
    </row>
    <row r="25" spans="1:29" x14ac:dyDescent="0.2">
      <c r="A25" s="639"/>
      <c r="J25" s="408"/>
      <c r="K25" s="294"/>
      <c r="L25" s="76"/>
      <c r="M25" s="76"/>
      <c r="O25" s="294"/>
      <c r="P25" s="76" t="s">
        <v>208</v>
      </c>
      <c r="Q25" s="76" t="s">
        <v>210</v>
      </c>
      <c r="T25" s="165" t="s">
        <v>208</v>
      </c>
      <c r="U25" s="165" t="s">
        <v>212</v>
      </c>
      <c r="V25" s="408"/>
      <c r="W25" s="294"/>
      <c r="X25" s="76" t="s">
        <v>214</v>
      </c>
      <c r="Y25" s="76" t="s">
        <v>208</v>
      </c>
      <c r="AA25" s="294"/>
      <c r="AB25" s="76" t="s">
        <v>335</v>
      </c>
      <c r="AC25" s="76" t="s">
        <v>208</v>
      </c>
    </row>
    <row r="26" spans="1:29" x14ac:dyDescent="0.2">
      <c r="A26" s="639"/>
      <c r="K26" s="294"/>
      <c r="L26" s="76"/>
      <c r="M26" s="76"/>
      <c r="O26" s="294"/>
      <c r="P26" s="76" t="s">
        <v>209</v>
      </c>
      <c r="Q26" s="76" t="s">
        <v>211</v>
      </c>
      <c r="T26" s="165" t="s">
        <v>209</v>
      </c>
      <c r="U26" s="165" t="s">
        <v>213</v>
      </c>
      <c r="W26" s="294"/>
      <c r="X26" s="76" t="s">
        <v>215</v>
      </c>
      <c r="Y26" s="76" t="s">
        <v>209</v>
      </c>
      <c r="AA26" s="294"/>
      <c r="AB26" s="76" t="s">
        <v>338</v>
      </c>
      <c r="AC26" s="76" t="s">
        <v>209</v>
      </c>
    </row>
    <row r="27" spans="1:29" x14ac:dyDescent="0.2">
      <c r="A27" s="639"/>
      <c r="K27" s="294"/>
      <c r="L27" s="76"/>
      <c r="M27" s="76"/>
      <c r="O27" s="294"/>
      <c r="P27" s="76" t="s">
        <v>216</v>
      </c>
      <c r="Q27" s="76" t="s">
        <v>206</v>
      </c>
      <c r="T27" s="165" t="s">
        <v>206</v>
      </c>
      <c r="U27" s="165" t="s">
        <v>214</v>
      </c>
      <c r="W27" s="294"/>
      <c r="X27" s="76" t="s">
        <v>212</v>
      </c>
      <c r="Y27" s="76" t="s">
        <v>216</v>
      </c>
      <c r="AA27" s="294"/>
      <c r="AB27" s="76" t="s">
        <v>216</v>
      </c>
      <c r="AC27" s="76" t="s">
        <v>336</v>
      </c>
    </row>
    <row r="28" spans="1:29" x14ac:dyDescent="0.2">
      <c r="A28" s="639"/>
      <c r="K28" s="294"/>
      <c r="L28" s="76"/>
      <c r="M28" s="76"/>
      <c r="O28" s="294"/>
      <c r="P28" s="76" t="s">
        <v>217</v>
      </c>
      <c r="Q28" s="76" t="s">
        <v>207</v>
      </c>
      <c r="T28" s="165" t="s">
        <v>207</v>
      </c>
      <c r="U28" s="165" t="s">
        <v>215</v>
      </c>
      <c r="W28" s="294"/>
      <c r="X28" s="76" t="s">
        <v>213</v>
      </c>
      <c r="Y28" s="76" t="s">
        <v>217</v>
      </c>
      <c r="AA28" s="294"/>
      <c r="AB28" s="76" t="s">
        <v>217</v>
      </c>
      <c r="AC28" s="76" t="s">
        <v>339</v>
      </c>
    </row>
    <row r="29" spans="1:29" x14ac:dyDescent="0.2">
      <c r="A29" s="639"/>
      <c r="K29" s="294"/>
      <c r="L29" s="76"/>
      <c r="M29" s="76"/>
      <c r="O29" s="294"/>
      <c r="P29" s="76" t="s">
        <v>212</v>
      </c>
      <c r="Q29" s="76" t="s">
        <v>214</v>
      </c>
      <c r="T29" s="165" t="s">
        <v>216</v>
      </c>
      <c r="U29" s="165" t="s">
        <v>210</v>
      </c>
      <c r="W29" s="294"/>
      <c r="X29" s="76" t="s">
        <v>335</v>
      </c>
      <c r="Y29" s="76" t="s">
        <v>206</v>
      </c>
      <c r="AA29" s="294"/>
      <c r="AB29" s="76" t="s">
        <v>337</v>
      </c>
      <c r="AC29" s="76" t="s">
        <v>214</v>
      </c>
    </row>
    <row r="30" spans="1:29" x14ac:dyDescent="0.2">
      <c r="A30" s="639"/>
      <c r="K30" s="296"/>
      <c r="L30" s="76"/>
      <c r="M30" s="76"/>
      <c r="O30" s="294"/>
      <c r="P30" s="76" t="s">
        <v>213</v>
      </c>
      <c r="Q30" s="76" t="s">
        <v>215</v>
      </c>
      <c r="T30" s="165" t="s">
        <v>217</v>
      </c>
      <c r="U30" s="165" t="s">
        <v>211</v>
      </c>
      <c r="W30" s="296"/>
      <c r="X30" s="76" t="s">
        <v>338</v>
      </c>
      <c r="Y30" s="76" t="s">
        <v>207</v>
      </c>
      <c r="AA30" s="294"/>
      <c r="AB30" s="76" t="s">
        <v>340</v>
      </c>
      <c r="AC30" s="76" t="s">
        <v>215</v>
      </c>
    </row>
    <row r="31" spans="1:29" x14ac:dyDescent="0.2">
      <c r="A31" s="639"/>
      <c r="L31" s="76"/>
      <c r="M31" s="76"/>
      <c r="O31" s="294"/>
      <c r="P31" s="76"/>
      <c r="Q31" s="76"/>
      <c r="T31" s="165" t="s">
        <v>206</v>
      </c>
      <c r="U31" s="165" t="s">
        <v>208</v>
      </c>
      <c r="X31" s="76" t="s">
        <v>210</v>
      </c>
      <c r="Y31" s="76" t="s">
        <v>336</v>
      </c>
      <c r="AA31" s="294"/>
      <c r="AB31" s="76" t="s">
        <v>210</v>
      </c>
      <c r="AC31" s="76" t="s">
        <v>206</v>
      </c>
    </row>
    <row r="32" spans="1:29" x14ac:dyDescent="0.2">
      <c r="A32" s="639"/>
      <c r="L32" s="76"/>
      <c r="M32" s="76"/>
      <c r="O32" s="294"/>
      <c r="P32" s="76"/>
      <c r="Q32" s="76"/>
      <c r="T32" s="165" t="s">
        <v>207</v>
      </c>
      <c r="U32" s="165" t="s">
        <v>209</v>
      </c>
      <c r="X32" s="76" t="s">
        <v>211</v>
      </c>
      <c r="Y32" s="76" t="s">
        <v>339</v>
      </c>
      <c r="AA32" s="294"/>
      <c r="AB32" s="76" t="s">
        <v>211</v>
      </c>
      <c r="AC32" s="76" t="s">
        <v>207</v>
      </c>
    </row>
    <row r="33" spans="12:29" x14ac:dyDescent="0.2">
      <c r="L33" s="76"/>
      <c r="M33" s="76"/>
      <c r="O33" s="294"/>
      <c r="P33" s="76"/>
      <c r="Q33" s="76"/>
      <c r="T33" s="165" t="s">
        <v>210</v>
      </c>
      <c r="U33" s="165" t="s">
        <v>212</v>
      </c>
      <c r="X33" s="76" t="s">
        <v>208</v>
      </c>
      <c r="Y33" s="76" t="s">
        <v>212</v>
      </c>
      <c r="AA33" s="294"/>
      <c r="AB33" s="76" t="s">
        <v>208</v>
      </c>
      <c r="AC33" s="76" t="s">
        <v>216</v>
      </c>
    </row>
    <row r="34" spans="12:29" x14ac:dyDescent="0.2">
      <c r="L34" s="76"/>
      <c r="M34" s="76"/>
      <c r="O34" s="294"/>
      <c r="P34" s="76"/>
      <c r="Q34" s="76"/>
      <c r="T34" s="165" t="s">
        <v>211</v>
      </c>
      <c r="U34" s="165" t="s">
        <v>213</v>
      </c>
      <c r="X34" s="76" t="s">
        <v>209</v>
      </c>
      <c r="Y34" s="76" t="s">
        <v>213</v>
      </c>
      <c r="AA34" s="294"/>
      <c r="AB34" s="76" t="s">
        <v>209</v>
      </c>
      <c r="AC34" s="76" t="s">
        <v>217</v>
      </c>
    </row>
    <row r="35" spans="12:29" x14ac:dyDescent="0.2">
      <c r="P35" s="76"/>
      <c r="Q35" s="76"/>
      <c r="T35" s="165" t="s">
        <v>335</v>
      </c>
      <c r="U35" s="165" t="s">
        <v>216</v>
      </c>
      <c r="X35" s="165" t="s">
        <v>206</v>
      </c>
      <c r="Y35" s="165" t="s">
        <v>214</v>
      </c>
      <c r="AB35" s="76" t="s">
        <v>214</v>
      </c>
      <c r="AC35" s="76" t="s">
        <v>335</v>
      </c>
    </row>
    <row r="36" spans="12:29" x14ac:dyDescent="0.2">
      <c r="P36" s="76"/>
      <c r="Q36" s="76"/>
      <c r="T36" s="165" t="s">
        <v>338</v>
      </c>
      <c r="U36" s="165" t="s">
        <v>217</v>
      </c>
      <c r="X36" s="165" t="s">
        <v>207</v>
      </c>
      <c r="Y36" s="165" t="s">
        <v>215</v>
      </c>
      <c r="AB36" s="76" t="s">
        <v>215</v>
      </c>
      <c r="AC36" s="76" t="s">
        <v>338</v>
      </c>
    </row>
    <row r="37" spans="12:29" x14ac:dyDescent="0.2">
      <c r="P37" s="76"/>
      <c r="Q37" s="76"/>
      <c r="T37" s="165" t="s">
        <v>208</v>
      </c>
      <c r="U37" s="165" t="s">
        <v>210</v>
      </c>
      <c r="X37" s="165" t="s">
        <v>216</v>
      </c>
      <c r="Y37" s="165" t="s">
        <v>210</v>
      </c>
      <c r="AB37" s="76" t="s">
        <v>336</v>
      </c>
      <c r="AC37" s="76" t="s">
        <v>212</v>
      </c>
    </row>
    <row r="38" spans="12:29" x14ac:dyDescent="0.2">
      <c r="P38" s="76"/>
      <c r="Q38" s="76"/>
      <c r="T38" s="165" t="s">
        <v>209</v>
      </c>
      <c r="U38" s="165" t="s">
        <v>211</v>
      </c>
      <c r="X38" s="165" t="s">
        <v>217</v>
      </c>
      <c r="Y38" s="165" t="s">
        <v>211</v>
      </c>
      <c r="AB38" s="76" t="s">
        <v>339</v>
      </c>
      <c r="AC38" s="76" t="s">
        <v>213</v>
      </c>
    </row>
    <row r="39" spans="12:29" x14ac:dyDescent="0.2">
      <c r="P39" s="76"/>
      <c r="Q39" s="76"/>
      <c r="T39" s="165" t="s">
        <v>212</v>
      </c>
      <c r="U39" s="165" t="s">
        <v>335</v>
      </c>
      <c r="X39" s="165" t="s">
        <v>336</v>
      </c>
      <c r="Y39" s="165" t="s">
        <v>335</v>
      </c>
      <c r="AB39" s="76" t="s">
        <v>206</v>
      </c>
      <c r="AC39" s="76" t="s">
        <v>337</v>
      </c>
    </row>
    <row r="40" spans="12:29" x14ac:dyDescent="0.2">
      <c r="P40" s="76"/>
      <c r="Q40" s="76"/>
      <c r="T40" s="165" t="s">
        <v>213</v>
      </c>
      <c r="U40" s="165" t="s">
        <v>338</v>
      </c>
      <c r="X40" s="165" t="s">
        <v>339</v>
      </c>
      <c r="Y40" s="165" t="s">
        <v>338</v>
      </c>
      <c r="AB40" s="76" t="s">
        <v>207</v>
      </c>
      <c r="AC40" s="76" t="s">
        <v>340</v>
      </c>
    </row>
    <row r="41" spans="12:29" x14ac:dyDescent="0.2">
      <c r="P41" s="76"/>
      <c r="Q41" s="76"/>
      <c r="T41" s="165" t="s">
        <v>216</v>
      </c>
      <c r="U41" s="165" t="s">
        <v>214</v>
      </c>
      <c r="X41" s="165" t="s">
        <v>206</v>
      </c>
      <c r="Y41" s="165" t="s">
        <v>208</v>
      </c>
      <c r="AB41" s="76" t="s">
        <v>214</v>
      </c>
      <c r="AC41" s="76" t="s">
        <v>208</v>
      </c>
    </row>
    <row r="42" spans="12:29" x14ac:dyDescent="0.2">
      <c r="P42" s="76"/>
      <c r="Q42" s="76"/>
      <c r="T42" s="165" t="s">
        <v>217</v>
      </c>
      <c r="U42" s="165" t="s">
        <v>215</v>
      </c>
      <c r="X42" s="165" t="s">
        <v>207</v>
      </c>
      <c r="Y42" s="165" t="s">
        <v>209</v>
      </c>
      <c r="AB42" s="76" t="s">
        <v>215</v>
      </c>
      <c r="AC42" s="76" t="s">
        <v>209</v>
      </c>
    </row>
    <row r="43" spans="12:29" x14ac:dyDescent="0.2">
      <c r="P43" s="76"/>
      <c r="Q43" s="76"/>
      <c r="X43" s="165" t="s">
        <v>210</v>
      </c>
      <c r="Y43" s="165" t="s">
        <v>212</v>
      </c>
      <c r="AB43" s="76" t="s">
        <v>212</v>
      </c>
      <c r="AC43" s="76" t="s">
        <v>216</v>
      </c>
    </row>
    <row r="44" spans="12:29" x14ac:dyDescent="0.2">
      <c r="P44" s="76"/>
      <c r="Q44" s="76"/>
      <c r="X44" s="165" t="s">
        <v>211</v>
      </c>
      <c r="Y44" s="165" t="s">
        <v>213</v>
      </c>
      <c r="AB44" s="76" t="s">
        <v>213</v>
      </c>
      <c r="AC44" s="76" t="s">
        <v>217</v>
      </c>
    </row>
    <row r="45" spans="12:29" x14ac:dyDescent="0.2">
      <c r="X45" s="165" t="s">
        <v>214</v>
      </c>
      <c r="Y45" s="165" t="s">
        <v>336</v>
      </c>
      <c r="AB45" s="165" t="s">
        <v>335</v>
      </c>
      <c r="AC45" s="165" t="s">
        <v>206</v>
      </c>
    </row>
    <row r="46" spans="12:29" x14ac:dyDescent="0.2">
      <c r="X46" s="165" t="s">
        <v>215</v>
      </c>
      <c r="Y46" s="165" t="s">
        <v>339</v>
      </c>
      <c r="AB46" s="165" t="s">
        <v>338</v>
      </c>
      <c r="AC46" s="165" t="s">
        <v>207</v>
      </c>
    </row>
    <row r="47" spans="12:29" x14ac:dyDescent="0.2">
      <c r="X47" s="165" t="s">
        <v>335</v>
      </c>
      <c r="Y47" s="165" t="s">
        <v>216</v>
      </c>
      <c r="AB47" s="165" t="s">
        <v>210</v>
      </c>
      <c r="AC47" s="165" t="s">
        <v>336</v>
      </c>
    </row>
    <row r="48" spans="12:29" x14ac:dyDescent="0.2">
      <c r="X48" s="165" t="s">
        <v>338</v>
      </c>
      <c r="Y48" s="165" t="s">
        <v>217</v>
      </c>
      <c r="AB48" s="165" t="s">
        <v>211</v>
      </c>
      <c r="AC48" s="165" t="s">
        <v>339</v>
      </c>
    </row>
    <row r="49" spans="24:29" x14ac:dyDescent="0.2">
      <c r="X49" s="165" t="s">
        <v>208</v>
      </c>
      <c r="Y49" s="165" t="s">
        <v>210</v>
      </c>
      <c r="AB49" s="165" t="s">
        <v>208</v>
      </c>
      <c r="AC49" s="165" t="s">
        <v>212</v>
      </c>
    </row>
    <row r="50" spans="24:29" x14ac:dyDescent="0.2">
      <c r="X50" s="165" t="s">
        <v>209</v>
      </c>
      <c r="Y50" s="165" t="s">
        <v>211</v>
      </c>
      <c r="AB50" s="165" t="s">
        <v>209</v>
      </c>
      <c r="AC50" s="165" t="s">
        <v>213</v>
      </c>
    </row>
    <row r="51" spans="24:29" x14ac:dyDescent="0.2">
      <c r="X51" s="165" t="s">
        <v>336</v>
      </c>
      <c r="Y51" s="165" t="s">
        <v>206</v>
      </c>
      <c r="AB51" s="165" t="s">
        <v>206</v>
      </c>
      <c r="AC51" s="165" t="s">
        <v>214</v>
      </c>
    </row>
    <row r="52" spans="24:29" x14ac:dyDescent="0.2">
      <c r="X52" s="165" t="s">
        <v>339</v>
      </c>
      <c r="Y52" s="165" t="s">
        <v>207</v>
      </c>
      <c r="AB52" s="165" t="s">
        <v>207</v>
      </c>
      <c r="AC52" s="165" t="s">
        <v>215</v>
      </c>
    </row>
    <row r="53" spans="24:29" x14ac:dyDescent="0.2">
      <c r="X53" s="165" t="s">
        <v>212</v>
      </c>
      <c r="Y53" s="165" t="s">
        <v>335</v>
      </c>
      <c r="AB53" s="165" t="s">
        <v>216</v>
      </c>
      <c r="AC53" s="165" t="s">
        <v>210</v>
      </c>
    </row>
    <row r="54" spans="24:29" x14ac:dyDescent="0.2">
      <c r="X54" s="165" t="s">
        <v>213</v>
      </c>
      <c r="Y54" s="165" t="s">
        <v>338</v>
      </c>
      <c r="AB54" s="165" t="s">
        <v>217</v>
      </c>
      <c r="AC54" s="165" t="s">
        <v>211</v>
      </c>
    </row>
    <row r="55" spans="24:29" x14ac:dyDescent="0.2">
      <c r="X55" s="165" t="s">
        <v>216</v>
      </c>
      <c r="Y55" s="165" t="s">
        <v>214</v>
      </c>
      <c r="AB55" s="165" t="s">
        <v>336</v>
      </c>
      <c r="AC55" s="165" t="s">
        <v>337</v>
      </c>
    </row>
    <row r="56" spans="24:29" x14ac:dyDescent="0.2">
      <c r="X56" s="165" t="s">
        <v>217</v>
      </c>
      <c r="Y56" s="165" t="s">
        <v>215</v>
      </c>
      <c r="AB56" s="165" t="s">
        <v>339</v>
      </c>
      <c r="AC56" s="165" t="s">
        <v>340</v>
      </c>
    </row>
    <row r="57" spans="24:29" x14ac:dyDescent="0.2">
      <c r="AB57" s="165" t="s">
        <v>206</v>
      </c>
      <c r="AC57" s="165" t="s">
        <v>208</v>
      </c>
    </row>
    <row r="58" spans="24:29" x14ac:dyDescent="0.2">
      <c r="AB58" s="165" t="s">
        <v>207</v>
      </c>
      <c r="AC58" s="165" t="s">
        <v>209</v>
      </c>
    </row>
    <row r="59" spans="24:29" x14ac:dyDescent="0.2">
      <c r="AB59" s="165" t="s">
        <v>210</v>
      </c>
      <c r="AC59" s="165" t="s">
        <v>212</v>
      </c>
    </row>
    <row r="60" spans="24:29" x14ac:dyDescent="0.2">
      <c r="AB60" s="165" t="s">
        <v>211</v>
      </c>
      <c r="AC60" s="165" t="s">
        <v>213</v>
      </c>
    </row>
    <row r="61" spans="24:29" x14ac:dyDescent="0.2">
      <c r="AB61" s="165" t="s">
        <v>337</v>
      </c>
      <c r="AC61" s="165" t="s">
        <v>216</v>
      </c>
    </row>
    <row r="62" spans="24:29" x14ac:dyDescent="0.2">
      <c r="AB62" s="165" t="s">
        <v>340</v>
      </c>
      <c r="AC62" s="165" t="s">
        <v>217</v>
      </c>
    </row>
    <row r="63" spans="24:29" x14ac:dyDescent="0.2">
      <c r="AB63" s="165" t="s">
        <v>335</v>
      </c>
      <c r="AC63" s="165" t="s">
        <v>336</v>
      </c>
    </row>
    <row r="64" spans="24:29" x14ac:dyDescent="0.2">
      <c r="AB64" s="165" t="s">
        <v>338</v>
      </c>
      <c r="AC64" s="165" t="s">
        <v>339</v>
      </c>
    </row>
    <row r="65" spans="28:29" x14ac:dyDescent="0.2">
      <c r="AB65" s="165" t="s">
        <v>208</v>
      </c>
      <c r="AC65" s="165" t="s">
        <v>210</v>
      </c>
    </row>
    <row r="66" spans="28:29" x14ac:dyDescent="0.2">
      <c r="AB66" s="165" t="s">
        <v>209</v>
      </c>
      <c r="AC66" s="165" t="s">
        <v>211</v>
      </c>
    </row>
    <row r="67" spans="28:29" x14ac:dyDescent="0.2">
      <c r="AB67" s="165" t="s">
        <v>212</v>
      </c>
      <c r="AC67" s="165" t="s">
        <v>337</v>
      </c>
    </row>
    <row r="68" spans="28:29" x14ac:dyDescent="0.2">
      <c r="AB68" s="165" t="s">
        <v>213</v>
      </c>
      <c r="AC68" s="165" t="s">
        <v>340</v>
      </c>
    </row>
    <row r="69" spans="28:29" x14ac:dyDescent="0.2">
      <c r="AB69" s="165" t="s">
        <v>336</v>
      </c>
      <c r="AC69" s="165" t="s">
        <v>214</v>
      </c>
    </row>
    <row r="70" spans="28:29" x14ac:dyDescent="0.2">
      <c r="AB70" s="165" t="s">
        <v>339</v>
      </c>
      <c r="AC70" s="165" t="s">
        <v>215</v>
      </c>
    </row>
    <row r="71" spans="28:29" x14ac:dyDescent="0.2">
      <c r="AB71" s="165" t="s">
        <v>216</v>
      </c>
      <c r="AC71" s="165" t="s">
        <v>335</v>
      </c>
    </row>
    <row r="72" spans="28:29" x14ac:dyDescent="0.2">
      <c r="AB72" s="165" t="s">
        <v>217</v>
      </c>
      <c r="AC72" s="165" t="s">
        <v>338</v>
      </c>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84"/>
  <sheetViews>
    <sheetView showGridLines="0" showRowColHeaders="0" tabSelected="1" zoomScaleNormal="100" workbookViewId="0">
      <selection activeCell="I12" sqref="I12"/>
    </sheetView>
  </sheetViews>
  <sheetFormatPr baseColWidth="10" defaultColWidth="0" defaultRowHeight="12.75" x14ac:dyDescent="0.2"/>
  <cols>
    <col min="1" max="1" width="1.5703125" style="44" customWidth="1"/>
    <col min="2" max="2" width="4.7109375" style="44" customWidth="1"/>
    <col min="3" max="3" width="7.7109375" style="44" customWidth="1"/>
    <col min="4" max="5" width="6.5703125" style="44" customWidth="1"/>
    <col min="6" max="6" width="24.7109375" style="44" customWidth="1"/>
    <col min="7" max="7" width="3" style="44" customWidth="1"/>
    <col min="8" max="8" width="24.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4.7109375" style="44" customWidth="1"/>
    <col min="15" max="18" width="6.7109375" style="44" customWidth="1"/>
    <col min="19" max="19" width="4.7109375" style="44" customWidth="1"/>
    <col min="20" max="20" width="2.140625" style="44" customWidth="1"/>
    <col min="21" max="21" width="4.7109375" style="44" customWidth="1"/>
    <col min="22" max="23" width="6.7109375" style="44" customWidth="1"/>
    <col min="24" max="32" width="7.85546875" style="44" customWidth="1"/>
    <col min="33" max="33" width="24.7109375" style="44" customWidth="1"/>
    <col min="34" max="34" width="4.140625" style="44" customWidth="1"/>
    <col min="35" max="35" width="11.42578125" style="44" customWidth="1"/>
    <col min="36" max="36" width="8" style="44" customWidth="1"/>
    <col min="37" max="37" width="30.7109375" style="44" customWidth="1"/>
    <col min="38" max="39" width="11.42578125" style="44" customWidth="1"/>
    <col min="40" max="16384" width="11.42578125" style="44" hidden="1"/>
  </cols>
  <sheetData>
    <row r="1" spans="1:38" ht="13.5" thickBot="1" x14ac:dyDescent="0.25">
      <c r="B1" s="306"/>
      <c r="C1" s="306"/>
      <c r="D1" s="277"/>
      <c r="E1" s="277"/>
      <c r="F1" s="277"/>
      <c r="G1" s="277"/>
      <c r="H1" s="277"/>
      <c r="I1" s="277"/>
      <c r="J1" s="277"/>
      <c r="K1" s="277"/>
      <c r="M1" s="649"/>
      <c r="N1" s="649"/>
      <c r="AB1" s="306"/>
      <c r="AC1" s="306"/>
      <c r="AD1" s="306"/>
      <c r="AE1" s="306"/>
      <c r="AF1" s="306"/>
    </row>
    <row r="2" spans="1:38" ht="36" customHeight="1" thickTop="1" x14ac:dyDescent="0.2">
      <c r="B2" s="276"/>
      <c r="C2" s="276"/>
      <c r="G2" s="661" t="s">
        <v>308</v>
      </c>
      <c r="H2" s="662"/>
      <c r="I2" s="662"/>
      <c r="J2" s="662"/>
      <c r="K2" s="662"/>
      <c r="L2" s="662"/>
      <c r="M2" s="662"/>
      <c r="N2" s="662"/>
      <c r="O2" s="662"/>
      <c r="P2" s="662"/>
      <c r="Q2" s="662"/>
      <c r="R2" s="662"/>
      <c r="S2" s="662"/>
      <c r="T2" s="662"/>
      <c r="U2" s="662"/>
      <c r="V2" s="662"/>
      <c r="W2" s="662"/>
      <c r="X2" s="662"/>
      <c r="Y2" s="662"/>
      <c r="Z2" s="662"/>
      <c r="AA2" s="663"/>
      <c r="AF2" s="308"/>
      <c r="AG2" s="575" t="s">
        <v>350</v>
      </c>
    </row>
    <row r="3" spans="1:38" ht="30" customHeight="1" x14ac:dyDescent="0.2">
      <c r="G3" s="664" t="s">
        <v>264</v>
      </c>
      <c r="H3" s="665"/>
      <c r="I3" s="665"/>
      <c r="J3" s="665"/>
      <c r="K3" s="665"/>
      <c r="L3" s="665"/>
      <c r="M3" s="665"/>
      <c r="N3" s="665"/>
      <c r="O3" s="665"/>
      <c r="P3" s="665"/>
      <c r="Q3" s="665"/>
      <c r="R3" s="665"/>
      <c r="S3" s="665"/>
      <c r="T3" s="665"/>
      <c r="U3" s="665"/>
      <c r="V3" s="665"/>
      <c r="W3" s="665"/>
      <c r="X3" s="665"/>
      <c r="Y3" s="665"/>
      <c r="Z3" s="665"/>
      <c r="AA3" s="666"/>
    </row>
    <row r="4" spans="1:38" ht="30" customHeight="1" x14ac:dyDescent="0.2">
      <c r="G4" s="667" t="s">
        <v>276</v>
      </c>
      <c r="H4" s="668"/>
      <c r="I4" s="668"/>
      <c r="J4" s="668"/>
      <c r="K4" s="668"/>
      <c r="L4" s="668"/>
      <c r="M4" s="668"/>
      <c r="N4" s="668"/>
      <c r="O4" s="668"/>
      <c r="P4" s="668"/>
      <c r="Q4" s="668"/>
      <c r="R4" s="668"/>
      <c r="S4" s="668"/>
      <c r="T4" s="668"/>
      <c r="U4" s="668"/>
      <c r="V4" s="668"/>
      <c r="W4" s="668"/>
      <c r="X4" s="668"/>
      <c r="Y4" s="668"/>
      <c r="Z4" s="668"/>
      <c r="AA4" s="669"/>
    </row>
    <row r="5" spans="1:38" ht="30" customHeight="1" thickBot="1" x14ac:dyDescent="0.25">
      <c r="G5" s="670" t="s">
        <v>263</v>
      </c>
      <c r="H5" s="671"/>
      <c r="I5" s="671"/>
      <c r="J5" s="671"/>
      <c r="K5" s="671"/>
      <c r="L5" s="671"/>
      <c r="M5" s="671"/>
      <c r="N5" s="671"/>
      <c r="O5" s="671"/>
      <c r="P5" s="671"/>
      <c r="Q5" s="671"/>
      <c r="R5" s="671"/>
      <c r="S5" s="671"/>
      <c r="T5" s="671"/>
      <c r="U5" s="671"/>
      <c r="V5" s="671"/>
      <c r="W5" s="671"/>
      <c r="X5" s="671"/>
      <c r="Y5" s="671"/>
      <c r="Z5" s="671"/>
      <c r="AA5" s="672"/>
      <c r="AJ5" s="423"/>
      <c r="AK5" s="423"/>
      <c r="AL5" s="423"/>
    </row>
    <row r="6" spans="1:38" ht="9" customHeight="1" thickTop="1" thickBot="1" x14ac:dyDescent="0.25">
      <c r="B6" s="307"/>
      <c r="C6" s="307"/>
      <c r="D6" s="307"/>
      <c r="E6" s="307"/>
      <c r="F6" s="307"/>
      <c r="G6" s="307"/>
      <c r="H6" s="307"/>
      <c r="I6" s="307"/>
      <c r="J6" s="307"/>
      <c r="K6" s="307"/>
      <c r="AJ6" s="423"/>
      <c r="AK6" s="423"/>
      <c r="AL6" s="423"/>
    </row>
    <row r="7" spans="1:38" ht="30" customHeight="1" thickTop="1" x14ac:dyDescent="0.2">
      <c r="B7" s="307"/>
      <c r="C7" s="307"/>
      <c r="D7" s="307"/>
      <c r="E7" s="307"/>
      <c r="F7" s="307"/>
      <c r="G7" s="307"/>
      <c r="H7" s="307"/>
      <c r="I7" s="307"/>
      <c r="J7" s="307"/>
      <c r="M7" s="655" t="str">
        <f>Sprache!$E$18</f>
        <v>Vorrunde</v>
      </c>
      <c r="N7" s="656"/>
      <c r="O7" s="656"/>
      <c r="P7" s="656"/>
      <c r="Q7" s="656"/>
      <c r="R7" s="656"/>
      <c r="S7" s="656"/>
      <c r="T7" s="656"/>
      <c r="U7" s="657"/>
      <c r="AG7" s="576" t="str">
        <f>Sprache!$E$49&amp;"      --&gt;"</f>
        <v>Bonus      --&gt;</v>
      </c>
      <c r="AJ7" s="643" t="str">
        <f>Sprache!$E$65</f>
        <v>Sind zwei oder mehr Mannschaften nicht unterscheidbar und wird eine Entscheidung z.B. durch Elfmeterschießen oder Los getroffen, genügt es, für die bevorzugte Mannschaft einen Bonuspunkt einzutragen.</v>
      </c>
      <c r="AK7" s="643"/>
      <c r="AL7" s="643"/>
    </row>
    <row r="8" spans="1:38" ht="30" customHeight="1" thickBot="1" x14ac:dyDescent="0.25">
      <c r="B8" s="307"/>
      <c r="C8" s="307"/>
      <c r="D8" s="307"/>
      <c r="E8" s="307"/>
      <c r="F8" s="307"/>
      <c r="G8" s="307"/>
      <c r="H8" s="307"/>
      <c r="I8" s="307"/>
      <c r="J8" s="307"/>
      <c r="M8" s="658"/>
      <c r="N8" s="659"/>
      <c r="O8" s="659"/>
      <c r="P8" s="659"/>
      <c r="Q8" s="659"/>
      <c r="R8" s="659"/>
      <c r="S8" s="659"/>
      <c r="T8" s="659"/>
      <c r="U8" s="660"/>
      <c r="AJ8" s="643"/>
      <c r="AK8" s="643"/>
      <c r="AL8" s="643"/>
    </row>
    <row r="9" spans="1:38" ht="13.5" customHeight="1" thickTop="1" thickBot="1" x14ac:dyDescent="0.35">
      <c r="C9" s="45"/>
      <c r="D9" s="45"/>
      <c r="E9" s="45"/>
      <c r="F9" s="305"/>
      <c r="G9" s="305"/>
      <c r="H9" s="305"/>
      <c r="I9" s="305"/>
      <c r="J9" s="305"/>
      <c r="K9" s="305"/>
      <c r="X9" s="291"/>
      <c r="Y9" s="291"/>
      <c r="Z9" s="291"/>
      <c r="AA9" s="291"/>
      <c r="AB9" s="291"/>
      <c r="AC9" s="291"/>
      <c r="AD9" s="291"/>
      <c r="AE9" s="291"/>
      <c r="AF9" s="291"/>
    </row>
    <row r="10" spans="1:38" ht="24" customHeight="1" thickBot="1" x14ac:dyDescent="0.45">
      <c r="A10" s="299"/>
      <c r="B10" s="303" t="str">
        <f>Sprache!$E$11</f>
        <v>Ergebnisse</v>
      </c>
      <c r="C10" s="300"/>
      <c r="D10" s="300"/>
      <c r="E10" s="300"/>
      <c r="F10" s="304"/>
      <c r="G10" s="304"/>
      <c r="H10" s="304"/>
      <c r="I10" s="304"/>
      <c r="J10" s="304"/>
      <c r="K10" s="304"/>
      <c r="M10" s="642" t="str">
        <f>Sprache!$E$16&amp;" A"</f>
        <v>Gruppe A</v>
      </c>
      <c r="N10" s="642"/>
      <c r="O10" s="199"/>
      <c r="P10" s="199"/>
      <c r="Q10" s="199"/>
      <c r="R10" s="199"/>
      <c r="S10" s="199"/>
      <c r="T10" s="199"/>
      <c r="U10" s="199"/>
      <c r="V10" s="199"/>
      <c r="W10" s="199"/>
      <c r="X10" s="288" t="str">
        <f ca="1">IF(LEN(N12)&gt;Einstellungen!$C$17,LEFT(N12,Einstellungen!$C$17)&amp;".",N12)</f>
        <v>FC Barc.</v>
      </c>
      <c r="Y10" s="289" t="str">
        <f ca="1">IF(LEN(N13)&gt;Einstellungen!$C$17,LEFT(N13,Einstellungen!$C$17)&amp;".",N13)</f>
        <v>Eintrac.</v>
      </c>
      <c r="Z10" s="289" t="str">
        <f ca="1">IF(LEN(N14)&gt;Einstellungen!$C$17,LEFT(N14,Einstellungen!$C$17)&amp;".",N14)</f>
        <v>Raslo W.</v>
      </c>
      <c r="AA10" s="289" t="str">
        <f ca="1">IF(LEN(N15)&gt;Einstellungen!$C$17,LEFT(N15,Einstellungen!$C$17)&amp;".",N15)</f>
        <v>Fun Kic.</v>
      </c>
      <c r="AB10" s="289" t="str">
        <f ca="1">IF(LEN(N16)&gt;Einstellungen!$C$17,LEFT(N16,Einstellungen!$C$17)&amp;".",N16)</f>
        <v>Knock O.</v>
      </c>
      <c r="AC10" s="562" t="str">
        <f ca="1">IF(LEN(N17)&gt;Einstellungen!$C$17,LEFT(N17,Einstellungen!$C$17)&amp;".",N17)</f>
        <v>Maibach.</v>
      </c>
      <c r="AD10" s="562" t="str">
        <f ca="1">IF(LEN(N18)&gt;Einstellungen!$C$17,LEFT(N18,Einstellungen!$C$17)&amp;".",N18)</f>
        <v>VFB Ess.</v>
      </c>
      <c r="AE10" s="562" t="str">
        <f ca="1">IF(LEN(N19)&gt;Einstellungen!$C$17,LEFT(N19,Einstellungen!$C$17)&amp;".",N19)</f>
        <v>1. FC R.</v>
      </c>
      <c r="AF10" s="290" t="str">
        <f ca="1">IF(LEN(N20)&gt;Einstellungen!$C$17,LEFT(N20,Einstellungen!$C$17)&amp;".",N20)</f>
        <v/>
      </c>
      <c r="AG10" s="200"/>
      <c r="AJ10" s="642" t="str">
        <f>Sprache!$E$16&amp;" A"</f>
        <v>Gruppe A</v>
      </c>
      <c r="AK10" s="642"/>
    </row>
    <row r="11" spans="1:38" ht="24" customHeight="1" thickTop="1" thickBot="1" x14ac:dyDescent="0.25">
      <c r="B11" s="65" t="str">
        <f>Sprache!$E$9</f>
        <v>Nr.</v>
      </c>
      <c r="C11" s="185" t="str">
        <f>Sprache!$E$39</f>
        <v>Beginn</v>
      </c>
      <c r="D11" s="185" t="str">
        <f>Sprache!$E$48</f>
        <v>Feld</v>
      </c>
      <c r="E11" s="185" t="str">
        <f>Sprache!$E$17</f>
        <v>Grp</v>
      </c>
      <c r="F11" s="650" t="str">
        <f>Sprache!$E$14</f>
        <v>Spielpaarung</v>
      </c>
      <c r="G11" s="651"/>
      <c r="H11" s="652"/>
      <c r="I11" s="653" t="str">
        <f>Sprache!$E$15</f>
        <v>Ergebnis</v>
      </c>
      <c r="J11" s="651"/>
      <c r="K11" s="654"/>
      <c r="M11" s="644"/>
      <c r="N11" s="645"/>
      <c r="O11" s="201" t="str">
        <f>Sprache!$E$21</f>
        <v>SP</v>
      </c>
      <c r="P11" s="202" t="str">
        <f>Sprache!$E$22</f>
        <v>G</v>
      </c>
      <c r="Q11" s="202" t="str">
        <f>Sprache!$E$23</f>
        <v>U</v>
      </c>
      <c r="R11" s="203" t="str">
        <f>Sprache!$E$24</f>
        <v>V</v>
      </c>
      <c r="S11" s="646" t="str">
        <f>Sprache!$E$25</f>
        <v>Tore</v>
      </c>
      <c r="T11" s="647"/>
      <c r="U11" s="648"/>
      <c r="V11" s="202" t="str">
        <f>Sprache!$E$26</f>
        <v>Diff.</v>
      </c>
      <c r="W11" s="204" t="str">
        <f>Sprache!$E$27</f>
        <v>Pkt</v>
      </c>
      <c r="X11" s="205" t="str">
        <f ca="1">N12</f>
        <v>FC Barcelona</v>
      </c>
      <c r="Y11" s="206" t="str">
        <f ca="1">N13</f>
        <v>Eintracht Frankfurt</v>
      </c>
      <c r="Z11" s="206" t="str">
        <f ca="1">N14</f>
        <v>Raslo Winners</v>
      </c>
      <c r="AA11" s="206" t="str">
        <f ca="1">N15</f>
        <v>Fun Kickers Oes</v>
      </c>
      <c r="AB11" s="206" t="str">
        <f ca="1">N16</f>
        <v>Knock Out Rangers</v>
      </c>
      <c r="AC11" s="563" t="str">
        <f ca="1">N17</f>
        <v>Maibach 1822 eV</v>
      </c>
      <c r="AD11" s="563" t="str">
        <f ca="1">N18</f>
        <v>VFB Essenheim</v>
      </c>
      <c r="AE11" s="563" t="str">
        <f ca="1">N19</f>
        <v>1. FC Riedwald</v>
      </c>
      <c r="AF11" s="531" t="str">
        <f ca="1">N20</f>
        <v/>
      </c>
      <c r="AG11" s="200"/>
      <c r="AJ11" s="420" t="str">
        <f>Sprache!$E$9</f>
        <v>Nr.</v>
      </c>
      <c r="AK11" s="421" t="str">
        <f>Sprache!$E$10</f>
        <v>Teilnehmer bzw. Mannschaft</v>
      </c>
      <c r="AL11" s="422" t="str">
        <f>Sprache!$E$49</f>
        <v>Bonus</v>
      </c>
    </row>
    <row r="12" spans="1:38" ht="24" customHeight="1" x14ac:dyDescent="0.2">
      <c r="B12" s="441">
        <f>Planung!$E6</f>
        <v>1</v>
      </c>
      <c r="C12" s="447">
        <f>Planung!$F6</f>
        <v>0.375</v>
      </c>
      <c r="D12" s="448" t="str">
        <f>Planung!$G6</f>
        <v>1</v>
      </c>
      <c r="E12" s="448" t="str">
        <f ca="1">Planung!$H6</f>
        <v>A</v>
      </c>
      <c r="F12" s="453" t="str">
        <f ca="1">Planung!$L6</f>
        <v>1. FC Riedwald</v>
      </c>
      <c r="G12" s="434" t="s">
        <v>5</v>
      </c>
      <c r="H12" s="456" t="str">
        <f ca="1">Planung!$N6</f>
        <v>Knock Out Rangers</v>
      </c>
      <c r="I12" s="444">
        <v>2</v>
      </c>
      <c r="J12" s="435" t="str">
        <f>Sprache!$E$73</f>
        <v>:</v>
      </c>
      <c r="K12" s="436">
        <v>6</v>
      </c>
      <c r="M12" s="381">
        <f ca="1">IF(Calc1!$K$13=0,"",1)</f>
        <v>1</v>
      </c>
      <c r="N12" s="382" t="str">
        <f ca="1">IF(Calc1!$F$14&lt;3,"",IF(Calc1!$K$13=0,Calc1!$Q64,VLOOKUP(Calc1!B4,Calc1!$C$4:$N$12,4,0)))</f>
        <v>FC Barcelona</v>
      </c>
      <c r="O12" s="207">
        <f ca="1">IF(Calc1!$K$13=0,"",VLOOKUP(Calc1!B4,Calc1!$C$4:$N$12,9,0))</f>
        <v>2</v>
      </c>
      <c r="P12" s="208">
        <f ca="1">IF(Calc1!$K$13=0,"",VLOOKUP(Calc1!B4,Calc1!$C$4:$N$12,10,0))</f>
        <v>2</v>
      </c>
      <c r="Q12" s="208">
        <f ca="1">IF(Calc1!$K$13=0,"",VLOOKUP(Calc1!B4,Calc1!$C$4:$N$12,11,0))</f>
        <v>0</v>
      </c>
      <c r="R12" s="209">
        <f ca="1">IF(Calc1!$K$13=0,"",VLOOKUP(Calc1!B4,Calc1!$C$4:$N$12,12,0))</f>
        <v>0</v>
      </c>
      <c r="S12" s="210">
        <f ca="1">IF(Calc1!$K$13=0,"",VLOOKUP(Calc1!B4,Calc1!$C$4:$N$12,5,0))</f>
        <v>10</v>
      </c>
      <c r="T12" s="211" t="str">
        <f>Sprache!$E$73</f>
        <v>:</v>
      </c>
      <c r="U12" s="212">
        <f ca="1">IF(Calc1!$K$13=0,"",VLOOKUP(Calc1!B4,Calc1!$C$4:$N$12,6,0))</f>
        <v>1</v>
      </c>
      <c r="V12" s="207">
        <f ca="1">IF(Calc1!$K$13=0,"",VLOOKUP(Calc1!B4,Calc1!$C$4:$N$12,7,0))</f>
        <v>9</v>
      </c>
      <c r="W12" s="213">
        <f ca="1">IF(Calc1!$K$13=0,"",VLOOKUP(Calc1!B4,Calc1!$C$4:$N$12,8,0))</f>
        <v>6</v>
      </c>
      <c r="X12" s="214"/>
      <c r="Y12" s="208" t="str">
        <f ca="1">IFERROR(VLOOKUP($N12&amp;Y$11,Calc1!$Z$64:$AB$207,3,0),"")</f>
        <v/>
      </c>
      <c r="Z12" s="208" t="str">
        <f ca="1">IFERROR(VLOOKUP($N12&amp;Z$11,Calc1!$Z$64:$AB$207,3,0),"")</f>
        <v>4:1</v>
      </c>
      <c r="AA12" s="208" t="str">
        <f ca="1">IFERROR(VLOOKUP($N12&amp;AA$11,Calc1!$Z$64:$AB$207,3,0),"")</f>
        <v/>
      </c>
      <c r="AB12" s="208" t="str">
        <f ca="1">IFERROR(VLOOKUP($N12&amp;AB$11,Calc1!$Z$64:$AB$207,3,0),"")</f>
        <v/>
      </c>
      <c r="AC12" s="209" t="str">
        <f ca="1">IFERROR(VLOOKUP($N12&amp;AC$11,Calc1!$Z$64:$AB$207,3,0),"")</f>
        <v/>
      </c>
      <c r="AD12" s="209" t="str">
        <f ca="1">IFERROR(VLOOKUP($N12&amp;AD$11,Calc1!$Z$64:$AB$207,3,0),"")</f>
        <v>6:0</v>
      </c>
      <c r="AE12" s="209" t="str">
        <f ca="1">IFERROR(VLOOKUP($N12&amp;AE$11,Calc1!$Z$64:$AB$207,3,0),"")</f>
        <v/>
      </c>
      <c r="AF12" s="215" t="str">
        <f ca="1">IFERROR(VLOOKUP($N12&amp;AF$11,Calc1!$Z$64:$AB$207,3,0),"")</f>
        <v/>
      </c>
      <c r="AG12" s="216" t="str">
        <f t="shared" ref="AG12:AG16" ca="1" si="0">N12</f>
        <v>FC Barcelona</v>
      </c>
      <c r="AJ12" s="418" t="s">
        <v>208</v>
      </c>
      <c r="AK12" s="419" t="str">
        <f>IF(Planung!$C7="","",Planung!$C7)</f>
        <v>1. FC Riedwald</v>
      </c>
      <c r="AL12" s="424"/>
    </row>
    <row r="13" spans="1:38" ht="24" customHeight="1" x14ac:dyDescent="0.2">
      <c r="B13" s="442">
        <f ca="1">Planung!$E7</f>
        <v>2</v>
      </c>
      <c r="C13" s="449">
        <f ca="1">Planung!$F7</f>
        <v>0.375</v>
      </c>
      <c r="D13" s="450">
        <f ca="1">Planung!$G7</f>
        <v>2</v>
      </c>
      <c r="E13" s="450" t="str">
        <f ca="1">Planung!$H7</f>
        <v>B</v>
      </c>
      <c r="F13" s="454" t="str">
        <f ca="1">Planung!$L7</f>
        <v>Mainz 05</v>
      </c>
      <c r="G13" s="220" t="s">
        <v>5</v>
      </c>
      <c r="H13" s="457" t="str">
        <f ca="1">Planung!$N7</f>
        <v>Borussia Heine</v>
      </c>
      <c r="I13" s="445">
        <v>2</v>
      </c>
      <c r="J13" s="437" t="str">
        <f>Sprache!$E$73</f>
        <v>:</v>
      </c>
      <c r="K13" s="438">
        <v>4</v>
      </c>
      <c r="M13" s="383">
        <f ca="1">IF(Calc1!$K$13=0,"",IF(VLOOKUP(Calc1!B5,Calc1!$C$4:$E$12,3,0)=MAX(M$12:M12),VLOOKUP(Calc1!B5,Calc1!$C$4:$E$12,3,0),Calc1!B5))</f>
        <v>2</v>
      </c>
      <c r="N13" s="384" t="str">
        <f ca="1">IF(Calc1!$F$14&lt;3,"",IF(Calc1!$K$13=0,Calc1!$Q65,VLOOKUP(Calc1!B5,Calc1!$C$4:$N$12,4,0)))</f>
        <v>Eintracht Frankfurt</v>
      </c>
      <c r="O13" s="217">
        <f ca="1">IF(Calc1!$K$13=0,"",VLOOKUP(Calc1!B5,Calc1!$C$4:$N$12,9,0))</f>
        <v>2</v>
      </c>
      <c r="P13" s="198">
        <f ca="1">IF(Calc1!$K$13=0,"",VLOOKUP(Calc1!B5,Calc1!$C$4:$N$12,10,0))</f>
        <v>2</v>
      </c>
      <c r="Q13" s="198">
        <f ca="1">IF(Calc1!$K$13=0,"",VLOOKUP(Calc1!B5,Calc1!$C$4:$N$12,11,0))</f>
        <v>0</v>
      </c>
      <c r="R13" s="218">
        <f ca="1">IF(Calc1!$K$13=0,"",VLOOKUP(Calc1!B5,Calc1!$C$4:$N$12,12,0))</f>
        <v>0</v>
      </c>
      <c r="S13" s="219">
        <f ca="1">IF(Calc1!$K$13=0,"",VLOOKUP(Calc1!B5,Calc1!$C$4:$N$12,5,0))</f>
        <v>7</v>
      </c>
      <c r="T13" s="220" t="str">
        <f>Sprache!$E$73</f>
        <v>:</v>
      </c>
      <c r="U13" s="221">
        <f ca="1">IF(Calc1!$K$13=0,"",VLOOKUP(Calc1!B5,Calc1!$C$4:$N$12,6,0))</f>
        <v>3</v>
      </c>
      <c r="V13" s="217">
        <f ca="1">IF(Calc1!$K$13=0,"",VLOOKUP(Calc1!B5,Calc1!$C$4:$N$12,7,0))</f>
        <v>4</v>
      </c>
      <c r="W13" s="222">
        <f ca="1">IF(Calc1!$K$13=0,"",VLOOKUP(Calc1!B5,Calc1!$C$4:$N$12,8,0))</f>
        <v>6</v>
      </c>
      <c r="X13" s="223" t="str">
        <f ca="1">IFERROR(VLOOKUP($N13&amp;X$11,Calc1!$Z$64:$AB$207,3,0),"")</f>
        <v/>
      </c>
      <c r="Y13" s="224"/>
      <c r="Z13" s="198" t="str">
        <f ca="1">IFERROR(VLOOKUP($N13&amp;Z$11,Calc1!$Z$64:$AB$207,3,0),"")</f>
        <v/>
      </c>
      <c r="AA13" s="198" t="str">
        <f ca="1">IFERROR(VLOOKUP($N13&amp;AA$11,Calc1!$Z$64:$AB$207,3,0),"")</f>
        <v>4:2</v>
      </c>
      <c r="AB13" s="198" t="str">
        <f ca="1">IFERROR(VLOOKUP($N13&amp;AB$11,Calc1!$Z$64:$AB$207,3,0),"")</f>
        <v/>
      </c>
      <c r="AC13" s="218" t="str">
        <f ca="1">IFERROR(VLOOKUP($N13&amp;AC$11,Calc1!$Z$64:$AB$207,3,0),"")</f>
        <v>3:1</v>
      </c>
      <c r="AD13" s="218" t="str">
        <f ca="1">IFERROR(VLOOKUP($N13&amp;AD$11,Calc1!$Z$64:$AB$207,3,0),"")</f>
        <v/>
      </c>
      <c r="AE13" s="218" t="str">
        <f ca="1">IFERROR(VLOOKUP($N13&amp;AE$11,Calc1!$Z$64:$AB$207,3,0),"")</f>
        <v/>
      </c>
      <c r="AF13" s="225" t="str">
        <f ca="1">IFERROR(VLOOKUP($N13&amp;AF$11,Calc1!$Z$64:$AB$207,3,0),"")</f>
        <v/>
      </c>
      <c r="AG13" s="226" t="str">
        <f t="shared" ca="1" si="0"/>
        <v>Eintracht Frankfurt</v>
      </c>
      <c r="AJ13" s="414" t="s">
        <v>210</v>
      </c>
      <c r="AK13" s="416" t="str">
        <f>IF(Planung!$C9="","",Planung!$C9)</f>
        <v>FC Barcelona</v>
      </c>
      <c r="AL13" s="425"/>
    </row>
    <row r="14" spans="1:38" ht="24" customHeight="1" x14ac:dyDescent="0.2">
      <c r="B14" s="442">
        <f ca="1">Planung!$E8</f>
        <v>3</v>
      </c>
      <c r="C14" s="449">
        <f ca="1">Planung!$F8</f>
        <v>0.375</v>
      </c>
      <c r="D14" s="450">
        <f ca="1">Planung!$G8</f>
        <v>3</v>
      </c>
      <c r="E14" s="450" t="str">
        <f ca="1">Planung!$H8</f>
        <v>A</v>
      </c>
      <c r="F14" s="454" t="str">
        <f ca="1">Planung!$L8</f>
        <v>Raslo Winners</v>
      </c>
      <c r="G14" s="220" t="s">
        <v>5</v>
      </c>
      <c r="H14" s="457" t="str">
        <f ca="1">Planung!$N8</f>
        <v>FC Barcelona</v>
      </c>
      <c r="I14" s="445">
        <v>1</v>
      </c>
      <c r="J14" s="437" t="str">
        <f>Sprache!$E$73</f>
        <v>:</v>
      </c>
      <c r="K14" s="438">
        <v>4</v>
      </c>
      <c r="M14" s="383">
        <f ca="1">IF(Calc1!$K$13=0,"",IF(VLOOKUP(Calc1!B6,Calc1!$C$4:$E$12,3,0)=MAX(M$12:M13),VLOOKUP(Calc1!B6,Calc1!$C$4:$E$12,3,0),Calc1!B6))</f>
        <v>3</v>
      </c>
      <c r="N14" s="384" t="str">
        <f ca="1">IF(Calc1!$F$14&lt;3,"",IF(Calc1!$K$13=0,Calc1!$Q66,VLOOKUP(Calc1!B6,Calc1!$C$4:$N$12,4,0)))</f>
        <v>Raslo Winners</v>
      </c>
      <c r="O14" s="217">
        <f ca="1">IF(Calc1!$K$13=0,"",VLOOKUP(Calc1!B6,Calc1!$C$4:$N$12,9,0))</f>
        <v>3</v>
      </c>
      <c r="P14" s="198">
        <f ca="1">IF(Calc1!$K$13=0,"",VLOOKUP(Calc1!B6,Calc1!$C$4:$N$12,10,0))</f>
        <v>2</v>
      </c>
      <c r="Q14" s="198">
        <f ca="1">IF(Calc1!$K$13=0,"",VLOOKUP(Calc1!B6,Calc1!$C$4:$N$12,11,0))</f>
        <v>0</v>
      </c>
      <c r="R14" s="218">
        <f ca="1">IF(Calc1!$K$13=0,"",VLOOKUP(Calc1!B6,Calc1!$C$4:$N$12,12,0))</f>
        <v>1</v>
      </c>
      <c r="S14" s="219">
        <f ca="1">IF(Calc1!$K$13=0,"",VLOOKUP(Calc1!B6,Calc1!$C$4:$N$12,5,0))</f>
        <v>6</v>
      </c>
      <c r="T14" s="220" t="str">
        <f>Sprache!$E$73</f>
        <v>:</v>
      </c>
      <c r="U14" s="221">
        <f ca="1">IF(Calc1!$K$13=0,"",VLOOKUP(Calc1!B6,Calc1!$C$4:$N$12,6,0))</f>
        <v>4</v>
      </c>
      <c r="V14" s="217">
        <f ca="1">IF(Calc1!$K$13=0,"",VLOOKUP(Calc1!B6,Calc1!$C$4:$N$12,7,0))</f>
        <v>2</v>
      </c>
      <c r="W14" s="222">
        <f ca="1">IF(Calc1!$K$13=0,"",VLOOKUP(Calc1!B6,Calc1!$C$4:$N$12,8,0))</f>
        <v>6</v>
      </c>
      <c r="X14" s="223" t="str">
        <f ca="1">IFERROR(VLOOKUP($N14&amp;X$11,Calc1!$Z$64:$AB$207,3,0),"")</f>
        <v>1:4</v>
      </c>
      <c r="Y14" s="411" t="str">
        <f ca="1">IFERROR(VLOOKUP($N14&amp;Y$11,Calc1!$Z$64:$AB$207,3,0),"")</f>
        <v/>
      </c>
      <c r="Z14" s="224"/>
      <c r="AA14" s="198" t="str">
        <f ca="1">IFERROR(VLOOKUP($N14&amp;AA$11,Calc1!$Z$64:$AB$207,3,0),"")</f>
        <v/>
      </c>
      <c r="AB14" s="198" t="str">
        <f ca="1">IFERROR(VLOOKUP($N14&amp;AB$11,Calc1!$Z$64:$AB$207,3,0),"")</f>
        <v/>
      </c>
      <c r="AC14" s="218" t="str">
        <f ca="1">IFERROR(VLOOKUP($N14&amp;AC$11,Calc1!$Z$64:$AB$207,3,0),"")</f>
        <v/>
      </c>
      <c r="AD14" s="218" t="str">
        <f ca="1">IFERROR(VLOOKUP($N14&amp;AD$11,Calc1!$Z$64:$AB$207,3,0),"")</f>
        <v>3:0</v>
      </c>
      <c r="AE14" s="218" t="str">
        <f ca="1">IFERROR(VLOOKUP($N14&amp;AE$11,Calc1!$Z$64:$AB$207,3,0),"")</f>
        <v>2:0</v>
      </c>
      <c r="AF14" s="225" t="str">
        <f ca="1">IFERROR(VLOOKUP($N14&amp;AF$11,Calc1!$Z$64:$AB$207,3,0),"")</f>
        <v/>
      </c>
      <c r="AG14" s="226" t="str">
        <f t="shared" ca="1" si="0"/>
        <v>Raslo Winners</v>
      </c>
      <c r="AJ14" s="414" t="s">
        <v>206</v>
      </c>
      <c r="AK14" s="416" t="str">
        <f>IF(Planung!$C11="","",Planung!$C11)</f>
        <v>Eintracht Frankfurt</v>
      </c>
      <c r="AL14" s="425"/>
    </row>
    <row r="15" spans="1:38" ht="24" customHeight="1" x14ac:dyDescent="0.2">
      <c r="B15" s="442">
        <f ca="1">Planung!$E9</f>
        <v>4</v>
      </c>
      <c r="C15" s="449">
        <f ca="1">Planung!$F9</f>
        <v>0.375</v>
      </c>
      <c r="D15" s="450">
        <f ca="1">Planung!$G9</f>
        <v>4</v>
      </c>
      <c r="E15" s="450" t="str">
        <f ca="1">Planung!$H9</f>
        <v>B</v>
      </c>
      <c r="F15" s="454" t="str">
        <f ca="1">Planung!$L9</f>
        <v>VFL Ronsdorf</v>
      </c>
      <c r="G15" s="220" t="s">
        <v>5</v>
      </c>
      <c r="H15" s="457" t="str">
        <f ca="1">Planung!$N9</f>
        <v>Inter Mailand</v>
      </c>
      <c r="I15" s="445">
        <v>2</v>
      </c>
      <c r="J15" s="437" t="str">
        <f>Sprache!$E$73</f>
        <v>:</v>
      </c>
      <c r="K15" s="438">
        <v>5</v>
      </c>
      <c r="M15" s="383">
        <f ca="1">IF(Calc1!$K$13=0,"",IF(VLOOKUP(Calc1!B7,Calc1!$C$4:$E$12,3,0)=MAX(M$12:M14),VLOOKUP(Calc1!B7,Calc1!$C$4:$E$12,3,0),Calc1!B7))</f>
        <v>4</v>
      </c>
      <c r="N15" s="384" t="str">
        <f ca="1">IF(Calc1!$F$14&lt;3,"",IF(Calc1!$K$13=0,Calc1!$Q67,VLOOKUP(Calc1!B7,Calc1!$C$4:$N$12,4,0)))</f>
        <v>Fun Kickers Oes</v>
      </c>
      <c r="O15" s="217">
        <f ca="1">IF(Calc1!$K$13=0,"",VLOOKUP(Calc1!B7,Calc1!$C$4:$N$12,9,0))</f>
        <v>3</v>
      </c>
      <c r="P15" s="198">
        <f ca="1">IF(Calc1!$K$13=0,"",VLOOKUP(Calc1!B7,Calc1!$C$4:$N$12,10,0))</f>
        <v>2</v>
      </c>
      <c r="Q15" s="198">
        <f ca="1">IF(Calc1!$K$13=0,"",VLOOKUP(Calc1!B7,Calc1!$C$4:$N$12,11,0))</f>
        <v>0</v>
      </c>
      <c r="R15" s="218">
        <f ca="1">IF(Calc1!$K$13=0,"",VLOOKUP(Calc1!B7,Calc1!$C$4:$N$12,12,0))</f>
        <v>1</v>
      </c>
      <c r="S15" s="219">
        <f ca="1">IF(Calc1!$K$13=0,"",VLOOKUP(Calc1!B7,Calc1!$C$4:$N$12,5,0))</f>
        <v>9</v>
      </c>
      <c r="T15" s="220" t="str">
        <f>Sprache!$E$73</f>
        <v>:</v>
      </c>
      <c r="U15" s="221">
        <f ca="1">IF(Calc1!$K$13=0,"",VLOOKUP(Calc1!B7,Calc1!$C$4:$N$12,6,0))</f>
        <v>8</v>
      </c>
      <c r="V15" s="217">
        <f ca="1">IF(Calc1!$K$13=0,"",VLOOKUP(Calc1!B7,Calc1!$C$4:$N$12,7,0))</f>
        <v>1</v>
      </c>
      <c r="W15" s="222">
        <f ca="1">IF(Calc1!$K$13=0,"",VLOOKUP(Calc1!B7,Calc1!$C$4:$N$12,8,0))</f>
        <v>6</v>
      </c>
      <c r="X15" s="223" t="str">
        <f ca="1">IFERROR(VLOOKUP($N15&amp;X$11,Calc1!$Z$64:$AB$207,3,0),"")</f>
        <v/>
      </c>
      <c r="Y15" s="411" t="str">
        <f ca="1">IFERROR(VLOOKUP($N15&amp;Y$11,Calc1!$Z$64:$AB$207,3,0),"")</f>
        <v>2:4</v>
      </c>
      <c r="Z15" s="198" t="str">
        <f ca="1">IFERROR(VLOOKUP($N15&amp;Z$11,Calc1!$Z$64:$AB$207,3,0),"")</f>
        <v/>
      </c>
      <c r="AA15" s="224"/>
      <c r="AB15" s="198" t="str">
        <f ca="1">IFERROR(VLOOKUP($N15&amp;AB$11,Calc1!$Z$64:$AB$207,3,0),"")</f>
        <v>3:2</v>
      </c>
      <c r="AC15" s="218" t="str">
        <f ca="1">IFERROR(VLOOKUP($N15&amp;AC$11,Calc1!$Z$64:$AB$207,3,0),"")</f>
        <v/>
      </c>
      <c r="AD15" s="218" t="str">
        <f ca="1">IFERROR(VLOOKUP($N15&amp;AD$11,Calc1!$Z$64:$AB$207,3,0),"")</f>
        <v/>
      </c>
      <c r="AE15" s="218" t="str">
        <f ca="1">IFERROR(VLOOKUP($N15&amp;AE$11,Calc1!$Z$64:$AB$207,3,0),"")</f>
        <v>4:2</v>
      </c>
      <c r="AF15" s="225" t="str">
        <f ca="1">IFERROR(VLOOKUP($N15&amp;AF$11,Calc1!$Z$64:$AB$207,3,0),"")</f>
        <v/>
      </c>
      <c r="AG15" s="226" t="str">
        <f t="shared" ca="1" si="0"/>
        <v>Fun Kickers Oes</v>
      </c>
      <c r="AJ15" s="414" t="s">
        <v>212</v>
      </c>
      <c r="AK15" s="416" t="str">
        <f>IF(Planung!$C13="","",Planung!$C13)</f>
        <v>Maibach 1822 eV</v>
      </c>
      <c r="AL15" s="425"/>
    </row>
    <row r="16" spans="1:38" ht="24" customHeight="1" x14ac:dyDescent="0.2">
      <c r="B16" s="442">
        <f ca="1">Planung!$E10</f>
        <v>5</v>
      </c>
      <c r="C16" s="449">
        <f ca="1">Planung!$F10</f>
        <v>0.39930555555555558</v>
      </c>
      <c r="D16" s="450">
        <f ca="1">Planung!$G10</f>
        <v>1</v>
      </c>
      <c r="E16" s="450" t="str">
        <f ca="1">Planung!$H10</f>
        <v>A</v>
      </c>
      <c r="F16" s="454" t="str">
        <f ca="1">Planung!$L10</f>
        <v>Eintracht Frankfurt</v>
      </c>
      <c r="G16" s="220" t="s">
        <v>5</v>
      </c>
      <c r="H16" s="457" t="str">
        <f ca="1">Planung!$N10</f>
        <v>Fun Kickers Oes</v>
      </c>
      <c r="I16" s="445">
        <v>4</v>
      </c>
      <c r="J16" s="437" t="str">
        <f>Sprache!$E$73</f>
        <v>:</v>
      </c>
      <c r="K16" s="438">
        <v>2</v>
      </c>
      <c r="M16" s="383">
        <f ca="1">IF(Calc1!$K$13=0,"",IF(VLOOKUP(Calc1!B8,Calc1!$C$4:$E$12,3,0)=MAX(M$12:M15),VLOOKUP(Calc1!B8,Calc1!$C$4:$E$12,3,0),Calc1!B8))</f>
        <v>5</v>
      </c>
      <c r="N16" s="384" t="str">
        <f ca="1">IF(Calc1!$F$14&lt;3,"",IF(Calc1!$K$13=0,Calc1!$Q68,VLOOKUP(Calc1!B8,Calc1!$C$4:$N$12,4,0)))</f>
        <v>Knock Out Rangers</v>
      </c>
      <c r="O16" s="217">
        <f ca="1">IF(Calc1!$K$13=0,"",VLOOKUP(Calc1!B8,Calc1!$C$4:$N$12,9,0))</f>
        <v>3</v>
      </c>
      <c r="P16" s="198">
        <f ca="1">IF(Calc1!$K$13=0,"",VLOOKUP(Calc1!B8,Calc1!$C$4:$N$12,10,0))</f>
        <v>1</v>
      </c>
      <c r="Q16" s="198">
        <f ca="1">IF(Calc1!$K$13=0,"",VLOOKUP(Calc1!B8,Calc1!$C$4:$N$12,11,0))</f>
        <v>1</v>
      </c>
      <c r="R16" s="218">
        <f ca="1">IF(Calc1!$K$13=0,"",VLOOKUP(Calc1!B8,Calc1!$C$4:$N$12,12,0))</f>
        <v>1</v>
      </c>
      <c r="S16" s="219">
        <f ca="1">IF(Calc1!$K$13=0,"",VLOOKUP(Calc1!B8,Calc1!$C$4:$N$12,5,0))</f>
        <v>9</v>
      </c>
      <c r="T16" s="220" t="str">
        <f>Sprache!$E$73</f>
        <v>:</v>
      </c>
      <c r="U16" s="221">
        <f ca="1">IF(Calc1!$K$13=0,"",VLOOKUP(Calc1!B8,Calc1!$C$4:$N$12,6,0))</f>
        <v>6</v>
      </c>
      <c r="V16" s="217">
        <f ca="1">IF(Calc1!$K$13=0,"",VLOOKUP(Calc1!B8,Calc1!$C$4:$N$12,7,0))</f>
        <v>3</v>
      </c>
      <c r="W16" s="222">
        <f ca="1">IF(Calc1!$K$13=0,"",VLOOKUP(Calc1!B8,Calc1!$C$4:$N$12,8,0))</f>
        <v>4</v>
      </c>
      <c r="X16" s="223" t="str">
        <f ca="1">IFERROR(VLOOKUP($N16&amp;X$11,Calc1!$Z$64:$AB$207,3,0),"")</f>
        <v/>
      </c>
      <c r="Y16" s="411" t="str">
        <f ca="1">IFERROR(VLOOKUP($N16&amp;Y$11,Calc1!$Z$64:$AB$207,3,0),"")</f>
        <v/>
      </c>
      <c r="Z16" s="198" t="str">
        <f ca="1">IFERROR(VLOOKUP($N16&amp;Z$11,Calc1!$Z$64:$AB$207,3,0),"")</f>
        <v/>
      </c>
      <c r="AA16" s="198" t="str">
        <f ca="1">IFERROR(VLOOKUP($N16&amp;AA$11,Calc1!$Z$64:$AB$207,3,0),"")</f>
        <v>2:3</v>
      </c>
      <c r="AB16" s="224"/>
      <c r="AC16" s="218" t="str">
        <f ca="1">IFERROR(VLOOKUP($N16&amp;AC$11,Calc1!$Z$64:$AB$207,3,0),"")</f>
        <v>1:1</v>
      </c>
      <c r="AD16" s="218" t="str">
        <f ca="1">IFERROR(VLOOKUP($N16&amp;AD$11,Calc1!$Z$64:$AB$207,3,0),"")</f>
        <v/>
      </c>
      <c r="AE16" s="218" t="str">
        <f ca="1">IFERROR(VLOOKUP($N16&amp;AE$11,Calc1!$Z$64:$AB$207,3,0),"")</f>
        <v>6:2</v>
      </c>
      <c r="AF16" s="225" t="str">
        <f ca="1">IFERROR(VLOOKUP($N16&amp;AF$11,Calc1!$Z$64:$AB$207,3,0),"")</f>
        <v/>
      </c>
      <c r="AG16" s="226" t="str">
        <f t="shared" ca="1" si="0"/>
        <v>Knock Out Rangers</v>
      </c>
      <c r="AJ16" s="414" t="s">
        <v>214</v>
      </c>
      <c r="AK16" s="416" t="str">
        <f>IF(Planung!$C15="","",Planung!$C15)</f>
        <v>VFB Essenheim</v>
      </c>
      <c r="AL16" s="425"/>
    </row>
    <row r="17" spans="2:38" ht="24" customHeight="1" x14ac:dyDescent="0.2">
      <c r="B17" s="442">
        <f ca="1">Planung!$E11</f>
        <v>6</v>
      </c>
      <c r="C17" s="449">
        <f ca="1">Planung!$F11</f>
        <v>0.39930555555555558</v>
      </c>
      <c r="D17" s="450">
        <f ca="1">Planung!$G11</f>
        <v>2</v>
      </c>
      <c r="E17" s="450" t="str">
        <f ca="1">Planung!$H11</f>
        <v>B</v>
      </c>
      <c r="F17" s="454" t="str">
        <f ca="1">Planung!$L11</f>
        <v>SSV Wildbach</v>
      </c>
      <c r="G17" s="220" t="s">
        <v>5</v>
      </c>
      <c r="H17" s="457" t="str">
        <f ca="1">Planung!$N11</f>
        <v>AC Roma</v>
      </c>
      <c r="I17" s="445">
        <v>0</v>
      </c>
      <c r="J17" s="437" t="str">
        <f>Sprache!$E$73</f>
        <v>:</v>
      </c>
      <c r="K17" s="438">
        <v>5</v>
      </c>
      <c r="M17" s="383">
        <f ca="1">IF(Calc1!$K$13=0,"",IF(VLOOKUP(Calc1!B9,Calc1!$C$4:$E$12,3,0)=MAX(M$12:M16),VLOOKUP(Calc1!B9,Calc1!$C$4:$E$12,3,0),Calc1!B9))</f>
        <v>6</v>
      </c>
      <c r="N17" s="384" t="str">
        <f ca="1">IF(Calc1!$F$14&lt;3,"",IF(Calc1!$K$13=0,Calc1!$Q69,VLOOKUP(Calc1!B9,Calc1!$C$4:$N$12,4,0)))</f>
        <v>Maibach 1822 eV</v>
      </c>
      <c r="O17" s="217">
        <f ca="1">IF(Calc1!$K$13=0,"",VLOOKUP(Calc1!B9,Calc1!$C$4:$N$12,9,0))</f>
        <v>3</v>
      </c>
      <c r="P17" s="198">
        <f ca="1">IF(Calc1!$K$13=0,"",VLOOKUP(Calc1!B9,Calc1!$C$4:$N$12,10,0))</f>
        <v>0</v>
      </c>
      <c r="Q17" s="198">
        <f ca="1">IF(Calc1!$K$13=0,"",VLOOKUP(Calc1!B9,Calc1!$C$4:$N$12,11,0))</f>
        <v>2</v>
      </c>
      <c r="R17" s="218">
        <f ca="1">IF(Calc1!$K$13=0,"",VLOOKUP(Calc1!B9,Calc1!$C$4:$N$12,12,0))</f>
        <v>1</v>
      </c>
      <c r="S17" s="219">
        <f ca="1">IF(Calc1!$K$13=0,"",VLOOKUP(Calc1!B9,Calc1!$C$4:$N$12,5,0))</f>
        <v>4</v>
      </c>
      <c r="T17" s="220" t="str">
        <f>Sprache!$E$73</f>
        <v>:</v>
      </c>
      <c r="U17" s="221">
        <f ca="1">IF(Calc1!$K$13=0,"",VLOOKUP(Calc1!B9,Calc1!$C$4:$N$12,6,0))</f>
        <v>6</v>
      </c>
      <c r="V17" s="217">
        <f ca="1">IF(Calc1!$K$13=0,"",VLOOKUP(Calc1!B9,Calc1!$C$4:$N$12,7,0))</f>
        <v>-2</v>
      </c>
      <c r="W17" s="222">
        <f ca="1">IF(Calc1!$K$13=0,"",VLOOKUP(Calc1!B9,Calc1!$C$4:$N$12,8,0))</f>
        <v>2</v>
      </c>
      <c r="X17" s="223" t="str">
        <f ca="1">IFERROR(VLOOKUP($N17&amp;X$11,Calc1!$Z$64:$AB$207,3,0),"")</f>
        <v/>
      </c>
      <c r="Y17" s="411" t="str">
        <f ca="1">IFERROR(VLOOKUP($N17&amp;Y$11,Calc1!$Z$64:$AB$207,3,0),"")</f>
        <v>1:3</v>
      </c>
      <c r="Z17" s="198" t="str">
        <f ca="1">IFERROR(VLOOKUP($N17&amp;Z$11,Calc1!$Z$64:$AB$207,3,0),"")</f>
        <v/>
      </c>
      <c r="AA17" s="198" t="str">
        <f ca="1">IFERROR(VLOOKUP($N17&amp;AA$11,Calc1!$Z$64:$AB$207,3,0),"")</f>
        <v/>
      </c>
      <c r="AB17" s="198" t="str">
        <f ca="1">IFERROR(VLOOKUP($N17&amp;AB$11,Calc1!$Z$64:$AB$207,3,0),"")</f>
        <v>1:1</v>
      </c>
      <c r="AC17" s="564"/>
      <c r="AD17" s="218" t="str">
        <f ca="1">IFERROR(VLOOKUP($N17&amp;AD$11,Calc1!$Z$64:$AB$207,3,0),"")</f>
        <v>2:2</v>
      </c>
      <c r="AE17" s="218" t="str">
        <f ca="1">IFERROR(VLOOKUP($N17&amp;AE$11,Calc1!$Z$64:$AB$207,3,0),"")</f>
        <v/>
      </c>
      <c r="AF17" s="225" t="str">
        <f ca="1">IFERROR(VLOOKUP($N17&amp;AF$11,Calc1!$Z$64:$AB$207,3,0),"")</f>
        <v/>
      </c>
      <c r="AG17" s="226" t="str">
        <f t="shared" ref="AG17:AG19" ca="1" si="1">N17</f>
        <v>Maibach 1822 eV</v>
      </c>
      <c r="AJ17" s="414" t="s">
        <v>216</v>
      </c>
      <c r="AK17" s="416" t="str">
        <f>IF(Planung!$C17="","",Planung!$C17)</f>
        <v>Fun Kickers Oes</v>
      </c>
      <c r="AL17" s="425"/>
    </row>
    <row r="18" spans="2:38" ht="24" customHeight="1" x14ac:dyDescent="0.2">
      <c r="B18" s="442">
        <f ca="1">Planung!$E12</f>
        <v>7</v>
      </c>
      <c r="C18" s="449">
        <f ca="1">Planung!$F12</f>
        <v>0.39930555555555558</v>
      </c>
      <c r="D18" s="450">
        <f ca="1">Planung!$G12</f>
        <v>3</v>
      </c>
      <c r="E18" s="450" t="str">
        <f ca="1">Planung!$H12</f>
        <v>A</v>
      </c>
      <c r="F18" s="454" t="str">
        <f ca="1">Planung!$L12</f>
        <v>VFB Essenheim</v>
      </c>
      <c r="G18" s="220" t="s">
        <v>5</v>
      </c>
      <c r="H18" s="457" t="str">
        <f ca="1">Planung!$N12</f>
        <v>Maibach 1822 eV</v>
      </c>
      <c r="I18" s="445">
        <v>2</v>
      </c>
      <c r="J18" s="437" t="str">
        <f>Sprache!$E$73</f>
        <v>:</v>
      </c>
      <c r="K18" s="438">
        <v>2</v>
      </c>
      <c r="M18" s="383">
        <f ca="1">IF(Calc1!$K$13=0,"",IF(VLOOKUP(Calc1!B10,Calc1!$C$4:$E$12,3,0)=MAX(M$12:M17),VLOOKUP(Calc1!B10,Calc1!$C$4:$E$12,3,0),Calc1!B10))</f>
        <v>7</v>
      </c>
      <c r="N18" s="384" t="str">
        <f ca="1">IF(Calc1!$F$14&lt;3,"",IF(Calc1!$K$13=0,Calc1!$Q70,VLOOKUP(Calc1!B10,Calc1!$C$4:$N$12,4,0)))</f>
        <v>VFB Essenheim</v>
      </c>
      <c r="O18" s="217">
        <f ca="1">IF(Calc1!$K$13=0,"",VLOOKUP(Calc1!B10,Calc1!$C$4:$N$12,9,0))</f>
        <v>3</v>
      </c>
      <c r="P18" s="198">
        <f ca="1">IF(Calc1!$K$13=0,"",VLOOKUP(Calc1!B10,Calc1!$C$4:$N$12,10,0))</f>
        <v>0</v>
      </c>
      <c r="Q18" s="198">
        <f ca="1">IF(Calc1!$K$13=0,"",VLOOKUP(Calc1!B10,Calc1!$C$4:$N$12,11,0))</f>
        <v>1</v>
      </c>
      <c r="R18" s="218">
        <f ca="1">IF(Calc1!$K$13=0,"",VLOOKUP(Calc1!B10,Calc1!$C$4:$N$12,12,0))</f>
        <v>2</v>
      </c>
      <c r="S18" s="219">
        <f ca="1">IF(Calc1!$K$13=0,"",VLOOKUP(Calc1!B10,Calc1!$C$4:$N$12,5,0))</f>
        <v>2</v>
      </c>
      <c r="T18" s="220" t="str">
        <f>Sprache!$E$73</f>
        <v>:</v>
      </c>
      <c r="U18" s="221">
        <f ca="1">IF(Calc1!$K$13=0,"",VLOOKUP(Calc1!B10,Calc1!$C$4:$N$12,6,0))</f>
        <v>11</v>
      </c>
      <c r="V18" s="217">
        <f ca="1">IF(Calc1!$K$13=0,"",VLOOKUP(Calc1!B10,Calc1!$C$4:$N$12,7,0))</f>
        <v>-9</v>
      </c>
      <c r="W18" s="222">
        <f ca="1">IF(Calc1!$K$13=0,"",VLOOKUP(Calc1!B10,Calc1!$C$4:$N$12,8,0))</f>
        <v>1</v>
      </c>
      <c r="X18" s="223" t="str">
        <f ca="1">IFERROR(VLOOKUP($N18&amp;X$11,Calc1!$Z$64:$AB$207,3,0),"")</f>
        <v>0:6</v>
      </c>
      <c r="Y18" s="411" t="str">
        <f ca="1">IFERROR(VLOOKUP($N18&amp;Y$11,Calc1!$Z$64:$AB$207,3,0),"")</f>
        <v/>
      </c>
      <c r="Z18" s="198" t="str">
        <f ca="1">IFERROR(VLOOKUP($N18&amp;Z$11,Calc1!$Z$64:$AB$207,3,0),"")</f>
        <v>0:3</v>
      </c>
      <c r="AA18" s="198" t="str">
        <f ca="1">IFERROR(VLOOKUP($N18&amp;AA$11,Calc1!$Z$64:$AB$207,3,0),"")</f>
        <v/>
      </c>
      <c r="AB18" s="198" t="str">
        <f ca="1">IFERROR(VLOOKUP($N18&amp;AB$11,Calc1!$Z$64:$AB$207,3,0),"")</f>
        <v/>
      </c>
      <c r="AC18" s="218" t="str">
        <f ca="1">IFERROR(VLOOKUP($N18&amp;AC$11,Calc1!$Z$64:$AB$207,3,0),"")</f>
        <v>2:2</v>
      </c>
      <c r="AD18" s="564"/>
      <c r="AE18" s="218" t="str">
        <f ca="1">IFERROR(VLOOKUP($N18&amp;AE$11,Calc1!$Z$64:$AB$207,3,0),"")</f>
        <v/>
      </c>
      <c r="AF18" s="225" t="str">
        <f ca="1">IFERROR(VLOOKUP($N18&amp;AF$11,Calc1!$Z$64:$AB$207,3,0),"")</f>
        <v/>
      </c>
      <c r="AG18" s="226" t="str">
        <f t="shared" ca="1" si="1"/>
        <v>VFB Essenheim</v>
      </c>
      <c r="AJ18" s="414" t="s">
        <v>335</v>
      </c>
      <c r="AK18" s="416" t="str">
        <f>IF(Planung!$C19="","",Planung!$C19)</f>
        <v>Raslo Winners</v>
      </c>
      <c r="AL18" s="425"/>
    </row>
    <row r="19" spans="2:38" ht="24" customHeight="1" x14ac:dyDescent="0.2">
      <c r="B19" s="442">
        <f ca="1">Planung!$E13</f>
        <v>8</v>
      </c>
      <c r="C19" s="449">
        <f ca="1">Planung!$F13</f>
        <v>0.39930555555555558</v>
      </c>
      <c r="D19" s="450">
        <f ca="1">Planung!$G13</f>
        <v>4</v>
      </c>
      <c r="E19" s="450" t="str">
        <f ca="1">Planung!$H13</f>
        <v>B</v>
      </c>
      <c r="F19" s="454" t="str">
        <f ca="1">Planung!$L13</f>
        <v>FC Grönlingen</v>
      </c>
      <c r="G19" s="220" t="s">
        <v>5</v>
      </c>
      <c r="H19" s="457" t="str">
        <f ca="1">Planung!$N13</f>
        <v>Manchester City</v>
      </c>
      <c r="I19" s="445">
        <v>2</v>
      </c>
      <c r="J19" s="437" t="str">
        <f>Sprache!$E$73</f>
        <v>:</v>
      </c>
      <c r="K19" s="438">
        <v>5</v>
      </c>
      <c r="M19" s="383">
        <f ca="1">IF(Calc1!$K$13=0,"",IF(VLOOKUP(Calc1!B11,Calc1!$C$4:$E$12,3,0)=MAX(M$12:M18),VLOOKUP(Calc1!B11,Calc1!$C$4:$E$12,3,0),Calc1!B11))</f>
        <v>8</v>
      </c>
      <c r="N19" s="384" t="str">
        <f ca="1">IF(Calc1!$F$14&lt;3,"",IF(Calc1!$K$13=0,Calc1!$Q71,VLOOKUP(Calc1!B11,Calc1!$C$4:$N$12,4,0)))</f>
        <v>1. FC Riedwald</v>
      </c>
      <c r="O19" s="217">
        <f ca="1">IF(Calc1!$K$13=0,"",VLOOKUP(Calc1!B11,Calc1!$C$4:$N$12,9,0))</f>
        <v>3</v>
      </c>
      <c r="P19" s="198">
        <f ca="1">IF(Calc1!$K$13=0,"",VLOOKUP(Calc1!B11,Calc1!$C$4:$N$12,10,0))</f>
        <v>0</v>
      </c>
      <c r="Q19" s="198">
        <f ca="1">IF(Calc1!$K$13=0,"",VLOOKUP(Calc1!B11,Calc1!$C$4:$N$12,11,0))</f>
        <v>0</v>
      </c>
      <c r="R19" s="218">
        <f ca="1">IF(Calc1!$K$13=0,"",VLOOKUP(Calc1!B11,Calc1!$C$4:$N$12,12,0))</f>
        <v>3</v>
      </c>
      <c r="S19" s="219">
        <f ca="1">IF(Calc1!$K$13=0,"",VLOOKUP(Calc1!B11,Calc1!$C$4:$N$12,5,0))</f>
        <v>4</v>
      </c>
      <c r="T19" s="220" t="str">
        <f>Sprache!$E$73</f>
        <v>:</v>
      </c>
      <c r="U19" s="221">
        <f ca="1">IF(Calc1!$K$13=0,"",VLOOKUP(Calc1!B11,Calc1!$C$4:$N$12,6,0))</f>
        <v>12</v>
      </c>
      <c r="V19" s="217">
        <f ca="1">IF(Calc1!$K$13=0,"",VLOOKUP(Calc1!B11,Calc1!$C$4:$N$12,7,0))</f>
        <v>-8</v>
      </c>
      <c r="W19" s="222">
        <f ca="1">IF(Calc1!$K$13=0,"",VLOOKUP(Calc1!B11,Calc1!$C$4:$N$12,8,0))</f>
        <v>0</v>
      </c>
      <c r="X19" s="223" t="str">
        <f ca="1">IFERROR(VLOOKUP($N19&amp;X$11,Calc1!$Z$64:$AB$207,3,0),"")</f>
        <v/>
      </c>
      <c r="Y19" s="411" t="str">
        <f ca="1">IFERROR(VLOOKUP($N19&amp;Y$11,Calc1!$Z$64:$AB$207,3,0),"")</f>
        <v/>
      </c>
      <c r="Z19" s="198" t="str">
        <f ca="1">IFERROR(VLOOKUP($N19&amp;Z$11,Calc1!$Z$64:$AB$207,3,0),"")</f>
        <v>0:2</v>
      </c>
      <c r="AA19" s="198" t="str">
        <f ca="1">IFERROR(VLOOKUP($N19&amp;AA$11,Calc1!$Z$64:$AB$207,3,0),"")</f>
        <v>2:4</v>
      </c>
      <c r="AB19" s="198" t="str">
        <f ca="1">IFERROR(VLOOKUP($N19&amp;AB$11,Calc1!$Z$64:$AB$207,3,0),"")</f>
        <v>2:6</v>
      </c>
      <c r="AC19" s="218" t="str">
        <f ca="1">IFERROR(VLOOKUP($N19&amp;AC$11,Calc1!$Z$64:$AB$207,3,0),"")</f>
        <v/>
      </c>
      <c r="AD19" s="218" t="str">
        <f ca="1">IFERROR(VLOOKUP($N19&amp;AD$11,Calc1!$Z$64:$AB$207,3,0),"")</f>
        <v/>
      </c>
      <c r="AE19" s="564"/>
      <c r="AF19" s="225" t="str">
        <f ca="1">IFERROR(VLOOKUP($N19&amp;AF$11,Calc1!$Z$64:$AB$207,3,0),"")</f>
        <v/>
      </c>
      <c r="AG19" s="226" t="str">
        <f t="shared" ca="1" si="1"/>
        <v>1. FC Riedwald</v>
      </c>
      <c r="AJ19" s="414" t="s">
        <v>336</v>
      </c>
      <c r="AK19" s="416" t="str">
        <f>IF(Planung!$C21="","",Planung!$C21)</f>
        <v>Knock Out Rangers</v>
      </c>
      <c r="AL19" s="425"/>
    </row>
    <row r="20" spans="2:38" ht="24" customHeight="1" thickBot="1" x14ac:dyDescent="0.25">
      <c r="B20" s="442">
        <f ca="1">Planung!$E14</f>
        <v>9</v>
      </c>
      <c r="C20" s="449">
        <f ca="1">Planung!$F14</f>
        <v>0.4236111111111111</v>
      </c>
      <c r="D20" s="450">
        <f ca="1">Planung!$G14</f>
        <v>1</v>
      </c>
      <c r="E20" s="450" t="str">
        <f ca="1">Planung!$H14</f>
        <v>A</v>
      </c>
      <c r="F20" s="454" t="str">
        <f ca="1">Planung!$L14</f>
        <v>Raslo Winners</v>
      </c>
      <c r="G20" s="220" t="s">
        <v>5</v>
      </c>
      <c r="H20" s="457" t="str">
        <f ca="1">Planung!$N14</f>
        <v>1. FC Riedwald</v>
      </c>
      <c r="I20" s="445">
        <v>2</v>
      </c>
      <c r="J20" s="437" t="str">
        <f>Sprache!$E$73</f>
        <v>:</v>
      </c>
      <c r="K20" s="438">
        <v>0</v>
      </c>
      <c r="M20" s="385">
        <f ca="1">IF(Calc1!$K$13=0,"",IF(VLOOKUP(Calc1!B12,Calc1!$C$4:$E$12,3,0)=MAX(M$12:M19),VLOOKUP(Calc1!B12,Calc1!$C$4:$E$12,3,0),Calc1!B12))</f>
        <v>9</v>
      </c>
      <c r="N20" s="386" t="str">
        <f ca="1">IF(Calc1!$F$14&lt;3,"",IF(Calc1!$K$13=0,Calc1!$Q72,VLOOKUP(Calc1!B12,Calc1!$C$4:$N$12,4,0)))</f>
        <v/>
      </c>
      <c r="O20" s="227">
        <f ca="1">IF(Calc1!$K$13=0,"",VLOOKUP(Calc1!B12,Calc1!$C$4:$N$12,9,0))</f>
        <v>0</v>
      </c>
      <c r="P20" s="228">
        <f ca="1">IF(Calc1!$K$13=0,"",VLOOKUP(Calc1!B12,Calc1!$C$4:$N$12,10,0))</f>
        <v>0</v>
      </c>
      <c r="Q20" s="228">
        <f ca="1">IF(Calc1!$K$13=0,"",VLOOKUP(Calc1!B12,Calc1!$C$4:$N$12,11,0))</f>
        <v>0</v>
      </c>
      <c r="R20" s="229">
        <f ca="1">IF(Calc1!$K$13=0,"",VLOOKUP(Calc1!B12,Calc1!$C$4:$N$12,12,0))</f>
        <v>0</v>
      </c>
      <c r="S20" s="230">
        <f ca="1">IF(Calc1!$K$13=0,"",VLOOKUP(Calc1!B12,Calc1!$C$4:$N$12,5,0))</f>
        <v>0</v>
      </c>
      <c r="T20" s="231" t="str">
        <f>Sprache!$E$73</f>
        <v>:</v>
      </c>
      <c r="U20" s="232">
        <f ca="1">IF(Calc1!$K$13=0,"",VLOOKUP(Calc1!B12,Calc1!$C$4:$N$12,6,0))</f>
        <v>0</v>
      </c>
      <c r="V20" s="227">
        <f ca="1">IF(Calc1!$K$13=0,"",VLOOKUP(Calc1!B12,Calc1!$C$4:$N$12,7,0))</f>
        <v>0</v>
      </c>
      <c r="W20" s="233">
        <f ca="1">IF(Calc1!$K$13=0,"",VLOOKUP(Calc1!B12,Calc1!$C$4:$N$12,8,0))</f>
        <v>0</v>
      </c>
      <c r="X20" s="234" t="str">
        <f ca="1">IFERROR(VLOOKUP($N20&amp;X$11,Calc1!$Z$64:$AB$207,3,0),"")</f>
        <v/>
      </c>
      <c r="Y20" s="228" t="str">
        <f ca="1">IFERROR(VLOOKUP($N20&amp;Y$11,Calc1!$Z$64:$AB$207,3,0),"")</f>
        <v/>
      </c>
      <c r="Z20" s="228" t="str">
        <f ca="1">IFERROR(VLOOKUP($N20&amp;Z$11,Calc1!$Z$64:$AB$207,3,0),"")</f>
        <v/>
      </c>
      <c r="AA20" s="228" t="str">
        <f ca="1">IFERROR(VLOOKUP($N20&amp;AA$11,Calc1!$Z$64:$AB$207,3,0),"")</f>
        <v/>
      </c>
      <c r="AB20" s="228" t="str">
        <f ca="1">IFERROR(VLOOKUP($N20&amp;AB$11,Calc1!$Z$64:$AB$207,3,0),"")</f>
        <v/>
      </c>
      <c r="AC20" s="229" t="str">
        <f ca="1">IFERROR(VLOOKUP($N20&amp;AC$11,Calc1!$Z$64:$AB$207,3,0),"")</f>
        <v/>
      </c>
      <c r="AD20" s="229" t="str">
        <f ca="1">IFERROR(VLOOKUP($N20&amp;AD$11,Calc1!$Z$64:$AB$207,3,0),"")</f>
        <v/>
      </c>
      <c r="AE20" s="229" t="str">
        <f ca="1">IFERROR(VLOOKUP($N20&amp;AE$11,Calc1!$Z$64:$AB$207,3,0),"")</f>
        <v/>
      </c>
      <c r="AF20" s="235"/>
      <c r="AG20" s="298" t="str">
        <f t="shared" ref="AG20" ca="1" si="2">N20</f>
        <v/>
      </c>
      <c r="AJ20" s="415" t="s">
        <v>337</v>
      </c>
      <c r="AK20" s="417" t="str">
        <f>IF(Planung!$C23="","",Planung!$C23)</f>
        <v/>
      </c>
      <c r="AL20" s="426"/>
    </row>
    <row r="21" spans="2:38" ht="24" customHeight="1" thickTop="1" x14ac:dyDescent="0.2">
      <c r="B21" s="442">
        <f ca="1">Planung!$E15</f>
        <v>10</v>
      </c>
      <c r="C21" s="449">
        <f ca="1">Planung!$F15</f>
        <v>0.4236111111111111</v>
      </c>
      <c r="D21" s="450">
        <f ca="1">Planung!$G15</f>
        <v>2</v>
      </c>
      <c r="E21" s="450" t="str">
        <f ca="1">Planung!$H15</f>
        <v>B</v>
      </c>
      <c r="F21" s="454" t="str">
        <f ca="1">Planung!$L15</f>
        <v>VFL Ronsdorf</v>
      </c>
      <c r="G21" s="220" t="s">
        <v>5</v>
      </c>
      <c r="H21" s="457" t="str">
        <f ca="1">Planung!$N15</f>
        <v>Mainz 05</v>
      </c>
      <c r="I21" s="445">
        <v>2</v>
      </c>
      <c r="J21" s="437" t="str">
        <f>Sprache!$E$73</f>
        <v>:</v>
      </c>
      <c r="K21" s="438">
        <v>6</v>
      </c>
    </row>
    <row r="22" spans="2:38" ht="24" customHeight="1" thickBot="1" x14ac:dyDescent="0.25">
      <c r="B22" s="442">
        <f ca="1">Planung!$E16</f>
        <v>11</v>
      </c>
      <c r="C22" s="449">
        <f ca="1">Planung!$F16</f>
        <v>0.4236111111111111</v>
      </c>
      <c r="D22" s="450">
        <f ca="1">Planung!$G16</f>
        <v>3</v>
      </c>
      <c r="E22" s="450" t="str">
        <f ca="1">Planung!$H16</f>
        <v>A</v>
      </c>
      <c r="F22" s="454" t="str">
        <f ca="1">Planung!$L16</f>
        <v>Fun Kickers Oes</v>
      </c>
      <c r="G22" s="220" t="s">
        <v>5</v>
      </c>
      <c r="H22" s="457" t="str">
        <f ca="1">Planung!$N16</f>
        <v>Knock Out Rangers</v>
      </c>
      <c r="I22" s="445">
        <v>3</v>
      </c>
      <c r="J22" s="437" t="str">
        <f>Sprache!$E$73</f>
        <v>:</v>
      </c>
      <c r="K22" s="438">
        <v>2</v>
      </c>
    </row>
    <row r="23" spans="2:38" ht="24" customHeight="1" thickBot="1" x14ac:dyDescent="0.45">
      <c r="B23" s="442">
        <f ca="1">Planung!$E17</f>
        <v>12</v>
      </c>
      <c r="C23" s="449">
        <f ca="1">Planung!$F17</f>
        <v>0.4236111111111111</v>
      </c>
      <c r="D23" s="450">
        <f ca="1">Planung!$G17</f>
        <v>4</v>
      </c>
      <c r="E23" s="450" t="str">
        <f ca="1">Planung!$H17</f>
        <v>B</v>
      </c>
      <c r="F23" s="454" t="str">
        <f ca="1">Planung!$L17</f>
        <v>AC Roma</v>
      </c>
      <c r="G23" s="220" t="s">
        <v>5</v>
      </c>
      <c r="H23" s="457" t="str">
        <f ca="1">Planung!$N17</f>
        <v>Borussia Heine</v>
      </c>
      <c r="I23" s="445">
        <v>2</v>
      </c>
      <c r="J23" s="437" t="str">
        <f>Sprache!$E$73</f>
        <v>:</v>
      </c>
      <c r="K23" s="438">
        <v>1</v>
      </c>
      <c r="M23" s="642" t="str">
        <f>Sprache!$E$16&amp;" B"</f>
        <v>Gruppe B</v>
      </c>
      <c r="N23" s="642"/>
      <c r="O23" s="199"/>
      <c r="P23" s="199"/>
      <c r="Q23" s="199"/>
      <c r="R23" s="199"/>
      <c r="S23" s="199"/>
      <c r="T23" s="199"/>
      <c r="U23" s="199"/>
      <c r="V23" s="199"/>
      <c r="W23" s="199"/>
      <c r="X23" s="288" t="str">
        <f ca="1">IF(LEN(N25)&gt;Einstellungen!$C$17,LEFT(N25,Einstellungen!$C$17)&amp;".",N25)</f>
        <v>Manches.</v>
      </c>
      <c r="Y23" s="289" t="str">
        <f ca="1">IF(LEN(N26)&gt;Einstellungen!$C$17,LEFT(N26,Einstellungen!$C$17)&amp;".",N26)</f>
        <v>AC Roma</v>
      </c>
      <c r="Z23" s="289" t="str">
        <f ca="1">IF(LEN(N27)&gt;Einstellungen!$C$17,LEFT(N27,Einstellungen!$C$17)&amp;".",N27)</f>
        <v>Inter M.</v>
      </c>
      <c r="AA23" s="289" t="str">
        <f ca="1">IF(LEN(N28)&gt;Einstellungen!$C$17,LEFT(N28,Einstellungen!$C$17)&amp;".",N28)</f>
        <v>Mainz 0.</v>
      </c>
      <c r="AB23" s="289" t="str">
        <f ca="1">IF(LEN(N29)&gt;Einstellungen!$C$17,LEFT(N29,Einstellungen!$C$17)&amp;".",N29)</f>
        <v>Borussi.</v>
      </c>
      <c r="AC23" s="562" t="str">
        <f ca="1">IF(LEN(N30)&gt;Einstellungen!$C$17,LEFT(N30,Einstellungen!$C$17)&amp;".",N30)</f>
        <v>FC Grön.</v>
      </c>
      <c r="AD23" s="562" t="str">
        <f ca="1">IF(LEN(N31)&gt;Einstellungen!$C$17,LEFT(N31,Einstellungen!$C$17)&amp;".",N31)</f>
        <v>VFL Ron.</v>
      </c>
      <c r="AE23" s="562" t="str">
        <f ca="1">IF(LEN(N32)&gt;Einstellungen!$C$17,LEFT(N32,Einstellungen!$C$17)&amp;".",N32)</f>
        <v>SSV Wil.</v>
      </c>
      <c r="AF23" s="290" t="str">
        <f ca="1">IF(LEN(N33)&gt;Einstellungen!$C$17,LEFT(N33,Einstellungen!$C$17)&amp;".",N33)</f>
        <v/>
      </c>
      <c r="AG23" s="200"/>
      <c r="AJ23" s="642" t="str">
        <f>Sprache!$E$16&amp;" B"</f>
        <v>Gruppe B</v>
      </c>
      <c r="AK23" s="642"/>
    </row>
    <row r="24" spans="2:38" ht="24" customHeight="1" thickTop="1" thickBot="1" x14ac:dyDescent="0.25">
      <c r="B24" s="442">
        <f ca="1">Planung!$E18</f>
        <v>13</v>
      </c>
      <c r="C24" s="449">
        <f ca="1">Planung!$F18</f>
        <v>0.44791666666666669</v>
      </c>
      <c r="D24" s="450">
        <f ca="1">Planung!$G18</f>
        <v>1</v>
      </c>
      <c r="E24" s="450" t="str">
        <f ca="1">Planung!$H18</f>
        <v>A</v>
      </c>
      <c r="F24" s="454" t="str">
        <f ca="1">Planung!$L18</f>
        <v>FC Barcelona</v>
      </c>
      <c r="G24" s="220" t="s">
        <v>5</v>
      </c>
      <c r="H24" s="457" t="str">
        <f ca="1">Planung!$N18</f>
        <v>VFB Essenheim</v>
      </c>
      <c r="I24" s="445">
        <v>6</v>
      </c>
      <c r="J24" s="437" t="str">
        <f>Sprache!$E$73</f>
        <v>:</v>
      </c>
      <c r="K24" s="438">
        <v>0</v>
      </c>
      <c r="M24" s="644"/>
      <c r="N24" s="645"/>
      <c r="O24" s="201" t="str">
        <f>Sprache!$E$21</f>
        <v>SP</v>
      </c>
      <c r="P24" s="202" t="str">
        <f>Sprache!$E$22</f>
        <v>G</v>
      </c>
      <c r="Q24" s="202" t="str">
        <f>Sprache!$E$23</f>
        <v>U</v>
      </c>
      <c r="R24" s="274" t="str">
        <f>Sprache!$E$24</f>
        <v>V</v>
      </c>
      <c r="S24" s="646" t="str">
        <f>Sprache!$E$25</f>
        <v>Tore</v>
      </c>
      <c r="T24" s="647"/>
      <c r="U24" s="648"/>
      <c r="V24" s="202" t="str">
        <f>Sprache!$E$26</f>
        <v>Diff.</v>
      </c>
      <c r="W24" s="204" t="str">
        <f>Sprache!$E$27</f>
        <v>Pkt</v>
      </c>
      <c r="X24" s="205" t="str">
        <f ca="1">N25</f>
        <v>Manchester City</v>
      </c>
      <c r="Y24" s="206" t="str">
        <f ca="1">N26</f>
        <v>AC Roma</v>
      </c>
      <c r="Z24" s="206" t="str">
        <f ca="1">N27</f>
        <v>Inter Mailand</v>
      </c>
      <c r="AA24" s="206" t="str">
        <f ca="1">N28</f>
        <v>Mainz 05</v>
      </c>
      <c r="AB24" s="206" t="str">
        <f ca="1">N29</f>
        <v>Borussia Heine</v>
      </c>
      <c r="AC24" s="563" t="str">
        <f ca="1">N30</f>
        <v>FC Grönlingen</v>
      </c>
      <c r="AD24" s="563" t="str">
        <f ca="1">N31</f>
        <v>VFL Ronsdorf</v>
      </c>
      <c r="AE24" s="563" t="str">
        <f ca="1">N32</f>
        <v>SSV Wildbach</v>
      </c>
      <c r="AF24" s="531" t="str">
        <f ca="1">N33</f>
        <v/>
      </c>
      <c r="AG24" s="200"/>
      <c r="AJ24" s="420" t="str">
        <f>Sprache!$E$9</f>
        <v>Nr.</v>
      </c>
      <c r="AK24" s="421" t="str">
        <f>Sprache!$E$10</f>
        <v>Teilnehmer bzw. Mannschaft</v>
      </c>
      <c r="AL24" s="422" t="str">
        <f>Sprache!$E$49</f>
        <v>Bonus</v>
      </c>
    </row>
    <row r="25" spans="2:38" ht="24" customHeight="1" x14ac:dyDescent="0.2">
      <c r="B25" s="442">
        <f ca="1">Planung!$E19</f>
        <v>14</v>
      </c>
      <c r="C25" s="449">
        <f ca="1">Planung!$F19</f>
        <v>0.44791666666666669</v>
      </c>
      <c r="D25" s="450">
        <f ca="1">Planung!$G19</f>
        <v>2</v>
      </c>
      <c r="E25" s="450" t="str">
        <f ca="1">Planung!$H19</f>
        <v>B</v>
      </c>
      <c r="F25" s="454" t="str">
        <f ca="1">Planung!$L19</f>
        <v>Inter Mailand</v>
      </c>
      <c r="G25" s="220" t="s">
        <v>5</v>
      </c>
      <c r="H25" s="457" t="str">
        <f ca="1">Planung!$N19</f>
        <v>FC Grönlingen</v>
      </c>
      <c r="I25" s="445">
        <v>2</v>
      </c>
      <c r="J25" s="437" t="str">
        <f>Sprache!$E$73</f>
        <v>:</v>
      </c>
      <c r="K25" s="438">
        <v>0</v>
      </c>
      <c r="M25" s="381">
        <f ca="1">IF(Calc2!$K$13=0,"",1)</f>
        <v>1</v>
      </c>
      <c r="N25" s="382" t="str">
        <f ca="1">IF(Calc1!$F$14&lt;3,"",IF(Calc2!$K$13=0,Calc2!$Q64,VLOOKUP(Calc2!B4,Calc2!$C$4:$N$12,4,0)))</f>
        <v>Manchester City</v>
      </c>
      <c r="O25" s="207">
        <f ca="1">IF(Calc2!$K$13=0,"",VLOOKUP(Calc2!B4,Calc2!$C$4:$N$12,9,0))</f>
        <v>3</v>
      </c>
      <c r="P25" s="208">
        <f ca="1">IF(Calc2!$K$13=0,"",VLOOKUP(Calc2!B4,Calc2!$C$4:$N$12,10,0))</f>
        <v>3</v>
      </c>
      <c r="Q25" s="208">
        <f ca="1">IF(Calc2!$K$13=0,"",VLOOKUP(Calc2!B4,Calc2!$C$4:$N$12,11,0))</f>
        <v>0</v>
      </c>
      <c r="R25" s="209">
        <f ca="1">IF(Calc2!$K$13=0,"",VLOOKUP(Calc2!B4,Calc2!$C$4:$N$12,12,0))</f>
        <v>0</v>
      </c>
      <c r="S25" s="210">
        <f ca="1">IF(Calc2!$K$13=0,"",VLOOKUP(Calc2!B4,Calc2!$C$4:$N$12,5,0))</f>
        <v>16</v>
      </c>
      <c r="T25" s="211" t="str">
        <f>Sprache!$E$73</f>
        <v>:</v>
      </c>
      <c r="U25" s="212">
        <f ca="1">IF(Calc2!$K$13=0,"",VLOOKUP(Calc2!B4,Calc2!$C$4:$N$12,6,0))</f>
        <v>5</v>
      </c>
      <c r="V25" s="207">
        <f ca="1">IF(Calc2!$K$13=0,"",VLOOKUP(Calc2!B4,Calc2!$C$4:$N$12,7,0))</f>
        <v>11</v>
      </c>
      <c r="W25" s="213">
        <f ca="1">IF(Calc2!$K$13=0,"",VLOOKUP(Calc2!B4,Calc2!$C$4:$N$12,8,0))</f>
        <v>9</v>
      </c>
      <c r="X25" s="214"/>
      <c r="Y25" s="208" t="str">
        <f ca="1">IFERROR(VLOOKUP($N25&amp;Y$24,Calc2!$Z$64:$AB$207,3,0),"")</f>
        <v/>
      </c>
      <c r="Z25" s="208" t="str">
        <f ca="1">IFERROR(VLOOKUP($N25&amp;Z$24,Calc2!$Z$64:$AB$207,3,0),"")</f>
        <v/>
      </c>
      <c r="AA25" s="208" t="str">
        <f ca="1">IFERROR(VLOOKUP($N25&amp;AA$24,Calc2!$Z$64:$AB$207,3,0),"")</f>
        <v/>
      </c>
      <c r="AB25" s="208" t="str">
        <f ca="1">IFERROR(VLOOKUP($N25&amp;AB$24,Calc2!$Z$64:$AB$207,3,0),"")</f>
        <v>4:1</v>
      </c>
      <c r="AC25" s="209" t="str">
        <f ca="1">IFERROR(VLOOKUP($N25&amp;AC$24,Calc2!$Z$64:$AB$207,3,0),"")</f>
        <v>5:2</v>
      </c>
      <c r="AD25" s="209" t="str">
        <f ca="1">IFERROR(VLOOKUP($N25&amp;AD$24,Calc2!$Z$64:$AB$207,3,0),"")</f>
        <v/>
      </c>
      <c r="AE25" s="209" t="str">
        <f ca="1">IFERROR(VLOOKUP($N25&amp;AE$24,Calc2!$Z$64:$AB$207,3,0),"")</f>
        <v>7:2</v>
      </c>
      <c r="AF25" s="215" t="str">
        <f ca="1">IFERROR(VLOOKUP($N25&amp;AF$24,Calc2!$Z$64:$AB$207,3,0),"")</f>
        <v/>
      </c>
      <c r="AG25" s="216" t="str">
        <f t="shared" ref="AG25:AG29" ca="1" si="3">N25</f>
        <v>Manchester City</v>
      </c>
      <c r="AJ25" s="418" t="s">
        <v>209</v>
      </c>
      <c r="AK25" s="419" t="str">
        <f>IF(Planung!$C31="","",Planung!$C31)</f>
        <v>Mainz 05</v>
      </c>
      <c r="AL25" s="424"/>
    </row>
    <row r="26" spans="2:38" ht="24" customHeight="1" x14ac:dyDescent="0.2">
      <c r="B26" s="442">
        <f ca="1">Planung!$E20</f>
        <v>15</v>
      </c>
      <c r="C26" s="449">
        <f ca="1">Planung!$F20</f>
        <v>0.44791666666666669</v>
      </c>
      <c r="D26" s="450">
        <f ca="1">Planung!$G20</f>
        <v>3</v>
      </c>
      <c r="E26" s="450" t="str">
        <f ca="1">Planung!$H20</f>
        <v>A</v>
      </c>
      <c r="F26" s="454" t="str">
        <f ca="1">Planung!$L20</f>
        <v>Maibach 1822 eV</v>
      </c>
      <c r="G26" s="220" t="s">
        <v>5</v>
      </c>
      <c r="H26" s="457" t="str">
        <f ca="1">Planung!$N20</f>
        <v>Eintracht Frankfurt</v>
      </c>
      <c r="I26" s="445">
        <v>1</v>
      </c>
      <c r="J26" s="437" t="str">
        <f>Sprache!$E$73</f>
        <v>:</v>
      </c>
      <c r="K26" s="438">
        <v>3</v>
      </c>
      <c r="M26" s="383">
        <f ca="1">IF(Calc2!$K$13=0,"",IF(VLOOKUP(Calc2!B5,Calc2!$C$4:$E$12,3,0)=MAX(M$25:M25),VLOOKUP(Calc2!B5,Calc2!$C$4:$E$12,3,0),Calc2!B5))</f>
        <v>2</v>
      </c>
      <c r="N26" s="384" t="str">
        <f ca="1">IF(Calc1!$F$14&lt;3,"",IF(Calc2!$K$13=0,Calc2!$Q65,VLOOKUP(Calc2!B5,Calc2!$C$4:$N$12,4,0)))</f>
        <v>AC Roma</v>
      </c>
      <c r="O26" s="217">
        <f ca="1">IF(Calc2!$K$13=0,"",VLOOKUP(Calc2!B5,Calc2!$C$4:$N$12,9,0))</f>
        <v>3</v>
      </c>
      <c r="P26" s="198">
        <f ca="1">IF(Calc2!$K$13=0,"",VLOOKUP(Calc2!B5,Calc2!$C$4:$N$12,10,0))</f>
        <v>3</v>
      </c>
      <c r="Q26" s="198">
        <f ca="1">IF(Calc2!$K$13=0,"",VLOOKUP(Calc2!B5,Calc2!$C$4:$N$12,11,0))</f>
        <v>0</v>
      </c>
      <c r="R26" s="218">
        <f ca="1">IF(Calc2!$K$13=0,"",VLOOKUP(Calc2!B5,Calc2!$C$4:$N$12,12,0))</f>
        <v>0</v>
      </c>
      <c r="S26" s="219">
        <f ca="1">IF(Calc2!$K$13=0,"",VLOOKUP(Calc2!B5,Calc2!$C$4:$N$12,5,0))</f>
        <v>12</v>
      </c>
      <c r="T26" s="220" t="str">
        <f>Sprache!$E$73</f>
        <v>:</v>
      </c>
      <c r="U26" s="221">
        <f ca="1">IF(Calc2!$K$13=0,"",VLOOKUP(Calc2!B5,Calc2!$C$4:$N$12,6,0))</f>
        <v>2</v>
      </c>
      <c r="V26" s="217">
        <f ca="1">IF(Calc2!$K$13=0,"",VLOOKUP(Calc2!B5,Calc2!$C$4:$N$12,7,0))</f>
        <v>10</v>
      </c>
      <c r="W26" s="222">
        <f ca="1">IF(Calc2!$K$13=0,"",VLOOKUP(Calc2!B5,Calc2!$C$4:$N$12,8,0))</f>
        <v>9</v>
      </c>
      <c r="X26" s="223" t="str">
        <f ca="1">IFERROR(VLOOKUP($N26&amp;X$24,Calc2!$Z$64:$AB$207,3,0),"")</f>
        <v/>
      </c>
      <c r="Y26" s="224"/>
      <c r="Z26" s="198" t="str">
        <f ca="1">IFERROR(VLOOKUP($N26&amp;Z$24,Calc2!$Z$64:$AB$207,3,0),"")</f>
        <v/>
      </c>
      <c r="AA26" s="198" t="str">
        <f ca="1">IFERROR(VLOOKUP($N26&amp;AA$24,Calc2!$Z$64:$AB$207,3,0),"")</f>
        <v>5:1</v>
      </c>
      <c r="AB26" s="198" t="str">
        <f ca="1">IFERROR(VLOOKUP($N26&amp;AB$24,Calc2!$Z$64:$AB$207,3,0),"")</f>
        <v>2:1</v>
      </c>
      <c r="AC26" s="218" t="str">
        <f ca="1">IFERROR(VLOOKUP($N26&amp;AC$24,Calc2!$Z$64:$AB$207,3,0),"")</f>
        <v/>
      </c>
      <c r="AD26" s="218" t="str">
        <f ca="1">IFERROR(VLOOKUP($N26&amp;AD$24,Calc2!$Z$64:$AB$207,3,0),"")</f>
        <v/>
      </c>
      <c r="AE26" s="218" t="str">
        <f ca="1">IFERROR(VLOOKUP($N26&amp;AE$24,Calc2!$Z$64:$AB$207,3,0),"")</f>
        <v>5:0</v>
      </c>
      <c r="AF26" s="225" t="str">
        <f ca="1">IFERROR(VLOOKUP($N26&amp;AF$24,Calc2!$Z$64:$AB$207,3,0),"")</f>
        <v/>
      </c>
      <c r="AG26" s="226" t="str">
        <f t="shared" ca="1" si="3"/>
        <v>AC Roma</v>
      </c>
      <c r="AJ26" s="414" t="s">
        <v>211</v>
      </c>
      <c r="AK26" s="416" t="str">
        <f>IF(Planung!$C33="","",Planung!$C33)</f>
        <v>Inter Mailand</v>
      </c>
      <c r="AL26" s="425"/>
    </row>
    <row r="27" spans="2:38" ht="24" customHeight="1" x14ac:dyDescent="0.2">
      <c r="B27" s="442">
        <f ca="1">Planung!$E21</f>
        <v>16</v>
      </c>
      <c r="C27" s="449">
        <f ca="1">Planung!$F21</f>
        <v>0.44791666666666669</v>
      </c>
      <c r="D27" s="450">
        <f ca="1">Planung!$G21</f>
        <v>4</v>
      </c>
      <c r="E27" s="450" t="str">
        <f ca="1">Planung!$H21</f>
        <v>B</v>
      </c>
      <c r="F27" s="454" t="str">
        <f ca="1">Planung!$L21</f>
        <v>Manchester City</v>
      </c>
      <c r="G27" s="220" t="s">
        <v>5</v>
      </c>
      <c r="H27" s="457" t="str">
        <f ca="1">Planung!$N21</f>
        <v>SSV Wildbach</v>
      </c>
      <c r="I27" s="445">
        <v>7</v>
      </c>
      <c r="J27" s="437" t="str">
        <f>Sprache!$E$73</f>
        <v>:</v>
      </c>
      <c r="K27" s="438">
        <v>2</v>
      </c>
      <c r="M27" s="383">
        <f ca="1">IF(Calc2!$K$13=0,"",IF(VLOOKUP(Calc2!B6,Calc2!$C$4:$E$12,3,0)=MAX(M$25:M26),VLOOKUP(Calc2!B6,Calc2!$C$4:$E$12,3,0),Calc2!B6))</f>
        <v>3</v>
      </c>
      <c r="N27" s="384" t="str">
        <f ca="1">IF(Calc1!$F$14&lt;3,"",IF(Calc2!$K$13=0,Calc2!$Q66,VLOOKUP(Calc2!B6,Calc2!$C$4:$N$12,4,0)))</f>
        <v>Inter Mailand</v>
      </c>
      <c r="O27" s="217">
        <f ca="1">IF(Calc2!$K$13=0,"",VLOOKUP(Calc2!B6,Calc2!$C$4:$N$12,9,0))</f>
        <v>2</v>
      </c>
      <c r="P27" s="198">
        <f ca="1">IF(Calc2!$K$13=0,"",VLOOKUP(Calc2!B6,Calc2!$C$4:$N$12,10,0))</f>
        <v>2</v>
      </c>
      <c r="Q27" s="198">
        <f ca="1">IF(Calc2!$K$13=0,"",VLOOKUP(Calc2!B6,Calc2!$C$4:$N$12,11,0))</f>
        <v>0</v>
      </c>
      <c r="R27" s="218">
        <f ca="1">IF(Calc2!$K$13=0,"",VLOOKUP(Calc2!B6,Calc2!$C$4:$N$12,12,0))</f>
        <v>0</v>
      </c>
      <c r="S27" s="219">
        <f ca="1">IF(Calc2!$K$13=0,"",VLOOKUP(Calc2!B6,Calc2!$C$4:$N$12,5,0))</f>
        <v>7</v>
      </c>
      <c r="T27" s="220" t="str">
        <f>Sprache!$E$73</f>
        <v>:</v>
      </c>
      <c r="U27" s="221">
        <f ca="1">IF(Calc2!$K$13=0,"",VLOOKUP(Calc2!B6,Calc2!$C$4:$N$12,6,0))</f>
        <v>2</v>
      </c>
      <c r="V27" s="217">
        <f ca="1">IF(Calc2!$K$13=0,"",VLOOKUP(Calc2!B6,Calc2!$C$4:$N$12,7,0))</f>
        <v>5</v>
      </c>
      <c r="W27" s="222">
        <f ca="1">IF(Calc2!$K$13=0,"",VLOOKUP(Calc2!B6,Calc2!$C$4:$N$12,8,0))</f>
        <v>6</v>
      </c>
      <c r="X27" s="223" t="str">
        <f ca="1">IFERROR(VLOOKUP($N27&amp;X$24,Calc2!$Z$64:$AB$207,3,0),"")</f>
        <v/>
      </c>
      <c r="Y27" s="411" t="str">
        <f ca="1">IFERROR(VLOOKUP($N27&amp;Y$24,Calc2!$Z$64:$AB$207,3,0),"")</f>
        <v/>
      </c>
      <c r="Z27" s="224"/>
      <c r="AA27" s="198" t="str">
        <f ca="1">IFERROR(VLOOKUP($N27&amp;AA$24,Calc2!$Z$64:$AB$207,3,0),"")</f>
        <v/>
      </c>
      <c r="AB27" s="198" t="str">
        <f ca="1">IFERROR(VLOOKUP($N27&amp;AB$24,Calc2!$Z$64:$AB$207,3,0),"")</f>
        <v/>
      </c>
      <c r="AC27" s="218" t="str">
        <f ca="1">IFERROR(VLOOKUP($N27&amp;AC$24,Calc2!$Z$64:$AB$207,3,0),"")</f>
        <v>2:0</v>
      </c>
      <c r="AD27" s="218" t="str">
        <f ca="1">IFERROR(VLOOKUP($N27&amp;AD$24,Calc2!$Z$64:$AB$207,3,0),"")</f>
        <v>5:2</v>
      </c>
      <c r="AE27" s="218" t="str">
        <f ca="1">IFERROR(VLOOKUP($N27&amp;AE$24,Calc2!$Z$64:$AB$207,3,0),"")</f>
        <v/>
      </c>
      <c r="AF27" s="225" t="str">
        <f ca="1">IFERROR(VLOOKUP($N27&amp;AF$24,Calc2!$Z$64:$AB$207,3,0),"")</f>
        <v/>
      </c>
      <c r="AG27" s="226" t="str">
        <f t="shared" ca="1" si="3"/>
        <v>Inter Mailand</v>
      </c>
      <c r="AJ27" s="414" t="s">
        <v>207</v>
      </c>
      <c r="AK27" s="416" t="str">
        <f>IF(Planung!$C35="","",Planung!$C35)</f>
        <v>SSV Wildbach</v>
      </c>
      <c r="AL27" s="425"/>
    </row>
    <row r="28" spans="2:38" ht="24" customHeight="1" x14ac:dyDescent="0.2">
      <c r="B28" s="442">
        <f ca="1">Planung!$E22</f>
        <v>17</v>
      </c>
      <c r="C28" s="449">
        <f ca="1">Planung!$F22</f>
        <v>0.47222222222222221</v>
      </c>
      <c r="D28" s="450">
        <f ca="1">Planung!$G22</f>
        <v>1</v>
      </c>
      <c r="E28" s="450" t="str">
        <f ca="1">Planung!$H22</f>
        <v>A</v>
      </c>
      <c r="F28" s="454" t="str">
        <f ca="1">Planung!$L22</f>
        <v>1. FC Riedwald</v>
      </c>
      <c r="G28" s="220" t="s">
        <v>5</v>
      </c>
      <c r="H28" s="457" t="str">
        <f ca="1">Planung!$N22</f>
        <v>Fun Kickers Oes</v>
      </c>
      <c r="I28" s="445">
        <v>2</v>
      </c>
      <c r="J28" s="437" t="str">
        <f>Sprache!$E$73</f>
        <v>:</v>
      </c>
      <c r="K28" s="438">
        <v>4</v>
      </c>
      <c r="M28" s="383">
        <f ca="1">IF(Calc2!$K$13=0,"",IF(VLOOKUP(Calc2!B7,Calc2!$C$4:$E$12,3,0)=MAX(M$25:M27),VLOOKUP(Calc2!B7,Calc2!$C$4:$E$12,3,0),Calc2!B7))</f>
        <v>4</v>
      </c>
      <c r="N28" s="384" t="str">
        <f ca="1">IF(Calc1!$F$14&lt;3,"",IF(Calc2!$K$13=0,Calc2!$Q67,VLOOKUP(Calc2!B7,Calc2!$C$4:$N$12,4,0)))</f>
        <v>Mainz 05</v>
      </c>
      <c r="O28" s="217">
        <f ca="1">IF(Calc2!$K$13=0,"",VLOOKUP(Calc2!B7,Calc2!$C$4:$N$12,9,0))</f>
        <v>3</v>
      </c>
      <c r="P28" s="198">
        <f ca="1">IF(Calc2!$K$13=0,"",VLOOKUP(Calc2!B7,Calc2!$C$4:$N$12,10,0))</f>
        <v>1</v>
      </c>
      <c r="Q28" s="198">
        <f ca="1">IF(Calc2!$K$13=0,"",VLOOKUP(Calc2!B7,Calc2!$C$4:$N$12,11,0))</f>
        <v>0</v>
      </c>
      <c r="R28" s="218">
        <f ca="1">IF(Calc2!$K$13=0,"",VLOOKUP(Calc2!B7,Calc2!$C$4:$N$12,12,0))</f>
        <v>2</v>
      </c>
      <c r="S28" s="219">
        <f ca="1">IF(Calc2!$K$13=0,"",VLOOKUP(Calc2!B7,Calc2!$C$4:$N$12,5,0))</f>
        <v>9</v>
      </c>
      <c r="T28" s="220" t="str">
        <f>Sprache!$E$73</f>
        <v>:</v>
      </c>
      <c r="U28" s="221">
        <f ca="1">IF(Calc2!$K$13=0,"",VLOOKUP(Calc2!B7,Calc2!$C$4:$N$12,6,0))</f>
        <v>11</v>
      </c>
      <c r="V28" s="217">
        <f ca="1">IF(Calc2!$K$13=0,"",VLOOKUP(Calc2!B7,Calc2!$C$4:$N$12,7,0))</f>
        <v>-2</v>
      </c>
      <c r="W28" s="222">
        <f ca="1">IF(Calc2!$K$13=0,"",VLOOKUP(Calc2!B7,Calc2!$C$4:$N$12,8,0))</f>
        <v>3</v>
      </c>
      <c r="X28" s="223" t="str">
        <f ca="1">IFERROR(VLOOKUP($N28&amp;X$24,Calc2!$Z$64:$AB$207,3,0),"")</f>
        <v/>
      </c>
      <c r="Y28" s="411" t="str">
        <f ca="1">IFERROR(VLOOKUP($N28&amp;Y$24,Calc2!$Z$64:$AB$207,3,0),"")</f>
        <v>1:5</v>
      </c>
      <c r="Z28" s="198" t="str">
        <f ca="1">IFERROR(VLOOKUP($N28&amp;Z$24,Calc2!$Z$64:$AB$207,3,0),"")</f>
        <v/>
      </c>
      <c r="AA28" s="224"/>
      <c r="AB28" s="198" t="str">
        <f ca="1">IFERROR(VLOOKUP($N28&amp;AB$24,Calc2!$Z$64:$AB$207,3,0),"")</f>
        <v>2:4</v>
      </c>
      <c r="AC28" s="218" t="str">
        <f ca="1">IFERROR(VLOOKUP($N28&amp;AC$24,Calc2!$Z$64:$AB$207,3,0),"")</f>
        <v/>
      </c>
      <c r="AD28" s="218" t="str">
        <f ca="1">IFERROR(VLOOKUP($N28&amp;AD$24,Calc2!$Z$64:$AB$207,3,0),"")</f>
        <v>6:2</v>
      </c>
      <c r="AE28" s="218" t="str">
        <f ca="1">IFERROR(VLOOKUP($N28&amp;AE$24,Calc2!$Z$64:$AB$207,3,0),"")</f>
        <v/>
      </c>
      <c r="AF28" s="225" t="str">
        <f ca="1">IFERROR(VLOOKUP($N28&amp;AF$24,Calc2!$Z$64:$AB$207,3,0),"")</f>
        <v/>
      </c>
      <c r="AG28" s="226" t="str">
        <f t="shared" ca="1" si="3"/>
        <v>Mainz 05</v>
      </c>
      <c r="AJ28" s="414" t="s">
        <v>213</v>
      </c>
      <c r="AK28" s="416" t="str">
        <f>IF(Planung!$C37="","",Planung!$C37)</f>
        <v>Manchester City</v>
      </c>
      <c r="AL28" s="425"/>
    </row>
    <row r="29" spans="2:38" ht="24" customHeight="1" x14ac:dyDescent="0.2">
      <c r="B29" s="442">
        <f ca="1">Planung!$E23</f>
        <v>18</v>
      </c>
      <c r="C29" s="449">
        <f ca="1">Planung!$F23</f>
        <v>0.47222222222222221</v>
      </c>
      <c r="D29" s="450">
        <f ca="1">Planung!$G23</f>
        <v>2</v>
      </c>
      <c r="E29" s="450" t="str">
        <f ca="1">Planung!$H23</f>
        <v>B</v>
      </c>
      <c r="F29" s="454" t="str">
        <f ca="1">Planung!$L23</f>
        <v>Mainz 05</v>
      </c>
      <c r="G29" s="220" t="s">
        <v>5</v>
      </c>
      <c r="H29" s="457" t="str">
        <f ca="1">Planung!$N23</f>
        <v>AC Roma</v>
      </c>
      <c r="I29" s="445">
        <v>1</v>
      </c>
      <c r="J29" s="437" t="str">
        <f>Sprache!$E$73</f>
        <v>:</v>
      </c>
      <c r="K29" s="438">
        <v>5</v>
      </c>
      <c r="M29" s="383">
        <f ca="1">IF(Calc2!$K$13=0,"",IF(VLOOKUP(Calc2!B8,Calc2!$C$4:$E$12,3,0)=MAX(M$25:M28),VLOOKUP(Calc2!B8,Calc2!$C$4:$E$12,3,0),Calc2!B8))</f>
        <v>5</v>
      </c>
      <c r="N29" s="384" t="str">
        <f ca="1">IF(Calc1!$F$14&lt;3,"",IF(Calc2!$K$13=0,Calc2!$Q68,VLOOKUP(Calc2!B8,Calc2!$C$4:$N$12,4,0)))</f>
        <v>Borussia Heine</v>
      </c>
      <c r="O29" s="217">
        <f ca="1">IF(Calc2!$K$13=0,"",VLOOKUP(Calc2!B8,Calc2!$C$4:$N$12,9,0))</f>
        <v>3</v>
      </c>
      <c r="P29" s="198">
        <f ca="1">IF(Calc2!$K$13=0,"",VLOOKUP(Calc2!B8,Calc2!$C$4:$N$12,10,0))</f>
        <v>1</v>
      </c>
      <c r="Q29" s="198">
        <f ca="1">IF(Calc2!$K$13=0,"",VLOOKUP(Calc2!B8,Calc2!$C$4:$N$12,11,0))</f>
        <v>0</v>
      </c>
      <c r="R29" s="218">
        <f ca="1">IF(Calc2!$K$13=0,"",VLOOKUP(Calc2!B8,Calc2!$C$4:$N$12,12,0))</f>
        <v>2</v>
      </c>
      <c r="S29" s="219">
        <f ca="1">IF(Calc2!$K$13=0,"",VLOOKUP(Calc2!B8,Calc2!$C$4:$N$12,5,0))</f>
        <v>6</v>
      </c>
      <c r="T29" s="220" t="str">
        <f>Sprache!$E$73</f>
        <v>:</v>
      </c>
      <c r="U29" s="221">
        <f ca="1">IF(Calc2!$K$13=0,"",VLOOKUP(Calc2!B8,Calc2!$C$4:$N$12,6,0))</f>
        <v>8</v>
      </c>
      <c r="V29" s="217">
        <f ca="1">IF(Calc2!$K$13=0,"",VLOOKUP(Calc2!B8,Calc2!$C$4:$N$12,7,0))</f>
        <v>-2</v>
      </c>
      <c r="W29" s="222">
        <f ca="1">IF(Calc2!$K$13=0,"",VLOOKUP(Calc2!B8,Calc2!$C$4:$N$12,8,0))</f>
        <v>3</v>
      </c>
      <c r="X29" s="223" t="str">
        <f ca="1">IFERROR(VLOOKUP($N29&amp;X$24,Calc2!$Z$64:$AB$207,3,0),"")</f>
        <v>1:4</v>
      </c>
      <c r="Y29" s="411" t="str">
        <f ca="1">IFERROR(VLOOKUP($N29&amp;Y$24,Calc2!$Z$64:$AB$207,3,0),"")</f>
        <v>1:2</v>
      </c>
      <c r="Z29" s="198" t="str">
        <f ca="1">IFERROR(VLOOKUP($N29&amp;Z$24,Calc2!$Z$64:$AB$207,3,0),"")</f>
        <v/>
      </c>
      <c r="AA29" s="198" t="str">
        <f ca="1">IFERROR(VLOOKUP($N29&amp;AA$24,Calc2!$Z$64:$AB$207,3,0),"")</f>
        <v>4:2</v>
      </c>
      <c r="AB29" s="224"/>
      <c r="AC29" s="218" t="str">
        <f ca="1">IFERROR(VLOOKUP($N29&amp;AC$24,Calc2!$Z$64:$AB$207,3,0),"")</f>
        <v/>
      </c>
      <c r="AD29" s="218" t="str">
        <f ca="1">IFERROR(VLOOKUP($N29&amp;AD$24,Calc2!$Z$64:$AB$207,3,0),"")</f>
        <v/>
      </c>
      <c r="AE29" s="218" t="str">
        <f ca="1">IFERROR(VLOOKUP($N29&amp;AE$24,Calc2!$Z$64:$AB$207,3,0),"")</f>
        <v/>
      </c>
      <c r="AF29" s="225" t="str">
        <f ca="1">IFERROR(VLOOKUP($N29&amp;AF$24,Calc2!$Z$64:$AB$207,3,0),"")</f>
        <v/>
      </c>
      <c r="AG29" s="226" t="str">
        <f t="shared" ca="1" si="3"/>
        <v>Borussia Heine</v>
      </c>
      <c r="AJ29" s="414" t="s">
        <v>215</v>
      </c>
      <c r="AK29" s="416" t="str">
        <f>IF(Planung!$C39="","",Planung!$C39)</f>
        <v>FC Grönlingen</v>
      </c>
      <c r="AL29" s="425"/>
    </row>
    <row r="30" spans="2:38" ht="24" customHeight="1" x14ac:dyDescent="0.2">
      <c r="B30" s="442">
        <f ca="1">Planung!$E24</f>
        <v>19</v>
      </c>
      <c r="C30" s="449">
        <f ca="1">Planung!$F24</f>
        <v>0.47222222222222221</v>
      </c>
      <c r="D30" s="450">
        <f ca="1">Planung!$G24</f>
        <v>3</v>
      </c>
      <c r="E30" s="450" t="str">
        <f ca="1">Planung!$H24</f>
        <v>A</v>
      </c>
      <c r="F30" s="454" t="str">
        <f ca="1">Planung!$L24</f>
        <v>VFB Essenheim</v>
      </c>
      <c r="G30" s="220" t="s">
        <v>5</v>
      </c>
      <c r="H30" s="457" t="str">
        <f ca="1">Planung!$N24</f>
        <v>Raslo Winners</v>
      </c>
      <c r="I30" s="445">
        <v>0</v>
      </c>
      <c r="J30" s="437" t="str">
        <f>Sprache!$E$73</f>
        <v>:</v>
      </c>
      <c r="K30" s="438">
        <v>3</v>
      </c>
      <c r="M30" s="383">
        <f ca="1">IF(Calc2!$K$13=0,"",IF(VLOOKUP(Calc2!B9,Calc2!$C$4:$E$12,3,0)=MAX(M$25:M29),VLOOKUP(Calc2!B9,Calc2!$C$4:$E$12,3,0),Calc2!B9))</f>
        <v>6</v>
      </c>
      <c r="N30" s="384" t="str">
        <f ca="1">IF(Calc1!$F$14&lt;3,"",IF(Calc2!$K$13=0,Calc2!$Q69,VLOOKUP(Calc2!B9,Calc2!$C$4:$N$12,4,0)))</f>
        <v>FC Grönlingen</v>
      </c>
      <c r="O30" s="217">
        <f ca="1">IF(Calc2!$K$13=0,"",VLOOKUP(Calc2!B9,Calc2!$C$4:$N$12,9,0))</f>
        <v>3</v>
      </c>
      <c r="P30" s="198">
        <f ca="1">IF(Calc2!$K$13=0,"",VLOOKUP(Calc2!B9,Calc2!$C$4:$N$12,10,0))</f>
        <v>0</v>
      </c>
      <c r="Q30" s="198">
        <f ca="1">IF(Calc2!$K$13=0,"",VLOOKUP(Calc2!B9,Calc2!$C$4:$N$12,11,0))</f>
        <v>1</v>
      </c>
      <c r="R30" s="218">
        <f ca="1">IF(Calc2!$K$13=0,"",VLOOKUP(Calc2!B9,Calc2!$C$4:$N$12,12,0))</f>
        <v>2</v>
      </c>
      <c r="S30" s="219">
        <f ca="1">IF(Calc2!$K$13=0,"",VLOOKUP(Calc2!B9,Calc2!$C$4:$N$12,5,0))</f>
        <v>3</v>
      </c>
      <c r="T30" s="220" t="str">
        <f>Sprache!$E$73</f>
        <v>:</v>
      </c>
      <c r="U30" s="221">
        <f ca="1">IF(Calc2!$K$13=0,"",VLOOKUP(Calc2!B9,Calc2!$C$4:$N$12,6,0))</f>
        <v>8</v>
      </c>
      <c r="V30" s="217">
        <f ca="1">IF(Calc2!$K$13=0,"",VLOOKUP(Calc2!B9,Calc2!$C$4:$N$12,7,0))</f>
        <v>-5</v>
      </c>
      <c r="W30" s="222">
        <f ca="1">IF(Calc2!$K$13=0,"",VLOOKUP(Calc2!B9,Calc2!$C$4:$N$12,8,0))</f>
        <v>1</v>
      </c>
      <c r="X30" s="223" t="str">
        <f ca="1">IFERROR(VLOOKUP($N30&amp;X$24,Calc2!$Z$64:$AB$207,3,0),"")</f>
        <v>2:5</v>
      </c>
      <c r="Y30" s="411" t="str">
        <f ca="1">IFERROR(VLOOKUP($N30&amp;Y$24,Calc2!$Z$64:$AB$207,3,0),"")</f>
        <v/>
      </c>
      <c r="Z30" s="198" t="str">
        <f ca="1">IFERROR(VLOOKUP($N30&amp;Z$24,Calc2!$Z$64:$AB$207,3,0),"")</f>
        <v>0:2</v>
      </c>
      <c r="AA30" s="198" t="str">
        <f ca="1">IFERROR(VLOOKUP($N30&amp;AA$24,Calc2!$Z$64:$AB$207,3,0),"")</f>
        <v/>
      </c>
      <c r="AB30" s="218" t="str">
        <f ca="1">IFERROR(VLOOKUP($N30&amp;AB$24,Calc2!$Z$64:$AB$207,3,0),"")</f>
        <v/>
      </c>
      <c r="AC30" s="564"/>
      <c r="AD30" s="218" t="str">
        <f ca="1">IFERROR(VLOOKUP($N30&amp;AD$24,Calc2!$Z$64:$AB$207,3,0),"")</f>
        <v>1:1</v>
      </c>
      <c r="AE30" s="218" t="str">
        <f ca="1">IFERROR(VLOOKUP($N30&amp;AE$24,Calc2!$Z$64:$AB$207,3,0),"")</f>
        <v/>
      </c>
      <c r="AF30" s="225" t="str">
        <f ca="1">IFERROR(VLOOKUP($N30&amp;AF$24,Calc2!$Z$64:$AB$207,3,0),"")</f>
        <v/>
      </c>
      <c r="AG30" s="226" t="str">
        <f t="shared" ref="AG30:AG32" ca="1" si="4">N30</f>
        <v>FC Grönlingen</v>
      </c>
      <c r="AJ30" s="414" t="s">
        <v>217</v>
      </c>
      <c r="AK30" s="416" t="str">
        <f>IF(Planung!$C41="","",Planung!$C41)</f>
        <v>AC Roma</v>
      </c>
      <c r="AL30" s="425"/>
    </row>
    <row r="31" spans="2:38" ht="24" customHeight="1" x14ac:dyDescent="0.2">
      <c r="B31" s="442">
        <f ca="1">Planung!$E25</f>
        <v>20</v>
      </c>
      <c r="C31" s="449">
        <f ca="1">Planung!$F25</f>
        <v>0.47222222222222221</v>
      </c>
      <c r="D31" s="450">
        <f ca="1">Planung!$G25</f>
        <v>4</v>
      </c>
      <c r="E31" s="450" t="str">
        <f ca="1">Planung!$H25</f>
        <v>B</v>
      </c>
      <c r="F31" s="454" t="str">
        <f ca="1">Planung!$L25</f>
        <v>FC Grönlingen</v>
      </c>
      <c r="G31" s="220" t="s">
        <v>5</v>
      </c>
      <c r="H31" s="457" t="str">
        <f ca="1">Planung!$N25</f>
        <v>VFL Ronsdorf</v>
      </c>
      <c r="I31" s="445">
        <v>1</v>
      </c>
      <c r="J31" s="437" t="str">
        <f>Sprache!$E$73</f>
        <v>:</v>
      </c>
      <c r="K31" s="438">
        <v>1</v>
      </c>
      <c r="M31" s="383">
        <f ca="1">IF(Calc2!$K$13=0,"",IF(VLOOKUP(Calc2!B10,Calc2!$C$4:$E$12,3,0)=MAX(M$25:M30),VLOOKUP(Calc2!B10,Calc2!$C$4:$E$12,3,0),Calc2!B10))</f>
        <v>7</v>
      </c>
      <c r="N31" s="384" t="str">
        <f ca="1">IF(Calc1!$F$14&lt;3,"",IF(Calc2!$K$13=0,Calc2!$Q70,VLOOKUP(Calc2!B10,Calc2!$C$4:$N$12,4,0)))</f>
        <v>VFL Ronsdorf</v>
      </c>
      <c r="O31" s="217">
        <f ca="1">IF(Calc2!$K$13=0,"",VLOOKUP(Calc2!B10,Calc2!$C$4:$N$12,9,0))</f>
        <v>3</v>
      </c>
      <c r="P31" s="198">
        <f ca="1">IF(Calc2!$K$13=0,"",VLOOKUP(Calc2!B10,Calc2!$C$4:$N$12,10,0))</f>
        <v>0</v>
      </c>
      <c r="Q31" s="198">
        <f ca="1">IF(Calc2!$K$13=0,"",VLOOKUP(Calc2!B10,Calc2!$C$4:$N$12,11,0))</f>
        <v>1</v>
      </c>
      <c r="R31" s="218">
        <f ca="1">IF(Calc2!$K$13=0,"",VLOOKUP(Calc2!B10,Calc2!$C$4:$N$12,12,0))</f>
        <v>2</v>
      </c>
      <c r="S31" s="219">
        <f ca="1">IF(Calc2!$K$13=0,"",VLOOKUP(Calc2!B10,Calc2!$C$4:$N$12,5,0))</f>
        <v>5</v>
      </c>
      <c r="T31" s="220" t="str">
        <f>Sprache!$E$73</f>
        <v>:</v>
      </c>
      <c r="U31" s="221">
        <f ca="1">IF(Calc2!$K$13=0,"",VLOOKUP(Calc2!B10,Calc2!$C$4:$N$12,6,0))</f>
        <v>12</v>
      </c>
      <c r="V31" s="217">
        <f ca="1">IF(Calc2!$K$13=0,"",VLOOKUP(Calc2!B10,Calc2!$C$4:$N$12,7,0))</f>
        <v>-7</v>
      </c>
      <c r="W31" s="222">
        <f ca="1">IF(Calc2!$K$13=0,"",VLOOKUP(Calc2!B10,Calc2!$C$4:$N$12,8,0))</f>
        <v>1</v>
      </c>
      <c r="X31" s="223" t="str">
        <f ca="1">IFERROR(VLOOKUP($N31&amp;X$24,Calc2!$Z$64:$AB$207,3,0),"")</f>
        <v/>
      </c>
      <c r="Y31" s="411" t="str">
        <f ca="1">IFERROR(VLOOKUP($N31&amp;Y$24,Calc2!$Z$64:$AB$207,3,0),"")</f>
        <v/>
      </c>
      <c r="Z31" s="198" t="str">
        <f ca="1">IFERROR(VLOOKUP($N31&amp;Z$24,Calc2!$Z$64:$AB$207,3,0),"")</f>
        <v>2:5</v>
      </c>
      <c r="AA31" s="198" t="str">
        <f ca="1">IFERROR(VLOOKUP($N31&amp;AA$24,Calc2!$Z$64:$AB$207,3,0),"")</f>
        <v>2:6</v>
      </c>
      <c r="AB31" s="218" t="str">
        <f ca="1">IFERROR(VLOOKUP($N31&amp;AB$24,Calc2!$Z$64:$AB$207,3,0),"")</f>
        <v/>
      </c>
      <c r="AC31" s="218" t="str">
        <f ca="1">IFERROR(VLOOKUP($N31&amp;AC$24,Calc2!$Z$64:$AB$207,3,0),"")</f>
        <v>1:1</v>
      </c>
      <c r="AD31" s="564"/>
      <c r="AE31" s="218" t="str">
        <f ca="1">IFERROR(VLOOKUP($N31&amp;AE$24,Calc2!$Z$64:$AB$207,3,0),"")</f>
        <v/>
      </c>
      <c r="AF31" s="225" t="str">
        <f ca="1">IFERROR(VLOOKUP($N31&amp;AF$24,Calc2!$Z$64:$AB$207,3,0),"")</f>
        <v/>
      </c>
      <c r="AG31" s="226" t="str">
        <f t="shared" ca="1" si="4"/>
        <v>VFL Ronsdorf</v>
      </c>
      <c r="AJ31" s="414" t="s">
        <v>338</v>
      </c>
      <c r="AK31" s="416" t="str">
        <f>IF(Planung!$C43="","",Planung!$C43)</f>
        <v>VFL Ronsdorf</v>
      </c>
      <c r="AL31" s="425"/>
    </row>
    <row r="32" spans="2:38" ht="24" customHeight="1" x14ac:dyDescent="0.2">
      <c r="B32" s="442">
        <f ca="1">Planung!$E26</f>
        <v>21</v>
      </c>
      <c r="C32" s="449">
        <f ca="1">Planung!$F26</f>
        <v>0.49652777777777779</v>
      </c>
      <c r="D32" s="450">
        <f ca="1">Planung!$G26</f>
        <v>1</v>
      </c>
      <c r="E32" s="450" t="str">
        <f ca="1">Planung!$H26</f>
        <v>A</v>
      </c>
      <c r="F32" s="454" t="str">
        <f ca="1">Planung!$L26</f>
        <v>Knock Out Rangers</v>
      </c>
      <c r="G32" s="220" t="s">
        <v>5</v>
      </c>
      <c r="H32" s="457" t="str">
        <f ca="1">Planung!$N26</f>
        <v>Maibach 1822 eV</v>
      </c>
      <c r="I32" s="445">
        <v>1</v>
      </c>
      <c r="J32" s="437" t="str">
        <f>Sprache!$E$73</f>
        <v>:</v>
      </c>
      <c r="K32" s="438">
        <v>1</v>
      </c>
      <c r="M32" s="383">
        <f ca="1">IF(Calc2!$K$13=0,"",IF(VLOOKUP(Calc2!B11,Calc2!$C$4:$E$12,3,0)=MAX(M$25:M31),VLOOKUP(Calc2!B11,Calc2!$C$4:$E$12,3,0),Calc2!B11))</f>
        <v>8</v>
      </c>
      <c r="N32" s="384" t="str">
        <f ca="1">IF(Calc1!$F$14&lt;3,"",IF(Calc2!$K$13=0,Calc2!$Q71,VLOOKUP(Calc2!B11,Calc2!$C$4:$N$12,4,0)))</f>
        <v>SSV Wildbach</v>
      </c>
      <c r="O32" s="217">
        <f ca="1">IF(Calc2!$K$13=0,"",VLOOKUP(Calc2!B11,Calc2!$C$4:$N$12,9,0))</f>
        <v>2</v>
      </c>
      <c r="P32" s="198">
        <f ca="1">IF(Calc2!$K$13=0,"",VLOOKUP(Calc2!B11,Calc2!$C$4:$N$12,10,0))</f>
        <v>0</v>
      </c>
      <c r="Q32" s="198">
        <f ca="1">IF(Calc2!$K$13=0,"",VLOOKUP(Calc2!B11,Calc2!$C$4:$N$12,11,0))</f>
        <v>0</v>
      </c>
      <c r="R32" s="218">
        <f ca="1">IF(Calc2!$K$13=0,"",VLOOKUP(Calc2!B11,Calc2!$C$4:$N$12,12,0))</f>
        <v>2</v>
      </c>
      <c r="S32" s="219">
        <f ca="1">IF(Calc2!$K$13=0,"",VLOOKUP(Calc2!B11,Calc2!$C$4:$N$12,5,0))</f>
        <v>2</v>
      </c>
      <c r="T32" s="220" t="str">
        <f>Sprache!$E$73</f>
        <v>:</v>
      </c>
      <c r="U32" s="221">
        <f ca="1">IF(Calc2!$K$13=0,"",VLOOKUP(Calc2!B11,Calc2!$C$4:$N$12,6,0))</f>
        <v>12</v>
      </c>
      <c r="V32" s="217">
        <f ca="1">IF(Calc2!$K$13=0,"",VLOOKUP(Calc2!B11,Calc2!$C$4:$N$12,7,0))</f>
        <v>-10</v>
      </c>
      <c r="W32" s="222">
        <f ca="1">IF(Calc2!$K$13=0,"",VLOOKUP(Calc2!B11,Calc2!$C$4:$N$12,8,0))</f>
        <v>0</v>
      </c>
      <c r="X32" s="223" t="str">
        <f ca="1">IFERROR(VLOOKUP($N32&amp;X$24,Calc2!$Z$64:$AB$207,3,0),"")</f>
        <v>2:7</v>
      </c>
      <c r="Y32" s="411" t="str">
        <f ca="1">IFERROR(VLOOKUP($N32&amp;Y$24,Calc2!$Z$64:$AB$207,3,0),"")</f>
        <v>0:5</v>
      </c>
      <c r="Z32" s="198" t="str">
        <f ca="1">IFERROR(VLOOKUP($N32&amp;Z$24,Calc2!$Z$64:$AB$207,3,0),"")</f>
        <v/>
      </c>
      <c r="AA32" s="198" t="str">
        <f ca="1">IFERROR(VLOOKUP($N32&amp;AA$24,Calc2!$Z$64:$AB$207,3,0),"")</f>
        <v/>
      </c>
      <c r="AB32" s="218" t="str">
        <f ca="1">IFERROR(VLOOKUP($N32&amp;AB$24,Calc2!$Z$64:$AB$207,3,0),"")</f>
        <v/>
      </c>
      <c r="AC32" s="218" t="str">
        <f ca="1">IFERROR(VLOOKUP($N32&amp;AC$24,Calc2!$Z$64:$AB$207,3,0),"")</f>
        <v/>
      </c>
      <c r="AD32" s="218" t="str">
        <f ca="1">IFERROR(VLOOKUP($N32&amp;AD$24,Calc2!$Z$64:$AB$207,3,0),"")</f>
        <v/>
      </c>
      <c r="AE32" s="564"/>
      <c r="AF32" s="225" t="str">
        <f ca="1">IFERROR(VLOOKUP($N32&amp;AF$24,Calc2!$Z$64:$AB$207,3,0),"")</f>
        <v/>
      </c>
      <c r="AG32" s="226" t="str">
        <f t="shared" ca="1" si="4"/>
        <v>SSV Wildbach</v>
      </c>
      <c r="AJ32" s="414" t="s">
        <v>339</v>
      </c>
      <c r="AK32" s="416" t="str">
        <f>IF(Planung!$C45="","",Planung!$C45)</f>
        <v>Borussia Heine</v>
      </c>
      <c r="AL32" s="425"/>
    </row>
    <row r="33" spans="2:38" ht="24" customHeight="1" thickBot="1" x14ac:dyDescent="0.25">
      <c r="B33" s="442">
        <f ca="1">Planung!$E27</f>
        <v>22</v>
      </c>
      <c r="C33" s="449">
        <f ca="1">Planung!$F27</f>
        <v>0.49652777777777779</v>
      </c>
      <c r="D33" s="450">
        <f ca="1">Planung!$G27</f>
        <v>2</v>
      </c>
      <c r="E33" s="450" t="str">
        <f ca="1">Planung!$H27</f>
        <v>B</v>
      </c>
      <c r="F33" s="454" t="str">
        <f ca="1">Planung!$L27</f>
        <v>Borussia Heine</v>
      </c>
      <c r="G33" s="220" t="s">
        <v>5</v>
      </c>
      <c r="H33" s="457" t="str">
        <f ca="1">Planung!$N27</f>
        <v>Manchester City</v>
      </c>
      <c r="I33" s="445">
        <v>1</v>
      </c>
      <c r="J33" s="437" t="str">
        <f>Sprache!$E$73</f>
        <v>:</v>
      </c>
      <c r="K33" s="438">
        <v>4</v>
      </c>
      <c r="M33" s="385">
        <f ca="1">IF(Calc2!$K$13=0,"",IF(VLOOKUP(Calc2!B12,Calc2!$C$4:$E$12,3,0)=MAX(M$25:M32),VLOOKUP(Calc2!B12,Calc2!$C$4:$E$12,3,0),Calc2!B12))</f>
        <v>9</v>
      </c>
      <c r="N33" s="386" t="str">
        <f ca="1">IF(Calc1!$F$14&lt;3,"",IF(Calc2!$K$13=0,Calc2!$Q72,VLOOKUP(Calc2!B12,Calc2!$C$4:$N$12,4,0)))</f>
        <v/>
      </c>
      <c r="O33" s="227">
        <f ca="1">IF(Calc2!$K$13=0,"",VLOOKUP(Calc2!B12,Calc2!$C$4:$N$12,9,0))</f>
        <v>0</v>
      </c>
      <c r="P33" s="228">
        <f ca="1">IF(Calc2!$K$13=0,"",VLOOKUP(Calc2!B12,Calc2!$C$4:$N$12,10,0))</f>
        <v>0</v>
      </c>
      <c r="Q33" s="228">
        <f ca="1">IF(Calc2!$K$13=0,"",VLOOKUP(Calc2!B12,Calc2!$C$4:$N$12,11,0))</f>
        <v>0</v>
      </c>
      <c r="R33" s="229">
        <f ca="1">IF(Calc2!$K$13=0,"",VLOOKUP(Calc2!B12,Calc2!$C$4:$N$12,12,0))</f>
        <v>0</v>
      </c>
      <c r="S33" s="230">
        <f ca="1">IF(Calc2!$K$13=0,"",VLOOKUP(Calc2!B12,Calc2!$C$4:$N$12,5,0))</f>
        <v>0</v>
      </c>
      <c r="T33" s="231" t="str">
        <f>Sprache!$E$73</f>
        <v>:</v>
      </c>
      <c r="U33" s="232">
        <f ca="1">IF(Calc2!$K$13=0,"",VLOOKUP(Calc2!B12,Calc2!$C$4:$N$12,6,0))</f>
        <v>0</v>
      </c>
      <c r="V33" s="227">
        <f ca="1">IF(Calc2!$K$13=0,"",VLOOKUP(Calc2!B12,Calc2!$C$4:$N$12,7,0))</f>
        <v>0</v>
      </c>
      <c r="W33" s="233">
        <f ca="1">IF(Calc2!$K$13=0,"",VLOOKUP(Calc2!B12,Calc2!$C$4:$N$12,8,0))</f>
        <v>0</v>
      </c>
      <c r="X33" s="234" t="str">
        <f ca="1">IFERROR(VLOOKUP($N33&amp;X$24,Calc2!$Z$64:$AB$207,3,0),"")</f>
        <v/>
      </c>
      <c r="Y33" s="228" t="str">
        <f ca="1">IFERROR(VLOOKUP($N33&amp;Y$24,Calc2!$Z$64:$AB$207,3,0),"")</f>
        <v/>
      </c>
      <c r="Z33" s="228" t="str">
        <f ca="1">IFERROR(VLOOKUP($N33&amp;Z$24,Calc2!$Z$64:$AB$207,3,0),"")</f>
        <v/>
      </c>
      <c r="AA33" s="228" t="str">
        <f ca="1">IFERROR(VLOOKUP($N33&amp;AA$24,Calc2!$Z$64:$AB$207,3,0),"")</f>
        <v/>
      </c>
      <c r="AB33" s="228" t="str">
        <f ca="1">IFERROR(VLOOKUP($N33&amp;AB$24,Calc2!$Z$64:$AB$207,3,0),"")</f>
        <v/>
      </c>
      <c r="AC33" s="229" t="str">
        <f ca="1">IFERROR(VLOOKUP($N33&amp;AC$24,Calc2!$Z$64:$AB$207,3,0),"")</f>
        <v/>
      </c>
      <c r="AD33" s="229" t="str">
        <f ca="1">IFERROR(VLOOKUP($N33&amp;AD$24,Calc2!$Z$64:$AB$207,3,0),"")</f>
        <v/>
      </c>
      <c r="AE33" s="229" t="str">
        <f ca="1">IFERROR(VLOOKUP($N33&amp;AE$24,Calc2!$Z$64:$AB$207,3,0),"")</f>
        <v/>
      </c>
      <c r="AF33" s="235"/>
      <c r="AG33" s="298" t="str">
        <f t="shared" ref="AG33" ca="1" si="5">N33</f>
        <v/>
      </c>
      <c r="AJ33" s="415" t="s">
        <v>340</v>
      </c>
      <c r="AK33" s="417" t="str">
        <f>IF(Planung!$C47="","",Planung!$C47)</f>
        <v/>
      </c>
      <c r="AL33" s="426"/>
    </row>
    <row r="34" spans="2:38" ht="24" customHeight="1" thickTop="1" x14ac:dyDescent="0.2">
      <c r="B34" s="442">
        <f ca="1">Planung!$E28</f>
        <v>23</v>
      </c>
      <c r="C34" s="449">
        <f ca="1">Planung!$F28</f>
        <v>0.49652777777777779</v>
      </c>
      <c r="D34" s="450">
        <f ca="1">Planung!$G28</f>
        <v>3</v>
      </c>
      <c r="E34" s="450" t="str">
        <f ca="1">Planung!$H28</f>
        <v>A</v>
      </c>
      <c r="F34" s="454" t="str">
        <f ca="1">Planung!$L28</f>
        <v>Eintracht Frankfurt</v>
      </c>
      <c r="G34" s="220" t="s">
        <v>5</v>
      </c>
      <c r="H34" s="457" t="str">
        <f ca="1">Planung!$N28</f>
        <v>FC Barcelona</v>
      </c>
      <c r="I34" s="445"/>
      <c r="J34" s="437" t="str">
        <f>Sprache!$E$73</f>
        <v>:</v>
      </c>
      <c r="K34" s="438"/>
      <c r="M34" s="278"/>
      <c r="N34" s="278"/>
      <c r="O34" s="278"/>
      <c r="P34" s="278"/>
      <c r="Q34" s="278"/>
      <c r="R34" s="278"/>
      <c r="S34" s="278"/>
      <c r="T34" s="278"/>
      <c r="U34" s="278"/>
      <c r="V34" s="278"/>
      <c r="W34" s="278"/>
      <c r="X34" s="279"/>
      <c r="Y34" s="279"/>
      <c r="Z34" s="279"/>
      <c r="AA34" s="279"/>
      <c r="AB34" s="279"/>
      <c r="AC34" s="279"/>
      <c r="AD34" s="279"/>
      <c r="AE34" s="279"/>
      <c r="AF34" s="279"/>
      <c r="AG34" s="280"/>
    </row>
    <row r="35" spans="2:38" ht="24" customHeight="1" x14ac:dyDescent="0.2">
      <c r="B35" s="442">
        <f ca="1">Planung!$E29</f>
        <v>24</v>
      </c>
      <c r="C35" s="449">
        <f ca="1">Planung!$F29</f>
        <v>0.49652777777777779</v>
      </c>
      <c r="D35" s="450">
        <f ca="1">Planung!$G29</f>
        <v>4</v>
      </c>
      <c r="E35" s="450" t="str">
        <f ca="1">Planung!$H29</f>
        <v>B</v>
      </c>
      <c r="F35" s="454" t="str">
        <f ca="1">Planung!$L29</f>
        <v>SSV Wildbach</v>
      </c>
      <c r="G35" s="220" t="s">
        <v>5</v>
      </c>
      <c r="H35" s="457" t="str">
        <f ca="1">Planung!$N29</f>
        <v>Inter Mailand</v>
      </c>
      <c r="I35" s="445"/>
      <c r="J35" s="437" t="str">
        <f>Sprache!$E$73</f>
        <v>:</v>
      </c>
      <c r="K35" s="438"/>
      <c r="M35" s="302"/>
      <c r="N35" s="302"/>
      <c r="O35" s="281"/>
      <c r="P35" s="281"/>
      <c r="Q35" s="281"/>
      <c r="R35" s="281"/>
      <c r="S35" s="301"/>
      <c r="T35" s="301"/>
      <c r="U35" s="301"/>
      <c r="V35" s="281"/>
      <c r="W35" s="281"/>
      <c r="X35" s="282"/>
      <c r="Y35" s="282"/>
      <c r="Z35" s="282"/>
      <c r="AA35" s="282"/>
      <c r="AB35" s="282"/>
      <c r="AC35" s="282"/>
      <c r="AD35" s="282"/>
      <c r="AE35" s="282"/>
      <c r="AF35" s="282"/>
      <c r="AG35" s="280"/>
    </row>
    <row r="36" spans="2:38" ht="24" customHeight="1" x14ac:dyDescent="0.2">
      <c r="B36" s="442">
        <f ca="1">Planung!$E30</f>
        <v>25</v>
      </c>
      <c r="C36" s="449">
        <f ca="1">Planung!$F30</f>
        <v>0.52083333333333337</v>
      </c>
      <c r="D36" s="450">
        <f ca="1">Planung!$G30</f>
        <v>1</v>
      </c>
      <c r="E36" s="450" t="str">
        <f ca="1">Planung!$H30</f>
        <v>A</v>
      </c>
      <c r="F36" s="454" t="str">
        <f ca="1">Planung!$L30</f>
        <v>VFB Essenheim</v>
      </c>
      <c r="G36" s="220" t="s">
        <v>5</v>
      </c>
      <c r="H36" s="457" t="str">
        <f ca="1">Planung!$N30</f>
        <v>1. FC Riedwald</v>
      </c>
      <c r="I36" s="445"/>
      <c r="J36" s="437" t="str">
        <f>Sprache!$E$73</f>
        <v>:</v>
      </c>
      <c r="K36" s="438"/>
      <c r="M36" s="641" t="str">
        <f>Sprache!$E$40</f>
        <v>Ende der Vorrunde:</v>
      </c>
      <c r="N36" s="641"/>
      <c r="O36" s="641"/>
      <c r="P36" s="641"/>
      <c r="Q36" s="641"/>
      <c r="R36" s="641"/>
      <c r="S36" s="641"/>
      <c r="T36" s="641"/>
      <c r="U36" s="641"/>
      <c r="V36" s="641"/>
      <c r="W36" s="640">
        <f ca="1">Planung!$R$13</f>
        <v>0.71180555555555558</v>
      </c>
      <c r="X36" s="640"/>
      <c r="Y36" s="640"/>
      <c r="Z36" s="640"/>
      <c r="AA36" s="640"/>
      <c r="AB36" s="640"/>
      <c r="AC36" s="640"/>
      <c r="AD36" s="640"/>
      <c r="AE36" s="640"/>
      <c r="AF36" s="640"/>
      <c r="AG36" s="640"/>
    </row>
    <row r="37" spans="2:38" ht="24" customHeight="1" x14ac:dyDescent="0.2">
      <c r="B37" s="442">
        <f ca="1">Planung!$E31</f>
        <v>26</v>
      </c>
      <c r="C37" s="449">
        <f ca="1">Planung!$F31</f>
        <v>0.52083333333333337</v>
      </c>
      <c r="D37" s="450">
        <f ca="1">Planung!$G31</f>
        <v>2</v>
      </c>
      <c r="E37" s="450" t="str">
        <f ca="1">Planung!$H31</f>
        <v>B</v>
      </c>
      <c r="F37" s="454" t="str">
        <f ca="1">Planung!$L31</f>
        <v>FC Grönlingen</v>
      </c>
      <c r="G37" s="220" t="s">
        <v>5</v>
      </c>
      <c r="H37" s="457" t="str">
        <f ca="1">Planung!$N31</f>
        <v>Mainz 05</v>
      </c>
      <c r="I37" s="445"/>
      <c r="J37" s="437" t="str">
        <f>Sprache!$E$73</f>
        <v>:</v>
      </c>
      <c r="K37" s="438"/>
      <c r="M37" s="278"/>
      <c r="N37" s="283"/>
      <c r="O37" s="284"/>
      <c r="P37" s="284"/>
      <c r="Q37" s="284"/>
      <c r="R37" s="284"/>
      <c r="S37" s="285"/>
      <c r="T37" s="284"/>
      <c r="U37" s="283"/>
      <c r="V37" s="284"/>
      <c r="W37" s="286"/>
      <c r="X37" s="284"/>
      <c r="Y37" s="284"/>
      <c r="Z37" s="284"/>
      <c r="AA37" s="284"/>
      <c r="AB37" s="284"/>
      <c r="AC37" s="284"/>
      <c r="AD37" s="284"/>
      <c r="AE37" s="284"/>
      <c r="AF37" s="284"/>
      <c r="AG37" s="283"/>
    </row>
    <row r="38" spans="2:38" ht="24" customHeight="1" x14ac:dyDescent="0.2">
      <c r="B38" s="442">
        <f ca="1">Planung!$E32</f>
        <v>27</v>
      </c>
      <c r="C38" s="449">
        <f ca="1">Planung!$F32</f>
        <v>0.52083333333333337</v>
      </c>
      <c r="D38" s="450">
        <f ca="1">Planung!$G32</f>
        <v>3</v>
      </c>
      <c r="E38" s="450" t="str">
        <f ca="1">Planung!$H32</f>
        <v>A</v>
      </c>
      <c r="F38" s="454" t="str">
        <f ca="1">Planung!$L32</f>
        <v>Maibach 1822 eV</v>
      </c>
      <c r="G38" s="220" t="s">
        <v>5</v>
      </c>
      <c r="H38" s="457" t="str">
        <f ca="1">Planung!$N32</f>
        <v>Fun Kickers Oes</v>
      </c>
      <c r="I38" s="445"/>
      <c r="J38" s="437" t="str">
        <f>Sprache!$E$73</f>
        <v>:</v>
      </c>
      <c r="K38" s="438"/>
      <c r="M38" s="278"/>
      <c r="N38" s="283"/>
      <c r="O38" s="284"/>
      <c r="P38" s="284"/>
      <c r="Q38" s="284"/>
      <c r="R38" s="284"/>
      <c r="S38" s="285"/>
      <c r="T38" s="284"/>
      <c r="U38" s="283"/>
      <c r="V38" s="284"/>
      <c r="W38" s="286"/>
      <c r="X38" s="284"/>
      <c r="Y38" s="284"/>
      <c r="Z38" s="284"/>
      <c r="AA38" s="284"/>
      <c r="AB38" s="284"/>
      <c r="AC38" s="284"/>
      <c r="AD38" s="284"/>
      <c r="AE38" s="284"/>
      <c r="AF38" s="284"/>
      <c r="AG38" s="283"/>
    </row>
    <row r="39" spans="2:38" ht="24" customHeight="1" x14ac:dyDescent="0.2">
      <c r="B39" s="442">
        <f ca="1">Planung!$E33</f>
        <v>28</v>
      </c>
      <c r="C39" s="449">
        <f ca="1">Planung!$F33</f>
        <v>0.52083333333333337</v>
      </c>
      <c r="D39" s="450">
        <f ca="1">Planung!$G33</f>
        <v>4</v>
      </c>
      <c r="E39" s="450" t="str">
        <f ca="1">Planung!$H33</f>
        <v>B</v>
      </c>
      <c r="F39" s="454" t="str">
        <f ca="1">Planung!$L33</f>
        <v>Manchester City</v>
      </c>
      <c r="G39" s="220" t="s">
        <v>5</v>
      </c>
      <c r="H39" s="457" t="str">
        <f ca="1">Planung!$N33</f>
        <v>AC Roma</v>
      </c>
      <c r="I39" s="445"/>
      <c r="J39" s="437" t="str">
        <f>Sprache!$E$73</f>
        <v>:</v>
      </c>
      <c r="K39" s="438"/>
      <c r="M39" s="278"/>
      <c r="N39" s="283"/>
      <c r="O39" s="284"/>
      <c r="P39" s="284"/>
      <c r="Q39" s="284"/>
      <c r="R39" s="284"/>
      <c r="S39" s="285"/>
      <c r="T39" s="284"/>
      <c r="U39" s="283"/>
      <c r="V39" s="284"/>
      <c r="W39" s="286"/>
      <c r="X39" s="284"/>
      <c r="Y39" s="284"/>
      <c r="Z39" s="284"/>
      <c r="AA39" s="284"/>
      <c r="AB39" s="284"/>
      <c r="AC39" s="284"/>
      <c r="AD39" s="284"/>
      <c r="AE39" s="284"/>
      <c r="AF39" s="284"/>
      <c r="AG39" s="283"/>
    </row>
    <row r="40" spans="2:38" ht="24" customHeight="1" x14ac:dyDescent="0.2">
      <c r="B40" s="442">
        <f ca="1">Planung!$E34</f>
        <v>29</v>
      </c>
      <c r="C40" s="449">
        <f ca="1">Planung!$F34</f>
        <v>0.54513888888888884</v>
      </c>
      <c r="D40" s="450">
        <f ca="1">Planung!$G34</f>
        <v>1</v>
      </c>
      <c r="E40" s="450" t="str">
        <f ca="1">Planung!$H34</f>
        <v>A</v>
      </c>
      <c r="F40" s="454" t="str">
        <f ca="1">Planung!$L34</f>
        <v>Raslo Winners</v>
      </c>
      <c r="G40" s="220" t="s">
        <v>5</v>
      </c>
      <c r="H40" s="457" t="str">
        <f ca="1">Planung!$N34</f>
        <v>Eintracht Frankfurt</v>
      </c>
      <c r="I40" s="445"/>
      <c r="J40" s="437" t="str">
        <f>Sprache!$E$73</f>
        <v>:</v>
      </c>
      <c r="K40" s="438"/>
      <c r="M40" s="278"/>
      <c r="N40" s="283"/>
      <c r="O40" s="284"/>
      <c r="P40" s="284"/>
      <c r="Q40" s="284"/>
      <c r="R40" s="284"/>
      <c r="S40" s="285"/>
      <c r="T40" s="284"/>
      <c r="U40" s="283"/>
      <c r="V40" s="284"/>
      <c r="W40" s="286"/>
      <c r="X40" s="284"/>
      <c r="Y40" s="284"/>
      <c r="Z40" s="284"/>
      <c r="AA40" s="284"/>
      <c r="AB40" s="284"/>
      <c r="AC40" s="284"/>
      <c r="AD40" s="284"/>
      <c r="AE40" s="284"/>
      <c r="AF40" s="284"/>
      <c r="AG40" s="283"/>
    </row>
    <row r="41" spans="2:38" ht="24" customHeight="1" x14ac:dyDescent="0.2">
      <c r="B41" s="442">
        <f ca="1">Planung!$E35</f>
        <v>30</v>
      </c>
      <c r="C41" s="449">
        <f ca="1">Planung!$F35</f>
        <v>0.54513888888888884</v>
      </c>
      <c r="D41" s="450">
        <f ca="1">Planung!$G35</f>
        <v>2</v>
      </c>
      <c r="E41" s="450" t="str">
        <f ca="1">Planung!$H35</f>
        <v>B</v>
      </c>
      <c r="F41" s="454" t="str">
        <f ca="1">Planung!$L35</f>
        <v>VFL Ronsdorf</v>
      </c>
      <c r="G41" s="220" t="s">
        <v>5</v>
      </c>
      <c r="H41" s="457" t="str">
        <f ca="1">Planung!$N35</f>
        <v>SSV Wildbach</v>
      </c>
      <c r="I41" s="445"/>
      <c r="J41" s="437" t="str">
        <f>Sprache!$E$73</f>
        <v>:</v>
      </c>
      <c r="K41" s="438"/>
      <c r="M41" s="278"/>
      <c r="N41" s="283"/>
      <c r="O41" s="284"/>
      <c r="P41" s="284"/>
      <c r="Q41" s="284"/>
      <c r="R41" s="284"/>
      <c r="S41" s="285"/>
      <c r="T41" s="284"/>
      <c r="U41" s="283"/>
      <c r="V41" s="284"/>
      <c r="W41" s="286"/>
      <c r="X41" s="284"/>
      <c r="Y41" s="284"/>
      <c r="Z41" s="284"/>
      <c r="AA41" s="284"/>
      <c r="AB41" s="284"/>
      <c r="AC41" s="284"/>
      <c r="AD41" s="284"/>
      <c r="AE41" s="284"/>
      <c r="AF41" s="284"/>
      <c r="AG41" s="283"/>
    </row>
    <row r="42" spans="2:38" ht="24" customHeight="1" x14ac:dyDescent="0.2">
      <c r="B42" s="442">
        <f ca="1">Planung!$E36</f>
        <v>31</v>
      </c>
      <c r="C42" s="449">
        <f ca="1">Planung!$F36</f>
        <v>0.54513888888888884</v>
      </c>
      <c r="D42" s="450">
        <f ca="1">Planung!$G36</f>
        <v>3</v>
      </c>
      <c r="E42" s="450" t="str">
        <f ca="1">Planung!$H36</f>
        <v>A</v>
      </c>
      <c r="F42" s="454" t="str">
        <f ca="1">Planung!$L36</f>
        <v>FC Barcelona</v>
      </c>
      <c r="G42" s="220" t="s">
        <v>5</v>
      </c>
      <c r="H42" s="457" t="str">
        <f ca="1">Planung!$N36</f>
        <v>Knock Out Rangers</v>
      </c>
      <c r="I42" s="445"/>
      <c r="J42" s="437" t="str">
        <f>Sprache!$E$73</f>
        <v>:</v>
      </c>
      <c r="K42" s="438"/>
      <c r="M42" s="278"/>
      <c r="N42" s="283"/>
      <c r="O42" s="284"/>
      <c r="P42" s="284"/>
      <c r="Q42" s="284"/>
      <c r="R42" s="284"/>
      <c r="S42" s="285"/>
      <c r="T42" s="284"/>
      <c r="U42" s="283"/>
      <c r="V42" s="284"/>
      <c r="W42" s="286"/>
      <c r="X42" s="284"/>
      <c r="Y42" s="284"/>
      <c r="Z42" s="284"/>
      <c r="AA42" s="284"/>
      <c r="AB42" s="284"/>
      <c r="AC42" s="284"/>
      <c r="AD42" s="284"/>
      <c r="AE42" s="284"/>
      <c r="AF42" s="284"/>
      <c r="AG42" s="283"/>
    </row>
    <row r="43" spans="2:38" ht="24" customHeight="1" x14ac:dyDescent="0.2">
      <c r="B43" s="442">
        <f ca="1">Planung!$E37</f>
        <v>32</v>
      </c>
      <c r="C43" s="449">
        <f ca="1">Planung!$F37</f>
        <v>0.54513888888888884</v>
      </c>
      <c r="D43" s="450">
        <f ca="1">Planung!$G37</f>
        <v>4</v>
      </c>
      <c r="E43" s="450" t="str">
        <f ca="1">Planung!$H37</f>
        <v>B</v>
      </c>
      <c r="F43" s="454" t="str">
        <f ca="1">Planung!$L37</f>
        <v>Inter Mailand</v>
      </c>
      <c r="G43" s="220" t="s">
        <v>5</v>
      </c>
      <c r="H43" s="457" t="str">
        <f ca="1">Planung!$N37</f>
        <v>Borussia Heine</v>
      </c>
      <c r="I43" s="445"/>
      <c r="J43" s="437" t="str">
        <f>Sprache!$E$73</f>
        <v>:</v>
      </c>
      <c r="K43" s="438"/>
    </row>
    <row r="44" spans="2:38" ht="24" customHeight="1" x14ac:dyDescent="0.2">
      <c r="B44" s="442">
        <f ca="1">Planung!$E38</f>
        <v>33</v>
      </c>
      <c r="C44" s="449">
        <f ca="1">Planung!$F38</f>
        <v>0.56944444444444442</v>
      </c>
      <c r="D44" s="450">
        <f ca="1">Planung!$G38</f>
        <v>1</v>
      </c>
      <c r="E44" s="450" t="str">
        <f ca="1">Planung!$H38</f>
        <v>A</v>
      </c>
      <c r="F44" s="454" t="str">
        <f ca="1">Planung!$L38</f>
        <v>1. FC Riedwald</v>
      </c>
      <c r="G44" s="220" t="s">
        <v>5</v>
      </c>
      <c r="H44" s="457" t="str">
        <f ca="1">Planung!$N38</f>
        <v>Maibach 1822 eV</v>
      </c>
      <c r="I44" s="445"/>
      <c r="J44" s="437" t="str">
        <f>Sprache!$E$73</f>
        <v>:</v>
      </c>
      <c r="K44" s="438"/>
    </row>
    <row r="45" spans="2:38" ht="24" customHeight="1" x14ac:dyDescent="0.2">
      <c r="B45" s="442">
        <f ca="1">Planung!$E39</f>
        <v>34</v>
      </c>
      <c r="C45" s="449">
        <f ca="1">Planung!$F39</f>
        <v>0.56944444444444442</v>
      </c>
      <c r="D45" s="450">
        <f ca="1">Planung!$G39</f>
        <v>2</v>
      </c>
      <c r="E45" s="450" t="str">
        <f ca="1">Planung!$H39</f>
        <v>B</v>
      </c>
      <c r="F45" s="454" t="str">
        <f ca="1">Planung!$L39</f>
        <v>Mainz 05</v>
      </c>
      <c r="G45" s="220" t="s">
        <v>5</v>
      </c>
      <c r="H45" s="457" t="str">
        <f ca="1">Planung!$N39</f>
        <v>Manchester City</v>
      </c>
      <c r="I45" s="445"/>
      <c r="J45" s="437" t="str">
        <f>Sprache!$E$73</f>
        <v>:</v>
      </c>
      <c r="K45" s="438"/>
    </row>
    <row r="46" spans="2:38" ht="24" customHeight="1" x14ac:dyDescent="0.2">
      <c r="B46" s="442">
        <f ca="1">Planung!$E40</f>
        <v>35</v>
      </c>
      <c r="C46" s="449">
        <f ca="1">Planung!$F40</f>
        <v>0.56944444444444442</v>
      </c>
      <c r="D46" s="450">
        <f ca="1">Planung!$G40</f>
        <v>3</v>
      </c>
      <c r="E46" s="450" t="str">
        <f ca="1">Planung!$H40</f>
        <v>A</v>
      </c>
      <c r="F46" s="454" t="str">
        <f ca="1">Planung!$L40</f>
        <v>Eintracht Frankfurt</v>
      </c>
      <c r="G46" s="220" t="s">
        <v>5</v>
      </c>
      <c r="H46" s="457" t="str">
        <f ca="1">Planung!$N40</f>
        <v>VFB Essenheim</v>
      </c>
      <c r="I46" s="445"/>
      <c r="J46" s="437" t="str">
        <f>Sprache!$E$73</f>
        <v>:</v>
      </c>
      <c r="K46" s="438"/>
    </row>
    <row r="47" spans="2:38" ht="24" customHeight="1" x14ac:dyDescent="0.2">
      <c r="B47" s="442">
        <f ca="1">Planung!$E41</f>
        <v>36</v>
      </c>
      <c r="C47" s="449">
        <f ca="1">Planung!$F41</f>
        <v>0.56944444444444442</v>
      </c>
      <c r="D47" s="450">
        <f ca="1">Planung!$G41</f>
        <v>4</v>
      </c>
      <c r="E47" s="450" t="str">
        <f ca="1">Planung!$H41</f>
        <v>B</v>
      </c>
      <c r="F47" s="454" t="str">
        <f ca="1">Planung!$L41</f>
        <v>SSV Wildbach</v>
      </c>
      <c r="G47" s="220" t="s">
        <v>5</v>
      </c>
      <c r="H47" s="457" t="str">
        <f ca="1">Planung!$N41</f>
        <v>FC Grönlingen</v>
      </c>
      <c r="I47" s="445"/>
      <c r="J47" s="437" t="str">
        <f>Sprache!$E$73</f>
        <v>:</v>
      </c>
      <c r="K47" s="438"/>
    </row>
    <row r="48" spans="2:38" ht="24" customHeight="1" x14ac:dyDescent="0.2">
      <c r="B48" s="442">
        <f ca="1">Planung!$E42</f>
        <v>37</v>
      </c>
      <c r="C48" s="449">
        <f ca="1">Planung!$F42</f>
        <v>0.59375</v>
      </c>
      <c r="D48" s="450">
        <f ca="1">Planung!$G42</f>
        <v>1</v>
      </c>
      <c r="E48" s="450" t="str">
        <f ca="1">Planung!$H42</f>
        <v>A</v>
      </c>
      <c r="F48" s="454" t="str">
        <f ca="1">Planung!$L42</f>
        <v>Fun Kickers Oes</v>
      </c>
      <c r="G48" s="220" t="s">
        <v>5</v>
      </c>
      <c r="H48" s="457" t="str">
        <f ca="1">Planung!$N42</f>
        <v>FC Barcelona</v>
      </c>
      <c r="I48" s="445"/>
      <c r="J48" s="437" t="str">
        <f>Sprache!$E$73</f>
        <v>:</v>
      </c>
      <c r="K48" s="438"/>
    </row>
    <row r="49" spans="2:11" ht="24" customHeight="1" x14ac:dyDescent="0.2">
      <c r="B49" s="442">
        <f ca="1">Planung!$E43</f>
        <v>38</v>
      </c>
      <c r="C49" s="449">
        <f ca="1">Planung!$F43</f>
        <v>0.59375</v>
      </c>
      <c r="D49" s="450">
        <f ca="1">Planung!$G43</f>
        <v>2</v>
      </c>
      <c r="E49" s="450" t="str">
        <f ca="1">Planung!$H43</f>
        <v>B</v>
      </c>
      <c r="F49" s="454" t="str">
        <f ca="1">Planung!$L43</f>
        <v>AC Roma</v>
      </c>
      <c r="G49" s="220" t="s">
        <v>5</v>
      </c>
      <c r="H49" s="457" t="str">
        <f ca="1">Planung!$N43</f>
        <v>Inter Mailand</v>
      </c>
      <c r="I49" s="445"/>
      <c r="J49" s="437" t="str">
        <f>Sprache!$E$73</f>
        <v>:</v>
      </c>
      <c r="K49" s="438"/>
    </row>
    <row r="50" spans="2:11" ht="24" customHeight="1" x14ac:dyDescent="0.2">
      <c r="B50" s="442">
        <f ca="1">Planung!$E44</f>
        <v>39</v>
      </c>
      <c r="C50" s="449">
        <f ca="1">Planung!$F44</f>
        <v>0.59375</v>
      </c>
      <c r="D50" s="450">
        <f ca="1">Planung!$G44</f>
        <v>3</v>
      </c>
      <c r="E50" s="450" t="str">
        <f ca="1">Planung!$H44</f>
        <v>A</v>
      </c>
      <c r="F50" s="454" t="str">
        <f ca="1">Planung!$L44</f>
        <v>Knock Out Rangers</v>
      </c>
      <c r="G50" s="220" t="s">
        <v>5</v>
      </c>
      <c r="H50" s="457" t="str">
        <f ca="1">Planung!$N44</f>
        <v>Raslo Winners</v>
      </c>
      <c r="I50" s="445"/>
      <c r="J50" s="437" t="str">
        <f>Sprache!$E$73</f>
        <v>:</v>
      </c>
      <c r="K50" s="438"/>
    </row>
    <row r="51" spans="2:11" ht="24" customHeight="1" x14ac:dyDescent="0.2">
      <c r="B51" s="442">
        <f ca="1">Planung!$E45</f>
        <v>40</v>
      </c>
      <c r="C51" s="449">
        <f ca="1">Planung!$F45</f>
        <v>0.59375</v>
      </c>
      <c r="D51" s="450">
        <f ca="1">Planung!$G45</f>
        <v>4</v>
      </c>
      <c r="E51" s="450" t="str">
        <f ca="1">Planung!$H45</f>
        <v>B</v>
      </c>
      <c r="F51" s="454" t="str">
        <f ca="1">Planung!$L45</f>
        <v>Borussia Heine</v>
      </c>
      <c r="G51" s="220" t="s">
        <v>5</v>
      </c>
      <c r="H51" s="457" t="str">
        <f ca="1">Planung!$N45</f>
        <v>VFL Ronsdorf</v>
      </c>
      <c r="I51" s="445"/>
      <c r="J51" s="437" t="str">
        <f>Sprache!$E$73</f>
        <v>:</v>
      </c>
      <c r="K51" s="438"/>
    </row>
    <row r="52" spans="2:11" ht="24" customHeight="1" x14ac:dyDescent="0.2">
      <c r="B52" s="442">
        <f ca="1">Planung!$E46</f>
        <v>41</v>
      </c>
      <c r="C52" s="449">
        <f ca="1">Planung!$F46</f>
        <v>0.61805555555555558</v>
      </c>
      <c r="D52" s="450">
        <f ca="1">Planung!$G46</f>
        <v>1</v>
      </c>
      <c r="E52" s="450" t="str">
        <f ca="1">Planung!$H46</f>
        <v>A</v>
      </c>
      <c r="F52" s="454" t="str">
        <f ca="1">Planung!$L46</f>
        <v>Eintracht Frankfurt</v>
      </c>
      <c r="G52" s="220" t="s">
        <v>5</v>
      </c>
      <c r="H52" s="457" t="str">
        <f ca="1">Planung!$N46</f>
        <v>1. FC Riedwald</v>
      </c>
      <c r="I52" s="445"/>
      <c r="J52" s="437" t="str">
        <f>Sprache!$E$73</f>
        <v>:</v>
      </c>
      <c r="K52" s="438"/>
    </row>
    <row r="53" spans="2:11" ht="24" customHeight="1" x14ac:dyDescent="0.2">
      <c r="B53" s="442">
        <f ca="1">Planung!$E47</f>
        <v>42</v>
      </c>
      <c r="C53" s="449">
        <f ca="1">Planung!$F47</f>
        <v>0.61805555555555558</v>
      </c>
      <c r="D53" s="450">
        <f ca="1">Planung!$G47</f>
        <v>2</v>
      </c>
      <c r="E53" s="450" t="str">
        <f ca="1">Planung!$H47</f>
        <v>B</v>
      </c>
      <c r="F53" s="454" t="str">
        <f ca="1">Planung!$L47</f>
        <v>SSV Wildbach</v>
      </c>
      <c r="G53" s="220" t="s">
        <v>5</v>
      </c>
      <c r="H53" s="457" t="str">
        <f ca="1">Planung!$N47</f>
        <v>Mainz 05</v>
      </c>
      <c r="I53" s="445"/>
      <c r="J53" s="437" t="str">
        <f>Sprache!$E$73</f>
        <v>:</v>
      </c>
      <c r="K53" s="438"/>
    </row>
    <row r="54" spans="2:11" ht="24" customHeight="1" x14ac:dyDescent="0.2">
      <c r="B54" s="442">
        <f ca="1">Planung!$E48</f>
        <v>43</v>
      </c>
      <c r="C54" s="449">
        <f ca="1">Planung!$F48</f>
        <v>0.61805555555555558</v>
      </c>
      <c r="D54" s="450">
        <f ca="1">Planung!$G48</f>
        <v>3</v>
      </c>
      <c r="E54" s="450" t="str">
        <f ca="1">Planung!$H48</f>
        <v>A</v>
      </c>
      <c r="F54" s="454" t="str">
        <f ca="1">Planung!$L48</f>
        <v>FC Barcelona</v>
      </c>
      <c r="G54" s="220" t="s">
        <v>5</v>
      </c>
      <c r="H54" s="457" t="str">
        <f ca="1">Planung!$N48</f>
        <v>Maibach 1822 eV</v>
      </c>
      <c r="I54" s="445"/>
      <c r="J54" s="437" t="str">
        <f>Sprache!$E$73</f>
        <v>:</v>
      </c>
      <c r="K54" s="438"/>
    </row>
    <row r="55" spans="2:11" ht="24" customHeight="1" x14ac:dyDescent="0.2">
      <c r="B55" s="442">
        <f ca="1">Planung!$E49</f>
        <v>44</v>
      </c>
      <c r="C55" s="449">
        <f ca="1">Planung!$F49</f>
        <v>0.61805555555555558</v>
      </c>
      <c r="D55" s="450">
        <f ca="1">Planung!$G49</f>
        <v>4</v>
      </c>
      <c r="E55" s="450" t="str">
        <f ca="1">Planung!$H49</f>
        <v>B</v>
      </c>
      <c r="F55" s="454" t="str">
        <f ca="1">Planung!$L49</f>
        <v>Inter Mailand</v>
      </c>
      <c r="G55" s="220" t="s">
        <v>5</v>
      </c>
      <c r="H55" s="457" t="str">
        <f ca="1">Planung!$N49</f>
        <v>Manchester City</v>
      </c>
      <c r="I55" s="445"/>
      <c r="J55" s="437" t="str">
        <f>Sprache!$E$73</f>
        <v>:</v>
      </c>
      <c r="K55" s="438"/>
    </row>
    <row r="56" spans="2:11" ht="24" customHeight="1" x14ac:dyDescent="0.2">
      <c r="B56" s="442">
        <f ca="1">Planung!$E50</f>
        <v>45</v>
      </c>
      <c r="C56" s="449">
        <f ca="1">Planung!$F50</f>
        <v>0.64236111111111116</v>
      </c>
      <c r="D56" s="450">
        <f ca="1">Planung!$G50</f>
        <v>1</v>
      </c>
      <c r="E56" s="450" t="str">
        <f ca="1">Planung!$H50</f>
        <v>A</v>
      </c>
      <c r="F56" s="454" t="str">
        <f ca="1">Planung!$L50</f>
        <v>VFB Essenheim</v>
      </c>
      <c r="G56" s="220" t="s">
        <v>5</v>
      </c>
      <c r="H56" s="457" t="str">
        <f ca="1">Planung!$N50</f>
        <v>Knock Out Rangers</v>
      </c>
      <c r="I56" s="445"/>
      <c r="J56" s="437" t="str">
        <f>Sprache!$E$73</f>
        <v>:</v>
      </c>
      <c r="K56" s="438"/>
    </row>
    <row r="57" spans="2:11" ht="24" customHeight="1" x14ac:dyDescent="0.2">
      <c r="B57" s="442">
        <f ca="1">Planung!$E51</f>
        <v>46</v>
      </c>
      <c r="C57" s="449">
        <f ca="1">Planung!$F51</f>
        <v>0.64236111111111116</v>
      </c>
      <c r="D57" s="450">
        <f ca="1">Planung!$G51</f>
        <v>2</v>
      </c>
      <c r="E57" s="450" t="str">
        <f ca="1">Planung!$H51</f>
        <v>B</v>
      </c>
      <c r="F57" s="454" t="str">
        <f ca="1">Planung!$L51</f>
        <v>FC Grönlingen</v>
      </c>
      <c r="G57" s="220" t="s">
        <v>5</v>
      </c>
      <c r="H57" s="457" t="str">
        <f ca="1">Planung!$N51</f>
        <v>Borussia Heine</v>
      </c>
      <c r="I57" s="445"/>
      <c r="J57" s="437" t="str">
        <f>Sprache!$E$73</f>
        <v>:</v>
      </c>
      <c r="K57" s="438"/>
    </row>
    <row r="58" spans="2:11" ht="24" customHeight="1" x14ac:dyDescent="0.2">
      <c r="B58" s="442">
        <f ca="1">Planung!$E52</f>
        <v>47</v>
      </c>
      <c r="C58" s="449">
        <f ca="1">Planung!$F52</f>
        <v>0.64236111111111116</v>
      </c>
      <c r="D58" s="450">
        <f ca="1">Planung!$G52</f>
        <v>3</v>
      </c>
      <c r="E58" s="450" t="str">
        <f ca="1">Planung!$H52</f>
        <v>A</v>
      </c>
      <c r="F58" s="454" t="str">
        <f ca="1">Planung!$L52</f>
        <v>Raslo Winners</v>
      </c>
      <c r="G58" s="220" t="s">
        <v>5</v>
      </c>
      <c r="H58" s="457" t="str">
        <f ca="1">Planung!$N52</f>
        <v>Fun Kickers Oes</v>
      </c>
      <c r="I58" s="445"/>
      <c r="J58" s="437" t="str">
        <f>Sprache!$E$73</f>
        <v>:</v>
      </c>
      <c r="K58" s="438"/>
    </row>
    <row r="59" spans="2:11" ht="24" customHeight="1" x14ac:dyDescent="0.2">
      <c r="B59" s="442">
        <f ca="1">Planung!$E53</f>
        <v>48</v>
      </c>
      <c r="C59" s="449">
        <f ca="1">Planung!$F53</f>
        <v>0.64236111111111116</v>
      </c>
      <c r="D59" s="450">
        <f ca="1">Planung!$G53</f>
        <v>4</v>
      </c>
      <c r="E59" s="450" t="str">
        <f ca="1">Planung!$H53</f>
        <v>B</v>
      </c>
      <c r="F59" s="454" t="str">
        <f ca="1">Planung!$L53</f>
        <v>VFL Ronsdorf</v>
      </c>
      <c r="G59" s="220" t="s">
        <v>5</v>
      </c>
      <c r="H59" s="457" t="str">
        <f ca="1">Planung!$N53</f>
        <v>AC Roma</v>
      </c>
      <c r="I59" s="445"/>
      <c r="J59" s="437" t="str">
        <f>Sprache!$E$73</f>
        <v>:</v>
      </c>
      <c r="K59" s="438"/>
    </row>
    <row r="60" spans="2:11" ht="24" customHeight="1" x14ac:dyDescent="0.2">
      <c r="B60" s="442">
        <f ca="1">Planung!$E54</f>
        <v>49</v>
      </c>
      <c r="C60" s="449">
        <f ca="1">Planung!$F54</f>
        <v>0.66666666666666674</v>
      </c>
      <c r="D60" s="450">
        <f ca="1">Planung!$G54</f>
        <v>1</v>
      </c>
      <c r="E60" s="450" t="str">
        <f ca="1">Planung!$H54</f>
        <v>A</v>
      </c>
      <c r="F60" s="454" t="str">
        <f ca="1">Planung!$L54</f>
        <v>1. FC Riedwald</v>
      </c>
      <c r="G60" s="220" t="s">
        <v>5</v>
      </c>
      <c r="H60" s="457" t="str">
        <f ca="1">Planung!$N54</f>
        <v>FC Barcelona</v>
      </c>
      <c r="I60" s="445"/>
      <c r="J60" s="437" t="str">
        <f>Sprache!$E$73</f>
        <v>:</v>
      </c>
      <c r="K60" s="438"/>
    </row>
    <row r="61" spans="2:11" ht="24" customHeight="1" x14ac:dyDescent="0.2">
      <c r="B61" s="442">
        <f ca="1">Planung!$E55</f>
        <v>50</v>
      </c>
      <c r="C61" s="449">
        <f ca="1">Planung!$F55</f>
        <v>0.66666666666666674</v>
      </c>
      <c r="D61" s="450">
        <f ca="1">Planung!$G55</f>
        <v>2</v>
      </c>
      <c r="E61" s="450" t="str">
        <f ca="1">Planung!$H55</f>
        <v>B</v>
      </c>
      <c r="F61" s="454" t="str">
        <f ca="1">Planung!$L55</f>
        <v>Mainz 05</v>
      </c>
      <c r="G61" s="220" t="s">
        <v>5</v>
      </c>
      <c r="H61" s="457" t="str">
        <f ca="1">Planung!$N55</f>
        <v>Inter Mailand</v>
      </c>
      <c r="I61" s="445"/>
      <c r="J61" s="437" t="str">
        <f>Sprache!$E$73</f>
        <v>:</v>
      </c>
      <c r="K61" s="438"/>
    </row>
    <row r="62" spans="2:11" ht="24" customHeight="1" x14ac:dyDescent="0.2">
      <c r="B62" s="442">
        <f ca="1">Planung!$E56</f>
        <v>51</v>
      </c>
      <c r="C62" s="449">
        <f ca="1">Planung!$F56</f>
        <v>0.66666666666666674</v>
      </c>
      <c r="D62" s="450">
        <f ca="1">Planung!$G56</f>
        <v>3</v>
      </c>
      <c r="E62" s="450" t="str">
        <f ca="1">Planung!$H56</f>
        <v>A</v>
      </c>
      <c r="F62" s="454" t="str">
        <f ca="1">Planung!$L56</f>
        <v>Knock Out Rangers</v>
      </c>
      <c r="G62" s="220" t="s">
        <v>5</v>
      </c>
      <c r="H62" s="457" t="str">
        <f ca="1">Planung!$N56</f>
        <v>Eintracht Frankfurt</v>
      </c>
      <c r="I62" s="445"/>
      <c r="J62" s="437" t="str">
        <f>Sprache!$E$73</f>
        <v>:</v>
      </c>
      <c r="K62" s="438"/>
    </row>
    <row r="63" spans="2:11" ht="24" customHeight="1" x14ac:dyDescent="0.2">
      <c r="B63" s="442">
        <f ca="1">Planung!$E57</f>
        <v>52</v>
      </c>
      <c r="C63" s="449">
        <f ca="1">Planung!$F57</f>
        <v>0.66666666666666674</v>
      </c>
      <c r="D63" s="450">
        <f ca="1">Planung!$G57</f>
        <v>4</v>
      </c>
      <c r="E63" s="450" t="str">
        <f ca="1">Planung!$H57</f>
        <v>B</v>
      </c>
      <c r="F63" s="454" t="str">
        <f ca="1">Planung!$L57</f>
        <v>Borussia Heine</v>
      </c>
      <c r="G63" s="220" t="s">
        <v>5</v>
      </c>
      <c r="H63" s="457" t="str">
        <f ca="1">Planung!$N57</f>
        <v>SSV Wildbach</v>
      </c>
      <c r="I63" s="445"/>
      <c r="J63" s="437" t="str">
        <f>Sprache!$E$73</f>
        <v>:</v>
      </c>
      <c r="K63" s="438"/>
    </row>
    <row r="64" spans="2:11" ht="24" customHeight="1" x14ac:dyDescent="0.2">
      <c r="B64" s="442">
        <f ca="1">Planung!$E58</f>
        <v>53</v>
      </c>
      <c r="C64" s="449">
        <f ca="1">Planung!$F58</f>
        <v>0.69097222222222221</v>
      </c>
      <c r="D64" s="450">
        <f ca="1">Planung!$G58</f>
        <v>1</v>
      </c>
      <c r="E64" s="450" t="str">
        <f ca="1">Planung!$H58</f>
        <v>A</v>
      </c>
      <c r="F64" s="454" t="str">
        <f ca="1">Planung!$L58</f>
        <v>Maibach 1822 eV</v>
      </c>
      <c r="G64" s="220" t="s">
        <v>5</v>
      </c>
      <c r="H64" s="457" t="str">
        <f ca="1">Planung!$N58</f>
        <v>Raslo Winners</v>
      </c>
      <c r="I64" s="445"/>
      <c r="J64" s="437" t="str">
        <f>Sprache!$E$73</f>
        <v>:</v>
      </c>
      <c r="K64" s="438"/>
    </row>
    <row r="65" spans="2:11" ht="24" customHeight="1" x14ac:dyDescent="0.2">
      <c r="B65" s="442">
        <f ca="1">Planung!$E59</f>
        <v>54</v>
      </c>
      <c r="C65" s="449">
        <f ca="1">Planung!$F59</f>
        <v>0.69097222222222221</v>
      </c>
      <c r="D65" s="450">
        <f ca="1">Planung!$G59</f>
        <v>2</v>
      </c>
      <c r="E65" s="450" t="str">
        <f ca="1">Planung!$H59</f>
        <v>B</v>
      </c>
      <c r="F65" s="454" t="str">
        <f ca="1">Planung!$L59</f>
        <v>Manchester City</v>
      </c>
      <c r="G65" s="220" t="s">
        <v>5</v>
      </c>
      <c r="H65" s="457" t="str">
        <f ca="1">Planung!$N59</f>
        <v>VFL Ronsdorf</v>
      </c>
      <c r="I65" s="445"/>
      <c r="J65" s="437" t="str">
        <f>Sprache!$E$73</f>
        <v>:</v>
      </c>
      <c r="K65" s="438"/>
    </row>
    <row r="66" spans="2:11" ht="24" customHeight="1" x14ac:dyDescent="0.2">
      <c r="B66" s="442">
        <f ca="1">Planung!$E60</f>
        <v>55</v>
      </c>
      <c r="C66" s="449">
        <f ca="1">Planung!$F60</f>
        <v>0.69097222222222221</v>
      </c>
      <c r="D66" s="450">
        <f ca="1">Planung!$G60</f>
        <v>3</v>
      </c>
      <c r="E66" s="450" t="str">
        <f ca="1">Planung!$H60</f>
        <v>A</v>
      </c>
      <c r="F66" s="454" t="str">
        <f ca="1">Planung!$L60</f>
        <v>Fun Kickers Oes</v>
      </c>
      <c r="G66" s="220" t="s">
        <v>5</v>
      </c>
      <c r="H66" s="457" t="str">
        <f ca="1">Planung!$N60</f>
        <v>VFB Essenheim</v>
      </c>
      <c r="I66" s="445"/>
      <c r="J66" s="437" t="str">
        <f>Sprache!$E$73</f>
        <v>:</v>
      </c>
      <c r="K66" s="438"/>
    </row>
    <row r="67" spans="2:11" ht="24" customHeight="1" x14ac:dyDescent="0.2">
      <c r="B67" s="442">
        <f ca="1">Planung!$E61</f>
        <v>56</v>
      </c>
      <c r="C67" s="449">
        <f ca="1">Planung!$F61</f>
        <v>0.69097222222222221</v>
      </c>
      <c r="D67" s="450">
        <f ca="1">Planung!$G61</f>
        <v>4</v>
      </c>
      <c r="E67" s="450" t="str">
        <f ca="1">Planung!$H61</f>
        <v>B</v>
      </c>
      <c r="F67" s="454" t="str">
        <f ca="1">Planung!$L61</f>
        <v>AC Roma</v>
      </c>
      <c r="G67" s="220" t="s">
        <v>5</v>
      </c>
      <c r="H67" s="457" t="str">
        <f ca="1">Planung!$N61</f>
        <v>FC Grönlingen</v>
      </c>
      <c r="I67" s="445"/>
      <c r="J67" s="437" t="str">
        <f>Sprache!$E$73</f>
        <v>:</v>
      </c>
      <c r="K67" s="438"/>
    </row>
    <row r="68" spans="2:11" ht="24" customHeight="1" x14ac:dyDescent="0.2">
      <c r="B68" s="442" t="str">
        <f>Planung!$E62</f>
        <v/>
      </c>
      <c r="C68" s="449" t="str">
        <f>Planung!$F62</f>
        <v/>
      </c>
      <c r="D68" s="450" t="str">
        <f>Planung!$G62</f>
        <v/>
      </c>
      <c r="E68" s="450" t="str">
        <f ca="1">Planung!$H62</f>
        <v/>
      </c>
      <c r="F68" s="454" t="str">
        <f ca="1">Planung!$L62</f>
        <v/>
      </c>
      <c r="G68" s="220" t="s">
        <v>5</v>
      </c>
      <c r="H68" s="457" t="str">
        <f ca="1">Planung!$N62</f>
        <v/>
      </c>
      <c r="I68" s="445"/>
      <c r="J68" s="437" t="str">
        <f>Sprache!$E$73</f>
        <v>:</v>
      </c>
      <c r="K68" s="438"/>
    </row>
    <row r="69" spans="2:11" ht="24" customHeight="1" x14ac:dyDescent="0.2">
      <c r="B69" s="442" t="str">
        <f>Planung!$E63</f>
        <v/>
      </c>
      <c r="C69" s="449" t="str">
        <f>Planung!$F63</f>
        <v/>
      </c>
      <c r="D69" s="450" t="str">
        <f>Planung!$G63</f>
        <v/>
      </c>
      <c r="E69" s="450" t="str">
        <f ca="1">Planung!$H63</f>
        <v/>
      </c>
      <c r="F69" s="454" t="str">
        <f ca="1">Planung!$L63</f>
        <v/>
      </c>
      <c r="G69" s="220" t="s">
        <v>5</v>
      </c>
      <c r="H69" s="457" t="str">
        <f ca="1">Planung!$N63</f>
        <v/>
      </c>
      <c r="I69" s="445"/>
      <c r="J69" s="437" t="str">
        <f>Sprache!$E$73</f>
        <v>:</v>
      </c>
      <c r="K69" s="438"/>
    </row>
    <row r="70" spans="2:11" ht="24" customHeight="1" x14ac:dyDescent="0.2">
      <c r="B70" s="442" t="str">
        <f>Planung!$E64</f>
        <v/>
      </c>
      <c r="C70" s="449" t="str">
        <f>Planung!$F64</f>
        <v/>
      </c>
      <c r="D70" s="450" t="str">
        <f>Planung!$G64</f>
        <v/>
      </c>
      <c r="E70" s="450" t="str">
        <f ca="1">Planung!$H64</f>
        <v/>
      </c>
      <c r="F70" s="454" t="str">
        <f ca="1">Planung!$L64</f>
        <v/>
      </c>
      <c r="G70" s="220" t="s">
        <v>5</v>
      </c>
      <c r="H70" s="457" t="str">
        <f ca="1">Planung!$N64</f>
        <v/>
      </c>
      <c r="I70" s="445"/>
      <c r="J70" s="437" t="str">
        <f>Sprache!$E$73</f>
        <v>:</v>
      </c>
      <c r="K70" s="438"/>
    </row>
    <row r="71" spans="2:11" ht="24" customHeight="1" x14ac:dyDescent="0.2">
      <c r="B71" s="442" t="str">
        <f>Planung!$E65</f>
        <v/>
      </c>
      <c r="C71" s="449" t="str">
        <f>Planung!$F65</f>
        <v/>
      </c>
      <c r="D71" s="450" t="str">
        <f>Planung!$G65</f>
        <v/>
      </c>
      <c r="E71" s="450" t="str">
        <f ca="1">Planung!$H65</f>
        <v/>
      </c>
      <c r="F71" s="454" t="str">
        <f ca="1">Planung!$L65</f>
        <v/>
      </c>
      <c r="G71" s="220" t="s">
        <v>5</v>
      </c>
      <c r="H71" s="457" t="str">
        <f ca="1">Planung!$N65</f>
        <v/>
      </c>
      <c r="I71" s="445"/>
      <c r="J71" s="437" t="str">
        <f>Sprache!$E$73</f>
        <v>:</v>
      </c>
      <c r="K71" s="438"/>
    </row>
    <row r="72" spans="2:11" ht="24" customHeight="1" x14ac:dyDescent="0.2">
      <c r="B72" s="442" t="str">
        <f>Planung!$E66</f>
        <v/>
      </c>
      <c r="C72" s="449" t="str">
        <f>Planung!$F66</f>
        <v/>
      </c>
      <c r="D72" s="450" t="str">
        <f>Planung!$G66</f>
        <v/>
      </c>
      <c r="E72" s="450" t="str">
        <f ca="1">Planung!$H66</f>
        <v/>
      </c>
      <c r="F72" s="454" t="str">
        <f ca="1">Planung!$L66</f>
        <v/>
      </c>
      <c r="G72" s="220" t="s">
        <v>5</v>
      </c>
      <c r="H72" s="457" t="str">
        <f ca="1">Planung!$N66</f>
        <v/>
      </c>
      <c r="I72" s="445"/>
      <c r="J72" s="437" t="str">
        <f>Sprache!$E$73</f>
        <v>:</v>
      </c>
      <c r="K72" s="438"/>
    </row>
    <row r="73" spans="2:11" ht="24" customHeight="1" x14ac:dyDescent="0.2">
      <c r="B73" s="442" t="str">
        <f>Planung!$E67</f>
        <v/>
      </c>
      <c r="C73" s="449" t="str">
        <f>Planung!$F67</f>
        <v/>
      </c>
      <c r="D73" s="450" t="str">
        <f>Planung!$G67</f>
        <v/>
      </c>
      <c r="E73" s="450" t="str">
        <f ca="1">Planung!$H67</f>
        <v/>
      </c>
      <c r="F73" s="454" t="str">
        <f ca="1">Planung!$L67</f>
        <v/>
      </c>
      <c r="G73" s="220" t="s">
        <v>5</v>
      </c>
      <c r="H73" s="457" t="str">
        <f ca="1">Planung!$N67</f>
        <v/>
      </c>
      <c r="I73" s="445"/>
      <c r="J73" s="437" t="str">
        <f>Sprache!$E$73</f>
        <v>:</v>
      </c>
      <c r="K73" s="438"/>
    </row>
    <row r="74" spans="2:11" ht="24" customHeight="1" x14ac:dyDescent="0.2">
      <c r="B74" s="442" t="str">
        <f>Planung!$E68</f>
        <v/>
      </c>
      <c r="C74" s="449" t="str">
        <f>Planung!$F68</f>
        <v/>
      </c>
      <c r="D74" s="450" t="str">
        <f>Planung!$G68</f>
        <v/>
      </c>
      <c r="E74" s="450" t="str">
        <f ca="1">Planung!$H68</f>
        <v/>
      </c>
      <c r="F74" s="454" t="str">
        <f ca="1">Planung!$L68</f>
        <v/>
      </c>
      <c r="G74" s="220" t="s">
        <v>5</v>
      </c>
      <c r="H74" s="457" t="str">
        <f ca="1">Planung!$N68</f>
        <v/>
      </c>
      <c r="I74" s="445"/>
      <c r="J74" s="437" t="str">
        <f>Sprache!$E$73</f>
        <v>:</v>
      </c>
      <c r="K74" s="438"/>
    </row>
    <row r="75" spans="2:11" ht="24" customHeight="1" x14ac:dyDescent="0.2">
      <c r="B75" s="442" t="str">
        <f>Planung!$E69</f>
        <v/>
      </c>
      <c r="C75" s="449" t="str">
        <f>Planung!$F69</f>
        <v/>
      </c>
      <c r="D75" s="450" t="str">
        <f>Planung!$G69</f>
        <v/>
      </c>
      <c r="E75" s="450" t="str">
        <f ca="1">Planung!$H69</f>
        <v/>
      </c>
      <c r="F75" s="454" t="str">
        <f ca="1">Planung!$L69</f>
        <v/>
      </c>
      <c r="G75" s="220" t="s">
        <v>5</v>
      </c>
      <c r="H75" s="457" t="str">
        <f ca="1">Planung!$N69</f>
        <v/>
      </c>
      <c r="I75" s="445"/>
      <c r="J75" s="437" t="str">
        <f>Sprache!$E$73</f>
        <v>:</v>
      </c>
      <c r="K75" s="438"/>
    </row>
    <row r="76" spans="2:11" ht="24" customHeight="1" x14ac:dyDescent="0.2">
      <c r="B76" s="442" t="str">
        <f>Planung!$E70</f>
        <v/>
      </c>
      <c r="C76" s="449" t="str">
        <f>Planung!$F70</f>
        <v/>
      </c>
      <c r="D76" s="450" t="str">
        <f>Planung!$G70</f>
        <v/>
      </c>
      <c r="E76" s="450" t="str">
        <f ca="1">Planung!$H70</f>
        <v/>
      </c>
      <c r="F76" s="454" t="str">
        <f ca="1">Planung!$L70</f>
        <v/>
      </c>
      <c r="G76" s="220" t="s">
        <v>5</v>
      </c>
      <c r="H76" s="457" t="str">
        <f ca="1">Planung!$N70</f>
        <v/>
      </c>
      <c r="I76" s="445"/>
      <c r="J76" s="437" t="str">
        <f>Sprache!$E$73</f>
        <v>:</v>
      </c>
      <c r="K76" s="438"/>
    </row>
    <row r="77" spans="2:11" ht="24" customHeight="1" x14ac:dyDescent="0.2">
      <c r="B77" s="442" t="str">
        <f>Planung!$E71</f>
        <v/>
      </c>
      <c r="C77" s="449" t="str">
        <f>Planung!$F71</f>
        <v/>
      </c>
      <c r="D77" s="450" t="str">
        <f>Planung!$G71</f>
        <v/>
      </c>
      <c r="E77" s="450" t="str">
        <f ca="1">Planung!$H71</f>
        <v/>
      </c>
      <c r="F77" s="454" t="str">
        <f ca="1">Planung!$L71</f>
        <v/>
      </c>
      <c r="G77" s="220" t="s">
        <v>5</v>
      </c>
      <c r="H77" s="457" t="str">
        <f ca="1">Planung!$N71</f>
        <v/>
      </c>
      <c r="I77" s="445"/>
      <c r="J77" s="437" t="str">
        <f>Sprache!$E$73</f>
        <v>:</v>
      </c>
      <c r="K77" s="438"/>
    </row>
    <row r="78" spans="2:11" ht="24" customHeight="1" x14ac:dyDescent="0.2">
      <c r="B78" s="442" t="str">
        <f>Planung!$E72</f>
        <v/>
      </c>
      <c r="C78" s="449" t="str">
        <f>Planung!$F72</f>
        <v/>
      </c>
      <c r="D78" s="450" t="str">
        <f>Planung!$G72</f>
        <v/>
      </c>
      <c r="E78" s="450" t="str">
        <f ca="1">Planung!$H72</f>
        <v/>
      </c>
      <c r="F78" s="454" t="str">
        <f ca="1">Planung!$L72</f>
        <v/>
      </c>
      <c r="G78" s="220" t="s">
        <v>5</v>
      </c>
      <c r="H78" s="457" t="str">
        <f ca="1">Planung!$N72</f>
        <v/>
      </c>
      <c r="I78" s="445"/>
      <c r="J78" s="437" t="str">
        <f>Sprache!$E$73</f>
        <v>:</v>
      </c>
      <c r="K78" s="438"/>
    </row>
    <row r="79" spans="2:11" ht="24" customHeight="1" x14ac:dyDescent="0.2">
      <c r="B79" s="442" t="str">
        <f>Planung!$E73</f>
        <v/>
      </c>
      <c r="C79" s="449" t="str">
        <f>Planung!$F73</f>
        <v/>
      </c>
      <c r="D79" s="450" t="str">
        <f>Planung!$G73</f>
        <v/>
      </c>
      <c r="E79" s="450" t="str">
        <f ca="1">Planung!$H73</f>
        <v/>
      </c>
      <c r="F79" s="454" t="str">
        <f ca="1">Planung!$L73</f>
        <v/>
      </c>
      <c r="G79" s="220" t="s">
        <v>5</v>
      </c>
      <c r="H79" s="457" t="str">
        <f ca="1">Planung!$N73</f>
        <v/>
      </c>
      <c r="I79" s="445"/>
      <c r="J79" s="437" t="str">
        <f>Sprache!$E$73</f>
        <v>:</v>
      </c>
      <c r="K79" s="438"/>
    </row>
    <row r="80" spans="2:11" ht="24" customHeight="1" x14ac:dyDescent="0.2">
      <c r="B80" s="442" t="str">
        <f>Planung!$E74</f>
        <v/>
      </c>
      <c r="C80" s="449" t="str">
        <f>Planung!$F74</f>
        <v/>
      </c>
      <c r="D80" s="450" t="str">
        <f>Planung!$G74</f>
        <v/>
      </c>
      <c r="E80" s="450" t="str">
        <f ca="1">Planung!$H74</f>
        <v/>
      </c>
      <c r="F80" s="454" t="str">
        <f ca="1">Planung!$L74</f>
        <v/>
      </c>
      <c r="G80" s="220" t="s">
        <v>5</v>
      </c>
      <c r="H80" s="457" t="str">
        <f ca="1">Planung!$N74</f>
        <v/>
      </c>
      <c r="I80" s="445"/>
      <c r="J80" s="437" t="str">
        <f>Sprache!$E$73</f>
        <v>:</v>
      </c>
      <c r="K80" s="438"/>
    </row>
    <row r="81" spans="2:11" ht="24" customHeight="1" x14ac:dyDescent="0.2">
      <c r="B81" s="442" t="str">
        <f>Planung!$E75</f>
        <v/>
      </c>
      <c r="C81" s="449" t="str">
        <f>Planung!$F75</f>
        <v/>
      </c>
      <c r="D81" s="450" t="str">
        <f>Planung!$G75</f>
        <v/>
      </c>
      <c r="E81" s="450" t="str">
        <f ca="1">Planung!$H75</f>
        <v/>
      </c>
      <c r="F81" s="454" t="str">
        <f ca="1">Planung!$L75</f>
        <v/>
      </c>
      <c r="G81" s="220" t="s">
        <v>5</v>
      </c>
      <c r="H81" s="457" t="str">
        <f ca="1">Planung!$N75</f>
        <v/>
      </c>
      <c r="I81" s="445"/>
      <c r="J81" s="437" t="str">
        <f>Sprache!$E$73</f>
        <v>:</v>
      </c>
      <c r="K81" s="438"/>
    </row>
    <row r="82" spans="2:11" ht="24" customHeight="1" x14ac:dyDescent="0.2">
      <c r="B82" s="442" t="str">
        <f>Planung!$E76</f>
        <v/>
      </c>
      <c r="C82" s="449" t="str">
        <f>Planung!$F76</f>
        <v/>
      </c>
      <c r="D82" s="450" t="str">
        <f>Planung!$G76</f>
        <v/>
      </c>
      <c r="E82" s="450" t="str">
        <f ca="1">Planung!$H76</f>
        <v/>
      </c>
      <c r="F82" s="454" t="str">
        <f ca="1">Planung!$L76</f>
        <v/>
      </c>
      <c r="G82" s="220" t="s">
        <v>5</v>
      </c>
      <c r="H82" s="457" t="str">
        <f ca="1">Planung!$N76</f>
        <v/>
      </c>
      <c r="I82" s="445"/>
      <c r="J82" s="437" t="str">
        <f>Sprache!$E$73</f>
        <v>:</v>
      </c>
      <c r="K82" s="438"/>
    </row>
    <row r="83" spans="2:11" ht="24" customHeight="1" thickBot="1" x14ac:dyDescent="0.25">
      <c r="B83" s="443" t="str">
        <f>Planung!$E77</f>
        <v/>
      </c>
      <c r="C83" s="451" t="str">
        <f>Planung!$F77</f>
        <v/>
      </c>
      <c r="D83" s="452" t="str">
        <f>Planung!$G77</f>
        <v/>
      </c>
      <c r="E83" s="452" t="str">
        <f ca="1">Planung!$H77</f>
        <v/>
      </c>
      <c r="F83" s="455" t="str">
        <f ca="1">Planung!$L77</f>
        <v/>
      </c>
      <c r="G83" s="231" t="s">
        <v>5</v>
      </c>
      <c r="H83" s="458" t="str">
        <f ca="1">Planung!$N77</f>
        <v/>
      </c>
      <c r="I83" s="446"/>
      <c r="J83" s="439" t="str">
        <f>Sprache!$E$73</f>
        <v>:</v>
      </c>
      <c r="K83" s="440"/>
    </row>
    <row r="84" spans="2:11" ht="24" customHeight="1" thickTop="1" x14ac:dyDescent="0.2"/>
  </sheetData>
  <sheetProtection sheet="1" selectLockedCells="1"/>
  <mergeCells count="19">
    <mergeCell ref="M1:N1"/>
    <mergeCell ref="F11:H11"/>
    <mergeCell ref="I11:K11"/>
    <mergeCell ref="M7:U8"/>
    <mergeCell ref="S11:U11"/>
    <mergeCell ref="M11:N11"/>
    <mergeCell ref="M10:N10"/>
    <mergeCell ref="G2:AA2"/>
    <mergeCell ref="G3:AA3"/>
    <mergeCell ref="G4:AA4"/>
    <mergeCell ref="G5:AA5"/>
    <mergeCell ref="W36:AG36"/>
    <mergeCell ref="M36:V36"/>
    <mergeCell ref="AJ10:AK10"/>
    <mergeCell ref="AJ23:AK23"/>
    <mergeCell ref="AJ7:AL8"/>
    <mergeCell ref="M24:N24"/>
    <mergeCell ref="S24:U24"/>
    <mergeCell ref="M23:N23"/>
  </mergeCells>
  <conditionalFormatting sqref="B12:K83">
    <cfRule type="expression" dxfId="44" priority="18">
      <formula>OR($F12="",$H12="")</formula>
    </cfRule>
  </conditionalFormatting>
  <conditionalFormatting sqref="M12:AG20 M25:AG33">
    <cfRule type="expression" dxfId="43" priority="17">
      <formula>$N12=""</formula>
    </cfRule>
  </conditionalFormatting>
  <conditionalFormatting sqref="M12:W20 AG12:AG20 M25:W33 AG25:AG33">
    <cfRule type="expression" dxfId="42" priority="16">
      <formula>OR(AND($M12=$M11,$N11&lt;&gt;""),AND($M12=$M13,$N13&lt;&gt;""))</formula>
    </cfRule>
  </conditionalFormatting>
  <conditionalFormatting sqref="M20:AG20">
    <cfRule type="expression" dxfId="41" priority="15">
      <formula>$N20=""</formula>
    </cfRule>
  </conditionalFormatting>
  <conditionalFormatting sqref="M20:W20 AG20">
    <cfRule type="expression" dxfId="40" priority="14">
      <formula>OR(AND($M20=$M19,$N19&lt;&gt;""),AND($M20=$M21,$N21&lt;&gt;""))</formula>
    </cfRule>
  </conditionalFormatting>
  <conditionalFormatting sqref="AE19:AG19 AD18 M17:AA19 AC17 AF17:AG18">
    <cfRule type="expression" dxfId="39" priority="13">
      <formula>$N17=""</formula>
    </cfRule>
  </conditionalFormatting>
  <conditionalFormatting sqref="M17:W19 AG17:AG19">
    <cfRule type="expression" dxfId="38" priority="12">
      <formula>OR(AND($M17=$M16,$N16&lt;&gt;""),AND($M17=$M18,$N18&lt;&gt;""))</formula>
    </cfRule>
  </conditionalFormatting>
  <conditionalFormatting sqref="M33:AG33">
    <cfRule type="expression" dxfId="37" priority="10">
      <formula>$N33=""</formula>
    </cfRule>
  </conditionalFormatting>
  <conditionalFormatting sqref="M33:W33 AG33">
    <cfRule type="expression" dxfId="36" priority="11">
      <formula>OR(AND($M33=$M32,$N32&lt;&gt;""),AND($M33=#REF!,#REF!&lt;&gt;""))</formula>
    </cfRule>
  </conditionalFormatting>
  <conditionalFormatting sqref="AF30:AG31 AE32:AG32 AD31 M30:AA32 AC30">
    <cfRule type="expression" dxfId="35" priority="9">
      <formula>$N30=""</formula>
    </cfRule>
  </conditionalFormatting>
  <conditionalFormatting sqref="M30:W32 AG30:AG32">
    <cfRule type="expression" dxfId="34" priority="8">
      <formula>OR(AND($M30=$M29,$N29&lt;&gt;""),AND($M30=$M31,$N31&lt;&gt;""))</formula>
    </cfRule>
  </conditionalFormatting>
  <conditionalFormatting sqref="AC18 AC19:AD19 AD17:AE17">
    <cfRule type="expression" dxfId="33" priority="7">
      <formula>$N17=""</formula>
    </cfRule>
  </conditionalFormatting>
  <conditionalFormatting sqref="AE18">
    <cfRule type="expression" dxfId="32" priority="5">
      <formula>$N18=""</formula>
    </cfRule>
  </conditionalFormatting>
  <conditionalFormatting sqref="AB30 AB31:AC31 AB32:AD32 AD30 AE30:AE31">
    <cfRule type="expression" dxfId="31" priority="4">
      <formula>$N30=""</formula>
    </cfRule>
  </conditionalFormatting>
  <conditionalFormatting sqref="AB17">
    <cfRule type="expression" dxfId="30" priority="3">
      <formula>$N17=""</formula>
    </cfRule>
  </conditionalFormatting>
  <conditionalFormatting sqref="AB18">
    <cfRule type="expression" dxfId="29" priority="2">
      <formula>$N18=""</formula>
    </cfRule>
  </conditionalFormatting>
  <conditionalFormatting sqref="AB19">
    <cfRule type="expression" dxfId="28" priority="1">
      <formula>$N19=""</formula>
    </cfRule>
  </conditionalFormatting>
  <dataValidations count="2">
    <dataValidation type="whole" allowBlank="1" showErrorMessage="1" errorTitle="Error" error="Maximal 999 !" sqref="K12:K83 I12:I83" xr:uid="{D9E07FCF-67B7-4BAF-9BC8-AE233331B860}">
      <formula1>0</formula1>
      <formula2>999</formula2>
    </dataValidation>
    <dataValidation type="whole" allowBlank="1" showInputMessage="1" showErrorMessage="1" sqref="AL12:AL20 AL25:AL33"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R4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6384" width="11.42578125" style="49" hidden="1"/>
  </cols>
  <sheetData>
    <row r="1" spans="2:16" ht="13.5" thickBot="1" x14ac:dyDescent="0.25"/>
    <row r="2" spans="2:16" ht="36" customHeight="1" thickTop="1" x14ac:dyDescent="0.2">
      <c r="E2" s="687" t="str">
        <f>Vorrunde!$G$2</f>
        <v>Internationales U10-Turnier am 26.01.2024</v>
      </c>
      <c r="F2" s="688"/>
      <c r="G2" s="688"/>
      <c r="H2" s="688"/>
      <c r="I2" s="688"/>
      <c r="J2" s="688"/>
      <c r="K2" s="688"/>
      <c r="L2" s="688"/>
      <c r="M2" s="688"/>
      <c r="N2" s="688"/>
      <c r="O2" s="688"/>
      <c r="P2" s="689"/>
    </row>
    <row r="3" spans="2:16" ht="30" customHeight="1" x14ac:dyDescent="0.2">
      <c r="E3" s="690" t="str">
        <f>Vorrunde!$G$3</f>
        <v>Veranstalter:  1. FC Riedwald</v>
      </c>
      <c r="F3" s="691"/>
      <c r="G3" s="691"/>
      <c r="H3" s="691"/>
      <c r="I3" s="691"/>
      <c r="J3" s="691"/>
      <c r="K3" s="691"/>
      <c r="L3" s="691"/>
      <c r="M3" s="691"/>
      <c r="N3" s="691"/>
      <c r="O3" s="691"/>
      <c r="P3" s="692"/>
    </row>
    <row r="4" spans="2:16" ht="30" customHeight="1" x14ac:dyDescent="0.2">
      <c r="E4" s="693" t="str">
        <f>Vorrunde!$G$4</f>
        <v>Sporthalle Wiesengrund, Wendiger Str. 51, 65432 Riedwald</v>
      </c>
      <c r="F4" s="694"/>
      <c r="G4" s="694"/>
      <c r="H4" s="694"/>
      <c r="I4" s="694"/>
      <c r="J4" s="694"/>
      <c r="K4" s="694"/>
      <c r="L4" s="694"/>
      <c r="M4" s="694"/>
      <c r="N4" s="694"/>
      <c r="O4" s="694"/>
      <c r="P4" s="695"/>
    </row>
    <row r="5" spans="2:16" ht="30" customHeight="1" thickBot="1" x14ac:dyDescent="0.25">
      <c r="E5" s="696" t="str">
        <f>Vorrunde!$G$5</f>
        <v>Beginn:  9:00 Uhr</v>
      </c>
      <c r="F5" s="697"/>
      <c r="G5" s="697"/>
      <c r="H5" s="697"/>
      <c r="I5" s="697"/>
      <c r="J5" s="697"/>
      <c r="K5" s="697"/>
      <c r="L5" s="697"/>
      <c r="M5" s="697"/>
      <c r="N5" s="697"/>
      <c r="O5" s="697"/>
      <c r="P5" s="698"/>
    </row>
    <row r="6" spans="2:16" ht="18" customHeight="1" thickTop="1" thickBot="1" x14ac:dyDescent="0.25"/>
    <row r="7" spans="2:16" ht="30" customHeight="1" thickTop="1" x14ac:dyDescent="0.2">
      <c r="G7" s="677" t="str">
        <f>Sprache!$E$19</f>
        <v>Endrunde</v>
      </c>
      <c r="H7" s="678"/>
      <c r="I7" s="679"/>
    </row>
    <row r="8" spans="2:16" ht="30" customHeight="1" thickBot="1" x14ac:dyDescent="0.25">
      <c r="G8" s="680"/>
      <c r="H8" s="681"/>
      <c r="I8" s="682"/>
    </row>
    <row r="9" spans="2:16" ht="12.6" customHeight="1" thickTop="1" x14ac:dyDescent="0.2">
      <c r="P9" s="614" t="str">
        <f>Sprache!$E$20</f>
        <v>Zusätzl. Pause (min)</v>
      </c>
    </row>
    <row r="10" spans="2:16" ht="27.95" customHeight="1" thickBot="1" x14ac:dyDescent="0.35">
      <c r="C10" s="686" t="str">
        <f>Sprache!$E$55&amp;IF(MIN(Calc1!$F$13,Calc2!$F$13)*2&lt;2,""," 1 - "&amp;MIN(Calc1!$F$13,Calc2!$F$13)*2)</f>
        <v>Spiele um die Plätze  1 - 16</v>
      </c>
      <c r="D10" s="686"/>
      <c r="E10" s="686"/>
      <c r="F10" s="686"/>
      <c r="P10" s="614"/>
    </row>
    <row r="11" spans="2:16" ht="24" customHeight="1" thickTop="1" thickBot="1" x14ac:dyDescent="0.25">
      <c r="B11" s="352"/>
      <c r="C11" s="396" t="str">
        <f>Sprache!$E$9</f>
        <v>Nr.</v>
      </c>
      <c r="D11" s="348" t="str">
        <f>Sprache!$E$39</f>
        <v>Beginn</v>
      </c>
      <c r="E11" s="337" t="str">
        <f>Sprache!$E$48</f>
        <v>Feld</v>
      </c>
      <c r="F11" s="337"/>
      <c r="G11" s="650" t="str">
        <f>Sprache!$E$14</f>
        <v>Spielpaarung</v>
      </c>
      <c r="H11" s="651"/>
      <c r="I11" s="652"/>
      <c r="J11" s="653" t="str">
        <f>Sprache!$E$15</f>
        <v>Ergebnis</v>
      </c>
      <c r="K11" s="651"/>
      <c r="L11" s="652"/>
      <c r="M11" s="653" t="str">
        <f>Sprache!$E$63</f>
        <v>Elfmeter</v>
      </c>
      <c r="N11" s="651"/>
      <c r="O11" s="654"/>
      <c r="P11" s="615"/>
    </row>
    <row r="12" spans="2:16" s="319" customFormat="1" ht="24" customHeight="1" x14ac:dyDescent="0.2">
      <c r="B12" s="387"/>
      <c r="C12" s="395">
        <f t="array" aca="1" ref="C12" ca="1">73-SUM(((Planung!$L$6:$L$77="")+(Planung!$N$6:$N$77="")&gt;0)*1)</f>
        <v>57</v>
      </c>
      <c r="D12" s="349">
        <f ca="1">IF(Planung!$U$16,"",Planung!$R$13+(Planung!$R$9+Planung!$P$77)/1440)</f>
        <v>0.71527777777777779</v>
      </c>
      <c r="E12" s="344">
        <f>IF(Planung!$U$16,"",1)</f>
        <v>1</v>
      </c>
      <c r="F12" s="333" t="s">
        <v>347</v>
      </c>
      <c r="G12" s="334" t="str">
        <f ca="1">Vorrunde!$N$20</f>
        <v/>
      </c>
      <c r="H12" s="335" t="s">
        <v>5</v>
      </c>
      <c r="I12" s="336" t="str">
        <f ca="1">Vorrunde!$N$33</f>
        <v/>
      </c>
      <c r="J12" s="338"/>
      <c r="K12" s="342" t="str">
        <f>Sprache!$E$73</f>
        <v>:</v>
      </c>
      <c r="L12" s="355"/>
      <c r="M12" s="356"/>
      <c r="N12" s="342" t="str">
        <f>Sprache!$E$73</f>
        <v>:</v>
      </c>
      <c r="O12" s="339"/>
      <c r="P12" s="345"/>
    </row>
    <row r="13" spans="2:16" s="319" customFormat="1" ht="24" customHeight="1" x14ac:dyDescent="0.2">
      <c r="B13" s="387"/>
      <c r="C13" s="395">
        <f t="array" aca="1" ref="C13" ca="1">ROW($A74)-SUM(((Planung!$L$6:$L$77="")+(Planung!$N$6:$N$77="")&gt;0)*1)-SUM((($G$12:$G12="")+($I$12:$I12="")&gt;0)*1)</f>
        <v>57</v>
      </c>
      <c r="D13" s="350">
        <f t="array" aca="1" ref="D13" ca="1">IF(Planung!$U$16,"",$D$12+QUOTIENT(($C13-$C$12),Planung!$U$18)*(Planung!$R$7+Planung!$R$9)/1440+SUM($P$12:$P12)/1440)</f>
        <v>0.71527777777777779</v>
      </c>
      <c r="E13" s="344">
        <f ca="1">IF(Planung!$U$16,"",MOD($C13-$C$12,Planung!$U$18)+1)</f>
        <v>1</v>
      </c>
      <c r="F13" s="331" t="s">
        <v>348</v>
      </c>
      <c r="G13" s="327" t="str">
        <f ca="1">Vorrunde!$N$19</f>
        <v>1. FC Riedwald</v>
      </c>
      <c r="H13" s="153" t="s">
        <v>5</v>
      </c>
      <c r="I13" s="329" t="str">
        <f ca="1">Vorrunde!$N$32</f>
        <v>SSV Wildbach</v>
      </c>
      <c r="J13" s="340">
        <v>2</v>
      </c>
      <c r="K13" s="342" t="str">
        <f>Sprache!$E$73</f>
        <v>:</v>
      </c>
      <c r="L13" s="323">
        <v>0</v>
      </c>
      <c r="M13" s="357"/>
      <c r="N13" s="342" t="str">
        <f>Sprache!$E$73</f>
        <v>:</v>
      </c>
      <c r="O13" s="324"/>
      <c r="P13" s="346"/>
    </row>
    <row r="14" spans="2:16" s="319" customFormat="1" ht="24" customHeight="1" x14ac:dyDescent="0.2">
      <c r="B14" s="387"/>
      <c r="C14" s="395">
        <f t="array" aca="1" ref="C14" ca="1">ROW($A75)-SUM(((Planung!$L$6:$L$77="")+(Planung!$N$6:$N$77="")&gt;0)*1)-SUM((($G$12:$G13="")+($I$12:$I13="")&gt;0)*1)</f>
        <v>58</v>
      </c>
      <c r="D14" s="350">
        <f t="array" aca="1" ref="D14" ca="1">IF(Planung!$U$16,"",$D$12+QUOTIENT(($C14-$C$12),Planung!$U$18)*(Planung!$R$7+Planung!$R$9)/1440+SUM($P$12:$P13)/1440)</f>
        <v>0.71527777777777779</v>
      </c>
      <c r="E14" s="344">
        <f ca="1">IF(Planung!$U$16,"",MOD($C14-$C$12,Planung!$U$18)+1)</f>
        <v>2</v>
      </c>
      <c r="F14" s="331" t="s">
        <v>349</v>
      </c>
      <c r="G14" s="327" t="str">
        <f ca="1">Vorrunde!$N$18</f>
        <v>VFB Essenheim</v>
      </c>
      <c r="H14" s="153" t="s">
        <v>5</v>
      </c>
      <c r="I14" s="329" t="str">
        <f ca="1">Vorrunde!$N$31</f>
        <v>VFL Ronsdorf</v>
      </c>
      <c r="J14" s="340">
        <v>2</v>
      </c>
      <c r="K14" s="342" t="str">
        <f>Sprache!$E$73</f>
        <v>:</v>
      </c>
      <c r="L14" s="323">
        <v>4</v>
      </c>
      <c r="M14" s="357"/>
      <c r="N14" s="342" t="str">
        <f>Sprache!$E$73</f>
        <v>:</v>
      </c>
      <c r="O14" s="324"/>
      <c r="P14" s="346"/>
    </row>
    <row r="15" spans="2:16" s="319" customFormat="1" ht="24" customHeight="1" x14ac:dyDescent="0.2">
      <c r="B15" s="387"/>
      <c r="C15" s="395">
        <f t="array" aca="1" ref="C15" ca="1">ROW($A76)-SUM(((Planung!$L$6:$L$77="")+(Planung!$N$6:$N$77="")&gt;0)*1)-SUM((($G$12:$G14="")+($I$12:$I14="")&gt;0)*1)</f>
        <v>59</v>
      </c>
      <c r="D15" s="350">
        <f t="array" aca="1" ref="D15" ca="1">IF(Planung!$U$16,"",$D$12+QUOTIENT(($C15-$C$12),Planung!$U$18)*(Planung!$R$7+Planung!$R$9)/1440+SUM($P$12:$P14)/1440)</f>
        <v>0.71527777777777779</v>
      </c>
      <c r="E15" s="344">
        <f ca="1">IF(Planung!$U$16,"",MOD($C15-$C$12,Planung!$U$18)+1)</f>
        <v>3</v>
      </c>
      <c r="F15" s="333" t="s">
        <v>227</v>
      </c>
      <c r="G15" s="327" t="str">
        <f ca="1">Vorrunde!$N$17</f>
        <v>Maibach 1822 eV</v>
      </c>
      <c r="H15" s="153" t="s">
        <v>5</v>
      </c>
      <c r="I15" s="329" t="str">
        <f ca="1">Vorrunde!$N$30</f>
        <v>FC Grönlingen</v>
      </c>
      <c r="J15" s="340">
        <v>1</v>
      </c>
      <c r="K15" s="343" t="str">
        <f>Sprache!$E$73</f>
        <v>:</v>
      </c>
      <c r="L15" s="323">
        <v>2</v>
      </c>
      <c r="M15" s="357"/>
      <c r="N15" s="343" t="str">
        <f>Sprache!$E$73</f>
        <v>:</v>
      </c>
      <c r="O15" s="324"/>
      <c r="P15" s="346"/>
    </row>
    <row r="16" spans="2:16" s="319" customFormat="1" ht="24" customHeight="1" x14ac:dyDescent="0.2">
      <c r="B16" s="387"/>
      <c r="C16" s="395">
        <f t="array" aca="1" ref="C16" ca="1">ROW($A77)-SUM(((Planung!$L$6:$L$77="")+(Planung!$N$6:$N$77="")&gt;0)*1)-SUM((($G$12:$G15="")+($I$12:$I15="")&gt;0)*1)</f>
        <v>60</v>
      </c>
      <c r="D16" s="350">
        <f t="array" aca="1" ref="D16" ca="1">IF(Planung!$U$16,"",$D$12+QUOTIENT(($C16-$C$12),Planung!$U$18)*(Planung!$R$7+Planung!$R$9)/1440+SUM($P$12:$P15)/1440)</f>
        <v>0.71527777777777779</v>
      </c>
      <c r="E16" s="344">
        <f ca="1">IF(Planung!$U$16,"",MOD($C16-$C$12,Planung!$U$18)+1)</f>
        <v>4</v>
      </c>
      <c r="F16" s="331" t="s">
        <v>228</v>
      </c>
      <c r="G16" s="327" t="str">
        <f ca="1">Vorrunde!$N$16</f>
        <v>Knock Out Rangers</v>
      </c>
      <c r="H16" s="153" t="s">
        <v>5</v>
      </c>
      <c r="I16" s="329" t="str">
        <f ca="1">Vorrunde!$N$29</f>
        <v>Borussia Heine</v>
      </c>
      <c r="J16" s="340">
        <v>3</v>
      </c>
      <c r="K16" s="343" t="str">
        <f>Sprache!$E$73</f>
        <v>:</v>
      </c>
      <c r="L16" s="323">
        <v>2</v>
      </c>
      <c r="M16" s="357"/>
      <c r="N16" s="343" t="str">
        <f>Sprache!$E$73</f>
        <v>:</v>
      </c>
      <c r="O16" s="324"/>
      <c r="P16" s="362"/>
    </row>
    <row r="17" spans="2:16" s="319" customFormat="1" ht="24" customHeight="1" x14ac:dyDescent="0.2">
      <c r="B17" s="387"/>
      <c r="C17" s="395">
        <f t="array" aca="1" ref="C17" ca="1">ROW($A78)-SUM(((Planung!$L$6:$L$77="")+(Planung!$N$6:$N$77="")&gt;0)*1)-SUM((($G$12:$G16="")+($I$12:$I16="")&gt;0)*1)</f>
        <v>61</v>
      </c>
      <c r="D17" s="350">
        <f t="array" aca="1" ref="D17" ca="1">IF(Planung!$U$16,"",$D$12+QUOTIENT(($C17-$C$12),Planung!$U$18)*(Planung!$R$7+Planung!$R$9)/1440+SUM($P$12:$P16)/1440)</f>
        <v>0.73958333333333337</v>
      </c>
      <c r="E17" s="344">
        <f ca="1">IF(Planung!$U$16,"",MOD($C17-$C$12,Planung!$U$18)+1)</f>
        <v>1</v>
      </c>
      <c r="F17" s="331" t="s">
        <v>229</v>
      </c>
      <c r="G17" s="327" t="str">
        <f ca="1">Vorrunde!$N$15</f>
        <v>Fun Kickers Oes</v>
      </c>
      <c r="H17" s="153" t="s">
        <v>5</v>
      </c>
      <c r="I17" s="329" t="str">
        <f ca="1">Vorrunde!$N$28</f>
        <v>Mainz 05</v>
      </c>
      <c r="J17" s="340">
        <v>4</v>
      </c>
      <c r="K17" s="343" t="str">
        <f>Sprache!$E$73</f>
        <v>:</v>
      </c>
      <c r="L17" s="323">
        <v>3</v>
      </c>
      <c r="M17" s="357"/>
      <c r="N17" s="343" t="str">
        <f>Sprache!$E$73</f>
        <v>:</v>
      </c>
      <c r="O17" s="324"/>
      <c r="P17" s="362"/>
    </row>
    <row r="18" spans="2:16" s="319" customFormat="1" ht="24" customHeight="1" x14ac:dyDescent="0.2">
      <c r="B18" s="388"/>
      <c r="C18" s="395">
        <f t="array" aca="1" ref="C18" ca="1">ROW($A79)-SUM(((Planung!$L$6:$L$77="")+(Planung!$N$6:$N$77="")&gt;0)*1)-SUM((($G$12:$G17="")+($I$12:$I17="")&gt;0)*1)</f>
        <v>62</v>
      </c>
      <c r="D18" s="350">
        <f t="array" aca="1" ref="D18" ca="1">IF(Planung!$U$16,"",$D$12+QUOTIENT(($C18-$C$12),Planung!$U$18)*(Planung!$R$7+Planung!$R$9)/1440+SUM($P$12:$P17)/1440)</f>
        <v>0.73958333333333337</v>
      </c>
      <c r="E18" s="344">
        <f ca="1">IF(Planung!$U$16,"",MOD($C18-$C$12,Planung!$U$18)+1)</f>
        <v>2</v>
      </c>
      <c r="F18" s="331" t="s">
        <v>230</v>
      </c>
      <c r="G18" s="327" t="str">
        <f ca="1">Vorrunde!$N$14</f>
        <v>Raslo Winners</v>
      </c>
      <c r="H18" s="153" t="s">
        <v>5</v>
      </c>
      <c r="I18" s="329" t="str">
        <f ca="1">Vorrunde!$N$27</f>
        <v>Inter Mailand</v>
      </c>
      <c r="J18" s="340">
        <v>5</v>
      </c>
      <c r="K18" s="343" t="str">
        <f>Sprache!$E$73</f>
        <v>:</v>
      </c>
      <c r="L18" s="323">
        <v>4</v>
      </c>
      <c r="M18" s="357"/>
      <c r="N18" s="343" t="str">
        <f>Sprache!$E$73</f>
        <v>:</v>
      </c>
      <c r="O18" s="324"/>
      <c r="P18" s="362"/>
    </row>
    <row r="19" spans="2:16" s="319" customFormat="1" ht="24" customHeight="1" x14ac:dyDescent="0.2">
      <c r="B19" s="388"/>
      <c r="C19" s="395">
        <f t="array" aca="1" ref="C19" ca="1">ROW($A80)-SUM(((Planung!$L$6:$L$77="")+(Planung!$N$6:$N$77="")&gt;0)*1)-SUM((($G$12:$G18="")+($I$12:$I18="")&gt;0)*1)</f>
        <v>63</v>
      </c>
      <c r="D19" s="350">
        <f t="array" aca="1" ref="D19" ca="1">IF(Planung!$U$16,"",$D$12+QUOTIENT(($C19-$C$12),Planung!$U$18)*(Planung!$R$7+Planung!$R$9)/1440+SUM($P$12:$P18)/1440)</f>
        <v>0.73958333333333337</v>
      </c>
      <c r="E19" s="344">
        <f ca="1">IF(Planung!$U$16,"",MOD($C19-$C$12,Planung!$U$18)+1)</f>
        <v>3</v>
      </c>
      <c r="F19" s="331" t="s">
        <v>231</v>
      </c>
      <c r="G19" s="327" t="str">
        <f ca="1">Vorrunde!$N$13</f>
        <v>Eintracht Frankfurt</v>
      </c>
      <c r="H19" s="153" t="s">
        <v>5</v>
      </c>
      <c r="I19" s="329" t="str">
        <f ca="1">Vorrunde!$N$26</f>
        <v>AC Roma</v>
      </c>
      <c r="J19" s="340">
        <v>1</v>
      </c>
      <c r="K19" s="343" t="str">
        <f>Sprache!$E$73</f>
        <v>:</v>
      </c>
      <c r="L19" s="323">
        <v>1</v>
      </c>
      <c r="M19" s="357">
        <v>6</v>
      </c>
      <c r="N19" s="343" t="str">
        <f>Sprache!$E$73</f>
        <v>:</v>
      </c>
      <c r="O19" s="324">
        <v>5</v>
      </c>
      <c r="P19" s="362"/>
    </row>
    <row r="20" spans="2:16" s="319" customFormat="1" ht="24" customHeight="1" thickBot="1" x14ac:dyDescent="0.25">
      <c r="B20" s="388"/>
      <c r="C20" s="579">
        <f t="array" aca="1" ref="C20" ca="1">ROW($A81)-SUM(((Planung!$L$6:$L$77="")+(Planung!$N$6:$N$77="")&gt;0)*1)-SUM((($G$12:$G19="")+($I$12:$I19="")&gt;0)*1)</f>
        <v>64</v>
      </c>
      <c r="D20" s="351">
        <f t="array" aca="1" ref="D20" ca="1">IF(Planung!$U$16,"",$D$12+QUOTIENT(($C20-$C$12),Planung!$U$18)*(Planung!$R$7+Planung!$R$9)/1440+SUM($P$12:$P19)/1440)</f>
        <v>0.73958333333333337</v>
      </c>
      <c r="E20" s="347">
        <f ca="1">IF(Planung!$U$16,"",MOD($C20-$C$12,Planung!$U$18)+1)</f>
        <v>4</v>
      </c>
      <c r="F20" s="332" t="s">
        <v>232</v>
      </c>
      <c r="G20" s="328" t="str">
        <f ca="1">Vorrunde!$N$12</f>
        <v>FC Barcelona</v>
      </c>
      <c r="H20" s="154" t="s">
        <v>5</v>
      </c>
      <c r="I20" s="330" t="str">
        <f ca="1">Vorrunde!$N$25</f>
        <v>Manchester City</v>
      </c>
      <c r="J20" s="341">
        <v>4</v>
      </c>
      <c r="K20" s="379" t="s">
        <v>233</v>
      </c>
      <c r="L20" s="325">
        <v>1</v>
      </c>
      <c r="M20" s="358"/>
      <c r="N20" s="379" t="str">
        <f>Sprache!$E$73</f>
        <v>:</v>
      </c>
      <c r="O20" s="326"/>
      <c r="P20" s="363"/>
    </row>
    <row r="21" spans="2:16" ht="13.5" thickTop="1" x14ac:dyDescent="0.2"/>
    <row r="22" spans="2:16" ht="24" customHeight="1" x14ac:dyDescent="0.2">
      <c r="C22" s="359"/>
      <c r="D22" s="359"/>
      <c r="E22" s="359"/>
      <c r="F22" s="359"/>
      <c r="G22" s="685" t="str">
        <f>Sprache!$E$29</f>
        <v>Turnierende:</v>
      </c>
      <c r="H22" s="685"/>
      <c r="I22" s="360">
        <f ca="1">IF(Planung!$R$13="","",$D$20+Planung!$R$7/1440)</f>
        <v>0.76041666666666674</v>
      </c>
      <c r="J22" s="361"/>
      <c r="K22" s="361"/>
      <c r="L22" s="361"/>
      <c r="M22" s="361"/>
      <c r="N22" s="361"/>
      <c r="O22" s="361"/>
      <c r="P22" s="361"/>
    </row>
    <row r="23" spans="2:16" x14ac:dyDescent="0.2">
      <c r="D23" s="353"/>
    </row>
    <row r="24" spans="2:16" ht="13.5" thickBot="1" x14ac:dyDescent="0.25">
      <c r="D24" s="353"/>
    </row>
    <row r="25" spans="2:16" ht="22.5" customHeight="1" thickBot="1" x14ac:dyDescent="0.25">
      <c r="F25" s="460" t="str">
        <f>Sprache!$E$81</f>
        <v>Rang</v>
      </c>
      <c r="G25" s="675" t="str">
        <f>"  "&amp;Sprache!$E$10</f>
        <v xml:space="preserve">  Teilnehmer bzw. Mannschaft</v>
      </c>
      <c r="H25" s="675"/>
      <c r="I25" s="676"/>
    </row>
    <row r="26" spans="2:16" ht="22.5" customHeight="1" thickTop="1" x14ac:dyDescent="0.2">
      <c r="F26" s="397">
        <v>1</v>
      </c>
      <c r="G26" s="699" t="str">
        <f ca="1">IF(AND($G20="",$I20=""),"",IF(AND($G20&lt;&gt;"",$I20=""),$G20,IF(AND($G20="",$I20&lt;&gt;""),$I20,IF(OR($J20="",$L20=""),"",IF($J20&gt;$L20,$G20,IF($J20&lt;$L20,$I20,IF($M20&gt;$O20,$G20,IF($M20&lt;$O20,$I20,""))))))))</f>
        <v>FC Barcelona</v>
      </c>
      <c r="H26" s="699"/>
      <c r="I26" s="700"/>
    </row>
    <row r="27" spans="2:16" ht="22.5" customHeight="1" x14ac:dyDescent="0.2">
      <c r="F27" s="398">
        <v>2</v>
      </c>
      <c r="G27" s="701" t="str">
        <f ca="1">IF(OR($G20="",$I20="",$J20="",$L20=""),"",IF($J20&lt;$L20,$G20,IF($J20&gt;$L20,$I20,IF($M20&lt;$O20,$G20,IF($M20&gt;$O20,$I20,"")))))</f>
        <v>Manchester City</v>
      </c>
      <c r="H27" s="701"/>
      <c r="I27" s="702"/>
    </row>
    <row r="28" spans="2:16" ht="22.5" customHeight="1" x14ac:dyDescent="0.2">
      <c r="F28" s="399">
        <v>3</v>
      </c>
      <c r="G28" s="703" t="str">
        <f ca="1">IF(AND($G19="",$I19=""),"",IF(AND($G19&lt;&gt;"",$I19=""),$G19,IF(AND($G19="",$I19&lt;&gt;""),$I19,IF(OR($J19="",$L19=""),"",IF($J19&gt;$L19,$G19,IF($J19&lt;$L19,$I19,IF($M19&gt;$O19,$G19,IF($M19&lt;$O19,$I19,""))))))))</f>
        <v>Eintracht Frankfurt</v>
      </c>
      <c r="H28" s="703"/>
      <c r="I28" s="704"/>
    </row>
    <row r="29" spans="2:16" ht="22.5" customHeight="1" x14ac:dyDescent="0.2">
      <c r="F29" s="400">
        <v>4</v>
      </c>
      <c r="G29" s="683" t="str">
        <f ca="1">IF(OR($G19="",$I19="",$J19="",$L19=""),"",IF($J19&lt;$L19,$G19,IF($J19&gt;$L19,$I19,IF($M19&lt;$O19,$G19,IF($M19&gt;$O19,$I19,"")))))</f>
        <v>AC Roma</v>
      </c>
      <c r="H29" s="683"/>
      <c r="I29" s="684"/>
    </row>
    <row r="30" spans="2:16" ht="22.5" customHeight="1" x14ac:dyDescent="0.2">
      <c r="F30" s="400">
        <v>5</v>
      </c>
      <c r="G30" s="683" t="str">
        <f ca="1">IF(AND($G18="",$I18=""),"",IF(AND($G18&lt;&gt;"",$I18=""),$G18,IF(AND($G18="",$I18&lt;&gt;""),$I18,IF(OR($J18="",$L18=""),"",IF($J18&gt;$L18,$G18,IF($J18&lt;$L18,$I18,IF($M18&gt;$O18,$G18,IF($M18&lt;$O18,$I18,""))))))))</f>
        <v>Raslo Winners</v>
      </c>
      <c r="H30" s="683"/>
      <c r="I30" s="684"/>
    </row>
    <row r="31" spans="2:16" ht="22.5" customHeight="1" x14ac:dyDescent="0.2">
      <c r="F31" s="400">
        <v>6</v>
      </c>
      <c r="G31" s="683" t="str">
        <f ca="1">IF(OR($G18="",$I18="",$J18="",$L18=""),"",IF($J18&lt;$L18,$G18,IF($J18&gt;$L18,$I18,IF($M18&lt;$O18,$G18,IF($M18&gt;$O18,$I18,"")))))</f>
        <v>Inter Mailand</v>
      </c>
      <c r="H31" s="683"/>
      <c r="I31" s="684"/>
    </row>
    <row r="32" spans="2:16" ht="24" customHeight="1" x14ac:dyDescent="0.2">
      <c r="E32" s="354">
        <v>1</v>
      </c>
      <c r="F32" s="400">
        <v>7</v>
      </c>
      <c r="G32" s="683" t="str">
        <f ca="1">IF(AND($G17="",$I17=""),"",IF(AND($G17&lt;&gt;"",$I17=""),$G17,IF(AND($G17="",$I17&lt;&gt;""),$I17,IF(OR($J17="",$L17=""),"",IF($J17&gt;$L17,$G17,IF($J17&lt;$L17,$I17,IF($M17&gt;$O17,$G17,IF($M17&lt;$O17,$I17,""))))))))</f>
        <v>Fun Kickers Oes</v>
      </c>
      <c r="H32" s="683"/>
      <c r="I32" s="684"/>
    </row>
    <row r="33" spans="5:9" ht="24" customHeight="1" x14ac:dyDescent="0.2">
      <c r="E33" s="354">
        <v>2</v>
      </c>
      <c r="F33" s="400">
        <v>8</v>
      </c>
      <c r="G33" s="683" t="str">
        <f ca="1">IF(OR($G17="",$I17="",$J17="",$L17=""),"",IF($J17&lt;$L17,$G17,IF($J17&gt;$L17,$I17,IF($M17&lt;$O17,$G17,IF($M17&gt;$O17,$I17,"")))))</f>
        <v>Mainz 05</v>
      </c>
      <c r="H33" s="683"/>
      <c r="I33" s="684"/>
    </row>
    <row r="34" spans="5:9" ht="24" customHeight="1" x14ac:dyDescent="0.2">
      <c r="E34" s="354">
        <v>3</v>
      </c>
      <c r="F34" s="400">
        <v>9</v>
      </c>
      <c r="G34" s="683" t="str">
        <f ca="1">IF(AND($G16="",$I16=""),"",IF(AND($G16&lt;&gt;"",$I16=""),$G16,IF(AND($G16="",$I16&lt;&gt;""),$I16,IF(OR($J16="",$L16=""),"",IF($J16&gt;$L16,$G16,IF($J16&lt;$L16,$I16,IF($M16&gt;$O16,$G16,IF($M16&lt;$O16,$I16,""))))))))</f>
        <v>Knock Out Rangers</v>
      </c>
      <c r="H34" s="683"/>
      <c r="I34" s="684"/>
    </row>
    <row r="35" spans="5:9" ht="24" customHeight="1" x14ac:dyDescent="0.2">
      <c r="E35" s="354">
        <v>4</v>
      </c>
      <c r="F35" s="400">
        <v>10</v>
      </c>
      <c r="G35" s="683" t="str">
        <f ca="1">IF(OR($G16="",$I16="",$J16="",$L16=""),"",IF($J16&lt;$L16,$G16,IF($J16&gt;$L16,$I16,IF($M16&lt;$O16,$G16,IF($M16&gt;$O16,$I16,"")))))</f>
        <v>Borussia Heine</v>
      </c>
      <c r="H35" s="683"/>
      <c r="I35" s="684"/>
    </row>
    <row r="36" spans="5:9" ht="24" customHeight="1" x14ac:dyDescent="0.2">
      <c r="E36" s="354">
        <v>5</v>
      </c>
      <c r="F36" s="400">
        <v>11</v>
      </c>
      <c r="G36" s="683" t="str">
        <f ca="1">IF(AND($G15="",$I15=""),"",IF(AND($G15&lt;&gt;"",$I15=""),$G15,IF(AND($G15="",$I15&lt;&gt;""),$I15,IF(OR($J15="",$L15=""),"",IF($J15&gt;$L15,$G15,IF($J15&lt;$L15,$I15,IF($M15&gt;$O15,$G15,IF($M15&lt;$O15,$I15,""))))))))</f>
        <v>FC Grönlingen</v>
      </c>
      <c r="H36" s="683"/>
      <c r="I36" s="684"/>
    </row>
    <row r="37" spans="5:9" ht="24" customHeight="1" x14ac:dyDescent="0.2">
      <c r="E37" s="354">
        <v>6</v>
      </c>
      <c r="F37" s="400">
        <v>12</v>
      </c>
      <c r="G37" s="683" t="str">
        <f ca="1">IF(OR($G15="",$I15="",$J15="",$L15=""),"",IF($J15&lt;$L15,$G15,IF($J15&gt;$L15,$I15,IF($M15&lt;$O15,$G15,IF($M15&gt;$O15,$I15,"")))))</f>
        <v>Maibach 1822 eV</v>
      </c>
      <c r="H37" s="683"/>
      <c r="I37" s="684"/>
    </row>
    <row r="38" spans="5:9" ht="24" customHeight="1" x14ac:dyDescent="0.2">
      <c r="E38" s="354">
        <v>7</v>
      </c>
      <c r="F38" s="400">
        <v>13</v>
      </c>
      <c r="G38" s="683" t="str">
        <f ca="1">IF(AND($G14="",$I14=""),"",IF(AND($G14&lt;&gt;"",$I14=""),$G14,IF(AND($G14="",$I14&lt;&gt;""),$I14,IF(OR($J14="",$L14=""),"",IF($J14&gt;$L14,$G14,IF($J14&lt;$L14,$I14,IF($M14&gt;$O14,$G14,IF($M14&lt;$O14,$I14,""))))))))</f>
        <v>VFL Ronsdorf</v>
      </c>
      <c r="H38" s="683"/>
      <c r="I38" s="684"/>
    </row>
    <row r="39" spans="5:9" ht="24" customHeight="1" x14ac:dyDescent="0.2">
      <c r="E39" s="354">
        <v>8</v>
      </c>
      <c r="F39" s="400">
        <v>14</v>
      </c>
      <c r="G39" s="683" t="str">
        <f ca="1">IF(OR($G14="",$I14="",$J14="",$L14=""),"",IF($J14&lt;$L14,$G14,IF($J14&gt;$L14,$I14,IF($M14&lt;$O14,$G14,IF($M14&gt;$O14,$I14,"")))))</f>
        <v>VFB Essenheim</v>
      </c>
      <c r="H39" s="683"/>
      <c r="I39" s="684"/>
    </row>
    <row r="40" spans="5:9" ht="24" customHeight="1" x14ac:dyDescent="0.2">
      <c r="E40" s="354">
        <v>9</v>
      </c>
      <c r="F40" s="400">
        <v>15</v>
      </c>
      <c r="G40" s="683" t="str">
        <f ca="1">IF(AND($G13="",$I13=""),"",IF(AND($G13&lt;&gt;"",$I13=""),$G13,IF(AND($G13="",$I13&lt;&gt;""),$I13,IF(OR($J13="",$L13=""),"",IF($J13&gt;$L13,$G13,IF($J13&lt;$L13,$I13,IF($M13&gt;$O13,$G13,IF($M13&lt;$O13,$I13,""))))))))</f>
        <v>1. FC Riedwald</v>
      </c>
      <c r="H40" s="683"/>
      <c r="I40" s="684"/>
    </row>
    <row r="41" spans="5:9" ht="24" customHeight="1" x14ac:dyDescent="0.2">
      <c r="E41" s="354">
        <v>10</v>
      </c>
      <c r="F41" s="400">
        <v>16</v>
      </c>
      <c r="G41" s="683" t="str">
        <f ca="1">IF(OR($G13="",$I13="",$J13="",$L13=""),"",IF($J13&lt;$L13,$G13,IF($J13&gt;$L13,$I13,IF($M13&lt;$O13,$G13,IF($M13&gt;$O13,$I13,"")))))</f>
        <v>SSV Wildbach</v>
      </c>
      <c r="H41" s="683"/>
      <c r="I41" s="684"/>
    </row>
    <row r="42" spans="5:9" ht="24" customHeight="1" x14ac:dyDescent="0.2">
      <c r="E42" s="354">
        <v>11</v>
      </c>
      <c r="F42" s="400">
        <v>17</v>
      </c>
      <c r="G42" s="683" t="str">
        <f ca="1">IF(AND($G12="",$I12=""),"",IF(AND($G12&lt;&gt;"",$I12=""),$G12,IF(AND($G12="",$I12&lt;&gt;""),$I12,IF(OR($J12="",$L12=""),"",IF($J12&gt;$L12,$G12,IF($J12&lt;$L12,$I12,IF($M12&gt;$O12,$G12,IF($M12&lt;$O12,$I12,""))))))))</f>
        <v/>
      </c>
      <c r="H42" s="683"/>
      <c r="I42" s="684"/>
    </row>
    <row r="43" spans="5:9" ht="24" customHeight="1" thickBot="1" x14ac:dyDescent="0.25">
      <c r="E43" s="354">
        <v>12</v>
      </c>
      <c r="F43" s="401">
        <v>18</v>
      </c>
      <c r="G43" s="673" t="str">
        <f ca="1">IF(OR($G12="",$I12="",$J12="",$L12=""),"",IF($J12&lt;$L12,$G12,IF($J12&gt;$L12,$I12,IF($M12&lt;$O12,$G12,IF($M12&gt;$O12,$I12,"")))))</f>
        <v/>
      </c>
      <c r="H43" s="673"/>
      <c r="I43" s="674"/>
    </row>
    <row r="44" spans="5:9" ht="13.5" thickTop="1" x14ac:dyDescent="0.2"/>
    <row r="45" spans="5:9" x14ac:dyDescent="0.2"/>
    <row r="46" spans="5:9" x14ac:dyDescent="0.2"/>
    <row r="47" spans="5:9" x14ac:dyDescent="0.2"/>
  </sheetData>
  <sheetProtection sheet="1" selectLockedCells="1"/>
  <mergeCells count="30">
    <mergeCell ref="G31:I31"/>
    <mergeCell ref="J11:L11"/>
    <mergeCell ref="C10:F10"/>
    <mergeCell ref="E2:P2"/>
    <mergeCell ref="E3:P3"/>
    <mergeCell ref="E4:P4"/>
    <mergeCell ref="E5:P5"/>
    <mergeCell ref="P9:P11"/>
    <mergeCell ref="M11:O11"/>
    <mergeCell ref="G26:I26"/>
    <mergeCell ref="G27:I27"/>
    <mergeCell ref="G28:I28"/>
    <mergeCell ref="G29:I29"/>
    <mergeCell ref="G30:I30"/>
    <mergeCell ref="G43:I43"/>
    <mergeCell ref="G25:I25"/>
    <mergeCell ref="G7:I8"/>
    <mergeCell ref="G37:I37"/>
    <mergeCell ref="G38:I38"/>
    <mergeCell ref="G39:I39"/>
    <mergeCell ref="G40:I40"/>
    <mergeCell ref="G41:I41"/>
    <mergeCell ref="G42:I42"/>
    <mergeCell ref="G32:I32"/>
    <mergeCell ref="G33:I33"/>
    <mergeCell ref="G34:I34"/>
    <mergeCell ref="G35:I35"/>
    <mergeCell ref="G36:I36"/>
    <mergeCell ref="G11:I11"/>
    <mergeCell ref="G22:H22"/>
  </mergeCells>
  <conditionalFormatting sqref="C12:O12 D13:O13 E14:O14 D14:D20 E15:F20 G20:I20 F15:O19 N20 C13:C20">
    <cfRule type="expression" dxfId="27" priority="7">
      <formula>OR($G12="",$I12="")</formula>
    </cfRule>
  </conditionalFormatting>
  <conditionalFormatting sqref="F20 J20:M20 O20">
    <cfRule type="expression" dxfId="26" priority="6">
      <formula>OR($G20="",$I20="")</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62103FBE-9245-4C16-947C-5C0A4CBCE1DE}">
            <xm:f>$F43&gt;2*Calc1!$F$14-MOD((Calc1!$F$13+Calc2!$F$13),2)</xm:f>
            <x14:dxf>
              <numFmt numFmtId="165" formatCode=";;;"/>
            </x14:dxf>
          </x14:cfRule>
          <xm:sqref>F43</xm:sqref>
        </x14:conditionalFormatting>
        <x14:conditionalFormatting xmlns:xm="http://schemas.microsoft.com/office/excel/2006/main">
          <x14:cfRule type="expression" priority="3" id="{68247348-F0A9-4092-B76B-1E541E29B355}">
            <xm:f>$F29&gt;2*Calc1!$F$14-MOD((Calc1!$F$13+Calc2!$F$13),2)</xm:f>
            <x14:dxf>
              <numFmt numFmtId="165" formatCode=";;;"/>
            </x14:dxf>
          </x14:cfRule>
          <xm:sqref>F29 F31 F33 F35 F37 F39 F41</xm:sqref>
        </x14:conditionalFormatting>
        <x14:conditionalFormatting xmlns:xm="http://schemas.microsoft.com/office/excel/2006/main">
          <x14:cfRule type="expression" priority="2" id="{FE848D01-E50E-49D2-A24B-0F5A73FAA467}">
            <xm:f>$F30&gt;2*Calc1!$F$14-MOD((Calc1!$F$13+Calc2!$F$13),2)</xm:f>
            <x14:dxf>
              <numFmt numFmtId="165" formatCode=";;;"/>
            </x14:dxf>
          </x14:cfRule>
          <xm:sqref>F30 F32 F34 F36 F38 F40 F42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39E1-57E8-42AF-9E1E-127DFFA04595}">
  <dimension ref="A1:R52"/>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6384" width="11.42578125" style="49" hidden="1"/>
  </cols>
  <sheetData>
    <row r="1" spans="2:16" ht="13.5" thickBot="1" x14ac:dyDescent="0.25"/>
    <row r="2" spans="2:16" ht="36" customHeight="1" thickTop="1" x14ac:dyDescent="0.2">
      <c r="E2" s="687" t="str">
        <f>Vorrunde!$G$2</f>
        <v>Internationales U10-Turnier am 26.01.2024</v>
      </c>
      <c r="F2" s="688"/>
      <c r="G2" s="688"/>
      <c r="H2" s="688"/>
      <c r="I2" s="688"/>
      <c r="J2" s="688"/>
      <c r="K2" s="688"/>
      <c r="L2" s="688"/>
      <c r="M2" s="688"/>
      <c r="N2" s="688"/>
      <c r="O2" s="688"/>
      <c r="P2" s="689"/>
    </row>
    <row r="3" spans="2:16" ht="30" customHeight="1" x14ac:dyDescent="0.2">
      <c r="E3" s="690" t="str">
        <f>Vorrunde!$G$3</f>
        <v>Veranstalter:  1. FC Riedwald</v>
      </c>
      <c r="F3" s="691"/>
      <c r="G3" s="691"/>
      <c r="H3" s="691"/>
      <c r="I3" s="691"/>
      <c r="J3" s="691"/>
      <c r="K3" s="691"/>
      <c r="L3" s="691"/>
      <c r="M3" s="691"/>
      <c r="N3" s="691"/>
      <c r="O3" s="691"/>
      <c r="P3" s="692"/>
    </row>
    <row r="4" spans="2:16" ht="30" customHeight="1" x14ac:dyDescent="0.2">
      <c r="E4" s="693" t="str">
        <f>Vorrunde!$G$4</f>
        <v>Sporthalle Wiesengrund, Wendiger Str. 51, 65432 Riedwald</v>
      </c>
      <c r="F4" s="694"/>
      <c r="G4" s="694"/>
      <c r="H4" s="694"/>
      <c r="I4" s="694"/>
      <c r="J4" s="694"/>
      <c r="K4" s="694"/>
      <c r="L4" s="694"/>
      <c r="M4" s="694"/>
      <c r="N4" s="694"/>
      <c r="O4" s="694"/>
      <c r="P4" s="695"/>
    </row>
    <row r="5" spans="2:16" ht="30" customHeight="1" thickBot="1" x14ac:dyDescent="0.25">
      <c r="E5" s="696" t="str">
        <f>Vorrunde!$G$5</f>
        <v>Beginn:  9:00 Uhr</v>
      </c>
      <c r="F5" s="697"/>
      <c r="G5" s="697"/>
      <c r="H5" s="697"/>
      <c r="I5" s="697"/>
      <c r="J5" s="697"/>
      <c r="K5" s="697"/>
      <c r="L5" s="697"/>
      <c r="M5" s="697"/>
      <c r="N5" s="697"/>
      <c r="O5" s="697"/>
      <c r="P5" s="698"/>
    </row>
    <row r="6" spans="2:16" ht="18" customHeight="1" thickTop="1" thickBot="1" x14ac:dyDescent="0.25"/>
    <row r="7" spans="2:16" ht="30" customHeight="1" thickTop="1" x14ac:dyDescent="0.2">
      <c r="G7" s="677" t="str">
        <f>Sprache!$E$19</f>
        <v>Endrunde</v>
      </c>
      <c r="H7" s="678"/>
      <c r="I7" s="679"/>
    </row>
    <row r="8" spans="2:16" ht="30" customHeight="1" thickBot="1" x14ac:dyDescent="0.25">
      <c r="G8" s="680"/>
      <c r="H8" s="681"/>
      <c r="I8" s="682"/>
    </row>
    <row r="9" spans="2:16" ht="12.6" customHeight="1" thickTop="1" x14ac:dyDescent="0.2">
      <c r="P9" s="614" t="str">
        <f>Sprache!$E$20</f>
        <v>Zusätzl. Pause (min)</v>
      </c>
    </row>
    <row r="10" spans="2:16" ht="27.95" customHeight="1" thickBot="1" x14ac:dyDescent="0.35">
      <c r="C10" s="686" t="str">
        <f>Sprache!$E$55&amp;IF(MIN(Calc1!$F$13,Calc2!$F$13)*2&lt;6,""," 5 - "&amp;MIN(Calc1!$F$13,Calc2!$F$13)*2)</f>
        <v>Spiele um die Plätze  5 - 16</v>
      </c>
      <c r="D10" s="686"/>
      <c r="E10" s="686"/>
      <c r="F10" s="686"/>
      <c r="P10" s="614"/>
    </row>
    <row r="11" spans="2:16" ht="24" customHeight="1" thickTop="1" thickBot="1" x14ac:dyDescent="0.25">
      <c r="B11" s="352"/>
      <c r="C11" s="396" t="str">
        <f>Sprache!$E$9</f>
        <v>Nr.</v>
      </c>
      <c r="D11" s="348" t="str">
        <f>Sprache!$E$39</f>
        <v>Beginn</v>
      </c>
      <c r="E11" s="337" t="str">
        <f>Sprache!$E$48</f>
        <v>Feld</v>
      </c>
      <c r="F11" s="337"/>
      <c r="G11" s="650" t="str">
        <f>Sprache!$E$14</f>
        <v>Spielpaarung</v>
      </c>
      <c r="H11" s="651"/>
      <c r="I11" s="652"/>
      <c r="J11" s="653" t="str">
        <f>Sprache!$E$15</f>
        <v>Ergebnis</v>
      </c>
      <c r="K11" s="651"/>
      <c r="L11" s="652"/>
      <c r="M11" s="653" t="str">
        <f>Sprache!$E$63</f>
        <v>Elfmeter</v>
      </c>
      <c r="N11" s="651"/>
      <c r="O11" s="654"/>
      <c r="P11" s="615"/>
    </row>
    <row r="12" spans="2:16" s="319" customFormat="1" ht="24" customHeight="1" x14ac:dyDescent="0.2">
      <c r="B12" s="387"/>
      <c r="C12" s="395">
        <f t="array" aca="1" ref="C12" ca="1">73-SUM(((Planung!$L$6:$L$77="")+(Planung!$N$6:$N$77="")&gt;0)*1)</f>
        <v>57</v>
      </c>
      <c r="D12" s="349">
        <f ca="1">IF(Planung!$U$16,"",Planung!$R$13+(Planung!$R$9+Planung!$P$77)/1440)</f>
        <v>0.71527777777777779</v>
      </c>
      <c r="E12" s="344">
        <f>IF(Planung!$U$16,"",1)</f>
        <v>1</v>
      </c>
      <c r="F12" s="333" t="s">
        <v>347</v>
      </c>
      <c r="G12" s="334" t="str">
        <f ca="1">Vorrunde!$N$20</f>
        <v/>
      </c>
      <c r="H12" s="335" t="s">
        <v>5</v>
      </c>
      <c r="I12" s="336" t="str">
        <f ca="1">Vorrunde!$N$33</f>
        <v/>
      </c>
      <c r="J12" s="338"/>
      <c r="K12" s="342" t="str">
        <f>Sprache!$E$73</f>
        <v>:</v>
      </c>
      <c r="L12" s="355"/>
      <c r="M12" s="356"/>
      <c r="N12" s="342" t="str">
        <f>Sprache!$E$73</f>
        <v>:</v>
      </c>
      <c r="O12" s="339"/>
      <c r="P12" s="345"/>
    </row>
    <row r="13" spans="2:16" s="319" customFormat="1" ht="24" customHeight="1" x14ac:dyDescent="0.2">
      <c r="B13" s="387"/>
      <c r="C13" s="395">
        <f t="array" aca="1" ref="C13" ca="1">ROW($A74)-SUM(((Planung!$L$6:$L$77="")+(Planung!$N$6:$N$77="")&gt;0)*1)-SUM((($G$12:$G12="")+($I$12:$I12="")&gt;0)*1)</f>
        <v>57</v>
      </c>
      <c r="D13" s="350">
        <f t="array" aca="1" ref="D13" ca="1">IF(Planung!$U$16,"",$D$12+QUOTIENT(($C13-$C$12),Planung!$U$18)*(Planung!$R$7+Planung!$R$9)/1440+SUM($P$12:$P12)/1440)</f>
        <v>0.71527777777777779</v>
      </c>
      <c r="E13" s="344">
        <f ca="1">IF(Planung!$U$16,"",MOD($C13-$C$12,Planung!$U$18)+1)</f>
        <v>1</v>
      </c>
      <c r="F13" s="331" t="s">
        <v>348</v>
      </c>
      <c r="G13" s="327" t="str">
        <f ca="1">Vorrunde!$N$19</f>
        <v>1. FC Riedwald</v>
      </c>
      <c r="H13" s="153" t="s">
        <v>5</v>
      </c>
      <c r="I13" s="329" t="str">
        <f ca="1">Vorrunde!$N$32</f>
        <v>SSV Wildbach</v>
      </c>
      <c r="J13" s="340">
        <v>2</v>
      </c>
      <c r="K13" s="342" t="str">
        <f>Sprache!$E$73</f>
        <v>:</v>
      </c>
      <c r="L13" s="323">
        <v>0</v>
      </c>
      <c r="M13" s="357"/>
      <c r="N13" s="342" t="str">
        <f>Sprache!$E$73</f>
        <v>:</v>
      </c>
      <c r="O13" s="324"/>
      <c r="P13" s="346"/>
    </row>
    <row r="14" spans="2:16" s="319" customFormat="1" ht="24" customHeight="1" x14ac:dyDescent="0.2">
      <c r="B14" s="387"/>
      <c r="C14" s="395">
        <f t="array" aca="1" ref="C14" ca="1">ROW($A75)-SUM(((Planung!$L$6:$L$77="")+(Planung!$N$6:$N$77="")&gt;0)*1)-SUM((($G$12:$G13="")+($I$12:$I13="")&gt;0)*1)</f>
        <v>58</v>
      </c>
      <c r="D14" s="350">
        <f t="array" aca="1" ref="D14" ca="1">IF(Planung!$U$16,"",$D$12+QUOTIENT(($C14-$C$12),Planung!$U$18)*(Planung!$R$7+Planung!$R$9)/1440+SUM($P$12:$P13)/1440)</f>
        <v>0.71527777777777779</v>
      </c>
      <c r="E14" s="344">
        <f ca="1">IF(Planung!$U$16,"",MOD($C14-$C$12,Planung!$U$18)+1)</f>
        <v>2</v>
      </c>
      <c r="F14" s="331" t="s">
        <v>349</v>
      </c>
      <c r="G14" s="327" t="str">
        <f ca="1">Vorrunde!$N$18</f>
        <v>VFB Essenheim</v>
      </c>
      <c r="H14" s="153" t="s">
        <v>5</v>
      </c>
      <c r="I14" s="329" t="str">
        <f ca="1">Vorrunde!$N$31</f>
        <v>VFL Ronsdorf</v>
      </c>
      <c r="J14" s="340">
        <v>2</v>
      </c>
      <c r="K14" s="342" t="str">
        <f>Sprache!$E$73</f>
        <v>:</v>
      </c>
      <c r="L14" s="323">
        <v>4</v>
      </c>
      <c r="M14" s="357"/>
      <c r="N14" s="342" t="str">
        <f>Sprache!$E$73</f>
        <v>:</v>
      </c>
      <c r="O14" s="324"/>
      <c r="P14" s="346"/>
    </row>
    <row r="15" spans="2:16" s="319" customFormat="1" ht="24" customHeight="1" x14ac:dyDescent="0.2">
      <c r="B15" s="387"/>
      <c r="C15" s="395">
        <f t="array" aca="1" ref="C15" ca="1">ROW($A76)-SUM(((Planung!$L$6:$L$77="")+(Planung!$N$6:$N$77="")&gt;0)*1)-SUM((($G$12:$G14="")+($I$12:$I14="")&gt;0)*1)</f>
        <v>59</v>
      </c>
      <c r="D15" s="350">
        <f t="array" aca="1" ref="D15" ca="1">IF(Planung!$U$16,"",$D$12+QUOTIENT(($C15-$C$12),Planung!$U$18)*(Planung!$R$7+Planung!$R$9)/1440+SUM($P$12:$P14)/1440)</f>
        <v>0.71527777777777779</v>
      </c>
      <c r="E15" s="344">
        <f ca="1">IF(Planung!$U$16,"",MOD($C15-$C$12,Planung!$U$18)+1)</f>
        <v>3</v>
      </c>
      <c r="F15" s="333" t="s">
        <v>227</v>
      </c>
      <c r="G15" s="327" t="str">
        <f ca="1">Vorrunde!$N$17</f>
        <v>Maibach 1822 eV</v>
      </c>
      <c r="H15" s="153" t="s">
        <v>5</v>
      </c>
      <c r="I15" s="329" t="str">
        <f ca="1">Vorrunde!$N$30</f>
        <v>FC Grönlingen</v>
      </c>
      <c r="J15" s="340">
        <v>1</v>
      </c>
      <c r="K15" s="343" t="str">
        <f>Sprache!$E$73</f>
        <v>:</v>
      </c>
      <c r="L15" s="323">
        <v>2</v>
      </c>
      <c r="M15" s="357"/>
      <c r="N15" s="343" t="str">
        <f>Sprache!$E$73</f>
        <v>:</v>
      </c>
      <c r="O15" s="324"/>
      <c r="P15" s="346"/>
    </row>
    <row r="16" spans="2:16" s="319" customFormat="1" ht="24" customHeight="1" x14ac:dyDescent="0.2">
      <c r="B16" s="387"/>
      <c r="C16" s="395">
        <f t="array" aca="1" ref="C16" ca="1">ROW($A77)-SUM(((Planung!$L$6:$L$77="")+(Planung!$N$6:$N$77="")&gt;0)*1)-SUM((($G$12:$G15="")+($I$12:$I15="")&gt;0)*1)</f>
        <v>60</v>
      </c>
      <c r="D16" s="350">
        <f t="array" aca="1" ref="D16" ca="1">IF(Planung!$U$16,"",$D$12+QUOTIENT(($C16-$C$12),Planung!$U$18)*(Planung!$R$7+Planung!$R$9)/1440+SUM($P$12:$P15)/1440)</f>
        <v>0.71527777777777779</v>
      </c>
      <c r="E16" s="344">
        <f ca="1">IF(Planung!$U$16,"",MOD($C16-$C$12,Planung!$U$18)+1)</f>
        <v>4</v>
      </c>
      <c r="F16" s="331" t="s">
        <v>228</v>
      </c>
      <c r="G16" s="327" t="str">
        <f ca="1">Vorrunde!$N$16</f>
        <v>Knock Out Rangers</v>
      </c>
      <c r="H16" s="153" t="s">
        <v>5</v>
      </c>
      <c r="I16" s="329" t="str">
        <f ca="1">Vorrunde!$N$29</f>
        <v>Borussia Heine</v>
      </c>
      <c r="J16" s="340">
        <v>3</v>
      </c>
      <c r="K16" s="343" t="str">
        <f>Sprache!$E$73</f>
        <v>:</v>
      </c>
      <c r="L16" s="323">
        <v>2</v>
      </c>
      <c r="M16" s="357"/>
      <c r="N16" s="343" t="str">
        <f>Sprache!$E$73</f>
        <v>:</v>
      </c>
      <c r="O16" s="324"/>
      <c r="P16" s="362"/>
    </row>
    <row r="17" spans="2:16" s="319" customFormat="1" ht="24" customHeight="1" x14ac:dyDescent="0.2">
      <c r="B17" s="387"/>
      <c r="C17" s="395">
        <f t="array" aca="1" ref="C17" ca="1">ROW($A78)-SUM(((Planung!$L$6:$L$77="")+(Planung!$N$6:$N$77="")&gt;0)*1)-SUM((($G$12:$G16="")+($I$12:$I16="")&gt;0)*1)</f>
        <v>61</v>
      </c>
      <c r="D17" s="350">
        <f t="array" aca="1" ref="D17" ca="1">IF(Planung!$U$16,"",$D$12+QUOTIENT(($C17-$C$12),Planung!$U$18)*(Planung!$R$7+Planung!$R$9)/1440+SUM($P$12:$P16)/1440)</f>
        <v>0.73958333333333337</v>
      </c>
      <c r="E17" s="344">
        <f ca="1">IF(Planung!$U$16,"",MOD($C17-$C$12,Planung!$U$18)+1)</f>
        <v>1</v>
      </c>
      <c r="F17" s="331" t="s">
        <v>229</v>
      </c>
      <c r="G17" s="327" t="str">
        <f ca="1">Vorrunde!$N$15</f>
        <v>Fun Kickers Oes</v>
      </c>
      <c r="H17" s="153" t="s">
        <v>5</v>
      </c>
      <c r="I17" s="329" t="str">
        <f ca="1">Vorrunde!$N$28</f>
        <v>Mainz 05</v>
      </c>
      <c r="J17" s="340">
        <v>4</v>
      </c>
      <c r="K17" s="343" t="str">
        <f>Sprache!$E$73</f>
        <v>:</v>
      </c>
      <c r="L17" s="323">
        <v>3</v>
      </c>
      <c r="M17" s="357"/>
      <c r="N17" s="343" t="str">
        <f>Sprache!$E$73</f>
        <v>:</v>
      </c>
      <c r="O17" s="324"/>
      <c r="P17" s="362"/>
    </row>
    <row r="18" spans="2:16" s="319" customFormat="1" ht="24" customHeight="1" thickBot="1" x14ac:dyDescent="0.25">
      <c r="B18" s="388"/>
      <c r="C18" s="579">
        <f t="array" aca="1" ref="C18" ca="1">ROW($A79)-SUM(((Planung!$L$6:$L$77="")+(Planung!$N$6:$N$77="")&gt;0)*1)-SUM((($G$12:$G17="")+($I$12:$I17="")&gt;0)*1)</f>
        <v>62</v>
      </c>
      <c r="D18" s="351">
        <f t="array" aca="1" ref="D18" ca="1">IF(Planung!$U$16,"",$D$12+QUOTIENT(($C18-$C$12),Planung!$U$18)*(Planung!$R$7+Planung!$R$9)/1440+SUM($P$12:$P17)/1440)</f>
        <v>0.73958333333333337</v>
      </c>
      <c r="E18" s="347">
        <f ca="1">IF(Planung!$U$16,"",MOD($C18-$C$12,Planung!$U$18)+1)</f>
        <v>2</v>
      </c>
      <c r="F18" s="332" t="s">
        <v>230</v>
      </c>
      <c r="G18" s="328" t="str">
        <f ca="1">Vorrunde!$N$14</f>
        <v>Raslo Winners</v>
      </c>
      <c r="H18" s="154" t="s">
        <v>5</v>
      </c>
      <c r="I18" s="330" t="str">
        <f ca="1">Vorrunde!$N$27</f>
        <v>Inter Mailand</v>
      </c>
      <c r="J18" s="341">
        <v>5</v>
      </c>
      <c r="K18" s="379" t="str">
        <f>Sprache!$E$73</f>
        <v>:</v>
      </c>
      <c r="L18" s="325">
        <v>4</v>
      </c>
      <c r="M18" s="358"/>
      <c r="N18" s="379" t="str">
        <f>Sprache!$E$73</f>
        <v>:</v>
      </c>
      <c r="O18" s="326"/>
      <c r="P18" s="380"/>
    </row>
    <row r="19" spans="2:16" s="319" customFormat="1" ht="24" customHeight="1" thickTop="1" thickBot="1" x14ac:dyDescent="0.35">
      <c r="B19" s="388"/>
      <c r="C19" s="705" t="str">
        <f>Sprache!$E$53</f>
        <v>Halbfinale</v>
      </c>
      <c r="D19" s="705"/>
      <c r="E19" s="705"/>
      <c r="F19" s="705"/>
      <c r="G19" s="406" t="s">
        <v>277</v>
      </c>
      <c r="H19" s="124"/>
      <c r="I19" s="406" t="s">
        <v>277</v>
      </c>
      <c r="J19" s="365"/>
      <c r="K19" s="365"/>
      <c r="L19" s="365"/>
      <c r="M19" s="365"/>
      <c r="N19" s="365"/>
      <c r="O19" s="365"/>
      <c r="P19" s="367"/>
    </row>
    <row r="20" spans="2:16" s="319" customFormat="1" ht="24" customHeight="1" thickTop="1" x14ac:dyDescent="0.2">
      <c r="B20" s="388"/>
      <c r="C20" s="581">
        <f t="array" aca="1" ref="C20" ca="1">ROW($A80)-SUM(((Planung!$L$6:$L$77="")+(Planung!$N$6:$N$77="")&gt;0)*1)-SUM((($G$12:$G19="")+($I$12:$I19="")&gt;0)*1)</f>
        <v>63</v>
      </c>
      <c r="D20" s="582">
        <f t="array" aca="1" ref="D20" ca="1">IF(Planung!$U$16,"",$D$12+QUOTIENT(($C20-$C$12),Planung!$U$18)*(Planung!$R$7+Planung!$R$9)/1440+SUM($P$12:$P19)/1440)</f>
        <v>0.73958333333333337</v>
      </c>
      <c r="E20" s="368">
        <f ca="1">IF(Planung!$U$16,"",MOD($C20-$C$12,Planung!$U$18)+1)</f>
        <v>3</v>
      </c>
      <c r="F20" s="369" t="s">
        <v>251</v>
      </c>
      <c r="G20" s="370" t="str">
        <f ca="1">Vorrunde!$N$12</f>
        <v>FC Barcelona</v>
      </c>
      <c r="H20" s="371" t="s">
        <v>5</v>
      </c>
      <c r="I20" s="372" t="str">
        <f ca="1">Vorrunde!$N$26</f>
        <v>AC Roma</v>
      </c>
      <c r="J20" s="373">
        <v>3</v>
      </c>
      <c r="K20" s="374" t="str">
        <f>Sprache!$E$73</f>
        <v>:</v>
      </c>
      <c r="L20" s="375">
        <v>2</v>
      </c>
      <c r="M20" s="376"/>
      <c r="N20" s="374" t="s">
        <v>233</v>
      </c>
      <c r="O20" s="377"/>
      <c r="P20" s="580"/>
    </row>
    <row r="21" spans="2:16" s="319" customFormat="1" ht="24" customHeight="1" thickBot="1" x14ac:dyDescent="0.25">
      <c r="B21" s="388"/>
      <c r="C21" s="579">
        <f ca="1">$C$20+1</f>
        <v>64</v>
      </c>
      <c r="D21" s="351">
        <f t="array" aca="1" ref="D21" ca="1">IF(Planung!$U$16,"",$D$12+QUOTIENT(($C21-$C$12),Planung!$U$18)*(Planung!$R$7+Planung!$R$9)/1440+SUM($P$12:$P20)/1440)</f>
        <v>0.73958333333333337</v>
      </c>
      <c r="E21" s="347">
        <f ca="1">IF(Planung!$U$16,"",MOD($C21-$C$12,Planung!$U$18)+1)</f>
        <v>4</v>
      </c>
      <c r="F21" s="332" t="s">
        <v>252</v>
      </c>
      <c r="G21" s="328" t="str">
        <f ca="1">Vorrunde!$N$25</f>
        <v>Manchester City</v>
      </c>
      <c r="H21" s="154" t="s">
        <v>5</v>
      </c>
      <c r="I21" s="330" t="str">
        <f ca="1">Vorrunde!$N$13</f>
        <v>Eintracht Frankfurt</v>
      </c>
      <c r="J21" s="341">
        <v>4</v>
      </c>
      <c r="K21" s="379" t="str">
        <f>Sprache!$E$73</f>
        <v>:</v>
      </c>
      <c r="L21" s="325">
        <v>1</v>
      </c>
      <c r="M21" s="358"/>
      <c r="N21" s="379" t="s">
        <v>233</v>
      </c>
      <c r="O21" s="326"/>
      <c r="P21" s="380"/>
    </row>
    <row r="22" spans="2:16" s="319" customFormat="1" ht="24" customHeight="1" thickTop="1" thickBot="1" x14ac:dyDescent="0.35">
      <c r="B22" s="388"/>
      <c r="C22" s="705" t="str">
        <f>Sprache!$E$54</f>
        <v>Endspiele</v>
      </c>
      <c r="D22" s="705"/>
      <c r="E22" s="705"/>
      <c r="F22" s="705"/>
      <c r="G22" s="459"/>
      <c r="H22" s="124"/>
      <c r="I22" s="459"/>
      <c r="J22" s="365"/>
      <c r="K22" s="365"/>
      <c r="L22" s="365"/>
      <c r="M22" s="365"/>
      <c r="N22" s="365"/>
      <c r="O22" s="365"/>
      <c r="P22" s="367"/>
    </row>
    <row r="23" spans="2:16" s="319" customFormat="1" ht="24" customHeight="1" thickTop="1" x14ac:dyDescent="0.2">
      <c r="B23" s="388"/>
      <c r="C23" s="581">
        <f ca="1">$C$20+2</f>
        <v>65</v>
      </c>
      <c r="D23" s="582">
        <f ca="1">IF(Planung!$U$16,"",$D$21+($P$21+Planung!$R$9+Planung!$R$7)/1440)</f>
        <v>0.76388888888888895</v>
      </c>
      <c r="E23" s="368">
        <f>IF(Planung!$U$16,"",1)</f>
        <v>1</v>
      </c>
      <c r="F23" s="369" t="str">
        <f>Sprache!$E$82</f>
        <v>3. Platz</v>
      </c>
      <c r="G23" s="370" t="str">
        <f ca="1">IF(OR($G20="",$I20="",$J20="",$L20=""),"",IF($J20&lt;$L20,$G20,IF($J20&gt;$L20,$I20,IF($M20&lt;$O20,$G20,IF($M20&gt;$O20,$I20,"")))))</f>
        <v>AC Roma</v>
      </c>
      <c r="H23" s="371" t="s">
        <v>5</v>
      </c>
      <c r="I23" s="372" t="str">
        <f ca="1">IF(OR($G21="",$I21="",$J21="",$L21=""),"",IF($J21&lt;$L21,$G21,IF($J21&gt;$L21,$I21,IF($M21&lt;$O21,$G21,IF($M21&gt;$O21,$I21,"")))))</f>
        <v>Eintracht Frankfurt</v>
      </c>
      <c r="J23" s="373">
        <v>5</v>
      </c>
      <c r="K23" s="374" t="str">
        <f>Sprache!$E$73</f>
        <v>:</v>
      </c>
      <c r="L23" s="375">
        <v>2</v>
      </c>
      <c r="M23" s="376"/>
      <c r="N23" s="374" t="str">
        <f>Sprache!$E$73</f>
        <v>:</v>
      </c>
      <c r="O23" s="377"/>
      <c r="P23" s="345"/>
    </row>
    <row r="24" spans="2:16" s="319" customFormat="1" ht="24" customHeight="1" thickBot="1" x14ac:dyDescent="0.25">
      <c r="B24" s="388"/>
      <c r="C24" s="579">
        <f ca="1">$C$20+3</f>
        <v>66</v>
      </c>
      <c r="D24" s="351">
        <f ca="1">IF(Planung!$U$16,"",$D$23+($P$23+Planung!$R$9+Planung!$R$7)/1440)</f>
        <v>0.78819444444444453</v>
      </c>
      <c r="E24" s="347">
        <f>IF(Planung!$U$16,"",1)</f>
        <v>1</v>
      </c>
      <c r="F24" s="332" t="str">
        <f>Sprache!$E$83</f>
        <v>Finale</v>
      </c>
      <c r="G24" s="328" t="str">
        <f ca="1">IF(OR($G20="",$I20="",$J20="",$L20=""),"",IF($J20&gt;$L20,$G20,IF($J20&lt;$L20,$I20,IF($M20&gt;$O20,$G20,IF($M20&lt;$O20,$I20,"")))))</f>
        <v>FC Barcelona</v>
      </c>
      <c r="H24" s="154" t="s">
        <v>5</v>
      </c>
      <c r="I24" s="330" t="str">
        <f ca="1">IF(OR($G21="",$I21="",$J21="",$L21=""),"",IF($J21&gt;$L21,$G21,IF($J21&lt;$L21,$I21,IF($M21&gt;$O21,$G21,IF($M21&lt;$O21,$I21,"")))))</f>
        <v>Manchester City</v>
      </c>
      <c r="J24" s="341">
        <v>4</v>
      </c>
      <c r="K24" s="379" t="s">
        <v>233</v>
      </c>
      <c r="L24" s="325">
        <v>1</v>
      </c>
      <c r="M24" s="358"/>
      <c r="N24" s="379" t="str">
        <f>Sprache!$E$73</f>
        <v>:</v>
      </c>
      <c r="O24" s="326"/>
      <c r="P24" s="363"/>
    </row>
    <row r="25" spans="2:16" ht="13.5" thickTop="1" x14ac:dyDescent="0.2"/>
    <row r="26" spans="2:16" ht="24" customHeight="1" x14ac:dyDescent="0.2">
      <c r="C26" s="359"/>
      <c r="D26" s="359"/>
      <c r="E26" s="359"/>
      <c r="F26" s="359"/>
      <c r="G26" s="685" t="str">
        <f>Sprache!$E$29</f>
        <v>Turnierende:</v>
      </c>
      <c r="H26" s="685"/>
      <c r="I26" s="360">
        <f ca="1">IF(Planung!$R$13="","",$D$24+Planung!$R$7/1440)</f>
        <v>0.8090277777777779</v>
      </c>
      <c r="J26" s="361"/>
      <c r="K26" s="361"/>
      <c r="L26" s="361"/>
      <c r="M26" s="361"/>
      <c r="N26" s="361"/>
      <c r="O26" s="361"/>
      <c r="P26" s="361"/>
    </row>
    <row r="27" spans="2:16" x14ac:dyDescent="0.2">
      <c r="D27" s="353"/>
    </row>
    <row r="28" spans="2:16" ht="13.5" thickBot="1" x14ac:dyDescent="0.25">
      <c r="D28" s="353"/>
    </row>
    <row r="29" spans="2:16" ht="22.5" customHeight="1" thickBot="1" x14ac:dyDescent="0.25">
      <c r="F29" s="460" t="str">
        <f>Sprache!$E$81</f>
        <v>Rang</v>
      </c>
      <c r="G29" s="675" t="str">
        <f>"  "&amp;Sprache!$E$10</f>
        <v xml:space="preserve">  Teilnehmer bzw. Mannschaft</v>
      </c>
      <c r="H29" s="675"/>
      <c r="I29" s="676"/>
    </row>
    <row r="30" spans="2:16" ht="22.5" customHeight="1" thickTop="1" x14ac:dyDescent="0.2">
      <c r="F30" s="397">
        <v>1</v>
      </c>
      <c r="G30" s="699" t="str">
        <f ca="1">IF(OR($G24="",$I24="",$J24="",$L24=""),"",IF($J24&gt;$L24,$G24,IF($J24&lt;$L24,$I24,IF($M24&gt;$O24,$G24,IF($M24&lt;$O24,$I24,"")))))</f>
        <v>FC Barcelona</v>
      </c>
      <c r="H30" s="699"/>
      <c r="I30" s="700"/>
    </row>
    <row r="31" spans="2:16" ht="22.5" customHeight="1" x14ac:dyDescent="0.2">
      <c r="F31" s="398">
        <v>2</v>
      </c>
      <c r="G31" s="701" t="str">
        <f ca="1">IF(OR($G24="",$I24="",$J24="",$L24=""),"",IF($J24&lt;$L24,$G24,IF($J24&gt;$L24,$I24,IF($M24&lt;$O24,$G24,IF($M24&gt;$O24,$I24,"")))))</f>
        <v>Manchester City</v>
      </c>
      <c r="H31" s="701"/>
      <c r="I31" s="702"/>
    </row>
    <row r="32" spans="2:16" ht="22.5" customHeight="1" x14ac:dyDescent="0.2">
      <c r="F32" s="399">
        <v>3</v>
      </c>
      <c r="G32" s="703" t="str">
        <f ca="1">IF(OR($G23="",$I23="",$J23="",$L23=""),"",IF($J23&gt;$L23,$G23,IF($J23&lt;$L23,$I23,IF($M23&gt;$O23,$G23,IF($M23&lt;$O23,$I23,"")))))</f>
        <v>AC Roma</v>
      </c>
      <c r="H32" s="703"/>
      <c r="I32" s="704"/>
    </row>
    <row r="33" spans="5:9" ht="22.5" customHeight="1" x14ac:dyDescent="0.2">
      <c r="F33" s="400">
        <v>4</v>
      </c>
      <c r="G33" s="683" t="str">
        <f ca="1">IF(OR($G23="",$I23="",$J23="",$L23=""),"",IF($J23&lt;$L23,$G23,IF($J23&gt;$L23,$I23,IF($M23&lt;$O23,$G23,IF($M23&gt;$O23,$I23,"")))))</f>
        <v>Eintracht Frankfurt</v>
      </c>
      <c r="H33" s="683"/>
      <c r="I33" s="684"/>
    </row>
    <row r="34" spans="5:9" ht="22.5" customHeight="1" x14ac:dyDescent="0.2">
      <c r="F34" s="400">
        <v>5</v>
      </c>
      <c r="G34" s="683" t="str">
        <f ca="1">IF(AND($G18="",$I18=""),"",IF(AND($G18&lt;&gt;"",$I18=""),$G18,IF(AND($G18="",$I18&lt;&gt;""),$I18,IF(OR($J18="",$L18=""),"",IF($J18&gt;$L18,$G18,IF($J18&lt;$L18,$I18,IF($M18&gt;$O18,$G18,IF($M18&lt;$O18,$I18,""))))))))</f>
        <v>Raslo Winners</v>
      </c>
      <c r="H34" s="683"/>
      <c r="I34" s="684"/>
    </row>
    <row r="35" spans="5:9" ht="22.5" customHeight="1" x14ac:dyDescent="0.2">
      <c r="F35" s="400">
        <v>6</v>
      </c>
      <c r="G35" s="683" t="str">
        <f ca="1">IF(OR($G18="",$I18="",$J18="",$L18=""),"",IF($J18&lt;$L18,$G18,IF($J18&gt;$L18,$I18,IF($M18&lt;$O18,$G18,IF($M18&gt;$O18,$I18,"")))))</f>
        <v>Inter Mailand</v>
      </c>
      <c r="H35" s="683"/>
      <c r="I35" s="684"/>
    </row>
    <row r="36" spans="5:9" ht="24" customHeight="1" x14ac:dyDescent="0.2">
      <c r="E36" s="354">
        <v>1</v>
      </c>
      <c r="F36" s="400">
        <v>7</v>
      </c>
      <c r="G36" s="683" t="str">
        <f ca="1">IF(AND($G17="",$I17=""),"",IF(AND($G17&lt;&gt;"",$I17=""),$G17,IF(AND($G17="",$I17&lt;&gt;""),$I17,IF(OR($J17="",$L17=""),"",IF($J17&gt;$L17,$G17,IF($J17&lt;$L17,$I17,IF($M17&gt;$O17,$G17,IF($M17&lt;$O17,$I17,""))))))))</f>
        <v>Fun Kickers Oes</v>
      </c>
      <c r="H36" s="683"/>
      <c r="I36" s="684"/>
    </row>
    <row r="37" spans="5:9" ht="24" customHeight="1" x14ac:dyDescent="0.2">
      <c r="E37" s="354">
        <v>2</v>
      </c>
      <c r="F37" s="400">
        <v>8</v>
      </c>
      <c r="G37" s="683" t="str">
        <f ca="1">IF(OR($G17="",$I17="",$J17="",$L17=""),"",IF($J17&lt;$L17,$G17,IF($J17&gt;$L17,$I17,IF($M17&lt;$O17,$G17,IF($M17&gt;$O17,$I17,"")))))</f>
        <v>Mainz 05</v>
      </c>
      <c r="H37" s="683"/>
      <c r="I37" s="684"/>
    </row>
    <row r="38" spans="5:9" ht="24" customHeight="1" x14ac:dyDescent="0.2">
      <c r="E38" s="354">
        <v>3</v>
      </c>
      <c r="F38" s="400">
        <v>9</v>
      </c>
      <c r="G38" s="683" t="str">
        <f ca="1">IF(AND($G16="",$I16=""),"",IF(AND($G16&lt;&gt;"",$I16=""),$G16,IF(AND($G16="",$I16&lt;&gt;""),$I16,IF(OR($J16="",$L16=""),"",IF($J16&gt;$L16,$G16,IF($J16&lt;$L16,$I16,IF($M16&gt;$O16,$G16,IF($M16&lt;$O16,$I16,""))))))))</f>
        <v>Knock Out Rangers</v>
      </c>
      <c r="H38" s="683"/>
      <c r="I38" s="684"/>
    </row>
    <row r="39" spans="5:9" ht="24" customHeight="1" x14ac:dyDescent="0.2">
      <c r="E39" s="354">
        <v>4</v>
      </c>
      <c r="F39" s="400">
        <v>10</v>
      </c>
      <c r="G39" s="683" t="str">
        <f ca="1">IF(OR($G16="",$I16="",$J16="",$L16=""),"",IF($J16&lt;$L16,$G16,IF($J16&gt;$L16,$I16,IF($M16&lt;$O16,$G16,IF($M16&gt;$O16,$I16,"")))))</f>
        <v>Borussia Heine</v>
      </c>
      <c r="H39" s="683"/>
      <c r="I39" s="684"/>
    </row>
    <row r="40" spans="5:9" ht="24" customHeight="1" x14ac:dyDescent="0.2">
      <c r="E40" s="354">
        <v>5</v>
      </c>
      <c r="F40" s="400">
        <v>11</v>
      </c>
      <c r="G40" s="683" t="str">
        <f ca="1">IF(AND($G15="",$I15=""),"",IF(AND($G15&lt;&gt;"",$I15=""),$G15,IF(AND($G15="",$I15&lt;&gt;""),$I15,IF(OR($J15="",$L15=""),"",IF($J15&gt;$L15,$G15,IF($J15&lt;$L15,$I15,IF($M15&gt;$O15,$G15,IF($M15&lt;$O15,$I15,""))))))))</f>
        <v>FC Grönlingen</v>
      </c>
      <c r="H40" s="683"/>
      <c r="I40" s="684"/>
    </row>
    <row r="41" spans="5:9" ht="24" customHeight="1" x14ac:dyDescent="0.2">
      <c r="E41" s="354">
        <v>6</v>
      </c>
      <c r="F41" s="400">
        <v>12</v>
      </c>
      <c r="G41" s="683" t="str">
        <f ca="1">IF(OR($G15="",$I15="",$J15="",$L15=""),"",IF($J15&lt;$L15,$G15,IF($J15&gt;$L15,$I15,IF($M15&lt;$O15,$G15,IF($M15&gt;$O15,$I15,"")))))</f>
        <v>Maibach 1822 eV</v>
      </c>
      <c r="H41" s="683"/>
      <c r="I41" s="684"/>
    </row>
    <row r="42" spans="5:9" ht="24" customHeight="1" x14ac:dyDescent="0.2">
      <c r="E42" s="354">
        <v>7</v>
      </c>
      <c r="F42" s="400">
        <v>13</v>
      </c>
      <c r="G42" s="683" t="str">
        <f ca="1">IF(AND($G14="",$I14=""),"",IF(AND($G14&lt;&gt;"",$I14=""),$G14,IF(AND($G14="",$I14&lt;&gt;""),$I14,IF(OR($J14="",$L14=""),"",IF($J14&gt;$L14,$G14,IF($J14&lt;$L14,$I14,IF($M14&gt;$O14,$G14,IF($M14&lt;$O14,$I14,""))))))))</f>
        <v>VFL Ronsdorf</v>
      </c>
      <c r="H42" s="683"/>
      <c r="I42" s="684"/>
    </row>
    <row r="43" spans="5:9" ht="24" customHeight="1" x14ac:dyDescent="0.2">
      <c r="E43" s="354">
        <v>8</v>
      </c>
      <c r="F43" s="400">
        <v>14</v>
      </c>
      <c r="G43" s="683" t="str">
        <f ca="1">IF(OR($G14="",$I14="",$J14="",$L14=""),"",IF($J14&lt;$L14,$G14,IF($J14&gt;$L14,$I14,IF($M14&lt;$O14,$G14,IF($M14&gt;$O14,$I14,"")))))</f>
        <v>VFB Essenheim</v>
      </c>
      <c r="H43" s="683"/>
      <c r="I43" s="684"/>
    </row>
    <row r="44" spans="5:9" ht="24" customHeight="1" x14ac:dyDescent="0.2">
      <c r="E44" s="354">
        <v>9</v>
      </c>
      <c r="F44" s="400">
        <v>15</v>
      </c>
      <c r="G44" s="683" t="str">
        <f ca="1">IF(AND($G13="",$I13=""),"",IF(AND($G13&lt;&gt;"",$I13=""),$G13,IF(AND($G13="",$I13&lt;&gt;""),$I13,IF(OR($J13="",$L13=""),"",IF($J13&gt;$L13,$G13,IF($J13&lt;$L13,$I13,IF($M13&gt;$O13,$G13,IF($M13&lt;$O13,$I13,""))))))))</f>
        <v>1. FC Riedwald</v>
      </c>
      <c r="H44" s="683"/>
      <c r="I44" s="684"/>
    </row>
    <row r="45" spans="5:9" ht="24" customHeight="1" x14ac:dyDescent="0.2">
      <c r="E45" s="354">
        <v>10</v>
      </c>
      <c r="F45" s="400">
        <v>16</v>
      </c>
      <c r="G45" s="683" t="str">
        <f ca="1">IF(OR($G13="",$I13="",$J13="",$L13=""),"",IF($J13&lt;$L13,$G13,IF($J13&gt;$L13,$I13,IF($M13&lt;$O13,$G13,IF($M13&gt;$O13,$I13,"")))))</f>
        <v>SSV Wildbach</v>
      </c>
      <c r="H45" s="683"/>
      <c r="I45" s="684"/>
    </row>
    <row r="46" spans="5:9" ht="24" customHeight="1" x14ac:dyDescent="0.2">
      <c r="E46" s="354">
        <v>11</v>
      </c>
      <c r="F46" s="400">
        <v>17</v>
      </c>
      <c r="G46" s="683" t="str">
        <f ca="1">IF(AND($G12="",$I12=""),"",IF(AND($G12&lt;&gt;"",$I12=""),$G12,IF(AND($G12="",$I12&lt;&gt;""),$I12,IF(OR($J12="",$L12=""),"",IF($J12&gt;$L12,$G12,IF($J12&lt;$L12,$I12,IF($M12&gt;$O12,$G12,IF($M12&lt;$O12,$I12,""))))))))</f>
        <v/>
      </c>
      <c r="H46" s="683"/>
      <c r="I46" s="684"/>
    </row>
    <row r="47" spans="5:9" ht="24" customHeight="1" thickBot="1" x14ac:dyDescent="0.25">
      <c r="E47" s="354">
        <v>12</v>
      </c>
      <c r="F47" s="401">
        <v>18</v>
      </c>
      <c r="G47" s="673" t="str">
        <f ca="1">IF(OR($G12="",$I12="",$J12="",$L12=""),"",IF($J12&lt;$L12,$G12,IF($J12&gt;$L12,$I12,IF($M12&lt;$O12,$G12,IF($M12&gt;$O12,$I12,"")))))</f>
        <v/>
      </c>
      <c r="H47" s="673"/>
      <c r="I47" s="674"/>
    </row>
    <row r="48" spans="5:9" ht="13.5" thickTop="1" x14ac:dyDescent="0.2"/>
    <row r="49" x14ac:dyDescent="0.2"/>
    <row r="50" x14ac:dyDescent="0.2"/>
    <row r="51" x14ac:dyDescent="0.2"/>
    <row r="52" x14ac:dyDescent="0.2"/>
  </sheetData>
  <sheetProtection sheet="1" selectLockedCells="1"/>
  <mergeCells count="32">
    <mergeCell ref="G33:I33"/>
    <mergeCell ref="E2:P2"/>
    <mergeCell ref="E3:P3"/>
    <mergeCell ref="E4:P4"/>
    <mergeCell ref="E5:P5"/>
    <mergeCell ref="G7:I8"/>
    <mergeCell ref="P9:P11"/>
    <mergeCell ref="C10:F10"/>
    <mergeCell ref="G11:I11"/>
    <mergeCell ref="J11:L11"/>
    <mergeCell ref="M11:O11"/>
    <mergeCell ref="G26:H26"/>
    <mergeCell ref="G29:I29"/>
    <mergeCell ref="G30:I30"/>
    <mergeCell ref="G31:I31"/>
    <mergeCell ref="G32:I32"/>
    <mergeCell ref="G46:I46"/>
    <mergeCell ref="G47:I47"/>
    <mergeCell ref="C19:F19"/>
    <mergeCell ref="C22:F22"/>
    <mergeCell ref="G40:I40"/>
    <mergeCell ref="G41:I41"/>
    <mergeCell ref="G42:I42"/>
    <mergeCell ref="G43:I43"/>
    <mergeCell ref="G44:I44"/>
    <mergeCell ref="G45:I45"/>
    <mergeCell ref="G34:I34"/>
    <mergeCell ref="G35:I35"/>
    <mergeCell ref="G36:I36"/>
    <mergeCell ref="G37:I37"/>
    <mergeCell ref="G38:I38"/>
    <mergeCell ref="G39:I39"/>
  </mergeCells>
  <conditionalFormatting sqref="G24:I24 C12:O18 N24 G23:O23 C23:F24 J20:O21">
    <cfRule type="expression" dxfId="22" priority="6">
      <formula>OR($G12="",$I12="")</formula>
    </cfRule>
  </conditionalFormatting>
  <conditionalFormatting sqref="F24 J24:M24 O24">
    <cfRule type="expression" dxfId="21" priority="5">
      <formula>OR($G24="",$I24="")</formula>
    </cfRule>
  </conditionalFormatting>
  <conditionalFormatting sqref="C20:I21">
    <cfRule type="expression" dxfId="20" priority="1">
      <formula>OR($G20="",$I20="")</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439BFC21-87CE-446E-8AB2-652A3368C7B0}">
            <xm:f>$F47&gt;2*Calc1!$F$14-MOD((Calc1!$F$13+Calc2!$F$13),2)</xm:f>
            <x14:dxf>
              <numFmt numFmtId="165" formatCode=";;;"/>
            </x14:dxf>
          </x14:cfRule>
          <xm:sqref>F47</xm:sqref>
        </x14:conditionalFormatting>
        <x14:conditionalFormatting xmlns:xm="http://schemas.microsoft.com/office/excel/2006/main">
          <x14:cfRule type="expression" priority="4" id="{DE910C06-4FB6-4F05-B86C-370D98B67EE4}">
            <xm:f>$F33&gt;2*Calc1!$F$14-MOD((Calc1!$F$13+Calc2!$F$13),2)</xm:f>
            <x14:dxf>
              <numFmt numFmtId="165" formatCode=";;;"/>
            </x14:dxf>
          </x14:cfRule>
          <xm:sqref>F33 F35 F37 F39 F41 F43 F45</xm:sqref>
        </x14:conditionalFormatting>
        <x14:conditionalFormatting xmlns:xm="http://schemas.microsoft.com/office/excel/2006/main">
          <x14:cfRule type="expression" priority="3" id="{DCA3959F-A6C2-4468-B3AD-5995AA48CBEC}">
            <xm:f>$F34&gt;2*Calc1!$F$14-MOD((Calc1!$F$13+Calc2!$F$13),2)</xm:f>
            <x14:dxf>
              <numFmt numFmtId="165" formatCode=";;;"/>
            </x14:dxf>
          </x14:cfRule>
          <xm:sqref>F34 F36 F38 F40 F42 F44 F46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06" t="str">
        <f>Sprache!$E$7</f>
        <v>Direkte Vergleiche</v>
      </c>
      <c r="C2" s="706"/>
      <c r="D2" s="706"/>
      <c r="E2" s="706"/>
      <c r="F2" s="706"/>
      <c r="G2" s="706"/>
      <c r="H2" s="706"/>
      <c r="I2" s="706"/>
      <c r="J2" s="706"/>
      <c r="K2" s="706"/>
      <c r="L2" s="706"/>
      <c r="M2" s="706"/>
      <c r="N2" s="706"/>
      <c r="O2" s="706"/>
      <c r="P2" s="706"/>
    </row>
    <row r="3" spans="2:17" ht="42.75" customHeight="1" x14ac:dyDescent="0.2">
      <c r="B3" s="708" t="str">
        <f>Sprache!$E$56&amp;" A"</f>
        <v>Vorrunde Gruppe A</v>
      </c>
      <c r="C3" s="708"/>
      <c r="D3" s="708"/>
      <c r="E3" s="708"/>
      <c r="F3" s="708"/>
      <c r="G3" s="708"/>
      <c r="H3" s="708"/>
      <c r="I3" s="708"/>
      <c r="J3" s="708"/>
      <c r="K3" s="708"/>
      <c r="L3" s="708"/>
      <c r="M3" s="708"/>
      <c r="N3" s="708"/>
      <c r="O3" s="708"/>
      <c r="P3" s="708"/>
    </row>
    <row r="4" spans="2:17" ht="17.25" customHeight="1" x14ac:dyDescent="0.2">
      <c r="B4" s="707" t="str">
        <f>Sprache!$E$71</f>
        <v>Rote Schrift bedeutet, dass die Rangfolge auch mit dem direkten Vergleich nicht geklärt ist. Fair Play oder Los muss hier entscheiden.</v>
      </c>
      <c r="C4" s="707"/>
      <c r="D4" s="707"/>
      <c r="E4" s="707"/>
      <c r="F4" s="707"/>
      <c r="G4" s="707"/>
      <c r="H4" s="707"/>
      <c r="I4" s="707"/>
      <c r="J4" s="707"/>
      <c r="K4" s="707"/>
      <c r="L4" s="707"/>
      <c r="M4" s="707"/>
      <c r="N4" s="707"/>
      <c r="O4" s="707"/>
      <c r="P4" s="707"/>
    </row>
    <row r="5" spans="2:17" ht="17.25" customHeight="1" thickBot="1" x14ac:dyDescent="0.25">
      <c r="B5" s="122"/>
      <c r="C5" s="122"/>
      <c r="D5" s="122"/>
      <c r="E5" s="122"/>
      <c r="F5" s="122"/>
      <c r="G5" s="122"/>
      <c r="H5" s="123"/>
      <c r="I5" s="123"/>
      <c r="J5" s="123"/>
      <c r="K5" s="123"/>
      <c r="L5" s="123"/>
      <c r="M5" s="123"/>
      <c r="N5" s="123"/>
      <c r="O5" s="123"/>
      <c r="P5" s="123"/>
    </row>
    <row r="6" spans="2:17" ht="21.95" customHeight="1" thickBot="1" x14ac:dyDescent="0.25">
      <c r="H6" s="571" t="str">
        <f ca="1">IF(LEN(H7)&gt;Einstellungen!$C$17,LEFT(H7,Einstellungen!$C$17)&amp;".",H7)</f>
        <v/>
      </c>
      <c r="I6" s="572" t="str">
        <f ca="1">IF(LEN(I7)&gt;Einstellungen!$C$17,LEFT(I7,Einstellungen!$C$17)&amp;".",I7)</f>
        <v/>
      </c>
      <c r="J6" s="572" t="str">
        <f ca="1">IF(LEN(J7)&gt;Einstellungen!$C$17,LEFT(J7,Einstellungen!$C$17)&amp;".",J7)</f>
        <v/>
      </c>
      <c r="K6" s="572" t="str">
        <f ca="1">IF(LEN(K7)&gt;Einstellungen!$C$17,LEFT(K7,Einstellungen!$C$17)&amp;".",K7)</f>
        <v/>
      </c>
      <c r="L6" s="572" t="str">
        <f ca="1">IF(LEN(L7)&gt;Einstellungen!$C$17,LEFT(L7,Einstellungen!$C$17)&amp;".",L7)</f>
        <v/>
      </c>
      <c r="M6" s="573" t="str">
        <f ca="1">IF(LEN(M7)&gt;Einstellungen!$C$17,LEFT(M7,Einstellungen!$C$17)&amp;".",M7)</f>
        <v/>
      </c>
      <c r="N6" s="573" t="str">
        <f ca="1">IF(LEN(N7)&gt;Einstellungen!$C$17,LEFT(N7,Einstellungen!$C$17)&amp;".",N7)</f>
        <v/>
      </c>
      <c r="O6" s="573" t="str">
        <f ca="1">IF(LEN(O7)&gt;Einstellungen!$C$17,LEFT(O7,Einstellungen!$C$17)&amp;".",O7)</f>
        <v/>
      </c>
      <c r="P6" s="574" t="str">
        <f ca="1">IF(LEN(P7)&gt;Einstellungen!$C$17,LEFT(P7,Einstellungen!$C$17)&amp;".",P7)</f>
        <v/>
      </c>
    </row>
    <row r="7" spans="2:17" ht="21.95" customHeight="1" thickTop="1" thickBot="1" x14ac:dyDescent="0.25">
      <c r="B7" s="120"/>
      <c r="C7" s="126" t="str">
        <f>Sprache!$E$10</f>
        <v>Teilnehmer bzw. Mannschaft</v>
      </c>
      <c r="D7" s="130" t="str">
        <f>Sprache!$E$27</f>
        <v>Pkt</v>
      </c>
      <c r="E7" s="117" t="str">
        <f>Sprache!$E$26</f>
        <v>Diff.</v>
      </c>
      <c r="F7" s="117" t="str">
        <f>Sprache!$E$28</f>
        <v>erz. Tore</v>
      </c>
      <c r="G7" s="152" t="str">
        <f>Sprache!$E$49</f>
        <v>Bonus</v>
      </c>
      <c r="H7" s="134" t="str">
        <f ca="1">C8</f>
        <v/>
      </c>
      <c r="I7" s="135" t="str">
        <f ca="1">C9</f>
        <v/>
      </c>
      <c r="J7" s="135" t="str">
        <f ca="1">C10</f>
        <v/>
      </c>
      <c r="K7" s="135" t="str">
        <f ca="1">C11</f>
        <v/>
      </c>
      <c r="L7" s="135" t="str">
        <f ca="1">C12</f>
        <v/>
      </c>
      <c r="M7" s="570" t="str">
        <f ca="1">C13</f>
        <v/>
      </c>
      <c r="N7" s="565" t="str">
        <f ca="1">C14</f>
        <v/>
      </c>
      <c r="O7" s="565" t="str">
        <f ca="1">C15</f>
        <v/>
      </c>
      <c r="P7" s="155" t="str">
        <f ca="1">C16</f>
        <v/>
      </c>
    </row>
    <row r="8" spans="2:17" ht="21.95" customHeight="1" x14ac:dyDescent="0.2">
      <c r="B8" s="118" t="str">
        <f ca="1">IF($C8="","",INDEX(Calc1!$E$4:$E$12,MATCH($C8,Calc1!$F$4:$F$12,0)))</f>
        <v/>
      </c>
      <c r="C8" s="127" t="str">
        <f ca="1">IF(Calc1!$K$13=0,"",Calc1!$X4)</f>
        <v/>
      </c>
      <c r="D8" s="131" t="str">
        <f ca="1">IF($C8="","",VLOOKUP($C8,Calc1!$C$17:$AC$25,25,0))</f>
        <v/>
      </c>
      <c r="E8" s="114" t="str">
        <f ca="1">IF($C8="","",VLOOKUP($C8,Calc1!$C$17:$AC$25,26,0))</f>
        <v/>
      </c>
      <c r="F8" s="114" t="str">
        <f ca="1">IF($C8="","",VLOOKUP($C8,Calc1!$C$17:$AC$25,27,0))</f>
        <v/>
      </c>
      <c r="G8" s="463" t="str">
        <f ca="1">IF($C8="","",VLOOKUP(C8,Vorrunde!$AK$12:$AL$33,2,0))</f>
        <v/>
      </c>
      <c r="H8" s="139"/>
      <c r="I8" s="114" t="str">
        <f ca="1">IFERROR(VLOOKUP($C8&amp;I$7,Calc1!$Z$64:$AB$207,3,0),"")</f>
        <v/>
      </c>
      <c r="J8" s="114" t="str">
        <f ca="1">IFERROR(VLOOKUP($C8&amp;J$7,Calc1!$Z$64:$AB$207,3,0),"")</f>
        <v/>
      </c>
      <c r="K8" s="114" t="str">
        <f ca="1">IFERROR(VLOOKUP($C8&amp;K$7,Calc1!$Z$64:$AB$207,3,0),"")</f>
        <v/>
      </c>
      <c r="L8" s="114" t="str">
        <f ca="1">IFERROR(VLOOKUP($C8&amp;L$7,Calc1!$Z$64:$AB$207,3,0),"")</f>
        <v/>
      </c>
      <c r="M8" s="566" t="str">
        <f ca="1">IFERROR(VLOOKUP($C8&amp;M$7,Calc1!$Z$64:$AB$207,3,0),"")</f>
        <v/>
      </c>
      <c r="N8" s="566" t="str">
        <f ca="1">IFERROR(VLOOKUP($C8&amp;N$7,Calc1!$Z$64:$AB$207,3,0),"")</f>
        <v/>
      </c>
      <c r="O8" s="566" t="str">
        <f ca="1">IFERROR(VLOOKUP($C8&amp;O$7,Calc1!$Z$64:$AB$207,3,0),"")</f>
        <v/>
      </c>
      <c r="P8" s="156" t="str">
        <f ca="1">IFERROR(VLOOKUP($C8&amp;P$7,Calc1!$Z$64:$AB$207,3,0),"")</f>
        <v/>
      </c>
      <c r="Q8" s="186" t="str">
        <f t="shared" ref="Q8:Q16" ca="1" si="0">C8</f>
        <v/>
      </c>
    </row>
    <row r="9" spans="2:17" ht="21.95" customHeight="1" x14ac:dyDescent="0.2">
      <c r="B9" s="118" t="str">
        <f ca="1">IF($C9="","",INDEX(Calc1!$E$4:$E$12,MATCH($C9,Calc1!$F$4:$F$12,0)))</f>
        <v/>
      </c>
      <c r="C9" s="128" t="str">
        <f ca="1">IF(Calc1!$K$13=0,"",Calc1!$X5)</f>
        <v/>
      </c>
      <c r="D9" s="132" t="str">
        <f ca="1">IF($C9="","",VLOOKUP($C9,Calc1!$C$17:$AC$25,25,0))</f>
        <v/>
      </c>
      <c r="E9" s="115" t="str">
        <f ca="1">IF($C9="","",VLOOKUP($C9,Calc1!$C$17:$AC$25,26,0))</f>
        <v/>
      </c>
      <c r="F9" s="115" t="str">
        <f ca="1">IF($C9="","",VLOOKUP($C9,Calc1!$C$17:$AC$25,27,0))</f>
        <v/>
      </c>
      <c r="G9" s="464" t="str">
        <f ca="1">IF($C9="","",VLOOKUP(C9,Vorrunde!$AK$12:$AL$33,2,0))</f>
        <v/>
      </c>
      <c r="H9" s="140" t="str">
        <f ca="1">IFERROR(VLOOKUP($C9&amp;H$7,Calc1!$Z$64:$AB$207,3,0),"")</f>
        <v/>
      </c>
      <c r="I9" s="125"/>
      <c r="J9" s="115" t="str">
        <f ca="1">IFERROR(VLOOKUP($C9&amp;J$7,Calc1!$Z$64:$AB$207,3,0),"")</f>
        <v/>
      </c>
      <c r="K9" s="115" t="str">
        <f ca="1">IFERROR(VLOOKUP($C9&amp;K$7,Calc1!$Z$64:$AB$207,3,0),"")</f>
        <v/>
      </c>
      <c r="L9" s="115" t="str">
        <f ca="1">IFERROR(VLOOKUP($C9&amp;L$7,Calc1!$Z$64:$AB$207,3,0),"")</f>
        <v/>
      </c>
      <c r="M9" s="567" t="str">
        <f ca="1">IFERROR(VLOOKUP($C9&amp;M$7,Calc1!$Z$64:$AB$207,3,0),"")</f>
        <v/>
      </c>
      <c r="N9" s="567" t="str">
        <f ca="1">IFERROR(VLOOKUP($C9&amp;N$7,Calc1!$Z$64:$AB$207,3,0),"")</f>
        <v/>
      </c>
      <c r="O9" s="567" t="str">
        <f ca="1">IFERROR(VLOOKUP($C9&amp;O$7,Calc1!$Z$64:$AB$207,3,0),"")</f>
        <v/>
      </c>
      <c r="P9" s="157" t="str">
        <f ca="1">IFERROR(VLOOKUP($C9&amp;P$7,Calc1!$Z$64:$AB$207,3,0),"")</f>
        <v/>
      </c>
      <c r="Q9" s="187" t="str">
        <f t="shared" ca="1" si="0"/>
        <v/>
      </c>
    </row>
    <row r="10" spans="2:17" ht="21.95" customHeight="1" x14ac:dyDescent="0.2">
      <c r="B10" s="118" t="str">
        <f ca="1">IF($C10="","",INDEX(Calc1!$E$4:$E$12,MATCH($C10,Calc1!$F$4:$F$12,0)))</f>
        <v/>
      </c>
      <c r="C10" s="128" t="str">
        <f ca="1">IF(Calc1!$K$13=0,"",Calc1!$X6)</f>
        <v/>
      </c>
      <c r="D10" s="132" t="str">
        <f ca="1">IF($C10="","",VLOOKUP($C10,Calc1!$C$17:$AC$25,25,0))</f>
        <v/>
      </c>
      <c r="E10" s="115" t="str">
        <f ca="1">IF($C10="","",VLOOKUP($C10,Calc1!$C$17:$AC$25,26,0))</f>
        <v/>
      </c>
      <c r="F10" s="115" t="str">
        <f ca="1">IF($C10="","",VLOOKUP($C10,Calc1!$C$17:$AC$25,27,0))</f>
        <v/>
      </c>
      <c r="G10" s="464" t="str">
        <f ca="1">IF($C10="","",VLOOKUP(C10,Vorrunde!$AK$12:$AL$33,2,0))</f>
        <v/>
      </c>
      <c r="H10" s="140" t="str">
        <f ca="1">IFERROR(VLOOKUP($C10&amp;H$7,Calc1!$Z$64:$AB$207,3,0),"")</f>
        <v/>
      </c>
      <c r="I10" s="115" t="str">
        <f ca="1">IFERROR(VLOOKUP($C10&amp;I$7,Calc1!$Z$64:$AB$207,3,0),"")</f>
        <v/>
      </c>
      <c r="J10" s="125"/>
      <c r="K10" s="115" t="str">
        <f ca="1">IFERROR(VLOOKUP($C10&amp;K$7,Calc1!$Z$64:$AB$207,3,0),"")</f>
        <v/>
      </c>
      <c r="L10" s="115" t="str">
        <f ca="1">IFERROR(VLOOKUP($C10&amp;L$7,Calc1!$Z$64:$AB$207,3,0),"")</f>
        <v/>
      </c>
      <c r="M10" s="567" t="str">
        <f ca="1">IFERROR(VLOOKUP($C10&amp;M$7,Calc1!$Z$64:$AB$207,3,0),"")</f>
        <v/>
      </c>
      <c r="N10" s="567" t="str">
        <f ca="1">IFERROR(VLOOKUP($C10&amp;N$7,Calc1!$Z$64:$AB$207,3,0),"")</f>
        <v/>
      </c>
      <c r="O10" s="567" t="str">
        <f ca="1">IFERROR(VLOOKUP($C10&amp;O$7,Calc1!$Z$64:$AB$207,3,0),"")</f>
        <v/>
      </c>
      <c r="P10" s="157" t="str">
        <f ca="1">IFERROR(VLOOKUP($C10&amp;P$7,Calc1!$Z$64:$AB$207,3,0),"")</f>
        <v/>
      </c>
      <c r="Q10" s="187" t="str">
        <f t="shared" ca="1" si="0"/>
        <v/>
      </c>
    </row>
    <row r="11" spans="2:17" ht="21.95" customHeight="1" x14ac:dyDescent="0.2">
      <c r="B11" s="118" t="str">
        <f ca="1">IF($C11="","",INDEX(Calc1!$E$4:$E$12,MATCH($C11,Calc1!$F$4:$F$12,0)))</f>
        <v/>
      </c>
      <c r="C11" s="128" t="str">
        <f ca="1">IF(Calc1!$K$13=0,"",Calc1!$X7)</f>
        <v/>
      </c>
      <c r="D11" s="132" t="str">
        <f ca="1">IF($C11="","",VLOOKUP($C11,Calc1!$C$17:$AC$25,25,0))</f>
        <v/>
      </c>
      <c r="E11" s="115" t="str">
        <f ca="1">IF($C11="","",VLOOKUP($C11,Calc1!$C$17:$AC$25,26,0))</f>
        <v/>
      </c>
      <c r="F11" s="115" t="str">
        <f ca="1">IF($C11="","",VLOOKUP($C11,Calc1!$C$17:$AC$25,27,0))</f>
        <v/>
      </c>
      <c r="G11" s="464" t="str">
        <f ca="1">IF($C11="","",VLOOKUP(C11,Vorrunde!$AK$12:$AL$33,2,0))</f>
        <v/>
      </c>
      <c r="H11" s="140" t="str">
        <f ca="1">IFERROR(VLOOKUP($C11&amp;H$7,Calc1!$Z$64:$AB$207,3,0),"")</f>
        <v/>
      </c>
      <c r="I11" s="115" t="str">
        <f ca="1">IFERROR(VLOOKUP($C11&amp;I$7,Calc1!$Z$64:$AB$207,3,0),"")</f>
        <v/>
      </c>
      <c r="J11" s="115" t="str">
        <f ca="1">IFERROR(VLOOKUP($C11&amp;J$7,Calc1!$Z$64:$AB$207,3,0),"")</f>
        <v/>
      </c>
      <c r="K11" s="125"/>
      <c r="L11" s="115" t="str">
        <f ca="1">IFERROR(VLOOKUP($C11&amp;L$7,Calc1!$Z$64:$AB$207,3,0),"")</f>
        <v/>
      </c>
      <c r="M11" s="567" t="str">
        <f ca="1">IFERROR(VLOOKUP($C11&amp;M$7,Calc1!$Z$64:$AB$207,3,0),"")</f>
        <v/>
      </c>
      <c r="N11" s="567" t="str">
        <f ca="1">IFERROR(VLOOKUP($C11&amp;N$7,Calc1!$Z$64:$AB$207,3,0),"")</f>
        <v/>
      </c>
      <c r="O11" s="567" t="str">
        <f ca="1">IFERROR(VLOOKUP($C11&amp;O$7,Calc1!$Z$64:$AB$207,3,0),"")</f>
        <v/>
      </c>
      <c r="P11" s="157" t="str">
        <f ca="1">IFERROR(VLOOKUP($C11&amp;P$7,Calc1!$Z$64:$AB$207,3,0),"")</f>
        <v/>
      </c>
      <c r="Q11" s="187" t="str">
        <f t="shared" ca="1" si="0"/>
        <v/>
      </c>
    </row>
    <row r="12" spans="2:17" ht="21.95" customHeight="1" x14ac:dyDescent="0.2">
      <c r="B12" s="118" t="str">
        <f ca="1">IF($C12="","",INDEX(Calc1!$E$4:$E$12,MATCH($C12,Calc1!$F$4:$F$12,0)))</f>
        <v/>
      </c>
      <c r="C12" s="128" t="str">
        <f ca="1">IF(Calc1!$K$13=0,"",Calc1!$X8)</f>
        <v/>
      </c>
      <c r="D12" s="132" t="str">
        <f ca="1">IF($C12="","",VLOOKUP($C12,Calc1!$C$17:$AC$25,25,0))</f>
        <v/>
      </c>
      <c r="E12" s="115" t="str">
        <f ca="1">IF($C12="","",VLOOKUP($C12,Calc1!$C$17:$AC$25,26,0))</f>
        <v/>
      </c>
      <c r="F12" s="115" t="str">
        <f ca="1">IF($C12="","",VLOOKUP($C12,Calc1!$C$17:$AC$25,27,0))</f>
        <v/>
      </c>
      <c r="G12" s="464" t="str">
        <f ca="1">IF($C12="","",VLOOKUP(C12,Vorrunde!$AK$12:$AL$33,2,0))</f>
        <v/>
      </c>
      <c r="H12" s="140" t="str">
        <f ca="1">IFERROR(VLOOKUP($C12&amp;H$7,Calc1!$Z$64:$AB$207,3,0),"")</f>
        <v/>
      </c>
      <c r="I12" s="115" t="str">
        <f ca="1">IFERROR(VLOOKUP($C12&amp;I$7,Calc1!$Z$64:$AB$207,3,0),"")</f>
        <v/>
      </c>
      <c r="J12" s="115" t="str">
        <f ca="1">IFERROR(VLOOKUP($C12&amp;J$7,Calc1!$Z$64:$AB$207,3,0),"")</f>
        <v/>
      </c>
      <c r="K12" s="115" t="str">
        <f ca="1">IFERROR(VLOOKUP($C12&amp;K$7,Calc1!$Z$64:$AB$207,3,0),"")</f>
        <v/>
      </c>
      <c r="L12" s="125"/>
      <c r="M12" s="567" t="str">
        <f ca="1">IFERROR(VLOOKUP($C12&amp;M$7,Calc1!$Z$64:$AB$207,3,0),"")</f>
        <v/>
      </c>
      <c r="N12" s="567" t="str">
        <f ca="1">IFERROR(VLOOKUP($C12&amp;N$7,Calc1!$Z$64:$AB$207,3,0),"")</f>
        <v/>
      </c>
      <c r="O12" s="567" t="str">
        <f ca="1">IFERROR(VLOOKUP($C12&amp;O$7,Calc1!$Z$64:$AB$207,3,0),"")</f>
        <v/>
      </c>
      <c r="P12" s="157" t="str">
        <f ca="1">IFERROR(VLOOKUP($C12&amp;P$7,Calc1!$Z$64:$AB$207,3,0),"")</f>
        <v/>
      </c>
      <c r="Q12" s="187" t="str">
        <f t="shared" ca="1" si="0"/>
        <v/>
      </c>
    </row>
    <row r="13" spans="2:17" ht="21.95" customHeight="1" x14ac:dyDescent="0.2">
      <c r="B13" s="118" t="str">
        <f ca="1">IF($C13="","",INDEX(Calc1!$E$4:$E$12,MATCH($C13,Calc1!$F$4:$F$12,0)))</f>
        <v/>
      </c>
      <c r="C13" s="128" t="str">
        <f ca="1">IF(Calc1!$K$13=0,"",Calc1!$X9)</f>
        <v/>
      </c>
      <c r="D13" s="132" t="str">
        <f ca="1">IF($C13="","",VLOOKUP($C13,Calc1!$C$17:$AC$25,25,0))</f>
        <v/>
      </c>
      <c r="E13" s="115" t="str">
        <f ca="1">IF($C13="","",VLOOKUP($C13,Calc1!$C$17:$AC$25,26,0))</f>
        <v/>
      </c>
      <c r="F13" s="115" t="str">
        <f ca="1">IF($C13="","",VLOOKUP($C13,Calc1!$C$17:$AC$25,27,0))</f>
        <v/>
      </c>
      <c r="G13" s="464" t="str">
        <f ca="1">IF($C13="","",VLOOKUP(C13,Vorrunde!$AK$12:$AL$33,2,0))</f>
        <v/>
      </c>
      <c r="H13" s="140" t="str">
        <f ca="1">IFERROR(VLOOKUP($C13&amp;H$7,Calc1!$Z$64:$AB$207,3,0),"")</f>
        <v/>
      </c>
      <c r="I13" s="115" t="str">
        <f ca="1">IFERROR(VLOOKUP($C13&amp;I$7,Calc1!$Z$64:$AB$207,3,0),"")</f>
        <v/>
      </c>
      <c r="J13" s="115" t="str">
        <f ca="1">IFERROR(VLOOKUP($C13&amp;J$7,Calc1!$Z$64:$AB$207,3,0),"")</f>
        <v/>
      </c>
      <c r="K13" s="115" t="str">
        <f ca="1">IFERROR(VLOOKUP($C13&amp;K$7,Calc1!$Z$64:$AB$207,3,0),"")</f>
        <v/>
      </c>
      <c r="L13" s="115" t="str">
        <f ca="1">IFERROR(VLOOKUP($C13&amp;L$7,Calc1!$Z$64:$AB$207,3,0),"")</f>
        <v/>
      </c>
      <c r="M13" s="568"/>
      <c r="N13" s="567" t="str">
        <f ca="1">IFERROR(VLOOKUP($C13&amp;N$7,Calc1!$Z$64:$AB$207,3,0),"")</f>
        <v/>
      </c>
      <c r="O13" s="567" t="str">
        <f ca="1">IFERROR(VLOOKUP($C13&amp;O$7,Calc1!$Z$64:$AB$207,3,0),"")</f>
        <v/>
      </c>
      <c r="P13" s="157" t="str">
        <f ca="1">IFERROR(VLOOKUP($C13&amp;P$7,Calc1!$Z$64:$AB$207,3,0),"")</f>
        <v/>
      </c>
      <c r="Q13" s="187" t="str">
        <f t="shared" ca="1" si="0"/>
        <v/>
      </c>
    </row>
    <row r="14" spans="2:17" ht="21.95" customHeight="1" x14ac:dyDescent="0.2">
      <c r="B14" s="118" t="str">
        <f ca="1">IF($C14="","",INDEX(Calc1!$E$4:$E$12,MATCH($C14,Calc1!$F$4:$F$12,0)))</f>
        <v/>
      </c>
      <c r="C14" s="128" t="str">
        <f ca="1">IF(Calc1!$K$13=0,"",Calc1!$X10)</f>
        <v/>
      </c>
      <c r="D14" s="132" t="str">
        <f ca="1">IF($C14="","",VLOOKUP($C14,Calc1!$C$17:$AC$25,25,0))</f>
        <v/>
      </c>
      <c r="E14" s="115" t="str">
        <f ca="1">IF($C14="","",VLOOKUP($C14,Calc1!$C$17:$AC$25,26,0))</f>
        <v/>
      </c>
      <c r="F14" s="115" t="str">
        <f ca="1">IF($C14="","",VLOOKUP($C14,Calc1!$C$17:$AC$25,27,0))</f>
        <v/>
      </c>
      <c r="G14" s="464" t="str">
        <f ca="1">IF($C14="","",VLOOKUP(C14,Vorrunde!$AK$12:$AL$33,2,0))</f>
        <v/>
      </c>
      <c r="H14" s="140" t="str">
        <f ca="1">IFERROR(VLOOKUP($C14&amp;H$7,Calc1!$Z$64:$AB$207,3,0),"")</f>
        <v/>
      </c>
      <c r="I14" s="115" t="str">
        <f ca="1">IFERROR(VLOOKUP($C14&amp;I$7,Calc1!$Z$64:$AB$207,3,0),"")</f>
        <v/>
      </c>
      <c r="J14" s="115" t="str">
        <f ca="1">IFERROR(VLOOKUP($C14&amp;J$7,Calc1!$Z$64:$AB$207,3,0),"")</f>
        <v/>
      </c>
      <c r="K14" s="115" t="str">
        <f ca="1">IFERROR(VLOOKUP($C14&amp;K$7,Calc1!$Z$64:$AB$207,3,0),"")</f>
        <v/>
      </c>
      <c r="L14" s="115" t="str">
        <f ca="1">IFERROR(VLOOKUP($C14&amp;L$7,Calc1!$Z$64:$AB$207,3,0),"")</f>
        <v/>
      </c>
      <c r="M14" s="567" t="str">
        <f ca="1">IFERROR(VLOOKUP($C14&amp;M$7,Calc1!$Z$64:$AB$207,3,0),"")</f>
        <v/>
      </c>
      <c r="N14" s="568"/>
      <c r="O14" s="567" t="str">
        <f ca="1">IFERROR(VLOOKUP($C14&amp;O$7,Calc1!$Z$64:$AB$207,3,0),"")</f>
        <v/>
      </c>
      <c r="P14" s="157" t="str">
        <f ca="1">IFERROR(VLOOKUP($C14&amp;P$7,Calc1!$Z$64:$AB$207,3,0),"")</f>
        <v/>
      </c>
      <c r="Q14" s="187" t="str">
        <f t="shared" ca="1" si="0"/>
        <v/>
      </c>
    </row>
    <row r="15" spans="2:17" ht="21.95" customHeight="1" x14ac:dyDescent="0.2">
      <c r="B15" s="118" t="str">
        <f ca="1">IF($C15="","",INDEX(Calc1!$E$4:$E$12,MATCH($C15,Calc1!$F$4:$F$12,0)))</f>
        <v/>
      </c>
      <c r="C15" s="128" t="str">
        <f ca="1">IF(Calc1!$K$13=0,"",Calc1!$X11)</f>
        <v/>
      </c>
      <c r="D15" s="132" t="str">
        <f ca="1">IF($C15="","",VLOOKUP($C15,Calc1!$C$17:$AC$25,25,0))</f>
        <v/>
      </c>
      <c r="E15" s="115" t="str">
        <f ca="1">IF($C15="","",VLOOKUP($C15,Calc1!$C$17:$AC$25,26,0))</f>
        <v/>
      </c>
      <c r="F15" s="115" t="str">
        <f ca="1">IF($C15="","",VLOOKUP($C15,Calc1!$C$17:$AC$25,27,0))</f>
        <v/>
      </c>
      <c r="G15" s="464" t="str">
        <f ca="1">IF($C15="","",VLOOKUP(C15,Vorrunde!$AK$12:$AL$33,2,0))</f>
        <v/>
      </c>
      <c r="H15" s="140" t="str">
        <f ca="1">IFERROR(VLOOKUP($C15&amp;H$7,Calc1!$Z$64:$AB$207,3,0),"")</f>
        <v/>
      </c>
      <c r="I15" s="115" t="str">
        <f ca="1">IFERROR(VLOOKUP($C15&amp;I$7,Calc1!$Z$64:$AB$207,3,0),"")</f>
        <v/>
      </c>
      <c r="J15" s="115" t="str">
        <f ca="1">IFERROR(VLOOKUP($C15&amp;J$7,Calc1!$Z$64:$AB$207,3,0),"")</f>
        <v/>
      </c>
      <c r="K15" s="115" t="str">
        <f ca="1">IFERROR(VLOOKUP($C15&amp;K$7,Calc1!$Z$64:$AB$207,3,0),"")</f>
        <v/>
      </c>
      <c r="L15" s="115" t="str">
        <f ca="1">IFERROR(VLOOKUP($C15&amp;L$7,Calc1!$Z$64:$AB$207,3,0),"")</f>
        <v/>
      </c>
      <c r="M15" s="567" t="str">
        <f ca="1">IFERROR(VLOOKUP($C15&amp;M$7,Calc1!$Z$64:$AB$207,3,0),"")</f>
        <v/>
      </c>
      <c r="N15" s="567" t="str">
        <f ca="1">IFERROR(VLOOKUP($C15&amp;N$7,Calc1!$Z$64:$AB$207,3,0),"")</f>
        <v/>
      </c>
      <c r="O15" s="568"/>
      <c r="P15" s="157" t="str">
        <f ca="1">IFERROR(VLOOKUP($C15&amp;P$7,Calc1!$Z$64:$AB$207,3,0),"")</f>
        <v/>
      </c>
      <c r="Q15" s="187" t="str">
        <f t="shared" ca="1" si="0"/>
        <v/>
      </c>
    </row>
    <row r="16" spans="2:17" ht="21.95" customHeight="1" thickBot="1" x14ac:dyDescent="0.25">
      <c r="B16" s="119" t="str">
        <f ca="1">IF($C16="","",INDEX(Calc1!$E$4:$E$12,MATCH($C16,Calc1!$F$4:$F$12,0)))</f>
        <v/>
      </c>
      <c r="C16" s="129" t="str">
        <f ca="1">IF(Calc1!$K$13=0,"",Calc1!$X12)</f>
        <v/>
      </c>
      <c r="D16" s="133" t="str">
        <f ca="1">IF($C16="","",VLOOKUP($C16,Calc1!$C$17:$AC$25,25,0))</f>
        <v/>
      </c>
      <c r="E16" s="116" t="str">
        <f ca="1">IF($C16="","",VLOOKUP($C16,Calc1!$C$17:$AC$25,26,0))</f>
        <v/>
      </c>
      <c r="F16" s="116" t="str">
        <f ca="1">IF($C16="","",VLOOKUP($C16,Calc1!$C$17:$AC$25,27,0))</f>
        <v/>
      </c>
      <c r="G16" s="465" t="str">
        <f ca="1">IF($C16="","",VLOOKUP(C16,Vorrunde!$AK$12:$AL$33,2,0))</f>
        <v/>
      </c>
      <c r="H16" s="141" t="str">
        <f ca="1">IFERROR(VLOOKUP($C16&amp;H$7,Calc1!$Z$64:$AB$207,3,0),"")</f>
        <v/>
      </c>
      <c r="I16" s="116" t="str">
        <f ca="1">IFERROR(VLOOKUP($C16&amp;I$7,Calc1!$Z$64:$AB$207,3,0),"")</f>
        <v/>
      </c>
      <c r="J16" s="116" t="str">
        <f ca="1">IFERROR(VLOOKUP($C16&amp;J$7,Calc1!$Z$64:$AB$207,3,0),"")</f>
        <v/>
      </c>
      <c r="K16" s="116" t="str">
        <f ca="1">IFERROR(VLOOKUP($C16&amp;K$7,Calc1!$Z$64:$AB$207,3,0),"")</f>
        <v/>
      </c>
      <c r="L16" s="116" t="str">
        <f ca="1">IFERROR(VLOOKUP($C16&amp;L$7,Calc1!$Z$64:$AB$207,3,0),"")</f>
        <v/>
      </c>
      <c r="M16" s="569" t="str">
        <f ca="1">IFERROR(VLOOKUP($C16&amp;M$7,Calc1!$Z$64:$AB$207,3,0),"")</f>
        <v/>
      </c>
      <c r="N16" s="569" t="str">
        <f ca="1">IFERROR(VLOOKUP($C16&amp;N$7,Calc1!$Z$64:$AB$207,3,0),"")</f>
        <v/>
      </c>
      <c r="O16" s="569" t="str">
        <f ca="1">IFERROR(VLOOKUP($C16&amp;O$7,Calc1!$Z$64:$AB$207,3,0),"")</f>
        <v/>
      </c>
      <c r="P16" s="158"/>
      <c r="Q16" s="188" t="str">
        <f t="shared" ca="1" si="0"/>
        <v/>
      </c>
    </row>
    <row r="17" spans="2:17" ht="42.75" customHeight="1" thickTop="1" thickBot="1" x14ac:dyDescent="0.25">
      <c r="B17" s="136"/>
      <c r="C17" s="137"/>
      <c r="D17" s="138"/>
      <c r="E17" s="124"/>
      <c r="F17" s="124"/>
      <c r="G17" s="124"/>
      <c r="H17" s="124"/>
      <c r="I17" s="124"/>
      <c r="J17" s="124"/>
      <c r="K17" s="124"/>
      <c r="L17" s="124"/>
      <c r="M17" s="124"/>
      <c r="N17" s="124"/>
      <c r="O17" s="124"/>
      <c r="P17" s="124"/>
    </row>
    <row r="18" spans="2:17" ht="21.95" customHeight="1" thickBot="1" x14ac:dyDescent="0.25">
      <c r="H18" s="571" t="str">
        <f ca="1">IF(LEN(H19)&gt;Einstellungen!$C$17,LEFT(H19,Einstellungen!$C$17)&amp;".",H19)</f>
        <v/>
      </c>
      <c r="I18" s="572" t="str">
        <f ca="1">IF(LEN(I19)&gt;Einstellungen!$C$17,LEFT(I19,Einstellungen!$C$17)&amp;".",I19)</f>
        <v/>
      </c>
      <c r="J18" s="572" t="str">
        <f ca="1">IF(LEN(J19)&gt;Einstellungen!$C$17,LEFT(J19,Einstellungen!$C$17)&amp;".",J19)</f>
        <v/>
      </c>
      <c r="K18" s="572" t="str">
        <f ca="1">IF(LEN(K19)&gt;Einstellungen!$C$17,LEFT(K19,Einstellungen!$C$17)&amp;".",K19)</f>
        <v/>
      </c>
      <c r="L18" s="572" t="str">
        <f ca="1">IF(LEN(L19)&gt;Einstellungen!$C$17,LEFT(L19,Einstellungen!$C$17)&amp;".",L19)</f>
        <v/>
      </c>
      <c r="M18" s="573" t="str">
        <f ca="1">IF(LEN(M19)&gt;Einstellungen!$C$17,LEFT(M19,Einstellungen!$C$17)&amp;".",M19)</f>
        <v/>
      </c>
      <c r="N18" s="573" t="str">
        <f ca="1">IF(LEN(N19)&gt;Einstellungen!$C$17,LEFT(N19,Einstellungen!$C$17)&amp;".",N19)</f>
        <v/>
      </c>
      <c r="O18" s="573" t="str">
        <f ca="1">IF(LEN(O19)&gt;Einstellungen!$C$17,LEFT(O19,Einstellungen!$C$17)&amp;".",O19)</f>
        <v/>
      </c>
      <c r="P18" s="574" t="str">
        <f ca="1">IF(LEN(P19)&gt;Einstellungen!$C$17,LEFT(P19,Einstellungen!$C$17)&amp;".",P19)</f>
        <v/>
      </c>
    </row>
    <row r="19" spans="2:17" ht="21.95" customHeight="1" thickTop="1" thickBot="1" x14ac:dyDescent="0.25">
      <c r="B19" s="120"/>
      <c r="C19" s="126" t="str">
        <f>Sprache!$E$10</f>
        <v>Teilnehmer bzw. Mannschaft</v>
      </c>
      <c r="D19" s="130" t="str">
        <f>Sprache!$E$27</f>
        <v>Pkt</v>
      </c>
      <c r="E19" s="117" t="str">
        <f>Sprache!$E$26</f>
        <v>Diff.</v>
      </c>
      <c r="F19" s="117" t="str">
        <f>Sprache!$E$28</f>
        <v>erz. Tore</v>
      </c>
      <c r="G19" s="152" t="str">
        <f>Sprache!$E$49</f>
        <v>Bonus</v>
      </c>
      <c r="H19" s="134" t="str">
        <f ca="1">C20</f>
        <v/>
      </c>
      <c r="I19" s="135" t="str">
        <f ca="1">C21</f>
        <v/>
      </c>
      <c r="J19" s="135" t="str">
        <f ca="1">C22</f>
        <v/>
      </c>
      <c r="K19" s="135" t="str">
        <f ca="1">C23</f>
        <v/>
      </c>
      <c r="L19" s="135" t="str">
        <f ca="1">C24</f>
        <v/>
      </c>
      <c r="M19" s="565" t="str">
        <f ca="1">C25</f>
        <v/>
      </c>
      <c r="N19" s="565" t="str">
        <f ca="1">C26</f>
        <v/>
      </c>
      <c r="O19" s="565" t="str">
        <f ca="1">C27</f>
        <v/>
      </c>
      <c r="P19" s="155" t="str">
        <f ca="1">C28</f>
        <v/>
      </c>
    </row>
    <row r="20" spans="2:17" ht="21.95" customHeight="1" x14ac:dyDescent="0.2">
      <c r="B20" s="118" t="str">
        <f ca="1">IF($C20="","",INDEX(Calc1!$E$4:$E$12,MATCH($C20,Calc1!$F$4:$F$12,0)))</f>
        <v/>
      </c>
      <c r="C20" s="127" t="str">
        <f ca="1">IF(Calc1!$K$13=0,"",Calc1!$AC4)</f>
        <v/>
      </c>
      <c r="D20" s="131" t="str">
        <f ca="1">IF($C20="","",VLOOKUP($C20,Calc1!$C$17:$AC$25,25,0))</f>
        <v/>
      </c>
      <c r="E20" s="114" t="str">
        <f ca="1">IF($C20="","",VLOOKUP($C20,Calc1!$C$17:$AC$25,26,0))</f>
        <v/>
      </c>
      <c r="F20" s="114" t="str">
        <f ca="1">IF($C20="","",VLOOKUP($C20,Calc1!$C$17:$AC$25,27,0))</f>
        <v/>
      </c>
      <c r="G20" s="463" t="str">
        <f ca="1">IF($C20="","",VLOOKUP(C20,Vorrunde!$AK$12:$AL$33,2,0))</f>
        <v/>
      </c>
      <c r="H20" s="139"/>
      <c r="I20" s="114" t="str">
        <f ca="1">IFERROR(VLOOKUP($C20&amp;I$19,Calc1!$Z$64:$AB$207,3,0),"")</f>
        <v/>
      </c>
      <c r="J20" s="114" t="str">
        <f ca="1">IFERROR(VLOOKUP($C20&amp;J$19,Calc1!$Z$64:$AB$207,3,0),"")</f>
        <v/>
      </c>
      <c r="K20" s="114" t="str">
        <f ca="1">IFERROR(VLOOKUP($C20&amp;K$19,Calc1!$Z$64:$AB$207,3,0),"")</f>
        <v/>
      </c>
      <c r="L20" s="114" t="str">
        <f ca="1">IFERROR(VLOOKUP($C20&amp;L$19,Calc1!$Z$64:$AB$207,3,0),"")</f>
        <v/>
      </c>
      <c r="M20" s="566" t="str">
        <f ca="1">IFERROR(VLOOKUP($C20&amp;M$19,Calc1!$Z$64:$AB$207,3,0),"")</f>
        <v/>
      </c>
      <c r="N20" s="566" t="str">
        <f ca="1">IFERROR(VLOOKUP($C20&amp;N$19,Calc1!$Z$64:$AB$207,3,0),"")</f>
        <v/>
      </c>
      <c r="O20" s="566" t="str">
        <f ca="1">IFERROR(VLOOKUP($C20&amp;O$19,Calc1!$Z$64:$AB$207,3,0),"")</f>
        <v/>
      </c>
      <c r="P20" s="156" t="str">
        <f ca="1">IFERROR(VLOOKUP($C20&amp;P$19,Calc1!$Z$64:$AB$207,3,0),"")</f>
        <v/>
      </c>
      <c r="Q20" s="186" t="str">
        <f t="shared" ref="Q20:Q28" ca="1" si="1">C20</f>
        <v/>
      </c>
    </row>
    <row r="21" spans="2:17" ht="21.95" customHeight="1" x14ac:dyDescent="0.2">
      <c r="B21" s="118" t="str">
        <f ca="1">IF($C21="","",INDEX(Calc1!$E$4:$E$12,MATCH($C21,Calc1!$F$4:$F$12,0)))</f>
        <v/>
      </c>
      <c r="C21" s="128" t="str">
        <f ca="1">IF(Calc1!$K$13=0,"",Calc1!$AC5)</f>
        <v/>
      </c>
      <c r="D21" s="132" t="str">
        <f ca="1">IF($C21="","",VLOOKUP($C21,Calc1!$C$17:$AC$25,25,0))</f>
        <v/>
      </c>
      <c r="E21" s="115" t="str">
        <f ca="1">IF($C21="","",VLOOKUP($C21,Calc1!$C$17:$AC$25,26,0))</f>
        <v/>
      </c>
      <c r="F21" s="115" t="str">
        <f ca="1">IF($C21="","",VLOOKUP($C21,Calc1!$C$17:$AC$25,27,0))</f>
        <v/>
      </c>
      <c r="G21" s="464" t="str">
        <f ca="1">IF($C21="","",VLOOKUP(C21,Vorrunde!$AK$12:$AL$33,2,0))</f>
        <v/>
      </c>
      <c r="H21" s="140" t="str">
        <f ca="1">IFERROR(VLOOKUP($C21&amp;H$19,Calc1!$Z$64:$AB$207,3,0),"")</f>
        <v/>
      </c>
      <c r="I21" s="125"/>
      <c r="J21" s="115" t="str">
        <f ca="1">IFERROR(VLOOKUP($C21&amp;J$19,Calc1!$Z$64:$AB$207,3,0),"")</f>
        <v/>
      </c>
      <c r="K21" s="115" t="str">
        <f ca="1">IFERROR(VLOOKUP($C21&amp;K$19,Calc1!$Z$64:$AB$207,3,0),"")</f>
        <v/>
      </c>
      <c r="L21" s="115" t="str">
        <f ca="1">IFERROR(VLOOKUP($C21&amp;L$19,Calc1!$Z$64:$AB$207,3,0),"")</f>
        <v/>
      </c>
      <c r="M21" s="567" t="str">
        <f ca="1">IFERROR(VLOOKUP($C21&amp;M$19,Calc1!$Z$64:$AB$207,3,0),"")</f>
        <v/>
      </c>
      <c r="N21" s="567" t="str">
        <f ca="1">IFERROR(VLOOKUP($C21&amp;N$19,Calc1!$Z$64:$AB$207,3,0),"")</f>
        <v/>
      </c>
      <c r="O21" s="567" t="str">
        <f ca="1">IFERROR(VLOOKUP($C21&amp;O$19,Calc1!$Z$64:$AB$207,3,0),"")</f>
        <v/>
      </c>
      <c r="P21" s="157" t="str">
        <f ca="1">IFERROR(VLOOKUP($C21&amp;P$19,Calc1!$Z$64:$AB$207,3,0),"")</f>
        <v/>
      </c>
      <c r="Q21" s="187" t="str">
        <f t="shared" ca="1" si="1"/>
        <v/>
      </c>
    </row>
    <row r="22" spans="2:17" ht="21.95" customHeight="1" x14ac:dyDescent="0.2">
      <c r="B22" s="118" t="str">
        <f ca="1">IF($C22="","",INDEX(Calc1!$E$4:$E$12,MATCH($C22,Calc1!$F$4:$F$12,0)))</f>
        <v/>
      </c>
      <c r="C22" s="128" t="str">
        <f ca="1">IF(Calc1!$K$13=0,"",Calc1!$AC6)</f>
        <v/>
      </c>
      <c r="D22" s="132" t="str">
        <f ca="1">IF($C22="","",VLOOKUP($C22,Calc1!$C$17:$AC$25,25,0))</f>
        <v/>
      </c>
      <c r="E22" s="115" t="str">
        <f ca="1">IF($C22="","",VLOOKUP($C22,Calc1!$C$17:$AC$25,26,0))</f>
        <v/>
      </c>
      <c r="F22" s="115" t="str">
        <f ca="1">IF($C22="","",VLOOKUP($C22,Calc1!$C$17:$AC$25,27,0))</f>
        <v/>
      </c>
      <c r="G22" s="464" t="str">
        <f ca="1">IF($C22="","",VLOOKUP(C22,Vorrunde!$AK$12:$AL$33,2,0))</f>
        <v/>
      </c>
      <c r="H22" s="140" t="str">
        <f ca="1">IFERROR(VLOOKUP($C22&amp;H$19,Calc1!$Z$64:$AB$207,3,0),"")</f>
        <v/>
      </c>
      <c r="I22" s="115" t="str">
        <f ca="1">IFERROR(VLOOKUP($C22&amp;I$19,Calc1!$Z$64:$AB$207,3,0),"")</f>
        <v/>
      </c>
      <c r="J22" s="125"/>
      <c r="K22" s="115" t="str">
        <f ca="1">IFERROR(VLOOKUP($C22&amp;K$19,Calc1!$Z$64:$AB$207,3,0),"")</f>
        <v/>
      </c>
      <c r="L22" s="115" t="str">
        <f ca="1">IFERROR(VLOOKUP($C22&amp;L$19,Calc1!$Z$64:$AB$207,3,0),"")</f>
        <v/>
      </c>
      <c r="M22" s="567" t="str">
        <f ca="1">IFERROR(VLOOKUP($C22&amp;M$19,Calc1!$Z$64:$AB$207,3,0),"")</f>
        <v/>
      </c>
      <c r="N22" s="567" t="str">
        <f ca="1">IFERROR(VLOOKUP($C22&amp;N$19,Calc1!$Z$64:$AB$207,3,0),"")</f>
        <v/>
      </c>
      <c r="O22" s="567" t="str">
        <f ca="1">IFERROR(VLOOKUP($C22&amp;O$19,Calc1!$Z$64:$AB$207,3,0),"")</f>
        <v/>
      </c>
      <c r="P22" s="157" t="str">
        <f ca="1">IFERROR(VLOOKUP($C22&amp;P$19,Calc1!$Z$64:$AB$207,3,0),"")</f>
        <v/>
      </c>
      <c r="Q22" s="187" t="str">
        <f t="shared" ca="1" si="1"/>
        <v/>
      </c>
    </row>
    <row r="23" spans="2:17" ht="21.95" customHeight="1" x14ac:dyDescent="0.2">
      <c r="B23" s="118" t="str">
        <f ca="1">IF($C23="","",INDEX(Calc1!$E$4:$E$12,MATCH($C23,Calc1!$F$4:$F$12,0)))</f>
        <v/>
      </c>
      <c r="C23" s="128" t="str">
        <f ca="1">IF(Calc1!$K$13=0,"",Calc1!$AC7)</f>
        <v/>
      </c>
      <c r="D23" s="132" t="str">
        <f ca="1">IF($C23="","",VLOOKUP($C23,Calc1!$C$17:$AC$25,25,0))</f>
        <v/>
      </c>
      <c r="E23" s="115" t="str">
        <f ca="1">IF($C23="","",VLOOKUP($C23,Calc1!$C$17:$AC$25,26,0))</f>
        <v/>
      </c>
      <c r="F23" s="115" t="str">
        <f ca="1">IF($C23="","",VLOOKUP($C23,Calc1!$C$17:$AC$25,27,0))</f>
        <v/>
      </c>
      <c r="G23" s="464" t="str">
        <f ca="1">IF($C23="","",VLOOKUP(C23,Vorrunde!$AK$12:$AL$33,2,0))</f>
        <v/>
      </c>
      <c r="H23" s="140" t="str">
        <f ca="1">IFERROR(VLOOKUP($C23&amp;H$19,Calc1!$Z$64:$AB$207,3,0),"")</f>
        <v/>
      </c>
      <c r="I23" s="115" t="str">
        <f ca="1">IFERROR(VLOOKUP($C23&amp;I$19,Calc1!$Z$64:$AB$207,3,0),"")</f>
        <v/>
      </c>
      <c r="J23" s="115" t="str">
        <f ca="1">IFERROR(VLOOKUP($C23&amp;J$19,Calc1!$Z$64:$AB$207,3,0),"")</f>
        <v/>
      </c>
      <c r="K23" s="125"/>
      <c r="L23" s="115" t="str">
        <f ca="1">IFERROR(VLOOKUP($C23&amp;L$19,Calc1!$Z$64:$AB$207,3,0),"")</f>
        <v/>
      </c>
      <c r="M23" s="567" t="str">
        <f ca="1">IFERROR(VLOOKUP($C23&amp;M$19,Calc1!$Z$64:$AB$207,3,0),"")</f>
        <v/>
      </c>
      <c r="N23" s="567" t="str">
        <f ca="1">IFERROR(VLOOKUP($C23&amp;N$19,Calc1!$Z$64:$AB$207,3,0),"")</f>
        <v/>
      </c>
      <c r="O23" s="567" t="str">
        <f ca="1">IFERROR(VLOOKUP($C23&amp;O$19,Calc1!$Z$64:$AB$207,3,0),"")</f>
        <v/>
      </c>
      <c r="P23" s="157" t="str">
        <f ca="1">IFERROR(VLOOKUP($C23&amp;P$19,Calc1!$Z$64:$AB$207,3,0),"")</f>
        <v/>
      </c>
      <c r="Q23" s="187" t="str">
        <f t="shared" ca="1" si="1"/>
        <v/>
      </c>
    </row>
    <row r="24" spans="2:17" ht="21.95" customHeight="1" x14ac:dyDescent="0.2">
      <c r="B24" s="118" t="str">
        <f ca="1">IF($C24="","",INDEX(Calc1!$E$4:$E$12,MATCH($C24,Calc1!$F$4:$F$12,0)))</f>
        <v/>
      </c>
      <c r="C24" s="128" t="str">
        <f ca="1">IF(Calc1!$K$13=0,"",Calc1!$AC8)</f>
        <v/>
      </c>
      <c r="D24" s="132" t="str">
        <f ca="1">IF($C24="","",VLOOKUP($C24,Calc1!$C$17:$AC$25,25,0))</f>
        <v/>
      </c>
      <c r="E24" s="115" t="str">
        <f ca="1">IF($C24="","",VLOOKUP($C24,Calc1!$C$17:$AC$25,26,0))</f>
        <v/>
      </c>
      <c r="F24" s="115" t="str">
        <f ca="1">IF($C24="","",VLOOKUP($C24,Calc1!$C$17:$AC$25,27,0))</f>
        <v/>
      </c>
      <c r="G24" s="464" t="str">
        <f ca="1">IF($C24="","",VLOOKUP(C24,Vorrunde!$AK$12:$AL$33,2,0))</f>
        <v/>
      </c>
      <c r="H24" s="140" t="str">
        <f ca="1">IFERROR(VLOOKUP($C24&amp;H$19,Calc1!$Z$64:$AB$207,3,0),"")</f>
        <v/>
      </c>
      <c r="I24" s="115" t="str">
        <f ca="1">IFERROR(VLOOKUP($C24&amp;I$19,Calc1!$Z$64:$AB$207,3,0),"")</f>
        <v/>
      </c>
      <c r="J24" s="115" t="str">
        <f ca="1">IFERROR(VLOOKUP($C24&amp;J$19,Calc1!$Z$64:$AB$207,3,0),"")</f>
        <v/>
      </c>
      <c r="K24" s="115" t="str">
        <f ca="1">IFERROR(VLOOKUP($C24&amp;K$19,Calc1!$Z$64:$AB$207,3,0),"")</f>
        <v/>
      </c>
      <c r="L24" s="125"/>
      <c r="M24" s="567" t="str">
        <f ca="1">IFERROR(VLOOKUP($C24&amp;M$19,Calc1!$Z$64:$AB$207,3,0),"")</f>
        <v/>
      </c>
      <c r="N24" s="567" t="str">
        <f ca="1">IFERROR(VLOOKUP($C24&amp;N$19,Calc1!$Z$64:$AB$207,3,0),"")</f>
        <v/>
      </c>
      <c r="O24" s="567" t="str">
        <f ca="1">IFERROR(VLOOKUP($C24&amp;O$19,Calc1!$Z$64:$AB$207,3,0),"")</f>
        <v/>
      </c>
      <c r="P24" s="157" t="str">
        <f ca="1">IFERROR(VLOOKUP($C24&amp;P$19,Calc1!$Z$64:$AB$207,3,0),"")</f>
        <v/>
      </c>
      <c r="Q24" s="187" t="str">
        <f t="shared" ca="1" si="1"/>
        <v/>
      </c>
    </row>
    <row r="25" spans="2:17" ht="21.95" customHeight="1" x14ac:dyDescent="0.2">
      <c r="B25" s="118" t="str">
        <f ca="1">IF($C25="","",INDEX(Calc1!$E$4:$E$12,MATCH($C25,Calc1!$F$4:$F$12,0)))</f>
        <v/>
      </c>
      <c r="C25" s="128" t="str">
        <f ca="1">IF(Calc1!$K$13=0,"",Calc1!$AC9)</f>
        <v/>
      </c>
      <c r="D25" s="132" t="str">
        <f ca="1">IF($C25="","",VLOOKUP($C25,Calc1!$C$17:$AC$25,25,0))</f>
        <v/>
      </c>
      <c r="E25" s="115" t="str">
        <f ca="1">IF($C25="","",VLOOKUP($C25,Calc1!$C$17:$AC$25,26,0))</f>
        <v/>
      </c>
      <c r="F25" s="115" t="str">
        <f ca="1">IF($C25="","",VLOOKUP($C25,Calc1!$C$17:$AC$25,27,0))</f>
        <v/>
      </c>
      <c r="G25" s="464" t="str">
        <f ca="1">IF($C25="","",VLOOKUP(C25,Vorrunde!$AK$12:$AL$33,2,0))</f>
        <v/>
      </c>
      <c r="H25" s="140" t="str">
        <f ca="1">IFERROR(VLOOKUP($C25&amp;H$19,Calc1!$Z$64:$AB$207,3,0),"")</f>
        <v/>
      </c>
      <c r="I25" s="115" t="str">
        <f ca="1">IFERROR(VLOOKUP($C25&amp;I$19,Calc1!$Z$64:$AB$207,3,0),"")</f>
        <v/>
      </c>
      <c r="J25" s="115" t="str">
        <f ca="1">IFERROR(VLOOKUP($C25&amp;J$19,Calc1!$Z$64:$AB$207,3,0),"")</f>
        <v/>
      </c>
      <c r="K25" s="115" t="str">
        <f ca="1">IFERROR(VLOOKUP($C25&amp;K$19,Calc1!$Z$64:$AB$207,3,0),"")</f>
        <v/>
      </c>
      <c r="L25" s="115" t="str">
        <f ca="1">IFERROR(VLOOKUP($C25&amp;L$19,Calc1!$Z$64:$AB$207,3,0),"")</f>
        <v/>
      </c>
      <c r="M25" s="568"/>
      <c r="N25" s="567" t="str">
        <f ca="1">IFERROR(VLOOKUP($C25&amp;N$19,Calc1!$Z$64:$AB$207,3,0),"")</f>
        <v/>
      </c>
      <c r="O25" s="567" t="str">
        <f ca="1">IFERROR(VLOOKUP($C25&amp;O$19,Calc1!$Z$64:$AB$207,3,0),"")</f>
        <v/>
      </c>
      <c r="P25" s="157" t="str">
        <f ca="1">IFERROR(VLOOKUP($C25&amp;P$19,Calc1!$Z$64:$AB$207,3,0),"")</f>
        <v/>
      </c>
      <c r="Q25" s="187" t="str">
        <f t="shared" ca="1" si="1"/>
        <v/>
      </c>
    </row>
    <row r="26" spans="2:17" ht="21.95" customHeight="1" x14ac:dyDescent="0.2">
      <c r="B26" s="118" t="str">
        <f ca="1">IF($C26="","",INDEX(Calc1!$E$4:$E$12,MATCH($C26,Calc1!$F$4:$F$12,0)))</f>
        <v/>
      </c>
      <c r="C26" s="128" t="str">
        <f ca="1">IF(Calc1!$K$13=0,"",Calc1!$AC10)</f>
        <v/>
      </c>
      <c r="D26" s="132" t="str">
        <f ca="1">IF($C26="","",VLOOKUP($C26,Calc1!$C$17:$AC$25,25,0))</f>
        <v/>
      </c>
      <c r="E26" s="115" t="str">
        <f ca="1">IF($C26="","",VLOOKUP($C26,Calc1!$C$17:$AC$25,26,0))</f>
        <v/>
      </c>
      <c r="F26" s="115" t="str">
        <f ca="1">IF($C26="","",VLOOKUP($C26,Calc1!$C$17:$AC$25,27,0))</f>
        <v/>
      </c>
      <c r="G26" s="464" t="str">
        <f ca="1">IF($C26="","",VLOOKUP(C26,Vorrunde!$AK$12:$AL$33,2,0))</f>
        <v/>
      </c>
      <c r="H26" s="140" t="str">
        <f ca="1">IFERROR(VLOOKUP($C26&amp;H$19,Calc1!$Z$64:$AB$207,3,0),"")</f>
        <v/>
      </c>
      <c r="I26" s="115" t="str">
        <f ca="1">IFERROR(VLOOKUP($C26&amp;I$19,Calc1!$Z$64:$AB$207,3,0),"")</f>
        <v/>
      </c>
      <c r="J26" s="115" t="str">
        <f ca="1">IFERROR(VLOOKUP($C26&amp;J$19,Calc1!$Z$64:$AB$207,3,0),"")</f>
        <v/>
      </c>
      <c r="K26" s="115" t="str">
        <f ca="1">IFERROR(VLOOKUP($C26&amp;K$19,Calc1!$Z$64:$AB$207,3,0),"")</f>
        <v/>
      </c>
      <c r="L26" s="115" t="str">
        <f ca="1">IFERROR(VLOOKUP($C26&amp;L$19,Calc1!$Z$64:$AB$207,3,0),"")</f>
        <v/>
      </c>
      <c r="M26" s="567" t="str">
        <f ca="1">IFERROR(VLOOKUP($C26&amp;M$19,Calc1!$Z$64:$AB$207,3,0),"")</f>
        <v/>
      </c>
      <c r="N26" s="568"/>
      <c r="O26" s="567" t="str">
        <f ca="1">IFERROR(VLOOKUP($C26&amp;O$19,Calc1!$Z$64:$AB$207,3,0),"")</f>
        <v/>
      </c>
      <c r="P26" s="157" t="str">
        <f ca="1">IFERROR(VLOOKUP($C26&amp;P$19,Calc1!$Z$64:$AB$207,3,0),"")</f>
        <v/>
      </c>
      <c r="Q26" s="187" t="str">
        <f t="shared" ca="1" si="1"/>
        <v/>
      </c>
    </row>
    <row r="27" spans="2:17" ht="21.95" customHeight="1" x14ac:dyDescent="0.2">
      <c r="B27" s="118" t="str">
        <f ca="1">IF($C27="","",INDEX(Calc1!$E$4:$E$12,MATCH($C27,Calc1!$F$4:$F$12,0)))</f>
        <v/>
      </c>
      <c r="C27" s="128" t="str">
        <f ca="1">IF(Calc1!$K$13=0,"",Calc1!$AC11)</f>
        <v/>
      </c>
      <c r="D27" s="132" t="str">
        <f ca="1">IF($C27="","",VLOOKUP($C27,Calc1!$C$17:$AC$25,25,0))</f>
        <v/>
      </c>
      <c r="E27" s="115" t="str">
        <f ca="1">IF($C27="","",VLOOKUP($C27,Calc1!$C$17:$AC$25,26,0))</f>
        <v/>
      </c>
      <c r="F27" s="115" t="str">
        <f ca="1">IF($C27="","",VLOOKUP($C27,Calc1!$C$17:$AC$25,27,0))</f>
        <v/>
      </c>
      <c r="G27" s="464" t="str">
        <f ca="1">IF($C27="","",VLOOKUP(C27,Vorrunde!$AK$12:$AL$33,2,0))</f>
        <v/>
      </c>
      <c r="H27" s="140" t="str">
        <f ca="1">IFERROR(VLOOKUP($C27&amp;H$19,Calc1!$Z$64:$AB$207,3,0),"")</f>
        <v/>
      </c>
      <c r="I27" s="115" t="str">
        <f ca="1">IFERROR(VLOOKUP($C27&amp;I$19,Calc1!$Z$64:$AB$207,3,0),"")</f>
        <v/>
      </c>
      <c r="J27" s="115" t="str">
        <f ca="1">IFERROR(VLOOKUP($C27&amp;J$19,Calc1!$Z$64:$AB$207,3,0),"")</f>
        <v/>
      </c>
      <c r="K27" s="115" t="str">
        <f ca="1">IFERROR(VLOOKUP($C27&amp;K$19,Calc1!$Z$64:$AB$207,3,0),"")</f>
        <v/>
      </c>
      <c r="L27" s="115" t="str">
        <f ca="1">IFERROR(VLOOKUP($C27&amp;L$19,Calc1!$Z$64:$AB$207,3,0),"")</f>
        <v/>
      </c>
      <c r="M27" s="567" t="str">
        <f ca="1">IFERROR(VLOOKUP($C27&amp;M$19,Calc1!$Z$64:$AB$207,3,0),"")</f>
        <v/>
      </c>
      <c r="N27" s="567" t="str">
        <f ca="1">IFERROR(VLOOKUP($C27&amp;N$19,Calc1!$Z$64:$AB$207,3,0),"")</f>
        <v/>
      </c>
      <c r="O27" s="568"/>
      <c r="P27" s="157" t="str">
        <f ca="1">IFERROR(VLOOKUP($C27&amp;P$19,Calc1!$Z$64:$AB$207,3,0),"")</f>
        <v/>
      </c>
      <c r="Q27" s="187" t="str">
        <f t="shared" ca="1" si="1"/>
        <v/>
      </c>
    </row>
    <row r="28" spans="2:17" ht="21.95" customHeight="1" thickBot="1" x14ac:dyDescent="0.25">
      <c r="B28" s="119" t="str">
        <f ca="1">IF($C28="","",INDEX(Calc1!$E$4:$E$12,MATCH($C28,Calc1!$F$4:$F$12,0)))</f>
        <v/>
      </c>
      <c r="C28" s="129" t="str">
        <f ca="1">IF(Calc1!$K$13=0,"",Calc1!$AC12)</f>
        <v/>
      </c>
      <c r="D28" s="133" t="str">
        <f ca="1">IF($C28="","",VLOOKUP($C28,Calc1!$C$17:$AC$25,25,0))</f>
        <v/>
      </c>
      <c r="E28" s="116" t="str">
        <f ca="1">IF($C28="","",VLOOKUP($C28,Calc1!$C$17:$AC$25,26,0))</f>
        <v/>
      </c>
      <c r="F28" s="116" t="str">
        <f ca="1">IF($C28="","",VLOOKUP($C28,Calc1!$C$17:$AC$25,27,0))</f>
        <v/>
      </c>
      <c r="G28" s="465" t="str">
        <f ca="1">IF($C28="","",VLOOKUP(C28,Vorrunde!$AK$12:$AL$33,2,0))</f>
        <v/>
      </c>
      <c r="H28" s="141" t="str">
        <f ca="1">IFERROR(VLOOKUP($C28&amp;H$19,Calc1!$Z$64:$AB$207,3,0),"")</f>
        <v/>
      </c>
      <c r="I28" s="116" t="str">
        <f ca="1">IFERROR(VLOOKUP($C28&amp;I$19,Calc1!$Z$64:$AB$207,3,0),"")</f>
        <v/>
      </c>
      <c r="J28" s="116" t="str">
        <f ca="1">IFERROR(VLOOKUP($C28&amp;J$19,Calc1!$Z$64:$AB$207,3,0),"")</f>
        <v/>
      </c>
      <c r="K28" s="116" t="str">
        <f ca="1">IFERROR(VLOOKUP($C28&amp;K$19,Calc1!$Z$64:$AB$207,3,0),"")</f>
        <v/>
      </c>
      <c r="L28" s="116" t="str">
        <f ca="1">IFERROR(VLOOKUP($C28&amp;L$19,Calc1!$Z$64:$AB$207,3,0),"")</f>
        <v/>
      </c>
      <c r="M28" s="569" t="str">
        <f ca="1">IFERROR(VLOOKUP($C28&amp;M$19,Calc1!$Z$64:$AB$207,3,0),"")</f>
        <v/>
      </c>
      <c r="N28" s="569" t="str">
        <f ca="1">IFERROR(VLOOKUP($C28&amp;N$19,Calc1!$Z$64:$AB$207,3,0),"")</f>
        <v/>
      </c>
      <c r="O28" s="569" t="str">
        <f ca="1">IFERROR(VLOOKUP($C28&amp;O$19,Calc1!$Z$64:$AB$207,3,0),"")</f>
        <v/>
      </c>
      <c r="P28" s="158"/>
      <c r="Q28" s="188" t="str">
        <f t="shared" ca="1" si="1"/>
        <v/>
      </c>
    </row>
    <row r="29" spans="2:17" ht="42.75" customHeight="1" thickTop="1" thickBot="1" x14ac:dyDescent="0.25">
      <c r="B29" s="136"/>
      <c r="C29" s="137"/>
      <c r="D29" s="138"/>
      <c r="E29" s="124"/>
      <c r="F29" s="124"/>
      <c r="G29" s="124"/>
      <c r="H29" s="124"/>
      <c r="I29" s="124"/>
      <c r="J29" s="124"/>
      <c r="K29" s="124"/>
      <c r="L29" s="124"/>
      <c r="M29" s="124"/>
      <c r="N29" s="124"/>
      <c r="O29" s="124"/>
      <c r="P29" s="124"/>
    </row>
    <row r="30" spans="2:17" ht="21.95" customHeight="1" thickBot="1" x14ac:dyDescent="0.25">
      <c r="H30" s="571" t="str">
        <f ca="1">IF(LEN(H31)&gt;Einstellungen!$C$17,LEFT(H31,Einstellungen!$C$17)&amp;".",H31)</f>
        <v/>
      </c>
      <c r="I30" s="572" t="str">
        <f ca="1">IF(LEN(I31)&gt;Einstellungen!$C$17,LEFT(I31,Einstellungen!$C$17)&amp;".",I31)</f>
        <v/>
      </c>
      <c r="J30" s="572" t="str">
        <f ca="1">IF(LEN(J31)&gt;Einstellungen!$C$17,LEFT(J31,Einstellungen!$C$17)&amp;".",J31)</f>
        <v/>
      </c>
      <c r="K30" s="572" t="str">
        <f ca="1">IF(LEN(K31)&gt;Einstellungen!$C$17,LEFT(K31,Einstellungen!$C$17)&amp;".",K31)</f>
        <v/>
      </c>
      <c r="L30" s="572" t="str">
        <f ca="1">IF(LEN(L31)&gt;Einstellungen!$C$17,LEFT(L31,Einstellungen!$C$17)&amp;".",L31)</f>
        <v/>
      </c>
      <c r="M30" s="573" t="str">
        <f ca="1">IF(LEN(M31)&gt;Einstellungen!$C$17,LEFT(M31,Einstellungen!$C$17)&amp;".",M31)</f>
        <v/>
      </c>
      <c r="N30" s="573" t="str">
        <f ca="1">IF(LEN(N31)&gt;Einstellungen!$C$17,LEFT(N31,Einstellungen!$C$17)&amp;".",N31)</f>
        <v/>
      </c>
      <c r="O30" s="573" t="str">
        <f ca="1">IF(LEN(O31)&gt;Einstellungen!$C$17,LEFT(O31,Einstellungen!$C$17)&amp;".",O31)</f>
        <v/>
      </c>
      <c r="P30" s="574" t="str">
        <f ca="1">IF(LEN(P31)&gt;Einstellungen!$C$17,LEFT(P31,Einstellungen!$C$17)&amp;".",P31)</f>
        <v/>
      </c>
    </row>
    <row r="31" spans="2:17" ht="21.95" customHeight="1" thickTop="1" thickBot="1" x14ac:dyDescent="0.25">
      <c r="B31" s="120"/>
      <c r="C31" s="126" t="str">
        <f>Sprache!$E$10</f>
        <v>Teilnehmer bzw. Mannschaft</v>
      </c>
      <c r="D31" s="130" t="str">
        <f>Sprache!$E$27</f>
        <v>Pkt</v>
      </c>
      <c r="E31" s="117" t="str">
        <f>Sprache!$E$26</f>
        <v>Diff.</v>
      </c>
      <c r="F31" s="117" t="str">
        <f>Sprache!$E$28</f>
        <v>erz. Tore</v>
      </c>
      <c r="G31" s="152" t="str">
        <f>Sprache!$E$49</f>
        <v>Bonus</v>
      </c>
      <c r="H31" s="134" t="str">
        <f ca="1">C32</f>
        <v/>
      </c>
      <c r="I31" s="135" t="str">
        <f ca="1">C33</f>
        <v/>
      </c>
      <c r="J31" s="135" t="str">
        <f ca="1">C34</f>
        <v/>
      </c>
      <c r="K31" s="135" t="str">
        <f ca="1">C35</f>
        <v/>
      </c>
      <c r="L31" s="135" t="str">
        <f ca="1">C36</f>
        <v/>
      </c>
      <c r="M31" s="565" t="str">
        <f ca="1">C37</f>
        <v/>
      </c>
      <c r="N31" s="565" t="str">
        <f ca="1">C38</f>
        <v/>
      </c>
      <c r="O31" s="565" t="str">
        <f ca="1">C39</f>
        <v/>
      </c>
      <c r="P31" s="155" t="str">
        <f ca="1">C40</f>
        <v/>
      </c>
    </row>
    <row r="32" spans="2:17" ht="21.95" customHeight="1" x14ac:dyDescent="0.2">
      <c r="B32" s="118" t="str">
        <f ca="1">IF($C32="","",INDEX(Calc1!$E$4:$E$12,MATCH($C32,Calc1!$F$4:$F$12,0)))</f>
        <v/>
      </c>
      <c r="C32" s="127" t="str">
        <f ca="1">IF(Calc1!$K$13=0,"",Calc1!$AH4)</f>
        <v/>
      </c>
      <c r="D32" s="131" t="str">
        <f ca="1">IF($C32="","",VLOOKUP($C32,Calc1!$C$17:$AC$25,25,0))</f>
        <v/>
      </c>
      <c r="E32" s="114" t="str">
        <f ca="1">IF($C32="","",VLOOKUP($C32,Calc1!$C$17:$AC$25,26,0))</f>
        <v/>
      </c>
      <c r="F32" s="114" t="str">
        <f ca="1">IF($C32="","",VLOOKUP($C32,Calc1!$C$17:$AC$25,27,0))</f>
        <v/>
      </c>
      <c r="G32" s="463" t="str">
        <f ca="1">IF($C32="","",VLOOKUP(C32,Vorrunde!$AK$12:$AL$33,2,0))</f>
        <v/>
      </c>
      <c r="H32" s="139"/>
      <c r="I32" s="114" t="str">
        <f ca="1">IFERROR(VLOOKUP($C32&amp;I$31,Calc1!$Z$64:$AB$207,3,0),"")</f>
        <v/>
      </c>
      <c r="J32" s="114" t="str">
        <f ca="1">IFERROR(VLOOKUP($C32&amp;J$31,Calc1!$Z$64:$AB$207,3,0),"")</f>
        <v/>
      </c>
      <c r="K32" s="114" t="str">
        <f ca="1">IFERROR(VLOOKUP($C32&amp;K$31,Calc1!$Z$64:$AB$207,3,0),"")</f>
        <v/>
      </c>
      <c r="L32" s="114" t="str">
        <f ca="1">IFERROR(VLOOKUP($C32&amp;L$31,Calc1!$Z$64:$AB$207,3,0),"")</f>
        <v/>
      </c>
      <c r="M32" s="566" t="str">
        <f ca="1">IFERROR(VLOOKUP($C32&amp;M$31,Calc1!$Z$64:$AB$207,3,0),"")</f>
        <v/>
      </c>
      <c r="N32" s="566" t="str">
        <f ca="1">IFERROR(VLOOKUP($C32&amp;N$31,Calc1!$Z$64:$AB$207,3,0),"")</f>
        <v/>
      </c>
      <c r="O32" s="566" t="str">
        <f ca="1">IFERROR(VLOOKUP($C32&amp;O$31,Calc1!$Z$64:$AB$207,3,0),"")</f>
        <v/>
      </c>
      <c r="P32" s="156" t="str">
        <f ca="1">IFERROR(VLOOKUP($C32&amp;P$31,Calc1!$Z$64:$AB$207,3,0),"")</f>
        <v/>
      </c>
      <c r="Q32" s="186" t="str">
        <f t="shared" ref="Q32:Q40" ca="1" si="2">C32</f>
        <v/>
      </c>
    </row>
    <row r="33" spans="2:17" ht="21.95" customHeight="1" x14ac:dyDescent="0.2">
      <c r="B33" s="118" t="str">
        <f ca="1">IF($C33="","",INDEX(Calc1!$E$4:$E$12,MATCH($C33,Calc1!$F$4:$F$12,0)))</f>
        <v/>
      </c>
      <c r="C33" s="128" t="str">
        <f ca="1">IF(Calc1!$K$13=0,"",Calc1!$AH5)</f>
        <v/>
      </c>
      <c r="D33" s="132" t="str">
        <f ca="1">IF($C33="","",VLOOKUP($C33,Calc1!$C$17:$AC$25,25,0))</f>
        <v/>
      </c>
      <c r="E33" s="115" t="str">
        <f ca="1">IF($C33="","",VLOOKUP($C33,Calc1!$C$17:$AC$25,26,0))</f>
        <v/>
      </c>
      <c r="F33" s="115" t="str">
        <f ca="1">IF($C33="","",VLOOKUP($C33,Calc1!$C$17:$AC$25,27,0))</f>
        <v/>
      </c>
      <c r="G33" s="464" t="str">
        <f ca="1">IF($C33="","",VLOOKUP(C33,Vorrunde!$AK$12:$AL$33,2,0))</f>
        <v/>
      </c>
      <c r="H33" s="140" t="str">
        <f ca="1">IFERROR(VLOOKUP($C33&amp;H$31,Calc1!$Z$64:$AB$207,3,0),"")</f>
        <v/>
      </c>
      <c r="I33" s="125"/>
      <c r="J33" s="115" t="str">
        <f ca="1">IFERROR(VLOOKUP($C33&amp;J$31,Calc1!$Z$64:$AB$207,3,0),"")</f>
        <v/>
      </c>
      <c r="K33" s="115" t="str">
        <f ca="1">IFERROR(VLOOKUP($C33&amp;K$31,Calc1!$Z$64:$AB$207,3,0),"")</f>
        <v/>
      </c>
      <c r="L33" s="115" t="str">
        <f ca="1">IFERROR(VLOOKUP($C33&amp;L$31,Calc1!$Z$64:$AB$207,3,0),"")</f>
        <v/>
      </c>
      <c r="M33" s="567" t="str">
        <f ca="1">IFERROR(VLOOKUP($C33&amp;M$31,Calc1!$Z$64:$AB$207,3,0),"")</f>
        <v/>
      </c>
      <c r="N33" s="567" t="str">
        <f ca="1">IFERROR(VLOOKUP($C33&amp;N$31,Calc1!$Z$64:$AB$207,3,0),"")</f>
        <v/>
      </c>
      <c r="O33" s="567" t="str">
        <f ca="1">IFERROR(VLOOKUP($C33&amp;O$31,Calc1!$Z$64:$AB$207,3,0),"")</f>
        <v/>
      </c>
      <c r="P33" s="157" t="str">
        <f ca="1">IFERROR(VLOOKUP($C33&amp;P$31,Calc1!$Z$64:$AB$207,3,0),"")</f>
        <v/>
      </c>
      <c r="Q33" s="187" t="str">
        <f t="shared" ca="1" si="2"/>
        <v/>
      </c>
    </row>
    <row r="34" spans="2:17" ht="21.95" customHeight="1" x14ac:dyDescent="0.2">
      <c r="B34" s="118" t="str">
        <f ca="1">IF($C34="","",INDEX(Calc1!$E$4:$E$12,MATCH($C34,Calc1!$F$4:$F$12,0)))</f>
        <v/>
      </c>
      <c r="C34" s="128" t="str">
        <f ca="1">IF(Calc1!$K$13=0,"",Calc1!$AH6)</f>
        <v/>
      </c>
      <c r="D34" s="132" t="str">
        <f ca="1">IF($C34="","",VLOOKUP($C34,Calc1!$C$17:$AC$25,25,0))</f>
        <v/>
      </c>
      <c r="E34" s="115" t="str">
        <f ca="1">IF($C34="","",VLOOKUP($C34,Calc1!$C$17:$AC$25,26,0))</f>
        <v/>
      </c>
      <c r="F34" s="115" t="str">
        <f ca="1">IF($C34="","",VLOOKUP($C34,Calc1!$C$17:$AC$25,27,0))</f>
        <v/>
      </c>
      <c r="G34" s="464" t="str">
        <f ca="1">IF($C34="","",VLOOKUP(C34,Vorrunde!$AK$12:$AL$33,2,0))</f>
        <v/>
      </c>
      <c r="H34" s="140" t="str">
        <f ca="1">IFERROR(VLOOKUP($C34&amp;H$31,Calc1!$Z$64:$AB$207,3,0),"")</f>
        <v/>
      </c>
      <c r="I34" s="115" t="str">
        <f ca="1">IFERROR(VLOOKUP($C34&amp;I$31,Calc1!$Z$64:$AB$207,3,0),"")</f>
        <v/>
      </c>
      <c r="J34" s="125"/>
      <c r="K34" s="115" t="str">
        <f ca="1">IFERROR(VLOOKUP($C34&amp;K$31,Calc1!$Z$64:$AB$207,3,0),"")</f>
        <v/>
      </c>
      <c r="L34" s="115" t="str">
        <f ca="1">IFERROR(VLOOKUP($C34&amp;L$31,Calc1!$Z$64:$AB$207,3,0),"")</f>
        <v/>
      </c>
      <c r="M34" s="567" t="str">
        <f ca="1">IFERROR(VLOOKUP($C34&amp;M$31,Calc1!$Z$64:$AB$207,3,0),"")</f>
        <v/>
      </c>
      <c r="N34" s="567" t="str">
        <f ca="1">IFERROR(VLOOKUP($C34&amp;N$31,Calc1!$Z$64:$AB$207,3,0),"")</f>
        <v/>
      </c>
      <c r="O34" s="567" t="str">
        <f ca="1">IFERROR(VLOOKUP($C34&amp;O$31,Calc1!$Z$64:$AB$207,3,0),"")</f>
        <v/>
      </c>
      <c r="P34" s="157" t="str">
        <f ca="1">IFERROR(VLOOKUP($C34&amp;P$31,Calc1!$Z$64:$AB$207,3,0),"")</f>
        <v/>
      </c>
      <c r="Q34" s="187" t="str">
        <f t="shared" ca="1" si="2"/>
        <v/>
      </c>
    </row>
    <row r="35" spans="2:17" ht="21.95" customHeight="1" x14ac:dyDescent="0.2">
      <c r="B35" s="118" t="str">
        <f ca="1">IF($C35="","",INDEX(Calc1!$E$4:$E$12,MATCH($C35,Calc1!$F$4:$F$12,0)))</f>
        <v/>
      </c>
      <c r="C35" s="128" t="str">
        <f ca="1">IF(Calc1!$K$13=0,"",Calc1!$AH7)</f>
        <v/>
      </c>
      <c r="D35" s="132" t="str">
        <f ca="1">IF($C35="","",VLOOKUP($C35,Calc1!$C$17:$AC$25,25,0))</f>
        <v/>
      </c>
      <c r="E35" s="115" t="str">
        <f ca="1">IF($C35="","",VLOOKUP($C35,Calc1!$C$17:$AC$25,26,0))</f>
        <v/>
      </c>
      <c r="F35" s="115" t="str">
        <f ca="1">IF($C35="","",VLOOKUP($C35,Calc1!$C$17:$AC$25,27,0))</f>
        <v/>
      </c>
      <c r="G35" s="464" t="str">
        <f ca="1">IF($C35="","",VLOOKUP(C35,Vorrunde!$AK$12:$AL$33,2,0))</f>
        <v/>
      </c>
      <c r="H35" s="140" t="str">
        <f ca="1">IFERROR(VLOOKUP($C35&amp;H$31,Calc1!$Z$64:$AB$207,3,0),"")</f>
        <v/>
      </c>
      <c r="I35" s="115" t="str">
        <f ca="1">IFERROR(VLOOKUP($C35&amp;I$31,Calc1!$Z$64:$AB$207,3,0),"")</f>
        <v/>
      </c>
      <c r="J35" s="115" t="str">
        <f ca="1">IFERROR(VLOOKUP($C35&amp;J$31,Calc1!$Z$64:$AB$207,3,0),"")</f>
        <v/>
      </c>
      <c r="K35" s="125"/>
      <c r="L35" s="115" t="str">
        <f ca="1">IFERROR(VLOOKUP($C35&amp;L$31,Calc1!$Z$64:$AB$207,3,0),"")</f>
        <v/>
      </c>
      <c r="M35" s="567" t="str">
        <f ca="1">IFERROR(VLOOKUP($C35&amp;M$31,Calc1!$Z$64:$AB$207,3,0),"")</f>
        <v/>
      </c>
      <c r="N35" s="567" t="str">
        <f ca="1">IFERROR(VLOOKUP($C35&amp;N$31,Calc1!$Z$64:$AB$207,3,0),"")</f>
        <v/>
      </c>
      <c r="O35" s="567" t="str">
        <f ca="1">IFERROR(VLOOKUP($C35&amp;O$31,Calc1!$Z$64:$AB$207,3,0),"")</f>
        <v/>
      </c>
      <c r="P35" s="157" t="str">
        <f ca="1">IFERROR(VLOOKUP($C35&amp;P$31,Calc1!$Z$64:$AB$207,3,0),"")</f>
        <v/>
      </c>
      <c r="Q35" s="187" t="str">
        <f t="shared" ca="1" si="2"/>
        <v/>
      </c>
    </row>
    <row r="36" spans="2:17" ht="21.95" customHeight="1" x14ac:dyDescent="0.2">
      <c r="B36" s="118" t="str">
        <f ca="1">IF($C36="","",INDEX(Calc1!$E$4:$E$12,MATCH($C36,Calc1!$F$4:$F$12,0)))</f>
        <v/>
      </c>
      <c r="C36" s="128" t="str">
        <f ca="1">IF(Calc1!$K$13=0,"",Calc1!$AH8)</f>
        <v/>
      </c>
      <c r="D36" s="132" t="str">
        <f ca="1">IF($C36="","",VLOOKUP($C36,Calc1!$C$17:$AC$25,25,0))</f>
        <v/>
      </c>
      <c r="E36" s="115" t="str">
        <f ca="1">IF($C36="","",VLOOKUP($C36,Calc1!$C$17:$AC$25,26,0))</f>
        <v/>
      </c>
      <c r="F36" s="115" t="str">
        <f ca="1">IF($C36="","",VLOOKUP($C36,Calc1!$C$17:$AC$25,27,0))</f>
        <v/>
      </c>
      <c r="G36" s="464" t="str">
        <f ca="1">IF($C36="","",VLOOKUP(C36,Vorrunde!$AK$12:$AL$33,2,0))</f>
        <v/>
      </c>
      <c r="H36" s="140" t="str">
        <f ca="1">IFERROR(VLOOKUP($C36&amp;H$31,Calc1!$Z$64:$AB$207,3,0),"")</f>
        <v/>
      </c>
      <c r="I36" s="115" t="str">
        <f ca="1">IFERROR(VLOOKUP($C36&amp;I$31,Calc1!$Z$64:$AB$207,3,0),"")</f>
        <v/>
      </c>
      <c r="J36" s="115" t="str">
        <f ca="1">IFERROR(VLOOKUP($C36&amp;J$31,Calc1!$Z$64:$AB$207,3,0),"")</f>
        <v/>
      </c>
      <c r="K36" s="115" t="str">
        <f ca="1">IFERROR(VLOOKUP($C36&amp;K$31,Calc1!$Z$64:$AB$207,3,0),"")</f>
        <v/>
      </c>
      <c r="L36" s="125"/>
      <c r="M36" s="567" t="str">
        <f ca="1">IFERROR(VLOOKUP($C36&amp;M$31,Calc1!$Z$64:$AB$207,3,0),"")</f>
        <v/>
      </c>
      <c r="N36" s="567" t="str">
        <f ca="1">IFERROR(VLOOKUP($C36&amp;N$31,Calc1!$Z$64:$AB$207,3,0),"")</f>
        <v/>
      </c>
      <c r="O36" s="567" t="str">
        <f ca="1">IFERROR(VLOOKUP($C36&amp;O$31,Calc1!$Z$64:$AB$207,3,0),"")</f>
        <v/>
      </c>
      <c r="P36" s="157" t="str">
        <f ca="1">IFERROR(VLOOKUP($C36&amp;P$31,Calc1!$Z$64:$AB$207,3,0),"")</f>
        <v/>
      </c>
      <c r="Q36" s="187" t="str">
        <f t="shared" ca="1" si="2"/>
        <v/>
      </c>
    </row>
    <row r="37" spans="2:17" ht="21.95" customHeight="1" x14ac:dyDescent="0.2">
      <c r="B37" s="118" t="str">
        <f ca="1">IF($C37="","",INDEX(Calc1!$E$4:$E$12,MATCH($C37,Calc1!$F$4:$F$12,0)))</f>
        <v/>
      </c>
      <c r="C37" s="128" t="str">
        <f ca="1">IF(Calc1!$K$13=0,"",Calc1!$AH9)</f>
        <v/>
      </c>
      <c r="D37" s="132" t="str">
        <f ca="1">IF($C37="","",VLOOKUP($C37,Calc1!$C$17:$AC$25,25,0))</f>
        <v/>
      </c>
      <c r="E37" s="115" t="str">
        <f ca="1">IF($C37="","",VLOOKUP($C37,Calc1!$C$17:$AC$25,26,0))</f>
        <v/>
      </c>
      <c r="F37" s="115" t="str">
        <f ca="1">IF($C37="","",VLOOKUP($C37,Calc1!$C$17:$AC$25,27,0))</f>
        <v/>
      </c>
      <c r="G37" s="464" t="str">
        <f ca="1">IF($C37="","",VLOOKUP(C37,Vorrunde!$AK$12:$AL$33,2,0))</f>
        <v/>
      </c>
      <c r="H37" s="140" t="str">
        <f ca="1">IFERROR(VLOOKUP($C37&amp;H$31,Calc1!$Z$64:$AB$207,3,0),"")</f>
        <v/>
      </c>
      <c r="I37" s="115" t="str">
        <f ca="1">IFERROR(VLOOKUP($C37&amp;I$31,Calc1!$Z$64:$AB$207,3,0),"")</f>
        <v/>
      </c>
      <c r="J37" s="115" t="str">
        <f ca="1">IFERROR(VLOOKUP($C37&amp;J$31,Calc1!$Z$64:$AB$207,3,0),"")</f>
        <v/>
      </c>
      <c r="K37" s="115" t="str">
        <f ca="1">IFERROR(VLOOKUP($C37&amp;K$31,Calc1!$Z$64:$AB$207,3,0),"")</f>
        <v/>
      </c>
      <c r="L37" s="115" t="str">
        <f ca="1">IFERROR(VLOOKUP($C37&amp;L$31,Calc1!$Z$64:$AB$207,3,0),"")</f>
        <v/>
      </c>
      <c r="M37" s="568"/>
      <c r="N37" s="567" t="str">
        <f ca="1">IFERROR(VLOOKUP($C37&amp;N$31,Calc1!$Z$64:$AB$207,3,0),"")</f>
        <v/>
      </c>
      <c r="O37" s="567" t="str">
        <f ca="1">IFERROR(VLOOKUP($C37&amp;O$31,Calc1!$Z$64:$AB$207,3,0),"")</f>
        <v/>
      </c>
      <c r="P37" s="157" t="str">
        <f ca="1">IFERROR(VLOOKUP($C37&amp;P$31,Calc1!$Z$64:$AB$207,3,0),"")</f>
        <v/>
      </c>
      <c r="Q37" s="187" t="str">
        <f t="shared" ca="1" si="2"/>
        <v/>
      </c>
    </row>
    <row r="38" spans="2:17" ht="21.95" customHeight="1" x14ac:dyDescent="0.2">
      <c r="B38" s="118" t="str">
        <f ca="1">IF($C38="","",INDEX(Calc1!$E$4:$E$12,MATCH($C38,Calc1!$F$4:$F$12,0)))</f>
        <v/>
      </c>
      <c r="C38" s="128" t="str">
        <f ca="1">IF(Calc1!$K$13=0,"",Calc1!$AH10)</f>
        <v/>
      </c>
      <c r="D38" s="132" t="str">
        <f ca="1">IF($C38="","",VLOOKUP($C38,Calc1!$C$17:$AC$25,25,0))</f>
        <v/>
      </c>
      <c r="E38" s="115" t="str">
        <f ca="1">IF($C38="","",VLOOKUP($C38,Calc1!$C$17:$AC$25,26,0))</f>
        <v/>
      </c>
      <c r="F38" s="115" t="str">
        <f ca="1">IF($C38="","",VLOOKUP($C38,Calc1!$C$17:$AC$25,27,0))</f>
        <v/>
      </c>
      <c r="G38" s="464" t="str">
        <f ca="1">IF($C38="","",VLOOKUP(C38,Vorrunde!$AK$12:$AL$33,2,0))</f>
        <v/>
      </c>
      <c r="H38" s="140" t="str">
        <f ca="1">IFERROR(VLOOKUP($C38&amp;H$31,Calc1!$Z$64:$AB$207,3,0),"")</f>
        <v/>
      </c>
      <c r="I38" s="115" t="str">
        <f ca="1">IFERROR(VLOOKUP($C38&amp;I$31,Calc1!$Z$64:$AB$207,3,0),"")</f>
        <v/>
      </c>
      <c r="J38" s="115" t="str">
        <f ca="1">IFERROR(VLOOKUP($C38&amp;J$31,Calc1!$Z$64:$AB$207,3,0),"")</f>
        <v/>
      </c>
      <c r="K38" s="115" t="str">
        <f ca="1">IFERROR(VLOOKUP($C38&amp;K$31,Calc1!$Z$64:$AB$207,3,0),"")</f>
        <v/>
      </c>
      <c r="L38" s="115" t="str">
        <f ca="1">IFERROR(VLOOKUP($C38&amp;L$31,Calc1!$Z$64:$AB$207,3,0),"")</f>
        <v/>
      </c>
      <c r="M38" s="567" t="str">
        <f ca="1">IFERROR(VLOOKUP($C38&amp;M$31,Calc1!$Z$64:$AB$207,3,0),"")</f>
        <v/>
      </c>
      <c r="N38" s="568"/>
      <c r="O38" s="567" t="str">
        <f ca="1">IFERROR(VLOOKUP($C38&amp;O$31,Calc1!$Z$64:$AB$207,3,0),"")</f>
        <v/>
      </c>
      <c r="P38" s="157" t="str">
        <f ca="1">IFERROR(VLOOKUP($C38&amp;P$31,Calc1!$Z$64:$AB$207,3,0),"")</f>
        <v/>
      </c>
      <c r="Q38" s="187" t="str">
        <f t="shared" ca="1" si="2"/>
        <v/>
      </c>
    </row>
    <row r="39" spans="2:17" ht="21.95" customHeight="1" x14ac:dyDescent="0.2">
      <c r="B39" s="118" t="str">
        <f ca="1">IF($C39="","",INDEX(Calc1!$E$4:$E$12,MATCH($C39,Calc1!$F$4:$F$12,0)))</f>
        <v/>
      </c>
      <c r="C39" s="128" t="str">
        <f ca="1">IF(Calc1!$K$13=0,"",Calc1!$AH11)</f>
        <v/>
      </c>
      <c r="D39" s="132" t="str">
        <f ca="1">IF($C39="","",VLOOKUP($C39,Calc1!$C$17:$AC$25,25,0))</f>
        <v/>
      </c>
      <c r="E39" s="115" t="str">
        <f ca="1">IF($C39="","",VLOOKUP($C39,Calc1!$C$17:$AC$25,26,0))</f>
        <v/>
      </c>
      <c r="F39" s="115" t="str">
        <f ca="1">IF($C39="","",VLOOKUP($C39,Calc1!$C$17:$AC$25,27,0))</f>
        <v/>
      </c>
      <c r="G39" s="464" t="str">
        <f ca="1">IF($C39="","",VLOOKUP(C39,Vorrunde!$AK$12:$AL$33,2,0))</f>
        <v/>
      </c>
      <c r="H39" s="140" t="str">
        <f ca="1">IFERROR(VLOOKUP($C39&amp;H$31,Calc1!$Z$64:$AB$207,3,0),"")</f>
        <v/>
      </c>
      <c r="I39" s="115" t="str">
        <f ca="1">IFERROR(VLOOKUP($C39&amp;I$31,Calc1!$Z$64:$AB$207,3,0),"")</f>
        <v/>
      </c>
      <c r="J39" s="115" t="str">
        <f ca="1">IFERROR(VLOOKUP($C39&amp;J$31,Calc1!$Z$64:$AB$207,3,0),"")</f>
        <v/>
      </c>
      <c r="K39" s="115" t="str">
        <f ca="1">IFERROR(VLOOKUP($C39&amp;K$31,Calc1!$Z$64:$AB$207,3,0),"")</f>
        <v/>
      </c>
      <c r="L39" s="115" t="str">
        <f ca="1">IFERROR(VLOOKUP($C39&amp;L$31,Calc1!$Z$64:$AB$207,3,0),"")</f>
        <v/>
      </c>
      <c r="M39" s="567" t="str">
        <f ca="1">IFERROR(VLOOKUP($C39&amp;M$31,Calc1!$Z$64:$AB$207,3,0),"")</f>
        <v/>
      </c>
      <c r="N39" s="567" t="str">
        <f ca="1">IFERROR(VLOOKUP($C39&amp;N$31,Calc1!$Z$64:$AB$207,3,0),"")</f>
        <v/>
      </c>
      <c r="O39" s="568"/>
      <c r="P39" s="157" t="str">
        <f ca="1">IFERROR(VLOOKUP($C39&amp;P$31,Calc1!$Z$64:$AB$207,3,0),"")</f>
        <v/>
      </c>
      <c r="Q39" s="187" t="str">
        <f t="shared" ca="1" si="2"/>
        <v/>
      </c>
    </row>
    <row r="40" spans="2:17" ht="21.95" customHeight="1" thickBot="1" x14ac:dyDescent="0.25">
      <c r="B40" s="119" t="str">
        <f ca="1">IF($C40="","",INDEX(Calc1!$E$4:$E$12,MATCH($C40,Calc1!$F$4:$F$12,0)))</f>
        <v/>
      </c>
      <c r="C40" s="129" t="str">
        <f ca="1">IF(Calc1!$K$13=0,"",Calc1!$AH12)</f>
        <v/>
      </c>
      <c r="D40" s="133" t="str">
        <f ca="1">IF($C40="","",VLOOKUP($C40,Calc1!$C$17:$AC$25,25,0))</f>
        <v/>
      </c>
      <c r="E40" s="116" t="str">
        <f ca="1">IF($C40="","",VLOOKUP($C40,Calc1!$C$17:$AC$25,26,0))</f>
        <v/>
      </c>
      <c r="F40" s="116" t="str">
        <f ca="1">IF($C40="","",VLOOKUP($C40,Calc1!$C$17:$AC$25,27,0))</f>
        <v/>
      </c>
      <c r="G40" s="465" t="str">
        <f ca="1">IF($C40="","",VLOOKUP(C40,Vorrunde!$AK$12:$AL$33,2,0))</f>
        <v/>
      </c>
      <c r="H40" s="141" t="str">
        <f ca="1">IFERROR(VLOOKUP($C40&amp;H$31,Calc1!$Z$64:$AB$207,3,0),"")</f>
        <v/>
      </c>
      <c r="I40" s="116" t="str">
        <f ca="1">IFERROR(VLOOKUP($C40&amp;I$31,Calc1!$Z$64:$AB$207,3,0),"")</f>
        <v/>
      </c>
      <c r="J40" s="116" t="str">
        <f ca="1">IFERROR(VLOOKUP($C40&amp;J$31,Calc1!$Z$64:$AB$207,3,0),"")</f>
        <v/>
      </c>
      <c r="K40" s="116" t="str">
        <f ca="1">IFERROR(VLOOKUP($C40&amp;K$31,Calc1!$Z$64:$AB$207,3,0),"")</f>
        <v/>
      </c>
      <c r="L40" s="116" t="str">
        <f ca="1">IFERROR(VLOOKUP($C40&amp;L$31,Calc1!$Z$64:$AB$207,3,0),"")</f>
        <v/>
      </c>
      <c r="M40" s="569" t="str">
        <f ca="1">IFERROR(VLOOKUP($C40&amp;M$31,Calc1!$Z$64:$AB$207,3,0),"")</f>
        <v/>
      </c>
      <c r="N40" s="569" t="str">
        <f ca="1">IFERROR(VLOOKUP($C40&amp;N$31,Calc1!$Z$64:$AB$207,3,0),"")</f>
        <v/>
      </c>
      <c r="O40" s="569" t="str">
        <f ca="1">IFERROR(VLOOKUP($C40&amp;O$31,Calc1!$Z$64:$AB$207,3,0),"")</f>
        <v/>
      </c>
      <c r="P40" s="158"/>
      <c r="Q40" s="188" t="str">
        <f t="shared" ca="1" si="2"/>
        <v/>
      </c>
    </row>
    <row r="41" spans="2:17" ht="42.75" customHeight="1" thickTop="1" thickBot="1" x14ac:dyDescent="0.25"/>
    <row r="42" spans="2:17" ht="21.95" customHeight="1" thickBot="1" x14ac:dyDescent="0.25">
      <c r="H42" s="571" t="str">
        <f ca="1">IF(LEN(H43)&gt;Einstellungen!$C$17,LEFT(H43,Einstellungen!$C$17)&amp;".",H43)</f>
        <v/>
      </c>
      <c r="I42" s="572" t="str">
        <f ca="1">IF(LEN(I43)&gt;Einstellungen!$C$17,LEFT(I43,Einstellungen!$C$17)&amp;".",I43)</f>
        <v/>
      </c>
      <c r="J42" s="572" t="str">
        <f ca="1">IF(LEN(J43)&gt;Einstellungen!$C$17,LEFT(J43,Einstellungen!$C$17)&amp;".",J43)</f>
        <v/>
      </c>
      <c r="K42" s="572" t="str">
        <f ca="1">IF(LEN(K43)&gt;Einstellungen!$C$17,LEFT(K43,Einstellungen!$C$17)&amp;".",K43)</f>
        <v/>
      </c>
      <c r="L42" s="572" t="str">
        <f ca="1">IF(LEN(L43)&gt;Einstellungen!$C$17,LEFT(L43,Einstellungen!$C$17)&amp;".",L43)</f>
        <v/>
      </c>
      <c r="M42" s="573" t="str">
        <f ca="1">IF(LEN(M43)&gt;Einstellungen!$C$17,LEFT(M43,Einstellungen!$C$17)&amp;".",M43)</f>
        <v/>
      </c>
      <c r="N42" s="573" t="str">
        <f ca="1">IF(LEN(N43)&gt;Einstellungen!$C$17,LEFT(N43,Einstellungen!$C$17)&amp;".",N43)</f>
        <v/>
      </c>
      <c r="O42" s="573" t="str">
        <f ca="1">IF(LEN(O43)&gt;Einstellungen!$C$17,LEFT(O43,Einstellungen!$C$17)&amp;".",O43)</f>
        <v/>
      </c>
      <c r="P42" s="574" t="str">
        <f ca="1">IF(LEN(P43)&gt;Einstellungen!$C$17,LEFT(P43,Einstellungen!$C$17)&amp;".",P43)</f>
        <v/>
      </c>
    </row>
    <row r="43" spans="2:17" ht="21.95" customHeight="1" thickTop="1" thickBot="1" x14ac:dyDescent="0.25">
      <c r="B43" s="120"/>
      <c r="C43" s="126" t="str">
        <f>Sprache!$E$10</f>
        <v>Teilnehmer bzw. Mannschaft</v>
      </c>
      <c r="D43" s="130" t="str">
        <f>Sprache!$E$27</f>
        <v>Pkt</v>
      </c>
      <c r="E43" s="117" t="str">
        <f>Sprache!$E$26</f>
        <v>Diff.</v>
      </c>
      <c r="F43" s="117" t="str">
        <f>Sprache!$E$28</f>
        <v>erz. Tore</v>
      </c>
      <c r="G43" s="152" t="str">
        <f>Sprache!$E$49</f>
        <v>Bonus</v>
      </c>
      <c r="H43" s="134" t="str">
        <f ca="1">C44</f>
        <v/>
      </c>
      <c r="I43" s="135" t="str">
        <f ca="1">C45</f>
        <v/>
      </c>
      <c r="J43" s="135" t="str">
        <f ca="1">C46</f>
        <v/>
      </c>
      <c r="K43" s="135" t="str">
        <f ca="1">C47</f>
        <v/>
      </c>
      <c r="L43" s="135" t="str">
        <f ca="1">C48</f>
        <v/>
      </c>
      <c r="M43" s="565" t="str">
        <f ca="1">C49</f>
        <v/>
      </c>
      <c r="N43" s="565" t="str">
        <f ca="1">C50</f>
        <v/>
      </c>
      <c r="O43" s="565" t="str">
        <f ca="1">C51</f>
        <v/>
      </c>
      <c r="P43" s="155" t="str">
        <f ca="1">C52</f>
        <v/>
      </c>
    </row>
    <row r="44" spans="2:17" ht="21.95" customHeight="1" x14ac:dyDescent="0.2">
      <c r="B44" s="118" t="str">
        <f ca="1">IF($C44="","",INDEX(Calc1!$E$4:$E$12,MATCH($C44,Calc1!$F$4:$F$12,0)))</f>
        <v/>
      </c>
      <c r="C44" s="127" t="str">
        <f ca="1">IF(Calc1!$K$13=0,"",Calc1!$AM4)</f>
        <v/>
      </c>
      <c r="D44" s="131" t="str">
        <f ca="1">IF($C44="","",VLOOKUP($C44,Calc1!$C$17:$AC$25,25,0))</f>
        <v/>
      </c>
      <c r="E44" s="114" t="str">
        <f ca="1">IF($C44="","",VLOOKUP($C44,Calc1!$C$17:$AC$25,26,0))</f>
        <v/>
      </c>
      <c r="F44" s="114" t="str">
        <f ca="1">IF($C44="","",VLOOKUP($C44,Calc1!$C$17:$AC$25,27,0))</f>
        <v/>
      </c>
      <c r="G44" s="463" t="str">
        <f ca="1">IF($C44="","",VLOOKUP(C44,Vorrunde!$AK$12:$AL$33,2,0))</f>
        <v/>
      </c>
      <c r="H44" s="139"/>
      <c r="I44" s="114" t="str">
        <f ca="1">IFERROR(VLOOKUP($C44&amp;I$43,Calc1!$Z$64:$AB$207,3,0),"")</f>
        <v/>
      </c>
      <c r="J44" s="114" t="str">
        <f ca="1">IFERROR(VLOOKUP($C44&amp;J$43,Calc1!$Z$64:$AB$207,3,0),"")</f>
        <v/>
      </c>
      <c r="K44" s="114" t="str">
        <f ca="1">IFERROR(VLOOKUP($C44&amp;K$43,Calc1!$Z$64:$AB$207,3,0),"")</f>
        <v/>
      </c>
      <c r="L44" s="114" t="str">
        <f ca="1">IFERROR(VLOOKUP($C44&amp;L$43,Calc1!$Z$64:$AB$207,3,0),"")</f>
        <v/>
      </c>
      <c r="M44" s="566" t="str">
        <f ca="1">IFERROR(VLOOKUP($C44&amp;M$43,Calc1!$Z$64:$AB$207,3,0),"")</f>
        <v/>
      </c>
      <c r="N44" s="566" t="str">
        <f ca="1">IFERROR(VLOOKUP($C44&amp;N$43,Calc1!$Z$64:$AB$207,3,0),"")</f>
        <v/>
      </c>
      <c r="O44" s="566" t="str">
        <f ca="1">IFERROR(VLOOKUP($C44&amp;O$43,Calc1!$Z$64:$AB$207,3,0),"")</f>
        <v/>
      </c>
      <c r="P44" s="156" t="str">
        <f ca="1">IFERROR(VLOOKUP($C44&amp;P$43,Calc1!$Z$64:$AB$207,3,0),"")</f>
        <v/>
      </c>
      <c r="Q44" s="186" t="str">
        <f t="shared" ref="Q44:Q52" ca="1" si="3">C44</f>
        <v/>
      </c>
    </row>
    <row r="45" spans="2:17" ht="21.95" customHeight="1" x14ac:dyDescent="0.2">
      <c r="B45" s="118" t="str">
        <f ca="1">IF($C45="","",INDEX(Calc1!$E$4:$E$12,MATCH($C45,Calc1!$F$4:$F$12,0)))</f>
        <v/>
      </c>
      <c r="C45" s="128" t="str">
        <f ca="1">IF(Calc1!$K$13=0,"",Calc1!$AM5)</f>
        <v/>
      </c>
      <c r="D45" s="132" t="str">
        <f ca="1">IF($C45="","",VLOOKUP($C45,Calc1!$C$17:$AC$25,25,0))</f>
        <v/>
      </c>
      <c r="E45" s="115" t="str">
        <f ca="1">IF($C45="","",VLOOKUP($C45,Calc1!$C$17:$AC$25,26,0))</f>
        <v/>
      </c>
      <c r="F45" s="115" t="str">
        <f ca="1">IF($C45="","",VLOOKUP($C45,Calc1!$C$17:$AC$25,27,0))</f>
        <v/>
      </c>
      <c r="G45" s="464" t="str">
        <f ca="1">IF($C45="","",VLOOKUP(C45,Vorrunde!$AK$12:$AL$33,2,0))</f>
        <v/>
      </c>
      <c r="H45" s="140" t="str">
        <f ca="1">IFERROR(VLOOKUP($C45&amp;H$43,Calc1!$Z$64:$AB$207,3,0),"")</f>
        <v/>
      </c>
      <c r="I45" s="125"/>
      <c r="J45" s="115" t="str">
        <f ca="1">IFERROR(VLOOKUP($C45&amp;J$43,Calc1!$Z$64:$AB$207,3,0),"")</f>
        <v/>
      </c>
      <c r="K45" s="115" t="str">
        <f ca="1">IFERROR(VLOOKUP($C45&amp;K$43,Calc1!$Z$64:$AB$207,3,0),"")</f>
        <v/>
      </c>
      <c r="L45" s="115" t="str">
        <f ca="1">IFERROR(VLOOKUP($C45&amp;L$43,Calc1!$Z$64:$AB$207,3,0),"")</f>
        <v/>
      </c>
      <c r="M45" s="567" t="str">
        <f ca="1">IFERROR(VLOOKUP($C45&amp;M$43,Calc1!$Z$64:$AB$207,3,0),"")</f>
        <v/>
      </c>
      <c r="N45" s="567" t="str">
        <f ca="1">IFERROR(VLOOKUP($C45&amp;N$43,Calc1!$Z$64:$AB$207,3,0),"")</f>
        <v/>
      </c>
      <c r="O45" s="567" t="str">
        <f ca="1">IFERROR(VLOOKUP($C45&amp;O$43,Calc1!$Z$64:$AB$207,3,0),"")</f>
        <v/>
      </c>
      <c r="P45" s="157" t="str">
        <f ca="1">IFERROR(VLOOKUP($C45&amp;P$43,Calc1!$Z$64:$AB$207,3,0),"")</f>
        <v/>
      </c>
      <c r="Q45" s="187" t="str">
        <f t="shared" ca="1" si="3"/>
        <v/>
      </c>
    </row>
    <row r="46" spans="2:17" ht="21.95" customHeight="1" x14ac:dyDescent="0.2">
      <c r="B46" s="118" t="str">
        <f ca="1">IF($C46="","",INDEX(Calc1!$E$4:$E$12,MATCH($C46,Calc1!$F$4:$F$12,0)))</f>
        <v/>
      </c>
      <c r="C46" s="128" t="str">
        <f ca="1">IF(Calc1!$K$13=0,"",Calc1!$AM6)</f>
        <v/>
      </c>
      <c r="D46" s="132" t="str">
        <f ca="1">IF($C46="","",VLOOKUP($C46,Calc1!$C$17:$AC$25,25,0))</f>
        <v/>
      </c>
      <c r="E46" s="115" t="str">
        <f ca="1">IF($C46="","",VLOOKUP($C46,Calc1!$C$17:$AC$25,26,0))</f>
        <v/>
      </c>
      <c r="F46" s="115" t="str">
        <f ca="1">IF($C46="","",VLOOKUP($C46,Calc1!$C$17:$AC$25,27,0))</f>
        <v/>
      </c>
      <c r="G46" s="464" t="str">
        <f ca="1">IF($C46="","",VLOOKUP(C46,Vorrunde!$AK$12:$AL$33,2,0))</f>
        <v/>
      </c>
      <c r="H46" s="140" t="str">
        <f ca="1">IFERROR(VLOOKUP($C46&amp;H$43,Calc1!$Z$64:$AB$207,3,0),"")</f>
        <v/>
      </c>
      <c r="I46" s="115" t="str">
        <f ca="1">IFERROR(VLOOKUP($C46&amp;I$43,Calc1!$Z$64:$AB$207,3,0),"")</f>
        <v/>
      </c>
      <c r="J46" s="125"/>
      <c r="K46" s="115" t="str">
        <f ca="1">IFERROR(VLOOKUP($C46&amp;K$43,Calc1!$Z$64:$AB$207,3,0),"")</f>
        <v/>
      </c>
      <c r="L46" s="115" t="str">
        <f ca="1">IFERROR(VLOOKUP($C46&amp;L$43,Calc1!$Z$64:$AB$207,3,0),"")</f>
        <v/>
      </c>
      <c r="M46" s="567" t="str">
        <f ca="1">IFERROR(VLOOKUP($C46&amp;M$43,Calc1!$Z$64:$AB$207,3,0),"")</f>
        <v/>
      </c>
      <c r="N46" s="567" t="str">
        <f ca="1">IFERROR(VLOOKUP($C46&amp;N$43,Calc1!$Z$64:$AB$207,3,0),"")</f>
        <v/>
      </c>
      <c r="O46" s="567" t="str">
        <f ca="1">IFERROR(VLOOKUP($C46&amp;O$43,Calc1!$Z$64:$AB$207,3,0),"")</f>
        <v/>
      </c>
      <c r="P46" s="157" t="str">
        <f ca="1">IFERROR(VLOOKUP($C46&amp;P$43,Calc1!$Z$64:$AB$207,3,0),"")</f>
        <v/>
      </c>
      <c r="Q46" s="187" t="str">
        <f t="shared" ca="1" si="3"/>
        <v/>
      </c>
    </row>
    <row r="47" spans="2:17" ht="21.95" customHeight="1" x14ac:dyDescent="0.2">
      <c r="B47" s="118" t="str">
        <f ca="1">IF($C47="","",INDEX(Calc1!$E$4:$E$12,MATCH($C47,Calc1!$F$4:$F$12,0)))</f>
        <v/>
      </c>
      <c r="C47" s="128" t="str">
        <f ca="1">IF(Calc1!$K$13=0,"",Calc1!$AM7)</f>
        <v/>
      </c>
      <c r="D47" s="132" t="str">
        <f ca="1">IF($C47="","",VLOOKUP($C47,Calc1!$C$17:$AC$25,25,0))</f>
        <v/>
      </c>
      <c r="E47" s="115" t="str">
        <f ca="1">IF($C47="","",VLOOKUP($C47,Calc1!$C$17:$AC$25,26,0))</f>
        <v/>
      </c>
      <c r="F47" s="115" t="str">
        <f ca="1">IF($C47="","",VLOOKUP($C47,Calc1!$C$17:$AC$25,27,0))</f>
        <v/>
      </c>
      <c r="G47" s="464" t="str">
        <f ca="1">IF($C47="","",VLOOKUP(C47,Vorrunde!$AK$12:$AL$33,2,0))</f>
        <v/>
      </c>
      <c r="H47" s="140" t="str">
        <f ca="1">IFERROR(VLOOKUP($C47&amp;H$43,Calc1!$Z$64:$AB$207,3,0),"")</f>
        <v/>
      </c>
      <c r="I47" s="115" t="str">
        <f ca="1">IFERROR(VLOOKUP($C47&amp;I$43,Calc1!$Z$64:$AB$207,3,0),"")</f>
        <v/>
      </c>
      <c r="J47" s="115" t="str">
        <f ca="1">IFERROR(VLOOKUP($C47&amp;J$43,Calc1!$Z$64:$AB$207,3,0),"")</f>
        <v/>
      </c>
      <c r="K47" s="125"/>
      <c r="L47" s="115" t="str">
        <f ca="1">IFERROR(VLOOKUP($C47&amp;L$43,Calc1!$Z$64:$AB$207,3,0),"")</f>
        <v/>
      </c>
      <c r="M47" s="567" t="str">
        <f ca="1">IFERROR(VLOOKUP($C47&amp;M$43,Calc1!$Z$64:$AB$207,3,0),"")</f>
        <v/>
      </c>
      <c r="N47" s="567" t="str">
        <f ca="1">IFERROR(VLOOKUP($C47&amp;N$43,Calc1!$Z$64:$AB$207,3,0),"")</f>
        <v/>
      </c>
      <c r="O47" s="567" t="str">
        <f ca="1">IFERROR(VLOOKUP($C47&amp;O$43,Calc1!$Z$64:$AB$207,3,0),"")</f>
        <v/>
      </c>
      <c r="P47" s="157" t="str">
        <f ca="1">IFERROR(VLOOKUP($C47&amp;P$43,Calc1!$Z$64:$AB$207,3,0),"")</f>
        <v/>
      </c>
      <c r="Q47" s="187" t="str">
        <f t="shared" ca="1" si="3"/>
        <v/>
      </c>
    </row>
    <row r="48" spans="2:17" ht="21.95" customHeight="1" x14ac:dyDescent="0.2">
      <c r="B48" s="118" t="str">
        <f ca="1">IF($C48="","",INDEX(Calc1!$E$4:$E$12,MATCH($C48,Calc1!$F$4:$F$12,0)))</f>
        <v/>
      </c>
      <c r="C48" s="128" t="str">
        <f ca="1">IF(Calc1!$K$13=0,"",Calc1!$AM8)</f>
        <v/>
      </c>
      <c r="D48" s="132" t="str">
        <f ca="1">IF($C48="","",VLOOKUP($C48,Calc1!$C$17:$AC$25,25,0))</f>
        <v/>
      </c>
      <c r="E48" s="115" t="str">
        <f ca="1">IF($C48="","",VLOOKUP($C48,Calc1!$C$17:$AC$25,26,0))</f>
        <v/>
      </c>
      <c r="F48" s="115" t="str">
        <f ca="1">IF($C48="","",VLOOKUP($C48,Calc1!$C$17:$AC$25,27,0))</f>
        <v/>
      </c>
      <c r="G48" s="464" t="str">
        <f ca="1">IF($C48="","",VLOOKUP(C48,Vorrunde!$AK$12:$AL$33,2,0))</f>
        <v/>
      </c>
      <c r="H48" s="140" t="str">
        <f ca="1">IFERROR(VLOOKUP($C48&amp;H$43,Calc1!$Z$64:$AB$207,3,0),"")</f>
        <v/>
      </c>
      <c r="I48" s="115" t="str">
        <f ca="1">IFERROR(VLOOKUP($C48&amp;I$43,Calc1!$Z$64:$AB$207,3,0),"")</f>
        <v/>
      </c>
      <c r="J48" s="115" t="str">
        <f ca="1">IFERROR(VLOOKUP($C48&amp;J$43,Calc1!$Z$64:$AB$207,3,0),"")</f>
        <v/>
      </c>
      <c r="K48" s="115" t="str">
        <f ca="1">IFERROR(VLOOKUP($C48&amp;K$43,Calc1!$Z$64:$AB$207,3,0),"")</f>
        <v/>
      </c>
      <c r="L48" s="125"/>
      <c r="M48" s="567" t="str">
        <f ca="1">IFERROR(VLOOKUP($C48&amp;M$43,Calc1!$Z$64:$AB$207,3,0),"")</f>
        <v/>
      </c>
      <c r="N48" s="567" t="str">
        <f ca="1">IFERROR(VLOOKUP($C48&amp;N$43,Calc1!$Z$64:$AB$207,3,0),"")</f>
        <v/>
      </c>
      <c r="O48" s="567" t="str">
        <f ca="1">IFERROR(VLOOKUP($C48&amp;O$43,Calc1!$Z$64:$AB$207,3,0),"")</f>
        <v/>
      </c>
      <c r="P48" s="157" t="str">
        <f ca="1">IFERROR(VLOOKUP($C48&amp;P$43,Calc1!$Z$64:$AB$207,3,0),"")</f>
        <v/>
      </c>
      <c r="Q48" s="187" t="str">
        <f t="shared" ca="1" si="3"/>
        <v/>
      </c>
    </row>
    <row r="49" spans="2:17" ht="21.95" customHeight="1" x14ac:dyDescent="0.2">
      <c r="B49" s="118" t="str">
        <f ca="1">IF($C49="","",INDEX(Calc1!$E$4:$E$12,MATCH($C49,Calc1!$F$4:$F$12,0)))</f>
        <v/>
      </c>
      <c r="C49" s="128" t="str">
        <f ca="1">IF(Calc1!$K$13=0,"",Calc1!$AM9)</f>
        <v/>
      </c>
      <c r="D49" s="132" t="str">
        <f ca="1">IF($C49="","",VLOOKUP($C49,Calc1!$C$17:$AC$25,25,0))</f>
        <v/>
      </c>
      <c r="E49" s="115" t="str">
        <f ca="1">IF($C49="","",VLOOKUP($C49,Calc1!$C$17:$AC$25,26,0))</f>
        <v/>
      </c>
      <c r="F49" s="115" t="str">
        <f ca="1">IF($C49="","",VLOOKUP($C49,Calc1!$C$17:$AC$25,27,0))</f>
        <v/>
      </c>
      <c r="G49" s="464" t="str">
        <f ca="1">IF($C49="","",VLOOKUP(C49,Vorrunde!$AK$12:$AL$33,2,0))</f>
        <v/>
      </c>
      <c r="H49" s="140" t="str">
        <f ca="1">IFERROR(VLOOKUP($C49&amp;H$43,Calc1!$Z$64:$AB$207,3,0),"")</f>
        <v/>
      </c>
      <c r="I49" s="115" t="str">
        <f ca="1">IFERROR(VLOOKUP($C49&amp;I$43,Calc1!$Z$64:$AB$207,3,0),"")</f>
        <v/>
      </c>
      <c r="J49" s="115" t="str">
        <f ca="1">IFERROR(VLOOKUP($C49&amp;J$43,Calc1!$Z$64:$AB$207,3,0),"")</f>
        <v/>
      </c>
      <c r="K49" s="115" t="str">
        <f ca="1">IFERROR(VLOOKUP($C49&amp;K$43,Calc1!$Z$64:$AB$207,3,0),"")</f>
        <v/>
      </c>
      <c r="L49" s="115" t="str">
        <f ca="1">IFERROR(VLOOKUP($C49&amp;L$43,Calc1!$Z$64:$AB$207,3,0),"")</f>
        <v/>
      </c>
      <c r="M49" s="568"/>
      <c r="N49" s="567" t="str">
        <f ca="1">IFERROR(VLOOKUP($C49&amp;N$43,Calc1!$Z$64:$AB$207,3,0),"")</f>
        <v/>
      </c>
      <c r="O49" s="567" t="str">
        <f ca="1">IFERROR(VLOOKUP($C49&amp;O$43,Calc1!$Z$64:$AB$207,3,0),"")</f>
        <v/>
      </c>
      <c r="P49" s="157" t="str">
        <f ca="1">IFERROR(VLOOKUP($C49&amp;P$43,Calc1!$Z$64:$AB$207,3,0),"")</f>
        <v/>
      </c>
      <c r="Q49" s="187" t="str">
        <f t="shared" ca="1" si="3"/>
        <v/>
      </c>
    </row>
    <row r="50" spans="2:17" ht="21.95" customHeight="1" x14ac:dyDescent="0.2">
      <c r="B50" s="118" t="str">
        <f ca="1">IF($C50="","",INDEX(Calc1!$E$4:$E$12,MATCH($C50,Calc1!$F$4:$F$12,0)))</f>
        <v/>
      </c>
      <c r="C50" s="128" t="str">
        <f ca="1">IF(Calc1!$K$13=0,"",Calc1!$AM10)</f>
        <v/>
      </c>
      <c r="D50" s="132" t="str">
        <f ca="1">IF($C50="","",VLOOKUP($C50,Calc1!$C$17:$AC$25,25,0))</f>
        <v/>
      </c>
      <c r="E50" s="115" t="str">
        <f ca="1">IF($C50="","",VLOOKUP($C50,Calc1!$C$17:$AC$25,26,0))</f>
        <v/>
      </c>
      <c r="F50" s="115" t="str">
        <f ca="1">IF($C50="","",VLOOKUP($C50,Calc1!$C$17:$AC$25,27,0))</f>
        <v/>
      </c>
      <c r="G50" s="464" t="str">
        <f ca="1">IF($C50="","",VLOOKUP(C50,Vorrunde!$AK$12:$AL$33,2,0))</f>
        <v/>
      </c>
      <c r="H50" s="140" t="str">
        <f ca="1">IFERROR(VLOOKUP($C50&amp;H$43,Calc1!$Z$64:$AB$207,3,0),"")</f>
        <v/>
      </c>
      <c r="I50" s="115" t="str">
        <f ca="1">IFERROR(VLOOKUP($C50&amp;I$43,Calc1!$Z$64:$AB$207,3,0),"")</f>
        <v/>
      </c>
      <c r="J50" s="115" t="str">
        <f ca="1">IFERROR(VLOOKUP($C50&amp;J$43,Calc1!$Z$64:$AB$207,3,0),"")</f>
        <v/>
      </c>
      <c r="K50" s="115" t="str">
        <f ca="1">IFERROR(VLOOKUP($C50&amp;K$43,Calc1!$Z$64:$AB$207,3,0),"")</f>
        <v/>
      </c>
      <c r="L50" s="115" t="str">
        <f ca="1">IFERROR(VLOOKUP($C50&amp;L$43,Calc1!$Z$64:$AB$207,3,0),"")</f>
        <v/>
      </c>
      <c r="M50" s="567" t="str">
        <f ca="1">IFERROR(VLOOKUP($C50&amp;M$43,Calc1!$Z$64:$AB$207,3,0),"")</f>
        <v/>
      </c>
      <c r="N50" s="568"/>
      <c r="O50" s="567" t="str">
        <f ca="1">IFERROR(VLOOKUP($C50&amp;O$43,Calc1!$Z$64:$AB$207,3,0),"")</f>
        <v/>
      </c>
      <c r="P50" s="157" t="str">
        <f ca="1">IFERROR(VLOOKUP($C50&amp;P$43,Calc1!$Z$64:$AB$207,3,0),"")</f>
        <v/>
      </c>
      <c r="Q50" s="187" t="str">
        <f t="shared" ca="1" si="3"/>
        <v/>
      </c>
    </row>
    <row r="51" spans="2:17" ht="21.95" customHeight="1" x14ac:dyDescent="0.2">
      <c r="B51" s="118" t="str">
        <f ca="1">IF($C51="","",INDEX(Calc1!$E$4:$E$12,MATCH($C51,Calc1!$F$4:$F$12,0)))</f>
        <v/>
      </c>
      <c r="C51" s="128" t="str">
        <f ca="1">IF(Calc1!$K$13=0,"",Calc1!$AM11)</f>
        <v/>
      </c>
      <c r="D51" s="132" t="str">
        <f ca="1">IF($C51="","",VLOOKUP($C51,Calc1!$C$17:$AC$25,25,0))</f>
        <v/>
      </c>
      <c r="E51" s="115" t="str">
        <f ca="1">IF($C51="","",VLOOKUP($C51,Calc1!$C$17:$AC$25,26,0))</f>
        <v/>
      </c>
      <c r="F51" s="115" t="str">
        <f ca="1">IF($C51="","",VLOOKUP($C51,Calc1!$C$17:$AC$25,27,0))</f>
        <v/>
      </c>
      <c r="G51" s="464" t="str">
        <f ca="1">IF($C51="","",VLOOKUP(C51,Vorrunde!$AK$12:$AL$33,2,0))</f>
        <v/>
      </c>
      <c r="H51" s="140" t="str">
        <f ca="1">IFERROR(VLOOKUP($C51&amp;H$43,Calc1!$Z$64:$AB$207,3,0),"")</f>
        <v/>
      </c>
      <c r="I51" s="115" t="str">
        <f ca="1">IFERROR(VLOOKUP($C51&amp;I$43,Calc1!$Z$64:$AB$207,3,0),"")</f>
        <v/>
      </c>
      <c r="J51" s="115" t="str">
        <f ca="1">IFERROR(VLOOKUP($C51&amp;J$43,Calc1!$Z$64:$AB$207,3,0),"")</f>
        <v/>
      </c>
      <c r="K51" s="115" t="str">
        <f ca="1">IFERROR(VLOOKUP($C51&amp;K$43,Calc1!$Z$64:$AB$207,3,0),"")</f>
        <v/>
      </c>
      <c r="L51" s="115" t="str">
        <f ca="1">IFERROR(VLOOKUP($C51&amp;L$43,Calc1!$Z$64:$AB$207,3,0),"")</f>
        <v/>
      </c>
      <c r="M51" s="567" t="str">
        <f ca="1">IFERROR(VLOOKUP($C51&amp;M$43,Calc1!$Z$64:$AB$207,3,0),"")</f>
        <v/>
      </c>
      <c r="N51" s="567" t="str">
        <f ca="1">IFERROR(VLOOKUP($C51&amp;N$43,Calc1!$Z$64:$AB$207,3,0),"")</f>
        <v/>
      </c>
      <c r="O51" s="568"/>
      <c r="P51" s="157" t="str">
        <f ca="1">IFERROR(VLOOKUP($C51&amp;P$43,Calc1!$Z$64:$AB$207,3,0),"")</f>
        <v/>
      </c>
      <c r="Q51" s="187" t="str">
        <f t="shared" ca="1" si="3"/>
        <v/>
      </c>
    </row>
    <row r="52" spans="2:17" ht="21.95" customHeight="1" thickBot="1" x14ac:dyDescent="0.25">
      <c r="B52" s="119" t="str">
        <f ca="1">IF($C52="","",INDEX(Calc1!$E$4:$E$12,MATCH($C52,Calc1!$F$4:$F$12,0)))</f>
        <v/>
      </c>
      <c r="C52" s="129" t="str">
        <f ca="1">IF(Calc1!$K$13=0,"",Calc1!$AM12)</f>
        <v/>
      </c>
      <c r="D52" s="133" t="str">
        <f ca="1">IF($C52="","",VLOOKUP($C52,Calc1!$C$17:$AC$25,25,0))</f>
        <v/>
      </c>
      <c r="E52" s="116" t="str">
        <f ca="1">IF($C52="","",VLOOKUP($C52,Calc1!$C$17:$AC$25,26,0))</f>
        <v/>
      </c>
      <c r="F52" s="116" t="str">
        <f ca="1">IF($C52="","",VLOOKUP($C52,Calc1!$C$17:$AC$25,27,0))</f>
        <v/>
      </c>
      <c r="G52" s="465" t="str">
        <f ca="1">IF($C52="","",VLOOKUP(C52,Vorrunde!$AK$12:$AL$33,2,0))</f>
        <v/>
      </c>
      <c r="H52" s="141" t="str">
        <f ca="1">IFERROR(VLOOKUP($C52&amp;H$43,Calc1!$Z$64:$AB$207,3,0),"")</f>
        <v/>
      </c>
      <c r="I52" s="116" t="str">
        <f ca="1">IFERROR(VLOOKUP($C52&amp;I$43,Calc1!$Z$64:$AB$207,3,0),"")</f>
        <v/>
      </c>
      <c r="J52" s="116" t="str">
        <f ca="1">IFERROR(VLOOKUP($C52&amp;J$43,Calc1!$Z$64:$AB$207,3,0),"")</f>
        <v/>
      </c>
      <c r="K52" s="116" t="str">
        <f ca="1">IFERROR(VLOOKUP($C52&amp;K$43,Calc1!$Z$64:$AB$207,3,0),"")</f>
        <v/>
      </c>
      <c r="L52" s="116" t="str">
        <f ca="1">IFERROR(VLOOKUP($C52&amp;L$43,Calc1!$Z$64:$AB$207,3,0),"")</f>
        <v/>
      </c>
      <c r="M52" s="569" t="str">
        <f ca="1">IFERROR(VLOOKUP($C52&amp;M$43,Calc1!$Z$64:$AB$207,3,0),"")</f>
        <v/>
      </c>
      <c r="N52" s="569" t="str">
        <f ca="1">IFERROR(VLOOKUP($C52&amp;N$43,Calc1!$Z$64:$AB$207,3,0),"")</f>
        <v/>
      </c>
      <c r="O52" s="569" t="str">
        <f ca="1">IFERROR(VLOOKUP($C52&amp;O$43,Calc1!$Z$64:$AB$207,3,0),"")</f>
        <v/>
      </c>
      <c r="P52" s="158"/>
      <c r="Q52" s="188" t="str">
        <f t="shared" ca="1" si="3"/>
        <v/>
      </c>
    </row>
    <row r="53" spans="2:17" ht="55.5" customHeight="1" thickTop="1" x14ac:dyDescent="0.2"/>
  </sheetData>
  <sheetProtection sheet="1" selectLockedCells="1"/>
  <mergeCells count="3">
    <mergeCell ref="B2:P2"/>
    <mergeCell ref="B4:P4"/>
    <mergeCell ref="B3:P3"/>
  </mergeCells>
  <conditionalFormatting sqref="B8:Q16 B20:Q28 B32:Q40 B44:Q52">
    <cfRule type="expression" dxfId="16" priority="29">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8741-6E9D-4272-ACC1-DA8021215FA5}">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06" t="str">
        <f>Sprache!$E$7</f>
        <v>Direkte Vergleiche</v>
      </c>
      <c r="C2" s="706"/>
      <c r="D2" s="706"/>
      <c r="E2" s="706"/>
      <c r="F2" s="706"/>
      <c r="G2" s="706"/>
      <c r="H2" s="706"/>
      <c r="I2" s="706"/>
      <c r="J2" s="706"/>
      <c r="K2" s="706"/>
      <c r="L2" s="706"/>
      <c r="M2" s="706"/>
      <c r="N2" s="706"/>
      <c r="O2" s="706"/>
      <c r="P2" s="706"/>
    </row>
    <row r="3" spans="2:17" ht="42.75" customHeight="1" x14ac:dyDescent="0.2">
      <c r="B3" s="708" t="str">
        <f>Sprache!$E$56&amp;" B"</f>
        <v>Vorrunde Gruppe B</v>
      </c>
      <c r="C3" s="708"/>
      <c r="D3" s="708"/>
      <c r="E3" s="708"/>
      <c r="F3" s="708"/>
      <c r="G3" s="708"/>
      <c r="H3" s="708"/>
      <c r="I3" s="708"/>
      <c r="J3" s="708"/>
      <c r="K3" s="708"/>
      <c r="L3" s="708"/>
      <c r="M3" s="708"/>
      <c r="N3" s="708"/>
      <c r="O3" s="708"/>
      <c r="P3" s="708"/>
    </row>
    <row r="4" spans="2:17" ht="17.25" customHeight="1" x14ac:dyDescent="0.2">
      <c r="B4" s="707" t="str">
        <f>Sprache!$E$71</f>
        <v>Rote Schrift bedeutet, dass die Rangfolge auch mit dem direkten Vergleich nicht geklärt ist. Fair Play oder Los muss hier entscheiden.</v>
      </c>
      <c r="C4" s="707"/>
      <c r="D4" s="707"/>
      <c r="E4" s="707"/>
      <c r="F4" s="707"/>
      <c r="G4" s="707"/>
      <c r="H4" s="707"/>
      <c r="I4" s="707"/>
      <c r="J4" s="707"/>
      <c r="K4" s="707"/>
      <c r="L4" s="707"/>
      <c r="M4" s="707"/>
      <c r="N4" s="707"/>
      <c r="O4" s="707"/>
      <c r="P4" s="707"/>
    </row>
    <row r="5" spans="2:17" ht="17.25" customHeight="1" thickBot="1" x14ac:dyDescent="0.25">
      <c r="B5" s="123"/>
      <c r="C5" s="123"/>
      <c r="D5" s="123"/>
      <c r="E5" s="123"/>
      <c r="F5" s="123"/>
      <c r="G5" s="123"/>
      <c r="H5" s="123"/>
      <c r="I5" s="123"/>
      <c r="J5" s="123"/>
      <c r="K5" s="123"/>
      <c r="L5" s="123"/>
      <c r="M5" s="123"/>
      <c r="N5" s="123"/>
      <c r="O5" s="123"/>
      <c r="P5" s="123"/>
    </row>
    <row r="6" spans="2:17" ht="21.95" customHeight="1" thickBot="1" x14ac:dyDescent="0.25">
      <c r="H6" s="571" t="str">
        <f ca="1">IF(LEN(H7)&gt;Einstellungen!$C$17,LEFT(H7,Einstellungen!$C$17)&amp;".",H7)</f>
        <v/>
      </c>
      <c r="I6" s="572" t="str">
        <f ca="1">IF(LEN(I7)&gt;Einstellungen!$C$17,LEFT(I7,Einstellungen!$C$17)&amp;".",I7)</f>
        <v/>
      </c>
      <c r="J6" s="572" t="str">
        <f ca="1">IF(LEN(J7)&gt;Einstellungen!$C$17,LEFT(J7,Einstellungen!$C$17)&amp;".",J7)</f>
        <v/>
      </c>
      <c r="K6" s="572" t="str">
        <f ca="1">IF(LEN(K7)&gt;Einstellungen!$C$17,LEFT(K7,Einstellungen!$C$17)&amp;".",K7)</f>
        <v/>
      </c>
      <c r="L6" s="572" t="str">
        <f ca="1">IF(LEN(L7)&gt;Einstellungen!$C$17,LEFT(L7,Einstellungen!$C$17)&amp;".",L7)</f>
        <v/>
      </c>
      <c r="M6" s="573" t="str">
        <f ca="1">IF(LEN(M7)&gt;Einstellungen!$C$17,LEFT(M7,Einstellungen!$C$17)&amp;".",M7)</f>
        <v/>
      </c>
      <c r="N6" s="573" t="str">
        <f ca="1">IF(LEN(N7)&gt;Einstellungen!$C$17,LEFT(N7,Einstellungen!$C$17)&amp;".",N7)</f>
        <v/>
      </c>
      <c r="O6" s="573" t="str">
        <f ca="1">IF(LEN(O7)&gt;Einstellungen!$C$17,LEFT(O7,Einstellungen!$C$17)&amp;".",O7)</f>
        <v/>
      </c>
      <c r="P6" s="574" t="str">
        <f ca="1">IF(LEN(P7)&gt;Einstellungen!$C$17,LEFT(P7,Einstellungen!$C$17)&amp;".",P7)</f>
        <v/>
      </c>
    </row>
    <row r="7" spans="2:17" ht="21.95" customHeight="1" thickTop="1" thickBot="1" x14ac:dyDescent="0.25">
      <c r="B7" s="120"/>
      <c r="C7" s="126" t="str">
        <f>Sprache!$E$10</f>
        <v>Teilnehmer bzw. Mannschaft</v>
      </c>
      <c r="D7" s="130" t="str">
        <f>Sprache!$E$27</f>
        <v>Pkt</v>
      </c>
      <c r="E7" s="117" t="str">
        <f>Sprache!$E$26</f>
        <v>Diff.</v>
      </c>
      <c r="F7" s="117" t="str">
        <f>Sprache!$E$28</f>
        <v>erz. Tore</v>
      </c>
      <c r="G7" s="152" t="str">
        <f>Sprache!$E$49</f>
        <v>Bonus</v>
      </c>
      <c r="H7" s="134" t="str">
        <f ca="1">C8</f>
        <v/>
      </c>
      <c r="I7" s="135" t="str">
        <f ca="1">C9</f>
        <v/>
      </c>
      <c r="J7" s="135" t="str">
        <f ca="1">C10</f>
        <v/>
      </c>
      <c r="K7" s="135" t="str">
        <f ca="1">C11</f>
        <v/>
      </c>
      <c r="L7" s="135" t="str">
        <f ca="1">C12</f>
        <v/>
      </c>
      <c r="M7" s="570" t="str">
        <f ca="1">C13</f>
        <v/>
      </c>
      <c r="N7" s="565" t="str">
        <f ca="1">C14</f>
        <v/>
      </c>
      <c r="O7" s="565" t="str">
        <f ca="1">C15</f>
        <v/>
      </c>
      <c r="P7" s="155" t="str">
        <f ca="1">C16</f>
        <v/>
      </c>
    </row>
    <row r="8" spans="2:17" ht="21.95" customHeight="1" x14ac:dyDescent="0.2">
      <c r="B8" s="118" t="str">
        <f ca="1">IF($C8="","",INDEX(Calc2!$E$4:$E$12,MATCH($C8,Calc2!$F$4:$F$12,0)))</f>
        <v/>
      </c>
      <c r="C8" s="127" t="str">
        <f ca="1">IF(Calc2!$K$13=0,"",Calc2!$X4)</f>
        <v/>
      </c>
      <c r="D8" s="131" t="str">
        <f ca="1">IF($C8="","",VLOOKUP($C8,Calc2!$C$17:$AC$25,25,0))</f>
        <v/>
      </c>
      <c r="E8" s="114" t="str">
        <f ca="1">IF($C8="","",VLOOKUP($C8,Calc2!$C$17:$AC$25,26,0))</f>
        <v/>
      </c>
      <c r="F8" s="114" t="str">
        <f ca="1">IF($C8="","",VLOOKUP($C8,Calc2!$C$17:$AC$25,27,0))</f>
        <v/>
      </c>
      <c r="G8" s="463" t="str">
        <f ca="1">IF($C8="","",VLOOKUP(C8,Vorrunde!$AK$12:$AL$33,2,0))</f>
        <v/>
      </c>
      <c r="H8" s="139"/>
      <c r="I8" s="114" t="str">
        <f ca="1">IFERROR(VLOOKUP($C8&amp;I$7,Calc2!$Z$64:$AB$207,3,0),"")</f>
        <v/>
      </c>
      <c r="J8" s="114" t="str">
        <f ca="1">IFERROR(VLOOKUP($C8&amp;J$7,Calc2!$Z$64:$AB$207,3,0),"")</f>
        <v/>
      </c>
      <c r="K8" s="114" t="str">
        <f ca="1">IFERROR(VLOOKUP($C8&amp;K$7,Calc2!$Z$64:$AB$207,3,0),"")</f>
        <v/>
      </c>
      <c r="L8" s="114" t="str">
        <f ca="1">IFERROR(VLOOKUP($C8&amp;L$7,Calc2!$Z$64:$AB$207,3,0),"")</f>
        <v/>
      </c>
      <c r="M8" s="566" t="str">
        <f ca="1">IFERROR(VLOOKUP($C8&amp;M$7,Calc2!$Z$64:$AB$207,3,0),"")</f>
        <v/>
      </c>
      <c r="N8" s="566" t="str">
        <f ca="1">IFERROR(VLOOKUP($C8&amp;N$7,Calc2!$Z$64:$AB$207,3,0),"")</f>
        <v/>
      </c>
      <c r="O8" s="566" t="str">
        <f ca="1">IFERROR(VLOOKUP($C8&amp;O$7,Calc2!$Z$64:$AB$207,3,0),"")</f>
        <v/>
      </c>
      <c r="P8" s="156" t="str">
        <f ca="1">IFERROR(VLOOKUP($C8&amp;P$7,Calc2!$Z$64:$AB$207,3,0),"")</f>
        <v/>
      </c>
      <c r="Q8" s="186" t="str">
        <f t="shared" ref="Q8:Q16" ca="1" si="0">C8</f>
        <v/>
      </c>
    </row>
    <row r="9" spans="2:17" ht="21.95" customHeight="1" x14ac:dyDescent="0.2">
      <c r="B9" s="118" t="str">
        <f ca="1">IF($C9="","",INDEX(Calc2!$E$4:$E$12,MATCH($C9,Calc2!$F$4:$F$12,0)))</f>
        <v/>
      </c>
      <c r="C9" s="128" t="str">
        <f ca="1">IF(Calc2!$K$13=0,"",Calc2!$X5)</f>
        <v/>
      </c>
      <c r="D9" s="132" t="str">
        <f ca="1">IF($C9="","",VLOOKUP($C9,Calc2!$C$17:$AC$25,25,0))</f>
        <v/>
      </c>
      <c r="E9" s="115" t="str">
        <f ca="1">IF($C9="","",VLOOKUP($C9,Calc2!$C$17:$AC$25,26,0))</f>
        <v/>
      </c>
      <c r="F9" s="115" t="str">
        <f ca="1">IF($C9="","",VLOOKUP($C9,Calc2!$C$17:$AC$25,27,0))</f>
        <v/>
      </c>
      <c r="G9" s="464" t="str">
        <f ca="1">IF($C9="","",VLOOKUP(C9,Vorrunde!$AK$12:$AL$33,2,0))</f>
        <v/>
      </c>
      <c r="H9" s="140" t="str">
        <f ca="1">IFERROR(VLOOKUP($C9&amp;H$7,Calc2!$Z$64:$AB$207,3,0),"")</f>
        <v/>
      </c>
      <c r="I9" s="125"/>
      <c r="J9" s="115" t="str">
        <f ca="1">IFERROR(VLOOKUP($C9&amp;J$7,Calc2!$Z$64:$AB$207,3,0),"")</f>
        <v/>
      </c>
      <c r="K9" s="115" t="str">
        <f ca="1">IFERROR(VLOOKUP($C9&amp;K$7,Calc2!$Z$64:$AB$207,3,0),"")</f>
        <v/>
      </c>
      <c r="L9" s="115" t="str">
        <f ca="1">IFERROR(VLOOKUP($C9&amp;L$7,Calc2!$Z$64:$AB$207,3,0),"")</f>
        <v/>
      </c>
      <c r="M9" s="567" t="str">
        <f ca="1">IFERROR(VLOOKUP($C9&amp;M$7,Calc2!$Z$64:$AB$207,3,0),"")</f>
        <v/>
      </c>
      <c r="N9" s="567" t="str">
        <f ca="1">IFERROR(VLOOKUP($C9&amp;N$7,Calc2!$Z$64:$AB$207,3,0),"")</f>
        <v/>
      </c>
      <c r="O9" s="567" t="str">
        <f ca="1">IFERROR(VLOOKUP($C9&amp;O$7,Calc2!$Z$64:$AB$207,3,0),"")</f>
        <v/>
      </c>
      <c r="P9" s="157" t="str">
        <f ca="1">IFERROR(VLOOKUP($C9&amp;P$7,Calc2!$Z$64:$AB$207,3,0),"")</f>
        <v/>
      </c>
      <c r="Q9" s="187" t="str">
        <f t="shared" ca="1" si="0"/>
        <v/>
      </c>
    </row>
    <row r="10" spans="2:17" ht="21.95" customHeight="1" x14ac:dyDescent="0.2">
      <c r="B10" s="118" t="str">
        <f ca="1">IF($C10="","",INDEX(Calc2!$E$4:$E$12,MATCH($C10,Calc2!$F$4:$F$12,0)))</f>
        <v/>
      </c>
      <c r="C10" s="128" t="str">
        <f ca="1">IF(Calc2!$K$13=0,"",Calc2!$X6)</f>
        <v/>
      </c>
      <c r="D10" s="132" t="str">
        <f ca="1">IF($C10="","",VLOOKUP($C10,Calc2!$C$17:$AC$25,25,0))</f>
        <v/>
      </c>
      <c r="E10" s="115" t="str">
        <f ca="1">IF($C10="","",VLOOKUP($C10,Calc2!$C$17:$AC$25,26,0))</f>
        <v/>
      </c>
      <c r="F10" s="115" t="str">
        <f ca="1">IF($C10="","",VLOOKUP($C10,Calc2!$C$17:$AC$25,27,0))</f>
        <v/>
      </c>
      <c r="G10" s="464" t="str">
        <f ca="1">IF($C10="","",VLOOKUP(C10,Vorrunde!$AK$12:$AL$33,2,0))</f>
        <v/>
      </c>
      <c r="H10" s="140" t="str">
        <f ca="1">IFERROR(VLOOKUP($C10&amp;H$7,Calc2!$Z$64:$AB$207,3,0),"")</f>
        <v/>
      </c>
      <c r="I10" s="115" t="str">
        <f ca="1">IFERROR(VLOOKUP($C10&amp;I$7,Calc2!$Z$64:$AB$207,3,0),"")</f>
        <v/>
      </c>
      <c r="J10" s="125"/>
      <c r="K10" s="115" t="str">
        <f ca="1">IFERROR(VLOOKUP($C10&amp;K$7,Calc2!$Z$64:$AB$207,3,0),"")</f>
        <v/>
      </c>
      <c r="L10" s="115" t="str">
        <f ca="1">IFERROR(VLOOKUP($C10&amp;L$7,Calc2!$Z$64:$AB$207,3,0),"")</f>
        <v/>
      </c>
      <c r="M10" s="567" t="str">
        <f ca="1">IFERROR(VLOOKUP($C10&amp;M$7,Calc2!$Z$64:$AB$207,3,0),"")</f>
        <v/>
      </c>
      <c r="N10" s="567" t="str">
        <f ca="1">IFERROR(VLOOKUP($C10&amp;N$7,Calc2!$Z$64:$AB$207,3,0),"")</f>
        <v/>
      </c>
      <c r="O10" s="567" t="str">
        <f ca="1">IFERROR(VLOOKUP($C10&amp;O$7,Calc2!$Z$64:$AB$207,3,0),"")</f>
        <v/>
      </c>
      <c r="P10" s="157" t="str">
        <f ca="1">IFERROR(VLOOKUP($C10&amp;P$7,Calc2!$Z$64:$AB$207,3,0),"")</f>
        <v/>
      </c>
      <c r="Q10" s="187" t="str">
        <f t="shared" ca="1" si="0"/>
        <v/>
      </c>
    </row>
    <row r="11" spans="2:17" ht="21.95" customHeight="1" x14ac:dyDescent="0.2">
      <c r="B11" s="118" t="str">
        <f ca="1">IF($C11="","",INDEX(Calc2!$E$4:$E$12,MATCH($C11,Calc2!$F$4:$F$12,0)))</f>
        <v/>
      </c>
      <c r="C11" s="128" t="str">
        <f ca="1">IF(Calc2!$K$13=0,"",Calc2!$X7)</f>
        <v/>
      </c>
      <c r="D11" s="132" t="str">
        <f ca="1">IF($C11="","",VLOOKUP($C11,Calc2!$C$17:$AC$25,25,0))</f>
        <v/>
      </c>
      <c r="E11" s="115" t="str">
        <f ca="1">IF($C11="","",VLOOKUP($C11,Calc2!$C$17:$AC$25,26,0))</f>
        <v/>
      </c>
      <c r="F11" s="115" t="str">
        <f ca="1">IF($C11="","",VLOOKUP($C11,Calc2!$C$17:$AC$25,27,0))</f>
        <v/>
      </c>
      <c r="G11" s="464" t="str">
        <f ca="1">IF($C11="","",VLOOKUP(C11,Vorrunde!$AK$12:$AL$33,2,0))</f>
        <v/>
      </c>
      <c r="H11" s="140" t="str">
        <f ca="1">IFERROR(VLOOKUP($C11&amp;H$7,Calc2!$Z$64:$AB$207,3,0),"")</f>
        <v/>
      </c>
      <c r="I11" s="115" t="str">
        <f ca="1">IFERROR(VLOOKUP($C11&amp;I$7,Calc2!$Z$64:$AB$207,3,0),"")</f>
        <v/>
      </c>
      <c r="J11" s="115" t="str">
        <f ca="1">IFERROR(VLOOKUP($C11&amp;J$7,Calc2!$Z$64:$AB$207,3,0),"")</f>
        <v/>
      </c>
      <c r="K11" s="125"/>
      <c r="L11" s="115" t="str">
        <f ca="1">IFERROR(VLOOKUP($C11&amp;L$7,Calc2!$Z$64:$AB$207,3,0),"")</f>
        <v/>
      </c>
      <c r="M11" s="567" t="str">
        <f ca="1">IFERROR(VLOOKUP($C11&amp;M$7,Calc2!$Z$64:$AB$207,3,0),"")</f>
        <v/>
      </c>
      <c r="N11" s="567" t="str">
        <f ca="1">IFERROR(VLOOKUP($C11&amp;N$7,Calc2!$Z$64:$AB$207,3,0),"")</f>
        <v/>
      </c>
      <c r="O11" s="567" t="str">
        <f ca="1">IFERROR(VLOOKUP($C11&amp;O$7,Calc2!$Z$64:$AB$207,3,0),"")</f>
        <v/>
      </c>
      <c r="P11" s="157" t="str">
        <f ca="1">IFERROR(VLOOKUP($C11&amp;P$7,Calc2!$Z$64:$AB$207,3,0),"")</f>
        <v/>
      </c>
      <c r="Q11" s="187" t="str">
        <f t="shared" ca="1" si="0"/>
        <v/>
      </c>
    </row>
    <row r="12" spans="2:17" ht="21.95" customHeight="1" x14ac:dyDescent="0.2">
      <c r="B12" s="118" t="str">
        <f ca="1">IF($C12="","",INDEX(Calc2!$E$4:$E$12,MATCH($C12,Calc2!$F$4:$F$12,0)))</f>
        <v/>
      </c>
      <c r="C12" s="128" t="str">
        <f ca="1">IF(Calc2!$K$13=0,"",Calc2!$X8)</f>
        <v/>
      </c>
      <c r="D12" s="132" t="str">
        <f ca="1">IF($C12="","",VLOOKUP($C12,Calc2!$C$17:$AC$25,25,0))</f>
        <v/>
      </c>
      <c r="E12" s="115" t="str">
        <f ca="1">IF($C12="","",VLOOKUP($C12,Calc2!$C$17:$AC$25,26,0))</f>
        <v/>
      </c>
      <c r="F12" s="115" t="str">
        <f ca="1">IF($C12="","",VLOOKUP($C12,Calc2!$C$17:$AC$25,27,0))</f>
        <v/>
      </c>
      <c r="G12" s="464" t="str">
        <f ca="1">IF($C12="","",VLOOKUP(C12,Vorrunde!$AK$12:$AL$33,2,0))</f>
        <v/>
      </c>
      <c r="H12" s="140" t="str">
        <f ca="1">IFERROR(VLOOKUP($C12&amp;H$7,Calc2!$Z$64:$AB$207,3,0),"")</f>
        <v/>
      </c>
      <c r="I12" s="115" t="str">
        <f ca="1">IFERROR(VLOOKUP($C12&amp;I$7,Calc2!$Z$64:$AB$207,3,0),"")</f>
        <v/>
      </c>
      <c r="J12" s="115" t="str">
        <f ca="1">IFERROR(VLOOKUP($C12&amp;J$7,Calc2!$Z$64:$AB$207,3,0),"")</f>
        <v/>
      </c>
      <c r="K12" s="115" t="str">
        <f ca="1">IFERROR(VLOOKUP($C12&amp;K$7,Calc2!$Z$64:$AB$207,3,0),"")</f>
        <v/>
      </c>
      <c r="L12" s="125"/>
      <c r="M12" s="567" t="str">
        <f ca="1">IFERROR(VLOOKUP($C12&amp;M$7,Calc2!$Z$64:$AB$207,3,0),"")</f>
        <v/>
      </c>
      <c r="N12" s="567" t="str">
        <f ca="1">IFERROR(VLOOKUP($C12&amp;N$7,Calc2!$Z$64:$AB$207,3,0),"")</f>
        <v/>
      </c>
      <c r="O12" s="567" t="str">
        <f ca="1">IFERROR(VLOOKUP($C12&amp;O$7,Calc2!$Z$64:$AB$207,3,0),"")</f>
        <v/>
      </c>
      <c r="P12" s="157" t="str">
        <f ca="1">IFERROR(VLOOKUP($C12&amp;P$7,Calc2!$Z$64:$AB$207,3,0),"")</f>
        <v/>
      </c>
      <c r="Q12" s="187" t="str">
        <f t="shared" ca="1" si="0"/>
        <v/>
      </c>
    </row>
    <row r="13" spans="2:17" ht="21.95" customHeight="1" x14ac:dyDescent="0.2">
      <c r="B13" s="118" t="str">
        <f ca="1">IF($C13="","",INDEX(Calc2!$E$4:$E$12,MATCH($C13,Calc2!$F$4:$F$12,0)))</f>
        <v/>
      </c>
      <c r="C13" s="128" t="str">
        <f ca="1">IF(Calc2!$K$13=0,"",Calc2!$X9)</f>
        <v/>
      </c>
      <c r="D13" s="132" t="str">
        <f ca="1">IF($C13="","",VLOOKUP($C13,Calc2!$C$17:$AC$25,25,0))</f>
        <v/>
      </c>
      <c r="E13" s="115" t="str">
        <f ca="1">IF($C13="","",VLOOKUP($C13,Calc2!$C$17:$AC$25,26,0))</f>
        <v/>
      </c>
      <c r="F13" s="115" t="str">
        <f ca="1">IF($C13="","",VLOOKUP($C13,Calc2!$C$17:$AC$25,27,0))</f>
        <v/>
      </c>
      <c r="G13" s="464" t="str">
        <f ca="1">IF($C13="","",VLOOKUP(C13,Vorrunde!$AK$12:$AL$33,2,0))</f>
        <v/>
      </c>
      <c r="H13" s="140" t="str">
        <f ca="1">IFERROR(VLOOKUP($C13&amp;H$7,Calc2!$Z$64:$AB$207,3,0),"")</f>
        <v/>
      </c>
      <c r="I13" s="115" t="str">
        <f ca="1">IFERROR(VLOOKUP($C13&amp;I$7,Calc2!$Z$64:$AB$207,3,0),"")</f>
        <v/>
      </c>
      <c r="J13" s="115" t="str">
        <f ca="1">IFERROR(VLOOKUP($C13&amp;J$7,Calc2!$Z$64:$AB$207,3,0),"")</f>
        <v/>
      </c>
      <c r="K13" s="115" t="str">
        <f ca="1">IFERROR(VLOOKUP($C13&amp;K$7,Calc2!$Z$64:$AB$207,3,0),"")</f>
        <v/>
      </c>
      <c r="L13" s="115" t="str">
        <f ca="1">IFERROR(VLOOKUP($C13&amp;L$7,Calc2!$Z$64:$AB$207,3,0),"")</f>
        <v/>
      </c>
      <c r="M13" s="568"/>
      <c r="N13" s="567" t="str">
        <f ca="1">IFERROR(VLOOKUP($C13&amp;N$7,Calc2!$Z$64:$AB$207,3,0),"")</f>
        <v/>
      </c>
      <c r="O13" s="567" t="str">
        <f ca="1">IFERROR(VLOOKUP($C13&amp;O$7,Calc2!$Z$64:$AB$207,3,0),"")</f>
        <v/>
      </c>
      <c r="P13" s="157" t="str">
        <f ca="1">IFERROR(VLOOKUP($C13&amp;P$7,Calc2!$Z$64:$AB$207,3,0),"")</f>
        <v/>
      </c>
      <c r="Q13" s="187" t="str">
        <f t="shared" ca="1" si="0"/>
        <v/>
      </c>
    </row>
    <row r="14" spans="2:17" ht="21.95" customHeight="1" x14ac:dyDescent="0.2">
      <c r="B14" s="118" t="str">
        <f ca="1">IF($C14="","",INDEX(Calc2!$E$4:$E$12,MATCH($C14,Calc2!$F$4:$F$12,0)))</f>
        <v/>
      </c>
      <c r="C14" s="128" t="str">
        <f ca="1">IF(Calc2!$K$13=0,"",Calc2!$X10)</f>
        <v/>
      </c>
      <c r="D14" s="132" t="str">
        <f ca="1">IF($C14="","",VLOOKUP($C14,Calc2!$C$17:$AC$25,25,0))</f>
        <v/>
      </c>
      <c r="E14" s="115" t="str">
        <f ca="1">IF($C14="","",VLOOKUP($C14,Calc2!$C$17:$AC$25,26,0))</f>
        <v/>
      </c>
      <c r="F14" s="115" t="str">
        <f ca="1">IF($C14="","",VLOOKUP($C14,Calc2!$C$17:$AC$25,27,0))</f>
        <v/>
      </c>
      <c r="G14" s="464" t="str">
        <f ca="1">IF($C14="","",VLOOKUP(C14,Vorrunde!$AK$12:$AL$33,2,0))</f>
        <v/>
      </c>
      <c r="H14" s="140" t="str">
        <f ca="1">IFERROR(VLOOKUP($C14&amp;H$7,Calc2!$Z$64:$AB$207,3,0),"")</f>
        <v/>
      </c>
      <c r="I14" s="115" t="str">
        <f ca="1">IFERROR(VLOOKUP($C14&amp;I$7,Calc2!$Z$64:$AB$207,3,0),"")</f>
        <v/>
      </c>
      <c r="J14" s="115" t="str">
        <f ca="1">IFERROR(VLOOKUP($C14&amp;J$7,Calc2!$Z$64:$AB$207,3,0),"")</f>
        <v/>
      </c>
      <c r="K14" s="115" t="str">
        <f ca="1">IFERROR(VLOOKUP($C14&amp;K$7,Calc2!$Z$64:$AB$207,3,0),"")</f>
        <v/>
      </c>
      <c r="L14" s="115" t="str">
        <f ca="1">IFERROR(VLOOKUP($C14&amp;L$7,Calc2!$Z$64:$AB$207,3,0),"")</f>
        <v/>
      </c>
      <c r="M14" s="567" t="str">
        <f ca="1">IFERROR(VLOOKUP($C14&amp;M$7,Calc2!$Z$64:$AB$207,3,0),"")</f>
        <v/>
      </c>
      <c r="N14" s="568"/>
      <c r="O14" s="567" t="str">
        <f ca="1">IFERROR(VLOOKUP($C14&amp;O$7,Calc2!$Z$64:$AB$207,3,0),"")</f>
        <v/>
      </c>
      <c r="P14" s="157" t="str">
        <f ca="1">IFERROR(VLOOKUP($C14&amp;P$7,Calc2!$Z$64:$AB$207,3,0),"")</f>
        <v/>
      </c>
      <c r="Q14" s="187" t="str">
        <f t="shared" ca="1" si="0"/>
        <v/>
      </c>
    </row>
    <row r="15" spans="2:17" ht="21.95" customHeight="1" x14ac:dyDescent="0.2">
      <c r="B15" s="118" t="str">
        <f ca="1">IF($C15="","",INDEX(Calc2!$E$4:$E$12,MATCH($C15,Calc2!$F$4:$F$12,0)))</f>
        <v/>
      </c>
      <c r="C15" s="128" t="str">
        <f ca="1">IF(Calc2!$K$13=0,"",Calc2!$X11)</f>
        <v/>
      </c>
      <c r="D15" s="132" t="str">
        <f ca="1">IF($C15="","",VLOOKUP($C15,Calc2!$C$17:$AC$25,25,0))</f>
        <v/>
      </c>
      <c r="E15" s="115" t="str">
        <f ca="1">IF($C15="","",VLOOKUP($C15,Calc2!$C$17:$AC$25,26,0))</f>
        <v/>
      </c>
      <c r="F15" s="115" t="str">
        <f ca="1">IF($C15="","",VLOOKUP($C15,Calc2!$C$17:$AC$25,27,0))</f>
        <v/>
      </c>
      <c r="G15" s="464" t="str">
        <f ca="1">IF($C15="","",VLOOKUP(C15,Vorrunde!$AK$12:$AL$33,2,0))</f>
        <v/>
      </c>
      <c r="H15" s="140" t="str">
        <f ca="1">IFERROR(VLOOKUP($C15&amp;H$7,Calc2!$Z$64:$AB$207,3,0),"")</f>
        <v/>
      </c>
      <c r="I15" s="115" t="str">
        <f ca="1">IFERROR(VLOOKUP($C15&amp;I$7,Calc2!$Z$64:$AB$207,3,0),"")</f>
        <v/>
      </c>
      <c r="J15" s="115" t="str">
        <f ca="1">IFERROR(VLOOKUP($C15&amp;J$7,Calc2!$Z$64:$AB$207,3,0),"")</f>
        <v/>
      </c>
      <c r="K15" s="115" t="str">
        <f ca="1">IFERROR(VLOOKUP($C15&amp;K$7,Calc2!$Z$64:$AB$207,3,0),"")</f>
        <v/>
      </c>
      <c r="L15" s="115" t="str">
        <f ca="1">IFERROR(VLOOKUP($C15&amp;L$7,Calc2!$Z$64:$AB$207,3,0),"")</f>
        <v/>
      </c>
      <c r="M15" s="567" t="str">
        <f ca="1">IFERROR(VLOOKUP($C15&amp;M$7,Calc2!$Z$64:$AB$207,3,0),"")</f>
        <v/>
      </c>
      <c r="N15" s="567" t="str">
        <f ca="1">IFERROR(VLOOKUP($C15&amp;N$7,Calc2!$Z$64:$AB$207,3,0),"")</f>
        <v/>
      </c>
      <c r="O15" s="568"/>
      <c r="P15" s="157" t="str">
        <f ca="1">IFERROR(VLOOKUP($C15&amp;P$7,Calc2!$Z$64:$AB$207,3,0),"")</f>
        <v/>
      </c>
      <c r="Q15" s="187" t="str">
        <f t="shared" ca="1" si="0"/>
        <v/>
      </c>
    </row>
    <row r="16" spans="2:17" ht="21.95" customHeight="1" thickBot="1" x14ac:dyDescent="0.25">
      <c r="B16" s="119" t="str">
        <f ca="1">IF($C16="","",INDEX(Calc2!$E$4:$E$12,MATCH($C16,Calc2!$F$4:$F$12,0)))</f>
        <v/>
      </c>
      <c r="C16" s="129" t="str">
        <f ca="1">IF(Calc2!$K$13=0,"",Calc2!$X12)</f>
        <v/>
      </c>
      <c r="D16" s="133" t="str">
        <f ca="1">IF($C16="","",VLOOKUP($C16,Calc2!$C$17:$AC$25,25,0))</f>
        <v/>
      </c>
      <c r="E16" s="116" t="str">
        <f ca="1">IF($C16="","",VLOOKUP($C16,Calc2!$C$17:$AC$25,26,0))</f>
        <v/>
      </c>
      <c r="F16" s="116" t="str">
        <f ca="1">IF($C16="","",VLOOKUP($C16,Calc2!$C$17:$AC$25,27,0))</f>
        <v/>
      </c>
      <c r="G16" s="465" t="str">
        <f ca="1">IF($C16="","",VLOOKUP(C16,Vorrunde!$AK$12:$AL$33,2,0))</f>
        <v/>
      </c>
      <c r="H16" s="141" t="str">
        <f ca="1">IFERROR(VLOOKUP($C16&amp;H$7,Calc2!$Z$64:$AB$207,3,0),"")</f>
        <v/>
      </c>
      <c r="I16" s="116" t="str">
        <f ca="1">IFERROR(VLOOKUP($C16&amp;I$7,Calc2!$Z$64:$AB$207,3,0),"")</f>
        <v/>
      </c>
      <c r="J16" s="116" t="str">
        <f ca="1">IFERROR(VLOOKUP($C16&amp;J$7,Calc2!$Z$64:$AB$207,3,0),"")</f>
        <v/>
      </c>
      <c r="K16" s="116" t="str">
        <f ca="1">IFERROR(VLOOKUP($C16&amp;K$7,Calc2!$Z$64:$AB$207,3,0),"")</f>
        <v/>
      </c>
      <c r="L16" s="116" t="str">
        <f ca="1">IFERROR(VLOOKUP($C16&amp;L$7,Calc2!$Z$64:$AB$207,3,0),"")</f>
        <v/>
      </c>
      <c r="M16" s="569" t="str">
        <f ca="1">IFERROR(VLOOKUP($C16&amp;M$7,Calc2!$Z$64:$AB$207,3,0),"")</f>
        <v/>
      </c>
      <c r="N16" s="569" t="str">
        <f ca="1">IFERROR(VLOOKUP($C16&amp;N$7,Calc2!$Z$64:$AB$207,3,0),"")</f>
        <v/>
      </c>
      <c r="O16" s="569" t="str">
        <f ca="1">IFERROR(VLOOKUP($C16&amp;O$7,Calc2!$Z$64:$AB$207,3,0),"")</f>
        <v/>
      </c>
      <c r="P16" s="158"/>
      <c r="Q16" s="188" t="str">
        <f t="shared" ca="1" si="0"/>
        <v/>
      </c>
    </row>
    <row r="17" spans="2:17" ht="42.75" customHeight="1" thickTop="1" thickBot="1" x14ac:dyDescent="0.25">
      <c r="B17" s="136"/>
      <c r="C17" s="137"/>
      <c r="D17" s="138"/>
      <c r="E17" s="124"/>
      <c r="F17" s="124"/>
      <c r="G17" s="124"/>
      <c r="H17" s="124"/>
      <c r="I17" s="124"/>
      <c r="J17" s="124"/>
      <c r="K17" s="124"/>
      <c r="L17" s="124"/>
      <c r="M17" s="124"/>
      <c r="N17" s="124"/>
      <c r="O17" s="124"/>
      <c r="P17" s="124"/>
    </row>
    <row r="18" spans="2:17" ht="21.95" customHeight="1" thickBot="1" x14ac:dyDescent="0.25">
      <c r="H18" s="571" t="str">
        <f ca="1">IF(LEN(H19)&gt;Einstellungen!$C$17,LEFT(H19,Einstellungen!$C$17)&amp;".",H19)</f>
        <v/>
      </c>
      <c r="I18" s="572" t="str">
        <f ca="1">IF(LEN(I19)&gt;Einstellungen!$C$17,LEFT(I19,Einstellungen!$C$17)&amp;".",I19)</f>
        <v/>
      </c>
      <c r="J18" s="572" t="str">
        <f ca="1">IF(LEN(J19)&gt;Einstellungen!$C$17,LEFT(J19,Einstellungen!$C$17)&amp;".",J19)</f>
        <v/>
      </c>
      <c r="K18" s="572" t="str">
        <f ca="1">IF(LEN(K19)&gt;Einstellungen!$C$17,LEFT(K19,Einstellungen!$C$17)&amp;".",K19)</f>
        <v/>
      </c>
      <c r="L18" s="572" t="str">
        <f ca="1">IF(LEN(L19)&gt;Einstellungen!$C$17,LEFT(L19,Einstellungen!$C$17)&amp;".",L19)</f>
        <v/>
      </c>
      <c r="M18" s="573" t="str">
        <f ca="1">IF(LEN(M19)&gt;Einstellungen!$C$17,LEFT(M19,Einstellungen!$C$17)&amp;".",M19)</f>
        <v/>
      </c>
      <c r="N18" s="573" t="str">
        <f ca="1">IF(LEN(N19)&gt;Einstellungen!$C$17,LEFT(N19,Einstellungen!$C$17)&amp;".",N19)</f>
        <v/>
      </c>
      <c r="O18" s="573" t="str">
        <f ca="1">IF(LEN(O19)&gt;Einstellungen!$C$17,LEFT(O19,Einstellungen!$C$17)&amp;".",O19)</f>
        <v/>
      </c>
      <c r="P18" s="574" t="str">
        <f ca="1">IF(LEN(P19)&gt;Einstellungen!$C$17,LEFT(P19,Einstellungen!$C$17)&amp;".",P19)</f>
        <v/>
      </c>
    </row>
    <row r="19" spans="2:17" ht="21.95" customHeight="1" thickTop="1" thickBot="1" x14ac:dyDescent="0.25">
      <c r="B19" s="120"/>
      <c r="C19" s="126" t="str">
        <f>Sprache!$E$10</f>
        <v>Teilnehmer bzw. Mannschaft</v>
      </c>
      <c r="D19" s="130" t="str">
        <f>Sprache!$E$27</f>
        <v>Pkt</v>
      </c>
      <c r="E19" s="117" t="str">
        <f>Sprache!$E$26</f>
        <v>Diff.</v>
      </c>
      <c r="F19" s="117" t="str">
        <f>Sprache!$E$28</f>
        <v>erz. Tore</v>
      </c>
      <c r="G19" s="152" t="str">
        <f>Sprache!$E$49</f>
        <v>Bonus</v>
      </c>
      <c r="H19" s="134" t="str">
        <f ca="1">C20</f>
        <v/>
      </c>
      <c r="I19" s="135" t="str">
        <f ca="1">C21</f>
        <v/>
      </c>
      <c r="J19" s="135" t="str">
        <f ca="1">C22</f>
        <v/>
      </c>
      <c r="K19" s="135" t="str">
        <f ca="1">C23</f>
        <v/>
      </c>
      <c r="L19" s="135" t="str">
        <f ca="1">C24</f>
        <v/>
      </c>
      <c r="M19" s="565" t="str">
        <f ca="1">C25</f>
        <v/>
      </c>
      <c r="N19" s="565" t="str">
        <f ca="1">C26</f>
        <v/>
      </c>
      <c r="O19" s="565" t="str">
        <f ca="1">C27</f>
        <v/>
      </c>
      <c r="P19" s="155" t="str">
        <f ca="1">C28</f>
        <v/>
      </c>
    </row>
    <row r="20" spans="2:17" ht="21.95" customHeight="1" x14ac:dyDescent="0.2">
      <c r="B20" s="118" t="str">
        <f ca="1">IF($C20="","",INDEX(Calc2!$E$4:$E$12,MATCH($C20,Calc2!$F$4:$F$12,0)))</f>
        <v/>
      </c>
      <c r="C20" s="127" t="str">
        <f ca="1">IF(Calc2!$K$13=0,"",Calc2!$AC4)</f>
        <v/>
      </c>
      <c r="D20" s="131" t="str">
        <f ca="1">IF($C20="","",VLOOKUP($C20,Calc2!$C$17:$AC$25,25,0))</f>
        <v/>
      </c>
      <c r="E20" s="114" t="str">
        <f ca="1">IF($C20="","",VLOOKUP($C20,Calc2!$C$17:$AC$25,26,0))</f>
        <v/>
      </c>
      <c r="F20" s="114" t="str">
        <f ca="1">IF($C20="","",VLOOKUP($C20,Calc2!$C$17:$AC$25,27,0))</f>
        <v/>
      </c>
      <c r="G20" s="463" t="str">
        <f ca="1">IF($C20="","",VLOOKUP(C20,Vorrunde!$AK$12:$AL$33,2,0))</f>
        <v/>
      </c>
      <c r="H20" s="139"/>
      <c r="I20" s="114" t="str">
        <f ca="1">IFERROR(VLOOKUP($C20&amp;I$19,Calc2!$Z$64:$AB$207,3,0),"")</f>
        <v/>
      </c>
      <c r="J20" s="114" t="str">
        <f ca="1">IFERROR(VLOOKUP($C20&amp;J$19,Calc2!$Z$64:$AB$207,3,0),"")</f>
        <v/>
      </c>
      <c r="K20" s="114" t="str">
        <f ca="1">IFERROR(VLOOKUP($C20&amp;K$19,Calc2!$Z$64:$AB$207,3,0),"")</f>
        <v/>
      </c>
      <c r="L20" s="114" t="str">
        <f ca="1">IFERROR(VLOOKUP($C20&amp;L$19,Calc2!$Z$64:$AB$207,3,0),"")</f>
        <v/>
      </c>
      <c r="M20" s="566" t="str">
        <f ca="1">IFERROR(VLOOKUP($C20&amp;M$19,Calc2!$Z$64:$AB$207,3,0),"")</f>
        <v/>
      </c>
      <c r="N20" s="566" t="str">
        <f ca="1">IFERROR(VLOOKUP($C20&amp;N$19,Calc2!$Z$64:$AB$207,3,0),"")</f>
        <v/>
      </c>
      <c r="O20" s="566" t="str">
        <f ca="1">IFERROR(VLOOKUP($C20&amp;O$19,Calc2!$Z$64:$AB$207,3,0),"")</f>
        <v/>
      </c>
      <c r="P20" s="156" t="str">
        <f ca="1">IFERROR(VLOOKUP($C20&amp;P$19,Calc2!$Z$64:$AB$207,3,0),"")</f>
        <v/>
      </c>
      <c r="Q20" s="186" t="str">
        <f t="shared" ref="Q20:Q28" ca="1" si="1">C20</f>
        <v/>
      </c>
    </row>
    <row r="21" spans="2:17" ht="21.95" customHeight="1" x14ac:dyDescent="0.2">
      <c r="B21" s="118" t="str">
        <f ca="1">IF($C21="","",INDEX(Calc2!$E$4:$E$12,MATCH($C21,Calc2!$F$4:$F$12,0)))</f>
        <v/>
      </c>
      <c r="C21" s="128" t="str">
        <f ca="1">IF(Calc2!$K$13=0,"",Calc2!$AC5)</f>
        <v/>
      </c>
      <c r="D21" s="132" t="str">
        <f ca="1">IF($C21="","",VLOOKUP($C21,Calc2!$C$17:$AC$25,25,0))</f>
        <v/>
      </c>
      <c r="E21" s="115" t="str">
        <f ca="1">IF($C21="","",VLOOKUP($C21,Calc2!$C$17:$AC$25,26,0))</f>
        <v/>
      </c>
      <c r="F21" s="115" t="str">
        <f ca="1">IF($C21="","",VLOOKUP($C21,Calc2!$C$17:$AC$25,27,0))</f>
        <v/>
      </c>
      <c r="G21" s="464" t="str">
        <f ca="1">IF($C21="","",VLOOKUP(C21,Vorrunde!$AK$12:$AL$33,2,0))</f>
        <v/>
      </c>
      <c r="H21" s="140" t="str">
        <f ca="1">IFERROR(VLOOKUP($C21&amp;H$19,Calc2!$Z$64:$AB$207,3,0),"")</f>
        <v/>
      </c>
      <c r="I21" s="125"/>
      <c r="J21" s="115" t="str">
        <f ca="1">IFERROR(VLOOKUP($C21&amp;J$19,Calc2!$Z$64:$AB$207,3,0),"")</f>
        <v/>
      </c>
      <c r="K21" s="115" t="str">
        <f ca="1">IFERROR(VLOOKUP($C21&amp;K$19,Calc2!$Z$64:$AB$207,3,0),"")</f>
        <v/>
      </c>
      <c r="L21" s="115" t="str">
        <f ca="1">IFERROR(VLOOKUP($C21&amp;L$19,Calc2!$Z$64:$AB$207,3,0),"")</f>
        <v/>
      </c>
      <c r="M21" s="567" t="str">
        <f ca="1">IFERROR(VLOOKUP($C21&amp;M$19,Calc2!$Z$64:$AB$207,3,0),"")</f>
        <v/>
      </c>
      <c r="N21" s="567" t="str">
        <f ca="1">IFERROR(VLOOKUP($C21&amp;N$19,Calc2!$Z$64:$AB$207,3,0),"")</f>
        <v/>
      </c>
      <c r="O21" s="567" t="str">
        <f ca="1">IFERROR(VLOOKUP($C21&amp;O$19,Calc2!$Z$64:$AB$207,3,0),"")</f>
        <v/>
      </c>
      <c r="P21" s="157" t="str">
        <f ca="1">IFERROR(VLOOKUP($C21&amp;P$19,Calc2!$Z$64:$AB$207,3,0),"")</f>
        <v/>
      </c>
      <c r="Q21" s="187" t="str">
        <f t="shared" ca="1" si="1"/>
        <v/>
      </c>
    </row>
    <row r="22" spans="2:17" ht="21.95" customHeight="1" x14ac:dyDescent="0.2">
      <c r="B22" s="118" t="str">
        <f ca="1">IF($C22="","",INDEX(Calc2!$E$4:$E$12,MATCH($C22,Calc2!$F$4:$F$12,0)))</f>
        <v/>
      </c>
      <c r="C22" s="128" t="str">
        <f ca="1">IF(Calc2!$K$13=0,"",Calc2!$AC6)</f>
        <v/>
      </c>
      <c r="D22" s="132" t="str">
        <f ca="1">IF($C22="","",VLOOKUP($C22,Calc2!$C$17:$AC$25,25,0))</f>
        <v/>
      </c>
      <c r="E22" s="115" t="str">
        <f ca="1">IF($C22="","",VLOOKUP($C22,Calc2!$C$17:$AC$25,26,0))</f>
        <v/>
      </c>
      <c r="F22" s="115" t="str">
        <f ca="1">IF($C22="","",VLOOKUP($C22,Calc2!$C$17:$AC$25,27,0))</f>
        <v/>
      </c>
      <c r="G22" s="464" t="str">
        <f ca="1">IF($C22="","",VLOOKUP(C22,Vorrunde!$AK$12:$AL$33,2,0))</f>
        <v/>
      </c>
      <c r="H22" s="140" t="str">
        <f ca="1">IFERROR(VLOOKUP($C22&amp;H$19,Calc2!$Z$64:$AB$207,3,0),"")</f>
        <v/>
      </c>
      <c r="I22" s="115" t="str">
        <f ca="1">IFERROR(VLOOKUP($C22&amp;I$19,Calc2!$Z$64:$AB$207,3,0),"")</f>
        <v/>
      </c>
      <c r="J22" s="125"/>
      <c r="K22" s="115" t="str">
        <f ca="1">IFERROR(VLOOKUP($C22&amp;K$19,Calc2!$Z$64:$AB$207,3,0),"")</f>
        <v/>
      </c>
      <c r="L22" s="115" t="str">
        <f ca="1">IFERROR(VLOOKUP($C22&amp;L$19,Calc2!$Z$64:$AB$207,3,0),"")</f>
        <v/>
      </c>
      <c r="M22" s="567" t="str">
        <f ca="1">IFERROR(VLOOKUP($C22&amp;M$19,Calc2!$Z$64:$AB$207,3,0),"")</f>
        <v/>
      </c>
      <c r="N22" s="567" t="str">
        <f ca="1">IFERROR(VLOOKUP($C22&amp;N$19,Calc2!$Z$64:$AB$207,3,0),"")</f>
        <v/>
      </c>
      <c r="O22" s="567" t="str">
        <f ca="1">IFERROR(VLOOKUP($C22&amp;O$19,Calc2!$Z$64:$AB$207,3,0),"")</f>
        <v/>
      </c>
      <c r="P22" s="157" t="str">
        <f ca="1">IFERROR(VLOOKUP($C22&amp;P$19,Calc2!$Z$64:$AB$207,3,0),"")</f>
        <v/>
      </c>
      <c r="Q22" s="187" t="str">
        <f t="shared" ca="1" si="1"/>
        <v/>
      </c>
    </row>
    <row r="23" spans="2:17" ht="21.95" customHeight="1" x14ac:dyDescent="0.2">
      <c r="B23" s="118" t="str">
        <f ca="1">IF($C23="","",INDEX(Calc2!$E$4:$E$12,MATCH($C23,Calc2!$F$4:$F$12,0)))</f>
        <v/>
      </c>
      <c r="C23" s="128" t="str">
        <f ca="1">IF(Calc2!$K$13=0,"",Calc2!$AC7)</f>
        <v/>
      </c>
      <c r="D23" s="132" t="str">
        <f ca="1">IF($C23="","",VLOOKUP($C23,Calc2!$C$17:$AC$25,25,0))</f>
        <v/>
      </c>
      <c r="E23" s="115" t="str">
        <f ca="1">IF($C23="","",VLOOKUP($C23,Calc2!$C$17:$AC$25,26,0))</f>
        <v/>
      </c>
      <c r="F23" s="115" t="str">
        <f ca="1">IF($C23="","",VLOOKUP($C23,Calc2!$C$17:$AC$25,27,0))</f>
        <v/>
      </c>
      <c r="G23" s="464" t="str">
        <f ca="1">IF($C23="","",VLOOKUP(C23,Vorrunde!$AK$12:$AL$33,2,0))</f>
        <v/>
      </c>
      <c r="H23" s="140" t="str">
        <f ca="1">IFERROR(VLOOKUP($C23&amp;H$19,Calc2!$Z$64:$AB$207,3,0),"")</f>
        <v/>
      </c>
      <c r="I23" s="115" t="str">
        <f ca="1">IFERROR(VLOOKUP($C23&amp;I$19,Calc2!$Z$64:$AB$207,3,0),"")</f>
        <v/>
      </c>
      <c r="J23" s="115" t="str">
        <f ca="1">IFERROR(VLOOKUP($C23&amp;J$19,Calc2!$Z$64:$AB$207,3,0),"")</f>
        <v/>
      </c>
      <c r="K23" s="125"/>
      <c r="L23" s="115" t="str">
        <f ca="1">IFERROR(VLOOKUP($C23&amp;L$19,Calc2!$Z$64:$AB$207,3,0),"")</f>
        <v/>
      </c>
      <c r="M23" s="567" t="str">
        <f ca="1">IFERROR(VLOOKUP($C23&amp;M$19,Calc2!$Z$64:$AB$207,3,0),"")</f>
        <v/>
      </c>
      <c r="N23" s="567" t="str">
        <f ca="1">IFERROR(VLOOKUP($C23&amp;N$19,Calc2!$Z$64:$AB$207,3,0),"")</f>
        <v/>
      </c>
      <c r="O23" s="567" t="str">
        <f ca="1">IFERROR(VLOOKUP($C23&amp;O$19,Calc2!$Z$64:$AB$207,3,0),"")</f>
        <v/>
      </c>
      <c r="P23" s="157" t="str">
        <f ca="1">IFERROR(VLOOKUP($C23&amp;P$19,Calc2!$Z$64:$AB$207,3,0),"")</f>
        <v/>
      </c>
      <c r="Q23" s="187" t="str">
        <f t="shared" ca="1" si="1"/>
        <v/>
      </c>
    </row>
    <row r="24" spans="2:17" ht="21.95" customHeight="1" x14ac:dyDescent="0.2">
      <c r="B24" s="118" t="str">
        <f ca="1">IF($C24="","",INDEX(Calc2!$E$4:$E$12,MATCH($C24,Calc2!$F$4:$F$12,0)))</f>
        <v/>
      </c>
      <c r="C24" s="128" t="str">
        <f ca="1">IF(Calc2!$K$13=0,"",Calc2!$AC8)</f>
        <v/>
      </c>
      <c r="D24" s="132" t="str">
        <f ca="1">IF($C24="","",VLOOKUP($C24,Calc2!$C$17:$AC$25,25,0))</f>
        <v/>
      </c>
      <c r="E24" s="115" t="str">
        <f ca="1">IF($C24="","",VLOOKUP($C24,Calc2!$C$17:$AC$25,26,0))</f>
        <v/>
      </c>
      <c r="F24" s="115" t="str">
        <f ca="1">IF($C24="","",VLOOKUP($C24,Calc2!$C$17:$AC$25,27,0))</f>
        <v/>
      </c>
      <c r="G24" s="464" t="str">
        <f ca="1">IF($C24="","",VLOOKUP(C24,Vorrunde!$AK$12:$AL$33,2,0))</f>
        <v/>
      </c>
      <c r="H24" s="140" t="str">
        <f ca="1">IFERROR(VLOOKUP($C24&amp;H$19,Calc2!$Z$64:$AB$207,3,0),"")</f>
        <v/>
      </c>
      <c r="I24" s="115" t="str">
        <f ca="1">IFERROR(VLOOKUP($C24&amp;I$19,Calc2!$Z$64:$AB$207,3,0),"")</f>
        <v/>
      </c>
      <c r="J24" s="115" t="str">
        <f ca="1">IFERROR(VLOOKUP($C24&amp;J$19,Calc2!$Z$64:$AB$207,3,0),"")</f>
        <v/>
      </c>
      <c r="K24" s="115" t="str">
        <f ca="1">IFERROR(VLOOKUP($C24&amp;K$19,Calc2!$Z$64:$AB$207,3,0),"")</f>
        <v/>
      </c>
      <c r="L24" s="125"/>
      <c r="M24" s="567" t="str">
        <f ca="1">IFERROR(VLOOKUP($C24&amp;M$19,Calc2!$Z$64:$AB$207,3,0),"")</f>
        <v/>
      </c>
      <c r="N24" s="567" t="str">
        <f ca="1">IFERROR(VLOOKUP($C24&amp;N$19,Calc2!$Z$64:$AB$207,3,0),"")</f>
        <v/>
      </c>
      <c r="O24" s="567" t="str">
        <f ca="1">IFERROR(VLOOKUP($C24&amp;O$19,Calc2!$Z$64:$AB$207,3,0),"")</f>
        <v/>
      </c>
      <c r="P24" s="157" t="str">
        <f ca="1">IFERROR(VLOOKUP($C24&amp;P$19,Calc2!$Z$64:$AB$207,3,0),"")</f>
        <v/>
      </c>
      <c r="Q24" s="187" t="str">
        <f t="shared" ca="1" si="1"/>
        <v/>
      </c>
    </row>
    <row r="25" spans="2:17" ht="21.95" customHeight="1" x14ac:dyDescent="0.2">
      <c r="B25" s="118" t="str">
        <f ca="1">IF($C25="","",INDEX(Calc2!$E$4:$E$12,MATCH($C25,Calc2!$F$4:$F$12,0)))</f>
        <v/>
      </c>
      <c r="C25" s="128" t="str">
        <f ca="1">IF(Calc2!$K$13=0,"",Calc2!$AC9)</f>
        <v/>
      </c>
      <c r="D25" s="132" t="str">
        <f ca="1">IF($C25="","",VLOOKUP($C25,Calc2!$C$17:$AC$25,25,0))</f>
        <v/>
      </c>
      <c r="E25" s="115" t="str">
        <f ca="1">IF($C25="","",VLOOKUP($C25,Calc2!$C$17:$AC$25,26,0))</f>
        <v/>
      </c>
      <c r="F25" s="115" t="str">
        <f ca="1">IF($C25="","",VLOOKUP($C25,Calc2!$C$17:$AC$25,27,0))</f>
        <v/>
      </c>
      <c r="G25" s="464" t="str">
        <f ca="1">IF($C25="","",VLOOKUP(C25,Vorrunde!$AK$12:$AL$33,2,0))</f>
        <v/>
      </c>
      <c r="H25" s="140" t="str">
        <f ca="1">IFERROR(VLOOKUP($C25&amp;H$19,Calc2!$Z$64:$AB$207,3,0),"")</f>
        <v/>
      </c>
      <c r="I25" s="115" t="str">
        <f ca="1">IFERROR(VLOOKUP($C25&amp;I$19,Calc2!$Z$64:$AB$207,3,0),"")</f>
        <v/>
      </c>
      <c r="J25" s="115" t="str">
        <f ca="1">IFERROR(VLOOKUP($C25&amp;J$19,Calc2!$Z$64:$AB$207,3,0),"")</f>
        <v/>
      </c>
      <c r="K25" s="115" t="str">
        <f ca="1">IFERROR(VLOOKUP($C25&amp;K$19,Calc2!$Z$64:$AB$207,3,0),"")</f>
        <v/>
      </c>
      <c r="L25" s="115" t="str">
        <f ca="1">IFERROR(VLOOKUP($C25&amp;L$19,Calc2!$Z$64:$AB$207,3,0),"")</f>
        <v/>
      </c>
      <c r="M25" s="568"/>
      <c r="N25" s="567" t="str">
        <f ca="1">IFERROR(VLOOKUP($C25&amp;N$19,Calc2!$Z$64:$AB$207,3,0),"")</f>
        <v/>
      </c>
      <c r="O25" s="567" t="str">
        <f ca="1">IFERROR(VLOOKUP($C25&amp;O$19,Calc2!$Z$64:$AB$207,3,0),"")</f>
        <v/>
      </c>
      <c r="P25" s="157" t="str">
        <f ca="1">IFERROR(VLOOKUP($C25&amp;P$19,Calc2!$Z$64:$AB$207,3,0),"")</f>
        <v/>
      </c>
      <c r="Q25" s="187" t="str">
        <f t="shared" ca="1" si="1"/>
        <v/>
      </c>
    </row>
    <row r="26" spans="2:17" ht="21.95" customHeight="1" x14ac:dyDescent="0.2">
      <c r="B26" s="118" t="str">
        <f ca="1">IF($C26="","",INDEX(Calc2!$E$4:$E$12,MATCH($C26,Calc2!$F$4:$F$12,0)))</f>
        <v/>
      </c>
      <c r="C26" s="128" t="str">
        <f ca="1">IF(Calc2!$K$13=0,"",Calc2!$AC10)</f>
        <v/>
      </c>
      <c r="D26" s="132" t="str">
        <f ca="1">IF($C26="","",VLOOKUP($C26,Calc2!$C$17:$AC$25,25,0))</f>
        <v/>
      </c>
      <c r="E26" s="115" t="str">
        <f ca="1">IF($C26="","",VLOOKUP($C26,Calc2!$C$17:$AC$25,26,0))</f>
        <v/>
      </c>
      <c r="F26" s="115" t="str">
        <f ca="1">IF($C26="","",VLOOKUP($C26,Calc2!$C$17:$AC$25,27,0))</f>
        <v/>
      </c>
      <c r="G26" s="464" t="str">
        <f ca="1">IF($C26="","",VLOOKUP(C26,Vorrunde!$AK$12:$AL$33,2,0))</f>
        <v/>
      </c>
      <c r="H26" s="140" t="str">
        <f ca="1">IFERROR(VLOOKUP($C26&amp;H$19,Calc2!$Z$64:$AB$207,3,0),"")</f>
        <v/>
      </c>
      <c r="I26" s="115" t="str">
        <f ca="1">IFERROR(VLOOKUP($C26&amp;I$19,Calc2!$Z$64:$AB$207,3,0),"")</f>
        <v/>
      </c>
      <c r="J26" s="115" t="str">
        <f ca="1">IFERROR(VLOOKUP($C26&amp;J$19,Calc2!$Z$64:$AB$207,3,0),"")</f>
        <v/>
      </c>
      <c r="K26" s="115" t="str">
        <f ca="1">IFERROR(VLOOKUP($C26&amp;K$19,Calc2!$Z$64:$AB$207,3,0),"")</f>
        <v/>
      </c>
      <c r="L26" s="115" t="str">
        <f ca="1">IFERROR(VLOOKUP($C26&amp;L$19,Calc2!$Z$64:$AB$207,3,0),"")</f>
        <v/>
      </c>
      <c r="M26" s="567" t="str">
        <f ca="1">IFERROR(VLOOKUP($C26&amp;M$19,Calc2!$Z$64:$AB$207,3,0),"")</f>
        <v/>
      </c>
      <c r="N26" s="568"/>
      <c r="O26" s="567" t="str">
        <f ca="1">IFERROR(VLOOKUP($C26&amp;O$19,Calc2!$Z$64:$AB$207,3,0),"")</f>
        <v/>
      </c>
      <c r="P26" s="157" t="str">
        <f ca="1">IFERROR(VLOOKUP($C26&amp;P$19,Calc2!$Z$64:$AB$207,3,0),"")</f>
        <v/>
      </c>
      <c r="Q26" s="187" t="str">
        <f t="shared" ca="1" si="1"/>
        <v/>
      </c>
    </row>
    <row r="27" spans="2:17" ht="21.95" customHeight="1" x14ac:dyDescent="0.2">
      <c r="B27" s="118" t="str">
        <f ca="1">IF($C27="","",INDEX(Calc2!$E$4:$E$12,MATCH($C27,Calc2!$F$4:$F$12,0)))</f>
        <v/>
      </c>
      <c r="C27" s="128" t="str">
        <f ca="1">IF(Calc2!$K$13=0,"",Calc2!$AC11)</f>
        <v/>
      </c>
      <c r="D27" s="132" t="str">
        <f ca="1">IF($C27="","",VLOOKUP($C27,Calc2!$C$17:$AC$25,25,0))</f>
        <v/>
      </c>
      <c r="E27" s="115" t="str">
        <f ca="1">IF($C27="","",VLOOKUP($C27,Calc2!$C$17:$AC$25,26,0))</f>
        <v/>
      </c>
      <c r="F27" s="115" t="str">
        <f ca="1">IF($C27="","",VLOOKUP($C27,Calc2!$C$17:$AC$25,27,0))</f>
        <v/>
      </c>
      <c r="G27" s="464" t="str">
        <f ca="1">IF($C27="","",VLOOKUP(C27,Vorrunde!$AK$12:$AL$33,2,0))</f>
        <v/>
      </c>
      <c r="H27" s="140" t="str">
        <f ca="1">IFERROR(VLOOKUP($C27&amp;H$19,Calc2!$Z$64:$AB$207,3,0),"")</f>
        <v/>
      </c>
      <c r="I27" s="115" t="str">
        <f ca="1">IFERROR(VLOOKUP($C27&amp;I$19,Calc2!$Z$64:$AB$207,3,0),"")</f>
        <v/>
      </c>
      <c r="J27" s="115" t="str">
        <f ca="1">IFERROR(VLOOKUP($C27&amp;J$19,Calc2!$Z$64:$AB$207,3,0),"")</f>
        <v/>
      </c>
      <c r="K27" s="115" t="str">
        <f ca="1">IFERROR(VLOOKUP($C27&amp;K$19,Calc2!$Z$64:$AB$207,3,0),"")</f>
        <v/>
      </c>
      <c r="L27" s="115" t="str">
        <f ca="1">IFERROR(VLOOKUP($C27&amp;L$19,Calc2!$Z$64:$AB$207,3,0),"")</f>
        <v/>
      </c>
      <c r="M27" s="567" t="str">
        <f ca="1">IFERROR(VLOOKUP($C27&amp;M$19,Calc2!$Z$64:$AB$207,3,0),"")</f>
        <v/>
      </c>
      <c r="N27" s="567" t="str">
        <f ca="1">IFERROR(VLOOKUP($C27&amp;N$19,Calc2!$Z$64:$AB$207,3,0),"")</f>
        <v/>
      </c>
      <c r="O27" s="568"/>
      <c r="P27" s="157" t="str">
        <f ca="1">IFERROR(VLOOKUP($C27&amp;P$19,Calc2!$Z$64:$AB$207,3,0),"")</f>
        <v/>
      </c>
      <c r="Q27" s="187" t="str">
        <f t="shared" ca="1" si="1"/>
        <v/>
      </c>
    </row>
    <row r="28" spans="2:17" ht="21.95" customHeight="1" thickBot="1" x14ac:dyDescent="0.25">
      <c r="B28" s="119" t="str">
        <f ca="1">IF($C28="","",INDEX(Calc2!$E$4:$E$12,MATCH($C28,Calc2!$F$4:$F$12,0)))</f>
        <v/>
      </c>
      <c r="C28" s="129" t="str">
        <f ca="1">IF(Calc2!$K$13=0,"",Calc2!$AC12)</f>
        <v/>
      </c>
      <c r="D28" s="133" t="str">
        <f ca="1">IF($C28="","",VLOOKUP($C28,Calc2!$C$17:$AC$25,25,0))</f>
        <v/>
      </c>
      <c r="E28" s="116" t="str">
        <f ca="1">IF($C28="","",VLOOKUP($C28,Calc2!$C$17:$AC$25,26,0))</f>
        <v/>
      </c>
      <c r="F28" s="116" t="str">
        <f ca="1">IF($C28="","",VLOOKUP($C28,Calc2!$C$17:$AC$25,27,0))</f>
        <v/>
      </c>
      <c r="G28" s="465" t="str">
        <f ca="1">IF($C28="","",VLOOKUP(C28,Vorrunde!$AK$12:$AL$33,2,0))</f>
        <v/>
      </c>
      <c r="H28" s="141" t="str">
        <f ca="1">IFERROR(VLOOKUP($C28&amp;H$19,Calc2!$Z$64:$AB$207,3,0),"")</f>
        <v/>
      </c>
      <c r="I28" s="116" t="str">
        <f ca="1">IFERROR(VLOOKUP($C28&amp;I$19,Calc2!$Z$64:$AB$207,3,0),"")</f>
        <v/>
      </c>
      <c r="J28" s="116" t="str">
        <f ca="1">IFERROR(VLOOKUP($C28&amp;J$19,Calc2!$Z$64:$AB$207,3,0),"")</f>
        <v/>
      </c>
      <c r="K28" s="116" t="str">
        <f ca="1">IFERROR(VLOOKUP($C28&amp;K$19,Calc2!$Z$64:$AB$207,3,0),"")</f>
        <v/>
      </c>
      <c r="L28" s="116" t="str">
        <f ca="1">IFERROR(VLOOKUP($C28&amp;L$19,Calc2!$Z$64:$AB$207,3,0),"")</f>
        <v/>
      </c>
      <c r="M28" s="569" t="str">
        <f ca="1">IFERROR(VLOOKUP($C28&amp;M$19,Calc2!$Z$64:$AB$207,3,0),"")</f>
        <v/>
      </c>
      <c r="N28" s="569" t="str">
        <f ca="1">IFERROR(VLOOKUP($C28&amp;N$19,Calc2!$Z$64:$AB$207,3,0),"")</f>
        <v/>
      </c>
      <c r="O28" s="569" t="str">
        <f ca="1">IFERROR(VLOOKUP($C28&amp;O$19,Calc2!$Z$64:$AB$207,3,0),"")</f>
        <v/>
      </c>
      <c r="P28" s="158"/>
      <c r="Q28" s="188" t="str">
        <f t="shared" ca="1" si="1"/>
        <v/>
      </c>
    </row>
    <row r="29" spans="2:17" ht="42.75" customHeight="1" thickTop="1" thickBot="1" x14ac:dyDescent="0.25">
      <c r="B29" s="136"/>
      <c r="C29" s="137"/>
      <c r="D29" s="138"/>
      <c r="E29" s="124"/>
      <c r="F29" s="124"/>
      <c r="G29" s="124"/>
      <c r="H29" s="124"/>
      <c r="I29" s="124"/>
      <c r="J29" s="124"/>
      <c r="K29" s="124"/>
      <c r="L29" s="124"/>
      <c r="M29" s="124"/>
      <c r="N29" s="124"/>
      <c r="O29" s="124"/>
      <c r="P29" s="124"/>
    </row>
    <row r="30" spans="2:17" ht="21.95" customHeight="1" thickBot="1" x14ac:dyDescent="0.25">
      <c r="H30" s="571" t="str">
        <f ca="1">IF(LEN(H31)&gt;Einstellungen!$C$17,LEFT(H31,Einstellungen!$C$17)&amp;".",H31)</f>
        <v/>
      </c>
      <c r="I30" s="572" t="str">
        <f ca="1">IF(LEN(I31)&gt;Einstellungen!$C$17,LEFT(I31,Einstellungen!$C$17)&amp;".",I31)</f>
        <v/>
      </c>
      <c r="J30" s="572" t="str">
        <f ca="1">IF(LEN(J31)&gt;Einstellungen!$C$17,LEFT(J31,Einstellungen!$C$17)&amp;".",J31)</f>
        <v/>
      </c>
      <c r="K30" s="572" t="str">
        <f ca="1">IF(LEN(K31)&gt;Einstellungen!$C$17,LEFT(K31,Einstellungen!$C$17)&amp;".",K31)</f>
        <v/>
      </c>
      <c r="L30" s="572" t="str">
        <f ca="1">IF(LEN(L31)&gt;Einstellungen!$C$17,LEFT(L31,Einstellungen!$C$17)&amp;".",L31)</f>
        <v/>
      </c>
      <c r="M30" s="573" t="str">
        <f ca="1">IF(LEN(M31)&gt;Einstellungen!$C$17,LEFT(M31,Einstellungen!$C$17)&amp;".",M31)</f>
        <v/>
      </c>
      <c r="N30" s="573" t="str">
        <f ca="1">IF(LEN(N31)&gt;Einstellungen!$C$17,LEFT(N31,Einstellungen!$C$17)&amp;".",N31)</f>
        <v/>
      </c>
      <c r="O30" s="573" t="str">
        <f ca="1">IF(LEN(O31)&gt;Einstellungen!$C$17,LEFT(O31,Einstellungen!$C$17)&amp;".",O31)</f>
        <v/>
      </c>
      <c r="P30" s="574" t="str">
        <f ca="1">IF(LEN(P31)&gt;Einstellungen!$C$17,LEFT(P31,Einstellungen!$C$17)&amp;".",P31)</f>
        <v/>
      </c>
    </row>
    <row r="31" spans="2:17" ht="21.95" customHeight="1" thickTop="1" thickBot="1" x14ac:dyDescent="0.25">
      <c r="B31" s="120"/>
      <c r="C31" s="126" t="str">
        <f>Sprache!$E$10</f>
        <v>Teilnehmer bzw. Mannschaft</v>
      </c>
      <c r="D31" s="130" t="str">
        <f>Sprache!$E$27</f>
        <v>Pkt</v>
      </c>
      <c r="E31" s="117" t="str">
        <f>Sprache!$E$26</f>
        <v>Diff.</v>
      </c>
      <c r="F31" s="117" t="str">
        <f>Sprache!$E$28</f>
        <v>erz. Tore</v>
      </c>
      <c r="G31" s="152" t="str">
        <f>Sprache!$E$49</f>
        <v>Bonus</v>
      </c>
      <c r="H31" s="134" t="str">
        <f ca="1">C32</f>
        <v/>
      </c>
      <c r="I31" s="135" t="str">
        <f ca="1">C33</f>
        <v/>
      </c>
      <c r="J31" s="135" t="str">
        <f ca="1">C34</f>
        <v/>
      </c>
      <c r="K31" s="135" t="str">
        <f ca="1">C35</f>
        <v/>
      </c>
      <c r="L31" s="135" t="str">
        <f ca="1">C36</f>
        <v/>
      </c>
      <c r="M31" s="565" t="str">
        <f ca="1">C37</f>
        <v/>
      </c>
      <c r="N31" s="565" t="str">
        <f ca="1">C38</f>
        <v/>
      </c>
      <c r="O31" s="565" t="str">
        <f ca="1">C39</f>
        <v/>
      </c>
      <c r="P31" s="155" t="str">
        <f ca="1">C40</f>
        <v/>
      </c>
    </row>
    <row r="32" spans="2:17" ht="21.95" customHeight="1" x14ac:dyDescent="0.2">
      <c r="B32" s="118" t="str">
        <f ca="1">IF($C32="","",INDEX(Calc2!$E$4:$E$12,MATCH($C32,Calc2!$F$4:$F$12,0)))</f>
        <v/>
      </c>
      <c r="C32" s="127" t="str">
        <f ca="1">IF(Calc2!$K$13=0,"",Calc2!$AH4)</f>
        <v/>
      </c>
      <c r="D32" s="131" t="str">
        <f ca="1">IF($C32="","",VLOOKUP($C32,Calc2!$C$17:$AC$25,25,0))</f>
        <v/>
      </c>
      <c r="E32" s="114" t="str">
        <f ca="1">IF($C32="","",VLOOKUP($C32,Calc2!$C$17:$AC$25,26,0))</f>
        <v/>
      </c>
      <c r="F32" s="114" t="str">
        <f ca="1">IF($C32="","",VLOOKUP($C32,Calc2!$C$17:$AC$25,27,0))</f>
        <v/>
      </c>
      <c r="G32" s="463" t="str">
        <f ca="1">IF($C32="","",VLOOKUP(C32,Vorrunde!$AK$12:$AL$33,2,0))</f>
        <v/>
      </c>
      <c r="H32" s="139"/>
      <c r="I32" s="114" t="str">
        <f ca="1">IFERROR(VLOOKUP($C32&amp;I$31,Calc2!$Z$64:$AB$207,3,0),"")</f>
        <v/>
      </c>
      <c r="J32" s="114" t="str">
        <f ca="1">IFERROR(VLOOKUP($C32&amp;J$31,Calc2!$Z$64:$AB$207,3,0),"")</f>
        <v/>
      </c>
      <c r="K32" s="114" t="str">
        <f ca="1">IFERROR(VLOOKUP($C32&amp;K$31,Calc2!$Z$64:$AB$207,3,0),"")</f>
        <v/>
      </c>
      <c r="L32" s="114" t="str">
        <f ca="1">IFERROR(VLOOKUP($C32&amp;L$31,Calc2!$Z$64:$AB$207,3,0),"")</f>
        <v/>
      </c>
      <c r="M32" s="566" t="str">
        <f ca="1">IFERROR(VLOOKUP($C32&amp;M$31,Calc2!$Z$64:$AB$207,3,0),"")</f>
        <v/>
      </c>
      <c r="N32" s="566" t="str">
        <f ca="1">IFERROR(VLOOKUP($C32&amp;N$31,Calc2!$Z$64:$AB$207,3,0),"")</f>
        <v/>
      </c>
      <c r="O32" s="566" t="str">
        <f ca="1">IFERROR(VLOOKUP($C32&amp;O$31,Calc2!$Z$64:$AB$207,3,0),"")</f>
        <v/>
      </c>
      <c r="P32" s="156" t="str">
        <f ca="1">IFERROR(VLOOKUP($C32&amp;P$31,Calc2!$Z$64:$AB$207,3,0),"")</f>
        <v/>
      </c>
      <c r="Q32" s="186" t="str">
        <f t="shared" ref="Q32:Q40" ca="1" si="2">C32</f>
        <v/>
      </c>
    </row>
    <row r="33" spans="2:17" ht="21.95" customHeight="1" x14ac:dyDescent="0.2">
      <c r="B33" s="118" t="str">
        <f ca="1">IF($C33="","",INDEX(Calc2!$E$4:$E$12,MATCH($C33,Calc2!$F$4:$F$12,0)))</f>
        <v/>
      </c>
      <c r="C33" s="128" t="str">
        <f ca="1">IF(Calc2!$K$13=0,"",Calc2!$AH5)</f>
        <v/>
      </c>
      <c r="D33" s="132" t="str">
        <f ca="1">IF($C33="","",VLOOKUP($C33,Calc2!$C$17:$AC$25,25,0))</f>
        <v/>
      </c>
      <c r="E33" s="115" t="str">
        <f ca="1">IF($C33="","",VLOOKUP($C33,Calc2!$C$17:$AC$25,26,0))</f>
        <v/>
      </c>
      <c r="F33" s="115" t="str">
        <f ca="1">IF($C33="","",VLOOKUP($C33,Calc2!$C$17:$AC$25,27,0))</f>
        <v/>
      </c>
      <c r="G33" s="464" t="str">
        <f ca="1">IF($C33="","",VLOOKUP(C33,Vorrunde!$AK$12:$AL$33,2,0))</f>
        <v/>
      </c>
      <c r="H33" s="140" t="str">
        <f ca="1">IFERROR(VLOOKUP($C33&amp;H$31,Calc2!$Z$64:$AB$207,3,0),"")</f>
        <v/>
      </c>
      <c r="I33" s="125"/>
      <c r="J33" s="115" t="str">
        <f ca="1">IFERROR(VLOOKUP($C33&amp;J$31,Calc2!$Z$64:$AB$207,3,0),"")</f>
        <v/>
      </c>
      <c r="K33" s="115" t="str">
        <f ca="1">IFERROR(VLOOKUP($C33&amp;K$31,Calc2!$Z$64:$AB$207,3,0),"")</f>
        <v/>
      </c>
      <c r="L33" s="115" t="str">
        <f ca="1">IFERROR(VLOOKUP($C33&amp;L$31,Calc2!$Z$64:$AB$207,3,0),"")</f>
        <v/>
      </c>
      <c r="M33" s="567" t="str">
        <f ca="1">IFERROR(VLOOKUP($C33&amp;M$31,Calc2!$Z$64:$AB$207,3,0),"")</f>
        <v/>
      </c>
      <c r="N33" s="567" t="str">
        <f ca="1">IFERROR(VLOOKUP($C33&amp;N$31,Calc2!$Z$64:$AB$207,3,0),"")</f>
        <v/>
      </c>
      <c r="O33" s="567" t="str">
        <f ca="1">IFERROR(VLOOKUP($C33&amp;O$31,Calc2!$Z$64:$AB$207,3,0),"")</f>
        <v/>
      </c>
      <c r="P33" s="157" t="str">
        <f ca="1">IFERROR(VLOOKUP($C33&amp;P$31,Calc2!$Z$64:$AB$207,3,0),"")</f>
        <v/>
      </c>
      <c r="Q33" s="187" t="str">
        <f t="shared" ca="1" si="2"/>
        <v/>
      </c>
    </row>
    <row r="34" spans="2:17" ht="21.95" customHeight="1" x14ac:dyDescent="0.2">
      <c r="B34" s="118" t="str">
        <f ca="1">IF($C34="","",INDEX(Calc2!$E$4:$E$12,MATCH($C34,Calc2!$F$4:$F$12,0)))</f>
        <v/>
      </c>
      <c r="C34" s="128" t="str">
        <f ca="1">IF(Calc2!$K$13=0,"",Calc2!$AH6)</f>
        <v/>
      </c>
      <c r="D34" s="132" t="str">
        <f ca="1">IF($C34="","",VLOOKUP($C34,Calc2!$C$17:$AC$25,25,0))</f>
        <v/>
      </c>
      <c r="E34" s="115" t="str">
        <f ca="1">IF($C34="","",VLOOKUP($C34,Calc2!$C$17:$AC$25,26,0))</f>
        <v/>
      </c>
      <c r="F34" s="115" t="str">
        <f ca="1">IF($C34="","",VLOOKUP($C34,Calc2!$C$17:$AC$25,27,0))</f>
        <v/>
      </c>
      <c r="G34" s="464" t="str">
        <f ca="1">IF($C34="","",VLOOKUP(C34,Vorrunde!$AK$12:$AL$33,2,0))</f>
        <v/>
      </c>
      <c r="H34" s="140" t="str">
        <f ca="1">IFERROR(VLOOKUP($C34&amp;H$31,Calc2!$Z$64:$AB$207,3,0),"")</f>
        <v/>
      </c>
      <c r="I34" s="115" t="str">
        <f ca="1">IFERROR(VLOOKUP($C34&amp;I$31,Calc2!$Z$64:$AB$207,3,0),"")</f>
        <v/>
      </c>
      <c r="J34" s="125"/>
      <c r="K34" s="115" t="str">
        <f ca="1">IFERROR(VLOOKUP($C34&amp;K$31,Calc2!$Z$64:$AB$207,3,0),"")</f>
        <v/>
      </c>
      <c r="L34" s="115" t="str">
        <f ca="1">IFERROR(VLOOKUP($C34&amp;L$31,Calc2!$Z$64:$AB$207,3,0),"")</f>
        <v/>
      </c>
      <c r="M34" s="567" t="str">
        <f ca="1">IFERROR(VLOOKUP($C34&amp;M$31,Calc2!$Z$64:$AB$207,3,0),"")</f>
        <v/>
      </c>
      <c r="N34" s="567" t="str">
        <f ca="1">IFERROR(VLOOKUP($C34&amp;N$31,Calc2!$Z$64:$AB$207,3,0),"")</f>
        <v/>
      </c>
      <c r="O34" s="567" t="str">
        <f ca="1">IFERROR(VLOOKUP($C34&amp;O$31,Calc2!$Z$64:$AB$207,3,0),"")</f>
        <v/>
      </c>
      <c r="P34" s="157" t="str">
        <f ca="1">IFERROR(VLOOKUP($C34&amp;P$31,Calc2!$Z$64:$AB$207,3,0),"")</f>
        <v/>
      </c>
      <c r="Q34" s="187" t="str">
        <f t="shared" ca="1" si="2"/>
        <v/>
      </c>
    </row>
    <row r="35" spans="2:17" ht="21.95" customHeight="1" x14ac:dyDescent="0.2">
      <c r="B35" s="118" t="str">
        <f ca="1">IF($C35="","",INDEX(Calc2!$E$4:$E$12,MATCH($C35,Calc2!$F$4:$F$12,0)))</f>
        <v/>
      </c>
      <c r="C35" s="128" t="str">
        <f ca="1">IF(Calc2!$K$13=0,"",Calc2!$AH7)</f>
        <v/>
      </c>
      <c r="D35" s="132" t="str">
        <f ca="1">IF($C35="","",VLOOKUP($C35,Calc2!$C$17:$AC$25,25,0))</f>
        <v/>
      </c>
      <c r="E35" s="115" t="str">
        <f ca="1">IF($C35="","",VLOOKUP($C35,Calc2!$C$17:$AC$25,26,0))</f>
        <v/>
      </c>
      <c r="F35" s="115" t="str">
        <f ca="1">IF($C35="","",VLOOKUP($C35,Calc2!$C$17:$AC$25,27,0))</f>
        <v/>
      </c>
      <c r="G35" s="464" t="str">
        <f ca="1">IF($C35="","",VLOOKUP(C35,Vorrunde!$AK$12:$AL$33,2,0))</f>
        <v/>
      </c>
      <c r="H35" s="140" t="str">
        <f ca="1">IFERROR(VLOOKUP($C35&amp;H$31,Calc2!$Z$64:$AB$207,3,0),"")</f>
        <v/>
      </c>
      <c r="I35" s="115" t="str">
        <f ca="1">IFERROR(VLOOKUP($C35&amp;I$31,Calc2!$Z$64:$AB$207,3,0),"")</f>
        <v/>
      </c>
      <c r="J35" s="115" t="str">
        <f ca="1">IFERROR(VLOOKUP($C35&amp;J$31,Calc2!$Z$64:$AB$207,3,0),"")</f>
        <v/>
      </c>
      <c r="K35" s="125"/>
      <c r="L35" s="115" t="str">
        <f ca="1">IFERROR(VLOOKUP($C35&amp;L$31,Calc2!$Z$64:$AB$207,3,0),"")</f>
        <v/>
      </c>
      <c r="M35" s="567" t="str">
        <f ca="1">IFERROR(VLOOKUP($C35&amp;M$31,Calc2!$Z$64:$AB$207,3,0),"")</f>
        <v/>
      </c>
      <c r="N35" s="567" t="str">
        <f ca="1">IFERROR(VLOOKUP($C35&amp;N$31,Calc2!$Z$64:$AB$207,3,0),"")</f>
        <v/>
      </c>
      <c r="O35" s="567" t="str">
        <f ca="1">IFERROR(VLOOKUP($C35&amp;O$31,Calc2!$Z$64:$AB$207,3,0),"")</f>
        <v/>
      </c>
      <c r="P35" s="157" t="str">
        <f ca="1">IFERROR(VLOOKUP($C35&amp;P$31,Calc2!$Z$64:$AB$207,3,0),"")</f>
        <v/>
      </c>
      <c r="Q35" s="187" t="str">
        <f t="shared" ca="1" si="2"/>
        <v/>
      </c>
    </row>
    <row r="36" spans="2:17" ht="21.95" customHeight="1" x14ac:dyDescent="0.2">
      <c r="B36" s="118" t="str">
        <f ca="1">IF($C36="","",INDEX(Calc2!$E$4:$E$12,MATCH($C36,Calc2!$F$4:$F$12,0)))</f>
        <v/>
      </c>
      <c r="C36" s="128" t="str">
        <f ca="1">IF(Calc2!$K$13=0,"",Calc2!$AH8)</f>
        <v/>
      </c>
      <c r="D36" s="132" t="str">
        <f ca="1">IF($C36="","",VLOOKUP($C36,Calc2!$C$17:$AC$25,25,0))</f>
        <v/>
      </c>
      <c r="E36" s="115" t="str">
        <f ca="1">IF($C36="","",VLOOKUP($C36,Calc2!$C$17:$AC$25,26,0))</f>
        <v/>
      </c>
      <c r="F36" s="115" t="str">
        <f ca="1">IF($C36="","",VLOOKUP($C36,Calc2!$C$17:$AC$25,27,0))</f>
        <v/>
      </c>
      <c r="G36" s="464" t="str">
        <f ca="1">IF($C36="","",VLOOKUP(C36,Vorrunde!$AK$12:$AL$33,2,0))</f>
        <v/>
      </c>
      <c r="H36" s="140" t="str">
        <f ca="1">IFERROR(VLOOKUP($C36&amp;H$31,Calc2!$Z$64:$AB$207,3,0),"")</f>
        <v/>
      </c>
      <c r="I36" s="115" t="str">
        <f ca="1">IFERROR(VLOOKUP($C36&amp;I$31,Calc2!$Z$64:$AB$207,3,0),"")</f>
        <v/>
      </c>
      <c r="J36" s="115" t="str">
        <f ca="1">IFERROR(VLOOKUP($C36&amp;J$31,Calc2!$Z$64:$AB$207,3,0),"")</f>
        <v/>
      </c>
      <c r="K36" s="115" t="str">
        <f ca="1">IFERROR(VLOOKUP($C36&amp;K$31,Calc2!$Z$64:$AB$207,3,0),"")</f>
        <v/>
      </c>
      <c r="L36" s="125"/>
      <c r="M36" s="567" t="str">
        <f ca="1">IFERROR(VLOOKUP($C36&amp;M$31,Calc2!$Z$64:$AB$207,3,0),"")</f>
        <v/>
      </c>
      <c r="N36" s="567" t="str">
        <f ca="1">IFERROR(VLOOKUP($C36&amp;N$31,Calc2!$Z$64:$AB$207,3,0),"")</f>
        <v/>
      </c>
      <c r="O36" s="567" t="str">
        <f ca="1">IFERROR(VLOOKUP($C36&amp;O$31,Calc2!$Z$64:$AB$207,3,0),"")</f>
        <v/>
      </c>
      <c r="P36" s="157" t="str">
        <f ca="1">IFERROR(VLOOKUP($C36&amp;P$31,Calc2!$Z$64:$AB$207,3,0),"")</f>
        <v/>
      </c>
      <c r="Q36" s="187" t="str">
        <f t="shared" ca="1" si="2"/>
        <v/>
      </c>
    </row>
    <row r="37" spans="2:17" ht="21.95" customHeight="1" x14ac:dyDescent="0.2">
      <c r="B37" s="118" t="str">
        <f ca="1">IF($C37="","",INDEX(Calc2!$E$4:$E$12,MATCH($C37,Calc2!$F$4:$F$12,0)))</f>
        <v/>
      </c>
      <c r="C37" s="128" t="str">
        <f ca="1">IF(Calc2!$K$13=0,"",Calc2!$AH9)</f>
        <v/>
      </c>
      <c r="D37" s="132" t="str">
        <f ca="1">IF($C37="","",VLOOKUP($C37,Calc2!$C$17:$AC$25,25,0))</f>
        <v/>
      </c>
      <c r="E37" s="115" t="str">
        <f ca="1">IF($C37="","",VLOOKUP($C37,Calc2!$C$17:$AC$25,26,0))</f>
        <v/>
      </c>
      <c r="F37" s="115" t="str">
        <f ca="1">IF($C37="","",VLOOKUP($C37,Calc2!$C$17:$AC$25,27,0))</f>
        <v/>
      </c>
      <c r="G37" s="464" t="str">
        <f ca="1">IF($C37="","",VLOOKUP(C37,Vorrunde!$AK$12:$AL$33,2,0))</f>
        <v/>
      </c>
      <c r="H37" s="140" t="str">
        <f ca="1">IFERROR(VLOOKUP($C37&amp;H$31,Calc2!$Z$64:$AB$207,3,0),"")</f>
        <v/>
      </c>
      <c r="I37" s="115" t="str">
        <f ca="1">IFERROR(VLOOKUP($C37&amp;I$31,Calc2!$Z$64:$AB$207,3,0),"")</f>
        <v/>
      </c>
      <c r="J37" s="115" t="str">
        <f ca="1">IFERROR(VLOOKUP($C37&amp;J$31,Calc2!$Z$64:$AB$207,3,0),"")</f>
        <v/>
      </c>
      <c r="K37" s="115" t="str">
        <f ca="1">IFERROR(VLOOKUP($C37&amp;K$31,Calc2!$Z$64:$AB$207,3,0),"")</f>
        <v/>
      </c>
      <c r="L37" s="115" t="str">
        <f ca="1">IFERROR(VLOOKUP($C37&amp;L$31,Calc2!$Z$64:$AB$207,3,0),"")</f>
        <v/>
      </c>
      <c r="M37" s="568"/>
      <c r="N37" s="567" t="str">
        <f ca="1">IFERROR(VLOOKUP($C37&amp;N$31,Calc2!$Z$64:$AB$207,3,0),"")</f>
        <v/>
      </c>
      <c r="O37" s="567" t="str">
        <f ca="1">IFERROR(VLOOKUP($C37&amp;O$31,Calc2!$Z$64:$AB$207,3,0),"")</f>
        <v/>
      </c>
      <c r="P37" s="157" t="str">
        <f ca="1">IFERROR(VLOOKUP($C37&amp;P$31,Calc2!$Z$64:$AB$207,3,0),"")</f>
        <v/>
      </c>
      <c r="Q37" s="187" t="str">
        <f t="shared" ca="1" si="2"/>
        <v/>
      </c>
    </row>
    <row r="38" spans="2:17" ht="21.95" customHeight="1" x14ac:dyDescent="0.2">
      <c r="B38" s="118" t="str">
        <f ca="1">IF($C38="","",INDEX(Calc2!$E$4:$E$12,MATCH($C38,Calc2!$F$4:$F$12,0)))</f>
        <v/>
      </c>
      <c r="C38" s="128" t="str">
        <f ca="1">IF(Calc2!$K$13=0,"",Calc2!$AH10)</f>
        <v/>
      </c>
      <c r="D38" s="132" t="str">
        <f ca="1">IF($C38="","",VLOOKUP($C38,Calc2!$C$17:$AC$25,25,0))</f>
        <v/>
      </c>
      <c r="E38" s="115" t="str">
        <f ca="1">IF($C38="","",VLOOKUP($C38,Calc2!$C$17:$AC$25,26,0))</f>
        <v/>
      </c>
      <c r="F38" s="115" t="str">
        <f ca="1">IF($C38="","",VLOOKUP($C38,Calc2!$C$17:$AC$25,27,0))</f>
        <v/>
      </c>
      <c r="G38" s="464" t="str">
        <f ca="1">IF($C38="","",VLOOKUP(C38,Vorrunde!$AK$12:$AL$33,2,0))</f>
        <v/>
      </c>
      <c r="H38" s="140" t="str">
        <f ca="1">IFERROR(VLOOKUP($C38&amp;H$31,Calc2!$Z$64:$AB$207,3,0),"")</f>
        <v/>
      </c>
      <c r="I38" s="115" t="str">
        <f ca="1">IFERROR(VLOOKUP($C38&amp;I$31,Calc2!$Z$64:$AB$207,3,0),"")</f>
        <v/>
      </c>
      <c r="J38" s="115" t="str">
        <f ca="1">IFERROR(VLOOKUP($C38&amp;J$31,Calc2!$Z$64:$AB$207,3,0),"")</f>
        <v/>
      </c>
      <c r="K38" s="115" t="str">
        <f ca="1">IFERROR(VLOOKUP($C38&amp;K$31,Calc2!$Z$64:$AB$207,3,0),"")</f>
        <v/>
      </c>
      <c r="L38" s="115" t="str">
        <f ca="1">IFERROR(VLOOKUP($C38&amp;L$31,Calc2!$Z$64:$AB$207,3,0),"")</f>
        <v/>
      </c>
      <c r="M38" s="567" t="str">
        <f ca="1">IFERROR(VLOOKUP($C38&amp;M$31,Calc2!$Z$64:$AB$207,3,0),"")</f>
        <v/>
      </c>
      <c r="N38" s="568"/>
      <c r="O38" s="567" t="str">
        <f ca="1">IFERROR(VLOOKUP($C38&amp;O$31,Calc2!$Z$64:$AB$207,3,0),"")</f>
        <v/>
      </c>
      <c r="P38" s="157" t="str">
        <f ca="1">IFERROR(VLOOKUP($C38&amp;P$31,Calc2!$Z$64:$AB$207,3,0),"")</f>
        <v/>
      </c>
      <c r="Q38" s="187" t="str">
        <f t="shared" ca="1" si="2"/>
        <v/>
      </c>
    </row>
    <row r="39" spans="2:17" ht="21.95" customHeight="1" x14ac:dyDescent="0.2">
      <c r="B39" s="118" t="str">
        <f ca="1">IF($C39="","",INDEX(Calc2!$E$4:$E$12,MATCH($C39,Calc2!$F$4:$F$12,0)))</f>
        <v/>
      </c>
      <c r="C39" s="128" t="str">
        <f ca="1">IF(Calc2!$K$13=0,"",Calc2!$AH11)</f>
        <v/>
      </c>
      <c r="D39" s="132" t="str">
        <f ca="1">IF($C39="","",VLOOKUP($C39,Calc2!$C$17:$AC$25,25,0))</f>
        <v/>
      </c>
      <c r="E39" s="115" t="str">
        <f ca="1">IF($C39="","",VLOOKUP($C39,Calc2!$C$17:$AC$25,26,0))</f>
        <v/>
      </c>
      <c r="F39" s="115" t="str">
        <f ca="1">IF($C39="","",VLOOKUP($C39,Calc2!$C$17:$AC$25,27,0))</f>
        <v/>
      </c>
      <c r="G39" s="464" t="str">
        <f ca="1">IF($C39="","",VLOOKUP(C39,Vorrunde!$AK$12:$AL$33,2,0))</f>
        <v/>
      </c>
      <c r="H39" s="140" t="str">
        <f ca="1">IFERROR(VLOOKUP($C39&amp;H$31,Calc2!$Z$64:$AB$207,3,0),"")</f>
        <v/>
      </c>
      <c r="I39" s="115" t="str">
        <f ca="1">IFERROR(VLOOKUP($C39&amp;I$31,Calc2!$Z$64:$AB$207,3,0),"")</f>
        <v/>
      </c>
      <c r="J39" s="115" t="str">
        <f ca="1">IFERROR(VLOOKUP($C39&amp;J$31,Calc2!$Z$64:$AB$207,3,0),"")</f>
        <v/>
      </c>
      <c r="K39" s="115" t="str">
        <f ca="1">IFERROR(VLOOKUP($C39&amp;K$31,Calc2!$Z$64:$AB$207,3,0),"")</f>
        <v/>
      </c>
      <c r="L39" s="115" t="str">
        <f ca="1">IFERROR(VLOOKUP($C39&amp;L$31,Calc2!$Z$64:$AB$207,3,0),"")</f>
        <v/>
      </c>
      <c r="M39" s="567" t="str">
        <f ca="1">IFERROR(VLOOKUP($C39&amp;M$31,Calc2!$Z$64:$AB$207,3,0),"")</f>
        <v/>
      </c>
      <c r="N39" s="567" t="str">
        <f ca="1">IFERROR(VLOOKUP($C39&amp;N$31,Calc2!$Z$64:$AB$207,3,0),"")</f>
        <v/>
      </c>
      <c r="O39" s="568"/>
      <c r="P39" s="157" t="str">
        <f ca="1">IFERROR(VLOOKUP($C39&amp;P$31,Calc2!$Z$64:$AB$207,3,0),"")</f>
        <v/>
      </c>
      <c r="Q39" s="187" t="str">
        <f t="shared" ca="1" si="2"/>
        <v/>
      </c>
    </row>
    <row r="40" spans="2:17" ht="21.95" customHeight="1" thickBot="1" x14ac:dyDescent="0.25">
      <c r="B40" s="119" t="str">
        <f ca="1">IF($C40="","",INDEX(Calc2!$E$4:$E$12,MATCH($C40,Calc2!$F$4:$F$12,0)))</f>
        <v/>
      </c>
      <c r="C40" s="129" t="str">
        <f ca="1">IF(Calc2!$K$13=0,"",Calc2!$AH12)</f>
        <v/>
      </c>
      <c r="D40" s="133" t="str">
        <f ca="1">IF($C40="","",VLOOKUP($C40,Calc2!$C$17:$AC$25,25,0))</f>
        <v/>
      </c>
      <c r="E40" s="116" t="str">
        <f ca="1">IF($C40="","",VLOOKUP($C40,Calc2!$C$17:$AC$25,26,0))</f>
        <v/>
      </c>
      <c r="F40" s="116" t="str">
        <f ca="1">IF($C40="","",VLOOKUP($C40,Calc2!$C$17:$AC$25,27,0))</f>
        <v/>
      </c>
      <c r="G40" s="465" t="str">
        <f ca="1">IF($C40="","",VLOOKUP(C40,Vorrunde!$AK$12:$AL$33,2,0))</f>
        <v/>
      </c>
      <c r="H40" s="141" t="str">
        <f ca="1">IFERROR(VLOOKUP($C40&amp;H$31,Calc2!$Z$64:$AB$207,3,0),"")</f>
        <v/>
      </c>
      <c r="I40" s="116" t="str">
        <f ca="1">IFERROR(VLOOKUP($C40&amp;I$31,Calc2!$Z$64:$AB$207,3,0),"")</f>
        <v/>
      </c>
      <c r="J40" s="116" t="str">
        <f ca="1">IFERROR(VLOOKUP($C40&amp;J$31,Calc2!$Z$64:$AB$207,3,0),"")</f>
        <v/>
      </c>
      <c r="K40" s="116" t="str">
        <f ca="1">IFERROR(VLOOKUP($C40&amp;K$31,Calc2!$Z$64:$AB$207,3,0),"")</f>
        <v/>
      </c>
      <c r="L40" s="116" t="str">
        <f ca="1">IFERROR(VLOOKUP($C40&amp;L$31,Calc2!$Z$64:$AB$207,3,0),"")</f>
        <v/>
      </c>
      <c r="M40" s="569" t="str">
        <f ca="1">IFERROR(VLOOKUP($C40&amp;M$31,Calc2!$Z$64:$AB$207,3,0),"")</f>
        <v/>
      </c>
      <c r="N40" s="569" t="str">
        <f ca="1">IFERROR(VLOOKUP($C40&amp;N$31,Calc2!$Z$64:$AB$207,3,0),"")</f>
        <v/>
      </c>
      <c r="O40" s="569" t="str">
        <f ca="1">IFERROR(VLOOKUP($C40&amp;O$31,Calc2!$Z$64:$AB$207,3,0),"")</f>
        <v/>
      </c>
      <c r="P40" s="158"/>
      <c r="Q40" s="188" t="str">
        <f t="shared" ca="1" si="2"/>
        <v/>
      </c>
    </row>
    <row r="41" spans="2:17" ht="42.75" customHeight="1" thickTop="1" thickBot="1" x14ac:dyDescent="0.25"/>
    <row r="42" spans="2:17" ht="21.95" customHeight="1" thickBot="1" x14ac:dyDescent="0.25">
      <c r="H42" s="571" t="str">
        <f ca="1">IF(LEN(H43)&gt;Einstellungen!$C$17,LEFT(H43,Einstellungen!$C$17)&amp;".",H43)</f>
        <v/>
      </c>
      <c r="I42" s="572" t="str">
        <f ca="1">IF(LEN(I43)&gt;Einstellungen!$C$17,LEFT(I43,Einstellungen!$C$17)&amp;".",I43)</f>
        <v/>
      </c>
      <c r="J42" s="572" t="str">
        <f ca="1">IF(LEN(J43)&gt;Einstellungen!$C$17,LEFT(J43,Einstellungen!$C$17)&amp;".",J43)</f>
        <v/>
      </c>
      <c r="K42" s="572" t="str">
        <f ca="1">IF(LEN(K43)&gt;Einstellungen!$C$17,LEFT(K43,Einstellungen!$C$17)&amp;".",K43)</f>
        <v/>
      </c>
      <c r="L42" s="572" t="str">
        <f ca="1">IF(LEN(L43)&gt;Einstellungen!$C$17,LEFT(L43,Einstellungen!$C$17)&amp;".",L43)</f>
        <v/>
      </c>
      <c r="M42" s="573" t="str">
        <f ca="1">IF(LEN(M43)&gt;Einstellungen!$C$17,LEFT(M43,Einstellungen!$C$17)&amp;".",M43)</f>
        <v/>
      </c>
      <c r="N42" s="573" t="str">
        <f ca="1">IF(LEN(N43)&gt;Einstellungen!$C$17,LEFT(N43,Einstellungen!$C$17)&amp;".",N43)</f>
        <v/>
      </c>
      <c r="O42" s="573" t="str">
        <f ca="1">IF(LEN(O43)&gt;Einstellungen!$C$17,LEFT(O43,Einstellungen!$C$17)&amp;".",O43)</f>
        <v/>
      </c>
      <c r="P42" s="574" t="str">
        <f ca="1">IF(LEN(P43)&gt;Einstellungen!$C$17,LEFT(P43,Einstellungen!$C$17)&amp;".",P43)</f>
        <v/>
      </c>
    </row>
    <row r="43" spans="2:17" ht="21.95" customHeight="1" thickTop="1" thickBot="1" x14ac:dyDescent="0.25">
      <c r="B43" s="120"/>
      <c r="C43" s="126" t="str">
        <f>Sprache!$E$10</f>
        <v>Teilnehmer bzw. Mannschaft</v>
      </c>
      <c r="D43" s="130" t="str">
        <f>Sprache!$E$27</f>
        <v>Pkt</v>
      </c>
      <c r="E43" s="117" t="str">
        <f>Sprache!$E$26</f>
        <v>Diff.</v>
      </c>
      <c r="F43" s="117" t="str">
        <f>Sprache!$E$28</f>
        <v>erz. Tore</v>
      </c>
      <c r="G43" s="152" t="str">
        <f>Sprache!$E$49</f>
        <v>Bonus</v>
      </c>
      <c r="H43" s="134" t="str">
        <f ca="1">C44</f>
        <v/>
      </c>
      <c r="I43" s="135" t="str">
        <f ca="1">C45</f>
        <v/>
      </c>
      <c r="J43" s="135" t="str">
        <f ca="1">C46</f>
        <v/>
      </c>
      <c r="K43" s="135" t="str">
        <f ca="1">C47</f>
        <v/>
      </c>
      <c r="L43" s="135" t="str">
        <f ca="1">C48</f>
        <v/>
      </c>
      <c r="M43" s="565" t="str">
        <f ca="1">C49</f>
        <v/>
      </c>
      <c r="N43" s="565" t="str">
        <f ca="1">C50</f>
        <v/>
      </c>
      <c r="O43" s="565" t="str">
        <f ca="1">C51</f>
        <v/>
      </c>
      <c r="P43" s="155" t="str">
        <f ca="1">C52</f>
        <v/>
      </c>
    </row>
    <row r="44" spans="2:17" ht="21.95" customHeight="1" x14ac:dyDescent="0.2">
      <c r="B44" s="118" t="str">
        <f ca="1">IF($C44="","",INDEX(Calc2!$E$4:$E$12,MATCH($C44,Calc2!$F$4:$F$12,0)))</f>
        <v/>
      </c>
      <c r="C44" s="127" t="str">
        <f ca="1">IF(Calc2!$K$13=0,"",Calc2!$AM4)</f>
        <v/>
      </c>
      <c r="D44" s="131" t="str">
        <f ca="1">IF($C44="","",VLOOKUP($C44,Calc2!$C$17:$AC$25,25,0))</f>
        <v/>
      </c>
      <c r="E44" s="114" t="str">
        <f ca="1">IF($C44="","",VLOOKUP($C44,Calc2!$C$17:$AC$25,26,0))</f>
        <v/>
      </c>
      <c r="F44" s="114" t="str">
        <f ca="1">IF($C44="","",VLOOKUP($C44,Calc2!$C$17:$AC$25,27,0))</f>
        <v/>
      </c>
      <c r="G44" s="463" t="str">
        <f ca="1">IF($C44="","",VLOOKUP(C44,Vorrunde!$AK$12:$AL$33,2,0))</f>
        <v/>
      </c>
      <c r="H44" s="139"/>
      <c r="I44" s="114" t="str">
        <f ca="1">IFERROR(VLOOKUP($C44&amp;I$43,Calc2!$Z$64:$AB$207,3,0),"")</f>
        <v/>
      </c>
      <c r="J44" s="114" t="str">
        <f ca="1">IFERROR(VLOOKUP($C44&amp;J$43,Calc2!$Z$64:$AB$207,3,0),"")</f>
        <v/>
      </c>
      <c r="K44" s="114" t="str">
        <f ca="1">IFERROR(VLOOKUP($C44&amp;K$43,Calc2!$Z$64:$AB$207,3,0),"")</f>
        <v/>
      </c>
      <c r="L44" s="114" t="str">
        <f ca="1">IFERROR(VLOOKUP($C44&amp;L$43,Calc2!$Z$64:$AB$207,3,0),"")</f>
        <v/>
      </c>
      <c r="M44" s="566" t="str">
        <f ca="1">IFERROR(VLOOKUP($C44&amp;M$43,Calc2!$Z$64:$AB$207,3,0),"")</f>
        <v/>
      </c>
      <c r="N44" s="566" t="str">
        <f ca="1">IFERROR(VLOOKUP($C44&amp;N$43,Calc2!$Z$64:$AB$207,3,0),"")</f>
        <v/>
      </c>
      <c r="O44" s="566" t="str">
        <f ca="1">IFERROR(VLOOKUP($C44&amp;O$43,Calc2!$Z$64:$AB$207,3,0),"")</f>
        <v/>
      </c>
      <c r="P44" s="156" t="str">
        <f ca="1">IFERROR(VLOOKUP($C44&amp;P$43,Calc2!$Z$64:$AB$207,3,0),"")</f>
        <v/>
      </c>
      <c r="Q44" s="186" t="str">
        <f t="shared" ref="Q44:Q52" ca="1" si="3">C44</f>
        <v/>
      </c>
    </row>
    <row r="45" spans="2:17" ht="21.95" customHeight="1" x14ac:dyDescent="0.2">
      <c r="B45" s="118" t="str">
        <f ca="1">IF($C45="","",INDEX(Calc2!$E$4:$E$12,MATCH($C45,Calc2!$F$4:$F$12,0)))</f>
        <v/>
      </c>
      <c r="C45" s="128" t="str">
        <f ca="1">IF(Calc2!$K$13=0,"",Calc2!$AM5)</f>
        <v/>
      </c>
      <c r="D45" s="132" t="str">
        <f ca="1">IF($C45="","",VLOOKUP($C45,Calc2!$C$17:$AC$25,25,0))</f>
        <v/>
      </c>
      <c r="E45" s="115" t="str">
        <f ca="1">IF($C45="","",VLOOKUP($C45,Calc2!$C$17:$AC$25,26,0))</f>
        <v/>
      </c>
      <c r="F45" s="115" t="str">
        <f ca="1">IF($C45="","",VLOOKUP($C45,Calc2!$C$17:$AC$25,27,0))</f>
        <v/>
      </c>
      <c r="G45" s="464" t="str">
        <f ca="1">IF($C45="","",VLOOKUP(C45,Vorrunde!$AK$12:$AL$33,2,0))</f>
        <v/>
      </c>
      <c r="H45" s="140" t="str">
        <f ca="1">IFERROR(VLOOKUP($C45&amp;H$43,Calc2!$Z$64:$AB$207,3,0),"")</f>
        <v/>
      </c>
      <c r="I45" s="125"/>
      <c r="J45" s="115" t="str">
        <f ca="1">IFERROR(VLOOKUP($C45&amp;J$43,Calc2!$Z$64:$AB$207,3,0),"")</f>
        <v/>
      </c>
      <c r="K45" s="115" t="str">
        <f ca="1">IFERROR(VLOOKUP($C45&amp;K$43,Calc2!$Z$64:$AB$207,3,0),"")</f>
        <v/>
      </c>
      <c r="L45" s="115" t="str">
        <f ca="1">IFERROR(VLOOKUP($C45&amp;L$43,Calc2!$Z$64:$AB$207,3,0),"")</f>
        <v/>
      </c>
      <c r="M45" s="567" t="str">
        <f ca="1">IFERROR(VLOOKUP($C45&amp;M$43,Calc2!$Z$64:$AB$207,3,0),"")</f>
        <v/>
      </c>
      <c r="N45" s="567" t="str">
        <f ca="1">IFERROR(VLOOKUP($C45&amp;N$43,Calc2!$Z$64:$AB$207,3,0),"")</f>
        <v/>
      </c>
      <c r="O45" s="567" t="str">
        <f ca="1">IFERROR(VLOOKUP($C45&amp;O$43,Calc2!$Z$64:$AB$207,3,0),"")</f>
        <v/>
      </c>
      <c r="P45" s="157" t="str">
        <f ca="1">IFERROR(VLOOKUP($C45&amp;P$43,Calc2!$Z$64:$AB$207,3,0),"")</f>
        <v/>
      </c>
      <c r="Q45" s="187" t="str">
        <f t="shared" ca="1" si="3"/>
        <v/>
      </c>
    </row>
    <row r="46" spans="2:17" ht="21.95" customHeight="1" x14ac:dyDescent="0.2">
      <c r="B46" s="118" t="str">
        <f ca="1">IF($C46="","",INDEX(Calc2!$E$4:$E$12,MATCH($C46,Calc2!$F$4:$F$12,0)))</f>
        <v/>
      </c>
      <c r="C46" s="128" t="str">
        <f ca="1">IF(Calc2!$K$13=0,"",Calc2!$AM6)</f>
        <v/>
      </c>
      <c r="D46" s="132" t="str">
        <f ca="1">IF($C46="","",VLOOKUP($C46,Calc2!$C$17:$AC$25,25,0))</f>
        <v/>
      </c>
      <c r="E46" s="115" t="str">
        <f ca="1">IF($C46="","",VLOOKUP($C46,Calc2!$C$17:$AC$25,26,0))</f>
        <v/>
      </c>
      <c r="F46" s="115" t="str">
        <f ca="1">IF($C46="","",VLOOKUP($C46,Calc2!$C$17:$AC$25,27,0))</f>
        <v/>
      </c>
      <c r="G46" s="464" t="str">
        <f ca="1">IF($C46="","",VLOOKUP(C46,Vorrunde!$AK$12:$AL$33,2,0))</f>
        <v/>
      </c>
      <c r="H46" s="140" t="str">
        <f ca="1">IFERROR(VLOOKUP($C46&amp;H$43,Calc2!$Z$64:$AB$207,3,0),"")</f>
        <v/>
      </c>
      <c r="I46" s="115" t="str">
        <f ca="1">IFERROR(VLOOKUP($C46&amp;I$43,Calc2!$Z$64:$AB$207,3,0),"")</f>
        <v/>
      </c>
      <c r="J46" s="125"/>
      <c r="K46" s="115" t="str">
        <f ca="1">IFERROR(VLOOKUP($C46&amp;K$43,Calc2!$Z$64:$AB$207,3,0),"")</f>
        <v/>
      </c>
      <c r="L46" s="115" t="str">
        <f ca="1">IFERROR(VLOOKUP($C46&amp;L$43,Calc2!$Z$64:$AB$207,3,0),"")</f>
        <v/>
      </c>
      <c r="M46" s="567" t="str">
        <f ca="1">IFERROR(VLOOKUP($C46&amp;M$43,Calc2!$Z$64:$AB$207,3,0),"")</f>
        <v/>
      </c>
      <c r="N46" s="567" t="str">
        <f ca="1">IFERROR(VLOOKUP($C46&amp;N$43,Calc2!$Z$64:$AB$207,3,0),"")</f>
        <v/>
      </c>
      <c r="O46" s="567" t="str">
        <f ca="1">IFERROR(VLOOKUP($C46&amp;O$43,Calc2!$Z$64:$AB$207,3,0),"")</f>
        <v/>
      </c>
      <c r="P46" s="157" t="str">
        <f ca="1">IFERROR(VLOOKUP($C46&amp;P$43,Calc2!$Z$64:$AB$207,3,0),"")</f>
        <v/>
      </c>
      <c r="Q46" s="187" t="str">
        <f t="shared" ca="1" si="3"/>
        <v/>
      </c>
    </row>
    <row r="47" spans="2:17" ht="21.95" customHeight="1" x14ac:dyDescent="0.2">
      <c r="B47" s="118" t="str">
        <f ca="1">IF($C47="","",INDEX(Calc2!$E$4:$E$12,MATCH($C47,Calc2!$F$4:$F$12,0)))</f>
        <v/>
      </c>
      <c r="C47" s="128" t="str">
        <f ca="1">IF(Calc2!$K$13=0,"",Calc2!$AM7)</f>
        <v/>
      </c>
      <c r="D47" s="132" t="str">
        <f ca="1">IF($C47="","",VLOOKUP($C47,Calc2!$C$17:$AC$25,25,0))</f>
        <v/>
      </c>
      <c r="E47" s="115" t="str">
        <f ca="1">IF($C47="","",VLOOKUP($C47,Calc2!$C$17:$AC$25,26,0))</f>
        <v/>
      </c>
      <c r="F47" s="115" t="str">
        <f ca="1">IF($C47="","",VLOOKUP($C47,Calc2!$C$17:$AC$25,27,0))</f>
        <v/>
      </c>
      <c r="G47" s="464" t="str">
        <f ca="1">IF($C47="","",VLOOKUP(C47,Vorrunde!$AK$12:$AL$33,2,0))</f>
        <v/>
      </c>
      <c r="H47" s="140" t="str">
        <f ca="1">IFERROR(VLOOKUP($C47&amp;H$43,Calc2!$Z$64:$AB$207,3,0),"")</f>
        <v/>
      </c>
      <c r="I47" s="115" t="str">
        <f ca="1">IFERROR(VLOOKUP($C47&amp;I$43,Calc2!$Z$64:$AB$207,3,0),"")</f>
        <v/>
      </c>
      <c r="J47" s="115" t="str">
        <f ca="1">IFERROR(VLOOKUP($C47&amp;J$43,Calc2!$Z$64:$AB$207,3,0),"")</f>
        <v/>
      </c>
      <c r="K47" s="125"/>
      <c r="L47" s="115" t="str">
        <f ca="1">IFERROR(VLOOKUP($C47&amp;L$43,Calc2!$Z$64:$AB$207,3,0),"")</f>
        <v/>
      </c>
      <c r="M47" s="567" t="str">
        <f ca="1">IFERROR(VLOOKUP($C47&amp;M$43,Calc2!$Z$64:$AB$207,3,0),"")</f>
        <v/>
      </c>
      <c r="N47" s="567" t="str">
        <f ca="1">IFERROR(VLOOKUP($C47&amp;N$43,Calc2!$Z$64:$AB$207,3,0),"")</f>
        <v/>
      </c>
      <c r="O47" s="567" t="str">
        <f ca="1">IFERROR(VLOOKUP($C47&amp;O$43,Calc2!$Z$64:$AB$207,3,0),"")</f>
        <v/>
      </c>
      <c r="P47" s="157" t="str">
        <f ca="1">IFERROR(VLOOKUP($C47&amp;P$43,Calc2!$Z$64:$AB$207,3,0),"")</f>
        <v/>
      </c>
      <c r="Q47" s="187" t="str">
        <f t="shared" ca="1" si="3"/>
        <v/>
      </c>
    </row>
    <row r="48" spans="2:17" ht="21.95" customHeight="1" x14ac:dyDescent="0.2">
      <c r="B48" s="118" t="str">
        <f ca="1">IF($C48="","",INDEX(Calc2!$E$4:$E$12,MATCH($C48,Calc2!$F$4:$F$12,0)))</f>
        <v/>
      </c>
      <c r="C48" s="128" t="str">
        <f ca="1">IF(Calc2!$K$13=0,"",Calc2!$AM8)</f>
        <v/>
      </c>
      <c r="D48" s="132" t="str">
        <f ca="1">IF($C48="","",VLOOKUP($C48,Calc2!$C$17:$AC$25,25,0))</f>
        <v/>
      </c>
      <c r="E48" s="115" t="str">
        <f ca="1">IF($C48="","",VLOOKUP($C48,Calc2!$C$17:$AC$25,26,0))</f>
        <v/>
      </c>
      <c r="F48" s="115" t="str">
        <f ca="1">IF($C48="","",VLOOKUP($C48,Calc2!$C$17:$AC$25,27,0))</f>
        <v/>
      </c>
      <c r="G48" s="464" t="str">
        <f ca="1">IF($C48="","",VLOOKUP(C48,Vorrunde!$AK$12:$AL$33,2,0))</f>
        <v/>
      </c>
      <c r="H48" s="140" t="str">
        <f ca="1">IFERROR(VLOOKUP($C48&amp;H$43,Calc2!$Z$64:$AB$207,3,0),"")</f>
        <v/>
      </c>
      <c r="I48" s="115" t="str">
        <f ca="1">IFERROR(VLOOKUP($C48&amp;I$43,Calc2!$Z$64:$AB$207,3,0),"")</f>
        <v/>
      </c>
      <c r="J48" s="115" t="str">
        <f ca="1">IFERROR(VLOOKUP($C48&amp;J$43,Calc2!$Z$64:$AB$207,3,0),"")</f>
        <v/>
      </c>
      <c r="K48" s="115" t="str">
        <f ca="1">IFERROR(VLOOKUP($C48&amp;K$43,Calc2!$Z$64:$AB$207,3,0),"")</f>
        <v/>
      </c>
      <c r="L48" s="125"/>
      <c r="M48" s="567" t="str">
        <f ca="1">IFERROR(VLOOKUP($C48&amp;M$43,Calc2!$Z$64:$AB$207,3,0),"")</f>
        <v/>
      </c>
      <c r="N48" s="567" t="str">
        <f ca="1">IFERROR(VLOOKUP($C48&amp;N$43,Calc2!$Z$64:$AB$207,3,0),"")</f>
        <v/>
      </c>
      <c r="O48" s="567" t="str">
        <f ca="1">IFERROR(VLOOKUP($C48&amp;O$43,Calc2!$Z$64:$AB$207,3,0),"")</f>
        <v/>
      </c>
      <c r="P48" s="157" t="str">
        <f ca="1">IFERROR(VLOOKUP($C48&amp;P$43,Calc2!$Z$64:$AB$207,3,0),"")</f>
        <v/>
      </c>
      <c r="Q48" s="187" t="str">
        <f t="shared" ca="1" si="3"/>
        <v/>
      </c>
    </row>
    <row r="49" spans="2:17" ht="21.95" customHeight="1" x14ac:dyDescent="0.2">
      <c r="B49" s="118" t="str">
        <f ca="1">IF($C49="","",INDEX(Calc2!$E$4:$E$12,MATCH($C49,Calc2!$F$4:$F$12,0)))</f>
        <v/>
      </c>
      <c r="C49" s="128" t="str">
        <f ca="1">IF(Calc2!$K$13=0,"",Calc2!$AM9)</f>
        <v/>
      </c>
      <c r="D49" s="132" t="str">
        <f ca="1">IF($C49="","",VLOOKUP($C49,Calc2!$C$17:$AC$25,25,0))</f>
        <v/>
      </c>
      <c r="E49" s="115" t="str">
        <f ca="1">IF($C49="","",VLOOKUP($C49,Calc2!$C$17:$AC$25,26,0))</f>
        <v/>
      </c>
      <c r="F49" s="115" t="str">
        <f ca="1">IF($C49="","",VLOOKUP($C49,Calc2!$C$17:$AC$25,27,0))</f>
        <v/>
      </c>
      <c r="G49" s="464" t="str">
        <f ca="1">IF($C49="","",VLOOKUP(C49,Vorrunde!$AK$12:$AL$33,2,0))</f>
        <v/>
      </c>
      <c r="H49" s="140" t="str">
        <f ca="1">IFERROR(VLOOKUP($C49&amp;H$43,Calc2!$Z$64:$AB$207,3,0),"")</f>
        <v/>
      </c>
      <c r="I49" s="115" t="str">
        <f ca="1">IFERROR(VLOOKUP($C49&amp;I$43,Calc2!$Z$64:$AB$207,3,0),"")</f>
        <v/>
      </c>
      <c r="J49" s="115" t="str">
        <f ca="1">IFERROR(VLOOKUP($C49&amp;J$43,Calc2!$Z$64:$AB$207,3,0),"")</f>
        <v/>
      </c>
      <c r="K49" s="115" t="str">
        <f ca="1">IFERROR(VLOOKUP($C49&amp;K$43,Calc2!$Z$64:$AB$207,3,0),"")</f>
        <v/>
      </c>
      <c r="L49" s="115" t="str">
        <f ca="1">IFERROR(VLOOKUP($C49&amp;L$43,Calc2!$Z$64:$AB$207,3,0),"")</f>
        <v/>
      </c>
      <c r="M49" s="568"/>
      <c r="N49" s="567" t="str">
        <f ca="1">IFERROR(VLOOKUP($C49&amp;N$43,Calc2!$Z$64:$AB$207,3,0),"")</f>
        <v/>
      </c>
      <c r="O49" s="567" t="str">
        <f ca="1">IFERROR(VLOOKUP($C49&amp;O$43,Calc2!$Z$64:$AB$207,3,0),"")</f>
        <v/>
      </c>
      <c r="P49" s="157" t="str">
        <f ca="1">IFERROR(VLOOKUP($C49&amp;P$43,Calc2!$Z$64:$AB$207,3,0),"")</f>
        <v/>
      </c>
      <c r="Q49" s="187" t="str">
        <f t="shared" ca="1" si="3"/>
        <v/>
      </c>
    </row>
    <row r="50" spans="2:17" ht="21.95" customHeight="1" x14ac:dyDescent="0.2">
      <c r="B50" s="118" t="str">
        <f ca="1">IF($C50="","",INDEX(Calc2!$E$4:$E$12,MATCH($C50,Calc2!$F$4:$F$12,0)))</f>
        <v/>
      </c>
      <c r="C50" s="128" t="str">
        <f ca="1">IF(Calc2!$K$13=0,"",Calc2!$AM10)</f>
        <v/>
      </c>
      <c r="D50" s="132" t="str">
        <f ca="1">IF($C50="","",VLOOKUP($C50,Calc2!$C$17:$AC$25,25,0))</f>
        <v/>
      </c>
      <c r="E50" s="115" t="str">
        <f ca="1">IF($C50="","",VLOOKUP($C50,Calc2!$C$17:$AC$25,26,0))</f>
        <v/>
      </c>
      <c r="F50" s="115" t="str">
        <f ca="1">IF($C50="","",VLOOKUP($C50,Calc2!$C$17:$AC$25,27,0))</f>
        <v/>
      </c>
      <c r="G50" s="464" t="str">
        <f ca="1">IF($C50="","",VLOOKUP(C50,Vorrunde!$AK$12:$AL$33,2,0))</f>
        <v/>
      </c>
      <c r="H50" s="140" t="str">
        <f ca="1">IFERROR(VLOOKUP($C50&amp;H$43,Calc2!$Z$64:$AB$207,3,0),"")</f>
        <v/>
      </c>
      <c r="I50" s="115" t="str">
        <f ca="1">IFERROR(VLOOKUP($C50&amp;I$43,Calc2!$Z$64:$AB$207,3,0),"")</f>
        <v/>
      </c>
      <c r="J50" s="115" t="str">
        <f ca="1">IFERROR(VLOOKUP($C50&amp;J$43,Calc2!$Z$64:$AB$207,3,0),"")</f>
        <v/>
      </c>
      <c r="K50" s="115" t="str">
        <f ca="1">IFERROR(VLOOKUP($C50&amp;K$43,Calc2!$Z$64:$AB$207,3,0),"")</f>
        <v/>
      </c>
      <c r="L50" s="115" t="str">
        <f ca="1">IFERROR(VLOOKUP($C50&amp;L$43,Calc2!$Z$64:$AB$207,3,0),"")</f>
        <v/>
      </c>
      <c r="M50" s="567" t="str">
        <f ca="1">IFERROR(VLOOKUP($C50&amp;M$43,Calc2!$Z$64:$AB$207,3,0),"")</f>
        <v/>
      </c>
      <c r="N50" s="568"/>
      <c r="O50" s="567" t="str">
        <f ca="1">IFERROR(VLOOKUP($C50&amp;O$43,Calc2!$Z$64:$AB$207,3,0),"")</f>
        <v/>
      </c>
      <c r="P50" s="157" t="str">
        <f ca="1">IFERROR(VLOOKUP($C50&amp;P$43,Calc2!$Z$64:$AB$207,3,0),"")</f>
        <v/>
      </c>
      <c r="Q50" s="187" t="str">
        <f t="shared" ca="1" si="3"/>
        <v/>
      </c>
    </row>
    <row r="51" spans="2:17" ht="21.95" customHeight="1" x14ac:dyDescent="0.2">
      <c r="B51" s="118" t="str">
        <f ca="1">IF($C51="","",INDEX(Calc2!$E$4:$E$12,MATCH($C51,Calc2!$F$4:$F$12,0)))</f>
        <v/>
      </c>
      <c r="C51" s="128" t="str">
        <f ca="1">IF(Calc2!$K$13=0,"",Calc2!$AM11)</f>
        <v/>
      </c>
      <c r="D51" s="132" t="str">
        <f ca="1">IF($C51="","",VLOOKUP($C51,Calc2!$C$17:$AC$25,25,0))</f>
        <v/>
      </c>
      <c r="E51" s="115" t="str">
        <f ca="1">IF($C51="","",VLOOKUP($C51,Calc2!$C$17:$AC$25,26,0))</f>
        <v/>
      </c>
      <c r="F51" s="115" t="str">
        <f ca="1">IF($C51="","",VLOOKUP($C51,Calc2!$C$17:$AC$25,27,0))</f>
        <v/>
      </c>
      <c r="G51" s="464" t="str">
        <f ca="1">IF($C51="","",VLOOKUP(C51,Vorrunde!$AK$12:$AL$33,2,0))</f>
        <v/>
      </c>
      <c r="H51" s="140" t="str">
        <f ca="1">IFERROR(VLOOKUP($C51&amp;H$43,Calc2!$Z$64:$AB$207,3,0),"")</f>
        <v/>
      </c>
      <c r="I51" s="115" t="str">
        <f ca="1">IFERROR(VLOOKUP($C51&amp;I$43,Calc2!$Z$64:$AB$207,3,0),"")</f>
        <v/>
      </c>
      <c r="J51" s="115" t="str">
        <f ca="1">IFERROR(VLOOKUP($C51&amp;J$43,Calc2!$Z$64:$AB$207,3,0),"")</f>
        <v/>
      </c>
      <c r="K51" s="115" t="str">
        <f ca="1">IFERROR(VLOOKUP($C51&amp;K$43,Calc2!$Z$64:$AB$207,3,0),"")</f>
        <v/>
      </c>
      <c r="L51" s="115" t="str">
        <f ca="1">IFERROR(VLOOKUP($C51&amp;L$43,Calc2!$Z$64:$AB$207,3,0),"")</f>
        <v/>
      </c>
      <c r="M51" s="567" t="str">
        <f ca="1">IFERROR(VLOOKUP($C51&amp;M$43,Calc2!$Z$64:$AB$207,3,0),"")</f>
        <v/>
      </c>
      <c r="N51" s="567" t="str">
        <f ca="1">IFERROR(VLOOKUP($C51&amp;N$43,Calc2!$Z$64:$AB$207,3,0),"")</f>
        <v/>
      </c>
      <c r="O51" s="568"/>
      <c r="P51" s="157" t="str">
        <f ca="1">IFERROR(VLOOKUP($C51&amp;P$43,Calc2!$Z$64:$AB$207,3,0),"")</f>
        <v/>
      </c>
      <c r="Q51" s="187" t="str">
        <f t="shared" ca="1" si="3"/>
        <v/>
      </c>
    </row>
    <row r="52" spans="2:17" ht="21.95" customHeight="1" thickBot="1" x14ac:dyDescent="0.25">
      <c r="B52" s="119" t="str">
        <f ca="1">IF($C52="","",INDEX(Calc2!$E$4:$E$12,MATCH($C52,Calc2!$F$4:$F$12,0)))</f>
        <v/>
      </c>
      <c r="C52" s="129" t="str">
        <f ca="1">IF(Calc2!$K$13=0,"",Calc2!$AM12)</f>
        <v/>
      </c>
      <c r="D52" s="133" t="str">
        <f ca="1">IF($C52="","",VLOOKUP($C52,Calc2!$C$17:$AC$25,25,0))</f>
        <v/>
      </c>
      <c r="E52" s="116" t="str">
        <f ca="1">IF($C52="","",VLOOKUP($C52,Calc2!$C$17:$AC$25,26,0))</f>
        <v/>
      </c>
      <c r="F52" s="116" t="str">
        <f ca="1">IF($C52="","",VLOOKUP($C52,Calc2!$C$17:$AC$25,27,0))</f>
        <v/>
      </c>
      <c r="G52" s="465" t="str">
        <f ca="1">IF($C52="","",VLOOKUP(C52,Vorrunde!$AK$12:$AL$33,2,0))</f>
        <v/>
      </c>
      <c r="H52" s="141" t="str">
        <f ca="1">IFERROR(VLOOKUP($C52&amp;H$43,Calc2!$Z$64:$AB$207,3,0),"")</f>
        <v/>
      </c>
      <c r="I52" s="116" t="str">
        <f ca="1">IFERROR(VLOOKUP($C52&amp;I$43,Calc2!$Z$64:$AB$207,3,0),"")</f>
        <v/>
      </c>
      <c r="J52" s="116" t="str">
        <f ca="1">IFERROR(VLOOKUP($C52&amp;J$43,Calc2!$Z$64:$AB$207,3,0),"")</f>
        <v/>
      </c>
      <c r="K52" s="116" t="str">
        <f ca="1">IFERROR(VLOOKUP($C52&amp;K$43,Calc2!$Z$64:$AB$207,3,0),"")</f>
        <v/>
      </c>
      <c r="L52" s="116" t="str">
        <f ca="1">IFERROR(VLOOKUP($C52&amp;L$43,Calc2!$Z$64:$AB$207,3,0),"")</f>
        <v/>
      </c>
      <c r="M52" s="569" t="str">
        <f ca="1">IFERROR(VLOOKUP($C52&amp;M$43,Calc2!$Z$64:$AB$207,3,0),"")</f>
        <v/>
      </c>
      <c r="N52" s="569" t="str">
        <f ca="1">IFERROR(VLOOKUP($C52&amp;N$43,Calc2!$Z$64:$AB$207,3,0),"")</f>
        <v/>
      </c>
      <c r="O52" s="569" t="str">
        <f ca="1">IFERROR(VLOOKUP($C52&amp;O$43,Calc2!$Z$64:$AB$207,3,0),"")</f>
        <v/>
      </c>
      <c r="P52" s="158"/>
      <c r="Q52" s="188" t="str">
        <f t="shared" ca="1" si="3"/>
        <v/>
      </c>
    </row>
    <row r="53" spans="2:17" ht="48" customHeight="1" thickTop="1" x14ac:dyDescent="0.2"/>
  </sheetData>
  <sheetProtection sheet="1" selectLockedCells="1"/>
  <mergeCells count="3">
    <mergeCell ref="B2:P2"/>
    <mergeCell ref="B3:P3"/>
    <mergeCell ref="B4:P4"/>
  </mergeCells>
  <conditionalFormatting sqref="B8:Q16 B20:Q28 B32:Q40 B44:Q52">
    <cfRule type="expression" dxfId="15"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6383" width="11.42578125" hidden="1"/>
    <col min="16384" max="16384" width="7.7109375" hidden="1"/>
  </cols>
  <sheetData>
    <row r="1" spans="1:17" ht="13.5" thickBot="1" x14ac:dyDescent="0.25"/>
    <row r="2" spans="1:17" ht="36.75" thickTop="1" x14ac:dyDescent="0.2">
      <c r="E2" s="687" t="str">
        <f>Vorrunde!$G$2</f>
        <v>Internationales U10-Turnier am 26.01.2024</v>
      </c>
      <c r="F2" s="688"/>
      <c r="G2" s="688"/>
      <c r="H2" s="688"/>
      <c r="I2" s="688"/>
      <c r="J2" s="688"/>
      <c r="K2" s="688"/>
      <c r="L2" s="688"/>
      <c r="M2" s="688"/>
      <c r="N2" s="688"/>
      <c r="O2" s="688"/>
      <c r="P2" s="689"/>
    </row>
    <row r="3" spans="1:17" ht="30" customHeight="1" x14ac:dyDescent="0.2">
      <c r="E3" s="690" t="str">
        <f>Vorrunde!$G$3</f>
        <v>Veranstalter:  1. FC Riedwald</v>
      </c>
      <c r="F3" s="691"/>
      <c r="G3" s="691"/>
      <c r="H3" s="691"/>
      <c r="I3" s="691"/>
      <c r="J3" s="691"/>
      <c r="K3" s="691"/>
      <c r="L3" s="691"/>
      <c r="M3" s="691"/>
      <c r="N3" s="691"/>
      <c r="O3" s="691"/>
      <c r="P3" s="692"/>
    </row>
    <row r="4" spans="1:17" ht="30" customHeight="1" x14ac:dyDescent="0.2">
      <c r="E4" s="693" t="str">
        <f>Vorrunde!$G$4</f>
        <v>Sporthalle Wiesengrund, Wendiger Str. 51, 65432 Riedwald</v>
      </c>
      <c r="F4" s="694"/>
      <c r="G4" s="694"/>
      <c r="H4" s="694"/>
      <c r="I4" s="694"/>
      <c r="J4" s="694"/>
      <c r="K4" s="694"/>
      <c r="L4" s="694"/>
      <c r="M4" s="694"/>
      <c r="N4" s="694"/>
      <c r="O4" s="694"/>
      <c r="P4" s="695"/>
    </row>
    <row r="5" spans="1:17" ht="30" customHeight="1" thickBot="1" x14ac:dyDescent="0.25">
      <c r="E5" s="696" t="str">
        <f>Vorrunde!$G$5</f>
        <v>Beginn:  9:00 Uhr</v>
      </c>
      <c r="F5" s="697"/>
      <c r="G5" s="697"/>
      <c r="H5" s="697"/>
      <c r="I5" s="697"/>
      <c r="J5" s="697"/>
      <c r="K5" s="697"/>
      <c r="L5" s="697"/>
      <c r="M5" s="697"/>
      <c r="N5" s="697"/>
      <c r="O5" s="697"/>
      <c r="P5" s="698"/>
    </row>
    <row r="6" spans="1:17" ht="18" customHeight="1" thickTop="1" thickBot="1" x14ac:dyDescent="0.25"/>
    <row r="7" spans="1:17" ht="30" customHeight="1" thickTop="1" x14ac:dyDescent="0.2">
      <c r="G7" s="677" t="str">
        <f>Sprache!$E$19</f>
        <v>Endrunde</v>
      </c>
      <c r="H7" s="678"/>
      <c r="I7" s="679"/>
    </row>
    <row r="8" spans="1:17" ht="30" customHeight="1" thickBot="1" x14ac:dyDescent="0.25">
      <c r="G8" s="680"/>
      <c r="H8" s="681"/>
      <c r="I8" s="682"/>
    </row>
    <row r="9" spans="1:17" ht="12.6" customHeight="1" thickTop="1" x14ac:dyDescent="0.2">
      <c r="P9" s="614" t="str">
        <f>Sprache!$E$20</f>
        <v>Zusätzl. Pause (min)</v>
      </c>
    </row>
    <row r="10" spans="1:17" ht="27.95" customHeight="1" thickBot="1" x14ac:dyDescent="0.35">
      <c r="C10" s="686" t="str">
        <f>Sprache!$E$53</f>
        <v>Halbfinale</v>
      </c>
      <c r="D10" s="686"/>
      <c r="E10" s="686"/>
      <c r="F10" s="686"/>
      <c r="P10" s="614"/>
    </row>
    <row r="11" spans="1:17" ht="24" customHeight="1" thickTop="1" thickBot="1" x14ac:dyDescent="0.25">
      <c r="B11" s="352"/>
      <c r="C11" s="396" t="str">
        <f>Sprache!$E$9</f>
        <v>Nr.</v>
      </c>
      <c r="D11" s="348" t="str">
        <f>Sprache!$E$39</f>
        <v>Beginn</v>
      </c>
      <c r="E11" s="337" t="str">
        <f>Sprache!$E$48</f>
        <v>Feld</v>
      </c>
      <c r="F11" s="337"/>
      <c r="G11" s="650" t="str">
        <f>Sprache!$E$14</f>
        <v>Spielpaarung</v>
      </c>
      <c r="H11" s="651"/>
      <c r="I11" s="652"/>
      <c r="J11" s="653" t="str">
        <f>Sprache!$E$15</f>
        <v>Ergebnis</v>
      </c>
      <c r="K11" s="651"/>
      <c r="L11" s="652"/>
      <c r="M11" s="653" t="str">
        <f>Sprache!$E$63</f>
        <v>Elfmeter</v>
      </c>
      <c r="N11" s="651"/>
      <c r="O11" s="654"/>
      <c r="P11" s="615"/>
    </row>
    <row r="12" spans="1:17" ht="24" customHeight="1" x14ac:dyDescent="0.2">
      <c r="A12" s="319"/>
      <c r="B12" s="387"/>
      <c r="C12" s="472">
        <f t="array" aca="1" ref="C12" ca="1">73-SUM(((Planung!$L$6:$L$77="")+(Planung!$N$6:$N$77="")&gt;0)*1)</f>
        <v>57</v>
      </c>
      <c r="D12" s="473">
        <f ca="1">IF(Planung!$U$16,"",Planung!$R$13+(Planung!$R$9+Planung!$P$77)/1440)</f>
        <v>0.71527777777777779</v>
      </c>
      <c r="E12" s="344">
        <f>IF(Planung!$U$16,"",1)</f>
        <v>1</v>
      </c>
      <c r="F12" s="333" t="s">
        <v>251</v>
      </c>
      <c r="G12" s="334" t="str">
        <f ca="1">Vorrunde!$N$12</f>
        <v>FC Barcelona</v>
      </c>
      <c r="H12" s="335" t="s">
        <v>5</v>
      </c>
      <c r="I12" s="336" t="str">
        <f ca="1">Vorrunde!$N$26</f>
        <v>AC Roma</v>
      </c>
      <c r="J12" s="338">
        <v>3</v>
      </c>
      <c r="K12" s="342" t="str">
        <f>Sprache!$E$73</f>
        <v>:</v>
      </c>
      <c r="L12" s="474">
        <v>2</v>
      </c>
      <c r="M12" s="356"/>
      <c r="N12" s="342" t="str">
        <f>Sprache!$E$73</f>
        <v>:</v>
      </c>
      <c r="O12" s="339"/>
      <c r="P12" s="345"/>
      <c r="Q12" s="319"/>
    </row>
    <row r="13" spans="1:17" ht="24" customHeight="1" thickBot="1" x14ac:dyDescent="0.25">
      <c r="A13" s="319"/>
      <c r="B13" s="387"/>
      <c r="C13" s="391">
        <f ca="1">$C$12+1</f>
        <v>58</v>
      </c>
      <c r="D13" s="392">
        <f ca="1">IF(Planung!$U$16,"",$D$12+QUOTIENT(1,Planung!$U$18)*(Planung!$R$7+Planung!$R$9)/1440+$P12/1440)</f>
        <v>0.71527777777777779</v>
      </c>
      <c r="E13" s="378">
        <f>IF(Planung!$U$16,"",MOD(1,Planung!$U$18)+1)</f>
        <v>2</v>
      </c>
      <c r="F13" s="332" t="s">
        <v>252</v>
      </c>
      <c r="G13" s="328" t="str">
        <f ca="1">Vorrunde!$N$25</f>
        <v>Manchester City</v>
      </c>
      <c r="H13" s="154" t="s">
        <v>5</v>
      </c>
      <c r="I13" s="330" t="str">
        <f ca="1">Vorrunde!$N$13</f>
        <v>Eintracht Frankfurt</v>
      </c>
      <c r="J13" s="341">
        <v>4</v>
      </c>
      <c r="K13" s="379" t="str">
        <f>Sprache!$E$73</f>
        <v>:</v>
      </c>
      <c r="L13" s="325">
        <v>2</v>
      </c>
      <c r="M13" s="358"/>
      <c r="N13" s="379" t="str">
        <f>Sprache!$E$73</f>
        <v>:</v>
      </c>
      <c r="O13" s="326"/>
      <c r="P13" s="380"/>
      <c r="Q13" s="319"/>
    </row>
    <row r="14" spans="1:17" ht="27.95" customHeight="1" thickTop="1" thickBot="1" x14ac:dyDescent="0.35">
      <c r="A14" s="319"/>
      <c r="B14" s="388"/>
      <c r="C14" s="711" t="str">
        <f>Sprache!$E$54</f>
        <v>Endspiele</v>
      </c>
      <c r="D14" s="711"/>
      <c r="E14" s="711"/>
      <c r="F14" s="711"/>
      <c r="G14" s="459"/>
      <c r="H14" s="124"/>
      <c r="I14" s="459"/>
      <c r="J14" s="365"/>
      <c r="K14" s="365"/>
      <c r="L14" s="365"/>
      <c r="M14" s="365"/>
      <c r="N14" s="365"/>
      <c r="O14" s="365"/>
      <c r="P14" s="367"/>
      <c r="Q14" s="319"/>
    </row>
    <row r="15" spans="1:17" ht="24" customHeight="1" thickTop="1" x14ac:dyDescent="0.2">
      <c r="A15" s="319"/>
      <c r="B15" s="387"/>
      <c r="C15" s="393">
        <f ca="1">$C$12+2</f>
        <v>59</v>
      </c>
      <c r="D15" s="394">
        <f ca="1">IF(Planung!$U$16,"",$D$13+($P$13+Planung!$R$9+Planung!$R$7)/1440)</f>
        <v>0.73958333333333337</v>
      </c>
      <c r="E15" s="368">
        <f>IF(Planung!$U$16,"",1)</f>
        <v>1</v>
      </c>
      <c r="F15" s="369" t="str">
        <f>Sprache!$E$82</f>
        <v>3. Platz</v>
      </c>
      <c r="G15" s="370" t="str">
        <f ca="1">IF(OR($G12="",$I12="",$J12="",$L12=""),"",IF($J12&lt;$L12,$G12,IF($J12&gt;$L12,$I12,IF($M12&lt;$O12,$G12,IF($M12&gt;$O12,$I12,"")))))</f>
        <v>AC Roma</v>
      </c>
      <c r="H15" s="371" t="s">
        <v>5</v>
      </c>
      <c r="I15" s="372" t="str">
        <f ca="1">IF(OR($G13="",$I13="",$J13="",$L13=""),"",IF($J13&lt;$L13,$G13,IF($J13&gt;$L13,$I13,IF($M13&lt;$O13,$G13,IF($M13&gt;$O13,$I13,"")))))</f>
        <v>Eintracht Frankfurt</v>
      </c>
      <c r="J15" s="373">
        <v>3</v>
      </c>
      <c r="K15" s="374" t="str">
        <f>Sprache!$E$73</f>
        <v>:</v>
      </c>
      <c r="L15" s="375">
        <v>1</v>
      </c>
      <c r="M15" s="376"/>
      <c r="N15" s="374" t="str">
        <f>Sprache!$E$73</f>
        <v>:</v>
      </c>
      <c r="O15" s="377"/>
      <c r="P15" s="345"/>
      <c r="Q15" s="319"/>
    </row>
    <row r="16" spans="1:17" ht="24" customHeight="1" thickBot="1" x14ac:dyDescent="0.25">
      <c r="A16" s="319"/>
      <c r="B16" s="387"/>
      <c r="C16" s="391">
        <f ca="1">$C$12+3</f>
        <v>60</v>
      </c>
      <c r="D16" s="392">
        <f ca="1">IF(Planung!$U$16,"",$D$15+($P$15+Planung!$R$9+Planung!$R$7)/1440)</f>
        <v>0.76388888888888895</v>
      </c>
      <c r="E16" s="378">
        <f>IF(Planung!$U$16,"",1)</f>
        <v>1</v>
      </c>
      <c r="F16" s="332" t="str">
        <f>Sprache!$E$83</f>
        <v>Finale</v>
      </c>
      <c r="G16" s="328" t="str">
        <f ca="1">IF(OR($G12="",$I12="",$J12="",$L12=""),"",IF($J12&gt;$L12,$G12,IF($J12&lt;$L12,$I12,IF($M12&gt;$O12,$G12,IF($M12&lt;$O12,$I12,"")))))</f>
        <v>FC Barcelona</v>
      </c>
      <c r="H16" s="154" t="s">
        <v>5</v>
      </c>
      <c r="I16" s="330" t="str">
        <f ca="1">IF(OR($G13="",$I13="",$J13="",$L13=""),"",IF($J13&gt;$L13,$G13,IF($J13&lt;$L13,$I13,IF($M13&gt;$O13,$G13,IF($M13&lt;$O13,$I13,"")))))</f>
        <v>Manchester City</v>
      </c>
      <c r="J16" s="341">
        <v>1</v>
      </c>
      <c r="K16" s="379" t="str">
        <f>Sprache!$E$73</f>
        <v>:</v>
      </c>
      <c r="L16" s="325">
        <v>2</v>
      </c>
      <c r="M16" s="358"/>
      <c r="N16" s="379" t="str">
        <f>Sprache!$E$73</f>
        <v>:</v>
      </c>
      <c r="O16" s="326"/>
      <c r="P16" s="363"/>
      <c r="Q16" s="319"/>
    </row>
    <row r="17" spans="3:16383" ht="12.75" customHeight="1" thickTop="1" x14ac:dyDescent="0.2"/>
    <row r="18" spans="3:16383" ht="24" customHeight="1" x14ac:dyDescent="0.2">
      <c r="C18" s="359"/>
      <c r="D18" s="359"/>
      <c r="E18" s="359"/>
      <c r="F18" s="359"/>
      <c r="G18" s="685" t="str">
        <f>Sprache!$E$29</f>
        <v>Turnierende:</v>
      </c>
      <c r="H18" s="685"/>
      <c r="I18" s="360">
        <f ca="1">IF(Planung!$R$13="","",$D$16+Planung!$R$7/1440)</f>
        <v>0.78472222222222232</v>
      </c>
      <c r="J18" s="361"/>
      <c r="K18" s="361"/>
      <c r="L18" s="361"/>
      <c r="M18" s="361"/>
      <c r="N18" s="361"/>
      <c r="O18" s="361"/>
      <c r="P18" s="361"/>
    </row>
    <row r="19" spans="3:16383" ht="12.75" customHeight="1" x14ac:dyDescent="0.2">
      <c r="D19" s="353"/>
    </row>
    <row r="20" spans="3:16383" ht="12.75" customHeight="1" x14ac:dyDescent="0.2">
      <c r="D20" s="353"/>
    </row>
    <row r="21" spans="3:16383" ht="24" customHeight="1" thickBot="1" x14ac:dyDescent="0.25">
      <c r="F21" s="364" t="str">
        <f>Sprache!$E$81</f>
        <v>Rang</v>
      </c>
      <c r="G21" s="712" t="str">
        <f>"  "&amp;Sprache!$E$10</f>
        <v xml:space="preserve">  Teilnehmer bzw. Mannschaft</v>
      </c>
      <c r="H21" s="712"/>
      <c r="I21" s="713"/>
    </row>
    <row r="22" spans="3:16383" ht="24" customHeight="1" thickTop="1" x14ac:dyDescent="0.2">
      <c r="E22" s="354">
        <v>1</v>
      </c>
      <c r="F22" s="397">
        <v>1</v>
      </c>
      <c r="G22" s="714" t="str">
        <f ca="1">IF(OR($G16="",$I16="",$J16="",$L16=""),"",IF($J16&gt;$L16,$G16,IF($J16&lt;$L16,$I16,IF($M16&gt;$O16,$G16,IF($M16&lt;$O16,$I16,"")))))</f>
        <v>Manchester City</v>
      </c>
      <c r="H22" s="714"/>
      <c r="I22" s="715"/>
    </row>
    <row r="23" spans="3:16383" ht="24" customHeight="1" x14ac:dyDescent="0.2">
      <c r="E23" s="354">
        <v>2</v>
      </c>
      <c r="F23" s="398">
        <v>2</v>
      </c>
      <c r="G23" s="716" t="str">
        <f ca="1">IF(OR($G16="",$I16="",$J16="",$L16=""),"",IF($J16&lt;$L16,$G16,IF($J16&gt;$L16,$I16,IF($M16&lt;$O16,$G16,IF($M16&gt;$O16,$I16,"")))))</f>
        <v>FC Barcelona</v>
      </c>
      <c r="H23" s="716"/>
      <c r="I23" s="717"/>
    </row>
    <row r="24" spans="3:16383" ht="24" customHeight="1" x14ac:dyDescent="0.2">
      <c r="E24" s="354">
        <v>3</v>
      </c>
      <c r="F24" s="399">
        <v>3</v>
      </c>
      <c r="G24" s="718" t="str">
        <f ca="1">IF(OR($G15="",$I15="",$J15="",$L15=""),"",IF($J15&gt;$L15,$G15,IF($J15&lt;$L15,$I15,IF($M15&gt;$O15,$G15,IF($M15&lt;$O15,$I15,"")))))</f>
        <v>AC Roma</v>
      </c>
      <c r="H24" s="718"/>
      <c r="I24" s="719"/>
    </row>
    <row r="25" spans="3:16383" ht="24" customHeight="1" thickBot="1" x14ac:dyDescent="0.25">
      <c r="E25" s="354">
        <v>4</v>
      </c>
      <c r="F25" s="401">
        <v>4</v>
      </c>
      <c r="G25" s="709" t="str">
        <f ca="1">IF(OR($G15="",$I15="",$J15="",$L15=""),"",IF($J15&lt;$L15,$G15,IF($J15&gt;$L15,$I15,IF($M15&lt;$O15,$G15,IF($M15&gt;$O15,$I15,"")))))</f>
        <v>Eintracht Frankfurt</v>
      </c>
      <c r="H25" s="709"/>
      <c r="I25" s="710"/>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P9:P11"/>
    <mergeCell ref="C10:F10"/>
    <mergeCell ref="G11:I11"/>
    <mergeCell ref="J11:L11"/>
    <mergeCell ref="M11:O11"/>
    <mergeCell ref="E2:P2"/>
    <mergeCell ref="E3:P3"/>
    <mergeCell ref="E4:P4"/>
    <mergeCell ref="E5:P5"/>
    <mergeCell ref="G7:I8"/>
    <mergeCell ref="G25:I25"/>
    <mergeCell ref="C14:F14"/>
    <mergeCell ref="G21:I21"/>
    <mergeCell ref="G22:I22"/>
    <mergeCell ref="G23:I23"/>
    <mergeCell ref="G24:I24"/>
    <mergeCell ref="G18:H18"/>
  </mergeCell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61"/>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524"/>
      <c r="G2" s="524"/>
      <c r="H2" s="525"/>
      <c r="I2" s="687" t="str">
        <f>Vorrunde!$G$2</f>
        <v>Internationales U10-Turnier am 26.01.2024</v>
      </c>
      <c r="J2" s="688"/>
      <c r="K2" s="688"/>
      <c r="L2" s="688"/>
      <c r="M2" s="688"/>
      <c r="N2" s="688"/>
      <c r="O2" s="688"/>
      <c r="P2" s="688"/>
      <c r="Q2" s="688"/>
      <c r="R2" s="688"/>
      <c r="S2" s="688"/>
      <c r="T2" s="688"/>
      <c r="U2" s="688"/>
      <c r="V2" s="688"/>
      <c r="W2" s="688"/>
      <c r="X2" s="688"/>
      <c r="Y2" s="689"/>
    </row>
    <row r="3" spans="2:32" ht="30" customHeight="1" x14ac:dyDescent="0.2">
      <c r="F3" s="526"/>
      <c r="G3" s="526"/>
      <c r="H3" s="527"/>
      <c r="I3" s="690" t="str">
        <f>Vorrunde!$G$3</f>
        <v>Veranstalter:  1. FC Riedwald</v>
      </c>
      <c r="J3" s="691"/>
      <c r="K3" s="691"/>
      <c r="L3" s="691"/>
      <c r="M3" s="691"/>
      <c r="N3" s="691"/>
      <c r="O3" s="691"/>
      <c r="P3" s="691"/>
      <c r="Q3" s="691"/>
      <c r="R3" s="691"/>
      <c r="S3" s="691"/>
      <c r="T3" s="691"/>
      <c r="U3" s="691"/>
      <c r="V3" s="691"/>
      <c r="W3" s="691"/>
      <c r="X3" s="691"/>
      <c r="Y3" s="692"/>
    </row>
    <row r="4" spans="2:32" ht="30" customHeight="1" x14ac:dyDescent="0.2">
      <c r="F4" s="528"/>
      <c r="G4" s="528"/>
      <c r="H4" s="529"/>
      <c r="I4" s="693" t="str">
        <f>Vorrunde!$G$4</f>
        <v>Sporthalle Wiesengrund, Wendiger Str. 51, 65432 Riedwald</v>
      </c>
      <c r="J4" s="694"/>
      <c r="K4" s="694"/>
      <c r="L4" s="694"/>
      <c r="M4" s="694"/>
      <c r="N4" s="694"/>
      <c r="O4" s="694"/>
      <c r="P4" s="694"/>
      <c r="Q4" s="694"/>
      <c r="R4" s="694"/>
      <c r="S4" s="694"/>
      <c r="T4" s="694"/>
      <c r="U4" s="694"/>
      <c r="V4" s="694"/>
      <c r="W4" s="694"/>
      <c r="X4" s="694"/>
      <c r="Y4" s="695"/>
    </row>
    <row r="5" spans="2:32" ht="30" customHeight="1" thickBot="1" x14ac:dyDescent="0.25">
      <c r="F5" s="528"/>
      <c r="G5" s="528"/>
      <c r="H5" s="529"/>
      <c r="I5" s="696" t="str">
        <f>Vorrunde!$G$5</f>
        <v>Beginn:  9:00 Uhr</v>
      </c>
      <c r="J5" s="697"/>
      <c r="K5" s="697"/>
      <c r="L5" s="697"/>
      <c r="M5" s="697"/>
      <c r="N5" s="697"/>
      <c r="O5" s="697"/>
      <c r="P5" s="697"/>
      <c r="Q5" s="697"/>
      <c r="R5" s="697"/>
      <c r="S5" s="697"/>
      <c r="T5" s="697"/>
      <c r="U5" s="697"/>
      <c r="V5" s="697"/>
      <c r="W5" s="697"/>
      <c r="X5" s="697"/>
      <c r="Y5" s="698"/>
    </row>
    <row r="6" spans="2:32" ht="18" customHeight="1" thickTop="1" thickBot="1" x14ac:dyDescent="0.25"/>
    <row r="7" spans="2:32" ht="30" customHeight="1" thickTop="1" x14ac:dyDescent="0.2">
      <c r="L7" s="730" t="str">
        <f>Sprache!$E$19</f>
        <v>Endrunde</v>
      </c>
      <c r="M7" s="731"/>
      <c r="N7" s="731"/>
      <c r="O7" s="731"/>
      <c r="P7" s="731"/>
      <c r="Q7" s="731"/>
      <c r="R7" s="732"/>
    </row>
    <row r="8" spans="2:32" ht="30" customHeight="1" thickBot="1" x14ac:dyDescent="0.25">
      <c r="L8" s="733"/>
      <c r="M8" s="734"/>
      <c r="N8" s="734"/>
      <c r="O8" s="734"/>
      <c r="P8" s="734"/>
      <c r="Q8" s="734"/>
      <c r="R8" s="735"/>
    </row>
    <row r="9" spans="2:32" ht="12.6" customHeight="1" thickTop="1" x14ac:dyDescent="0.2"/>
    <row r="10" spans="2:32" ht="27.95" customHeight="1" thickBot="1" x14ac:dyDescent="0.45">
      <c r="C10" s="686" t="str">
        <f>Sprache!$E$55&amp;IF(MIN(Calc1!$F$13,Calc2!$F$13)*2&lt;2,""," 1 - "&amp;MIN(Calc1!$F$13,Calc2!$F$13)*2)</f>
        <v>Spiele um die Plätze  1 - 16</v>
      </c>
      <c r="D10" s="686"/>
      <c r="E10" s="686"/>
      <c r="F10" s="686"/>
      <c r="G10" s="488"/>
      <c r="H10" s="488"/>
      <c r="O10" s="614" t="str">
        <f>Sprache!$E$20</f>
        <v>Zusätzl. Pause (min)</v>
      </c>
      <c r="Q10" s="720" t="str">
        <f>Sprache!$E$57</f>
        <v>Gruppenerste und -zweite</v>
      </c>
      <c r="R10" s="720"/>
      <c r="S10" s="720"/>
      <c r="T10" s="720"/>
      <c r="U10" s="720"/>
      <c r="V10" s="720"/>
      <c r="W10" s="199"/>
      <c r="X10" s="199"/>
      <c r="Y10" s="199"/>
      <c r="Z10" s="199"/>
      <c r="AA10" s="199"/>
      <c r="AD10" s="721" t="str">
        <f>$Q10</f>
        <v>Gruppenerste und -zweite</v>
      </c>
      <c r="AE10" s="721"/>
      <c r="AF10" s="721"/>
    </row>
    <row r="11" spans="2:32" ht="24" customHeight="1" thickTop="1" thickBot="1" x14ac:dyDescent="0.25">
      <c r="B11" s="352"/>
      <c r="C11" s="396" t="str">
        <f>Sprache!$E$9</f>
        <v>Nr.</v>
      </c>
      <c r="D11" s="348" t="str">
        <f>Sprache!$E$39</f>
        <v>Beginn</v>
      </c>
      <c r="E11" s="337" t="str">
        <f>Sprache!$E$48</f>
        <v>Feld</v>
      </c>
      <c r="F11" s="492"/>
      <c r="G11" s="489"/>
      <c r="H11" s="348"/>
      <c r="I11" s="650" t="str">
        <f>Sprache!$E$14</f>
        <v>Spielpaarung</v>
      </c>
      <c r="J11" s="651"/>
      <c r="K11" s="652"/>
      <c r="L11" s="653" t="str">
        <f>Sprache!$E$15</f>
        <v>Ergebnis</v>
      </c>
      <c r="M11" s="651"/>
      <c r="N11" s="654"/>
      <c r="O11" s="615"/>
      <c r="Q11" s="722"/>
      <c r="R11" s="723"/>
      <c r="S11" s="201" t="str">
        <f>Sprache!$E$21</f>
        <v>SP</v>
      </c>
      <c r="T11" s="202" t="str">
        <f>Sprache!$E$22</f>
        <v>G</v>
      </c>
      <c r="U11" s="202" t="str">
        <f>Sprache!$E$23</f>
        <v>U</v>
      </c>
      <c r="V11" s="487" t="str">
        <f>Sprache!$E$24</f>
        <v>V</v>
      </c>
      <c r="W11" s="724" t="str">
        <f>Sprache!$E$25</f>
        <v>Tore</v>
      </c>
      <c r="X11" s="725"/>
      <c r="Y11" s="726"/>
      <c r="Z11" s="202" t="str">
        <f>Sprache!$E$26</f>
        <v>Diff.</v>
      </c>
      <c r="AA11" s="204" t="str">
        <f>Sprache!$E$27</f>
        <v>Pkt</v>
      </c>
      <c r="AD11" s="493"/>
      <c r="AE11" s="494" t="str">
        <f>Sprache!$E$10</f>
        <v>Teilnehmer bzw. Mannschaft</v>
      </c>
      <c r="AF11" s="422" t="str">
        <f>Sprache!$E$49</f>
        <v>Bonus</v>
      </c>
    </row>
    <row r="12" spans="2:32" s="319" customFormat="1" ht="24" customHeight="1" x14ac:dyDescent="0.2">
      <c r="B12" s="387"/>
      <c r="C12" s="395">
        <f t="array" aca="1" ref="C12" ca="1">73-SUM(((Planung!$L$6:$L$77="")+(Planung!$N$6:$N$77="")&gt;0)*1)</f>
        <v>57</v>
      </c>
      <c r="D12" s="349">
        <f ca="1">IF(Planung!$U$16,"",Planung!$R$13+(Planung!$R$9+Planung!$P$77)/1440)</f>
        <v>0.71527777777777779</v>
      </c>
      <c r="E12" s="344">
        <f>IF(Planung!$U$16,"",1)</f>
        <v>1</v>
      </c>
      <c r="F12" s="511" t="s">
        <v>362</v>
      </c>
      <c r="G12" s="512" t="s">
        <v>5</v>
      </c>
      <c r="H12" s="513" t="s">
        <v>363</v>
      </c>
      <c r="I12" s="490" t="str">
        <f t="shared" ref="I12:I28" ca="1" si="0">IF($F12="","",IF(VLOOKUP($F12,$AD$12:$AE$41,2,0)="","",VLOOKUP($F12,$AD$12:$AE$41,2,0)))</f>
        <v/>
      </c>
      <c r="J12" s="335" t="s">
        <v>5</v>
      </c>
      <c r="K12" s="336" t="str">
        <f t="shared" ref="K12:K28" ca="1" si="1">IF($H12="","",IF(VLOOKUP($H12,$AD$12:$AE$41,2,0)="","",VLOOKUP($H12,$AD$12:$AE$41,2,0)))</f>
        <v/>
      </c>
      <c r="L12" s="338"/>
      <c r="M12" s="342" t="str">
        <f>Sprache!$E$73</f>
        <v>:</v>
      </c>
      <c r="N12" s="339"/>
      <c r="O12" s="345"/>
      <c r="Q12" s="495">
        <f ca="1">IF(CalcE1!$K$13=0,"",1)</f>
        <v>1</v>
      </c>
      <c r="R12" s="382" t="str">
        <f ca="1">IF(Calc1!$F$14&lt;3,"",IF(CalcE1!$K$13=0,CalcE1!$Q$64,VLOOKUP(CalcE1!$B$4,CalcE1!$C$4:$N$12,4,0)))</f>
        <v>FC Barcelona</v>
      </c>
      <c r="S12" s="496">
        <f ca="1">IF(CalcE1!$K$13=0,"",VLOOKUP(CalcE1!$B$4,CalcE1!$C$4:$N$12,9,0))</f>
        <v>3</v>
      </c>
      <c r="T12" s="208">
        <f ca="1">IF(CalcE1!$K$13=0,"",VLOOKUP(CalcE1!$B$4,CalcE1!$C$4:$N$12,10,0))</f>
        <v>2</v>
      </c>
      <c r="U12" s="208">
        <f ca="1">IF(CalcE1!$K$13=0,"",VLOOKUP(CalcE1!$B$4,CalcE1!$C$4:$N$12,11,0))</f>
        <v>1</v>
      </c>
      <c r="V12" s="208">
        <f ca="1">IF(CalcE1!$K$13=0,"",VLOOKUP(CalcE1!$B$4,CalcE1!$C$4:$N$12,12,0))</f>
        <v>0</v>
      </c>
      <c r="W12" s="210">
        <f ca="1">IF(CalcE1!$K$13=0,"",VLOOKUP(CalcE1!$B$4,CalcE1!$C$4:$N$12,5,0))</f>
        <v>9</v>
      </c>
      <c r="X12" s="497" t="str">
        <f>Sprache!$E$73</f>
        <v>:</v>
      </c>
      <c r="Y12" s="212">
        <f ca="1">IF(CalcE1!$K$13=0,"",VLOOKUP(CalcE1!$B$4,CalcE1!$C$4:$N$12,6,0))</f>
        <v>1</v>
      </c>
      <c r="Z12" s="208">
        <f ca="1">IF(CalcE1!$K$13=0,"",VLOOKUP(CalcE1!$B$4,CalcE1!$C$4:$N$12,7,0))</f>
        <v>8</v>
      </c>
      <c r="AA12" s="213">
        <f ca="1">IF(CalcE1!$K$13=0,"",VLOOKUP(CalcE1!$B$4,CalcE1!$C$4:$N$12,8,0))</f>
        <v>7</v>
      </c>
      <c r="AB12" s="49"/>
      <c r="AC12" s="49"/>
      <c r="AD12" s="482" t="s">
        <v>322</v>
      </c>
      <c r="AE12" s="498" t="str">
        <f ca="1">IF(Vorrunde!$N$12="","",Vorrunde!$N$12)</f>
        <v>FC Barcelona</v>
      </c>
      <c r="AF12" s="424"/>
    </row>
    <row r="13" spans="2:32" s="319" customFormat="1" ht="24" customHeight="1" x14ac:dyDescent="0.2">
      <c r="B13" s="387"/>
      <c r="C13" s="389">
        <f t="array" aca="1" ref="C13" ca="1">$C$12+ROW(1:1)-SUM((($I$12:$I12="")+($K$12:$K12="")&gt;0)*1)</f>
        <v>57</v>
      </c>
      <c r="D13" s="350">
        <f t="array" aca="1" ref="D13" ca="1">IF(Planung!$U$16,"",$D$12+QUOTIENT(($C13-$C$12),Planung!$U$18)*(Planung!$R$7+Planung!$R$9)/1440+SUM($O$12:$O12)/1440)</f>
        <v>0.71527777777777779</v>
      </c>
      <c r="E13" s="344">
        <f ca="1">IF(Planung!$U$16,"",MOD($C13-$C$12,Planung!$U$18)+1)</f>
        <v>1</v>
      </c>
      <c r="F13" s="514" t="s">
        <v>358</v>
      </c>
      <c r="G13" s="515" t="s">
        <v>5</v>
      </c>
      <c r="H13" s="516" t="s">
        <v>361</v>
      </c>
      <c r="I13" s="490" t="str">
        <f t="shared" ca="1" si="0"/>
        <v>VFB Essenheim</v>
      </c>
      <c r="J13" s="335" t="s">
        <v>5</v>
      </c>
      <c r="K13" s="336" t="str">
        <f t="shared" ca="1" si="1"/>
        <v>SSV Wildbach</v>
      </c>
      <c r="L13" s="340">
        <v>2</v>
      </c>
      <c r="M13" s="342" t="str">
        <f>Sprache!$E$73</f>
        <v>:</v>
      </c>
      <c r="N13" s="324">
        <v>4</v>
      </c>
      <c r="O13" s="346"/>
      <c r="Q13" s="499">
        <f ca="1">IF(CalcE1!$K$13=0,"",IF(VLOOKUP(CalcE1!$B$5,CalcE1!$C$4:$E$12,3,0)=MAX($Q12:$Q12),VLOOKUP(CalcE1!$B$5,CalcE1!$C$4:$E$12,3,0),CalcE1!$B$5))</f>
        <v>2</v>
      </c>
      <c r="R13" s="384" t="str">
        <f ca="1">IF(Calc1!$F$14&lt;3,"",IF(CalcE1!$K$13=0,CalcE1!$Q$65,VLOOKUP(CalcE1!$B$5,CalcE1!$C$4:$N$12,4,0)))</f>
        <v>AC Roma</v>
      </c>
      <c r="S13" s="223">
        <f ca="1">IF(CalcE1!$K$13=0,"",VLOOKUP(CalcE1!$B$5,CalcE1!$C$4:$N$12,9,0))</f>
        <v>3</v>
      </c>
      <c r="T13" s="198">
        <f ca="1">IF(CalcE1!$K$13=0,"",VLOOKUP(CalcE1!$B$5,CalcE1!$C$4:$N$12,10,0))</f>
        <v>2</v>
      </c>
      <c r="U13" s="198">
        <f ca="1">IF(CalcE1!$K$13=0,"",VLOOKUP(CalcE1!$B$5,CalcE1!$C$4:$N$12,11,0))</f>
        <v>0</v>
      </c>
      <c r="V13" s="198">
        <f ca="1">IF(CalcE1!$K$13=0,"",VLOOKUP(CalcE1!$B$5,CalcE1!$C$4:$N$12,12,0))</f>
        <v>1</v>
      </c>
      <c r="W13" s="219">
        <f ca="1">IF(CalcE1!$K$13=0,"",VLOOKUP(CalcE1!$B$5,CalcE1!$C$4:$N$12,5,0))</f>
        <v>21</v>
      </c>
      <c r="X13" s="500" t="str">
        <f>Sprache!$E$73</f>
        <v>:</v>
      </c>
      <c r="Y13" s="221">
        <f ca="1">IF(CalcE1!$K$13=0,"",VLOOKUP(CalcE1!$B$5,CalcE1!$C$4:$N$12,6,0))</f>
        <v>13</v>
      </c>
      <c r="Z13" s="198">
        <f ca="1">IF(CalcE1!$K$13=0,"",VLOOKUP(CalcE1!$B$5,CalcE1!$C$4:$N$12,7,0))</f>
        <v>8</v>
      </c>
      <c r="AA13" s="222">
        <f ca="1">IF(CalcE1!$K$13=0,"",VLOOKUP(CalcE1!$B$5,CalcE1!$C$4:$N$12,8,0))</f>
        <v>6</v>
      </c>
      <c r="AB13" s="49"/>
      <c r="AC13" s="49"/>
      <c r="AD13" s="501" t="s">
        <v>318</v>
      </c>
      <c r="AE13" s="502" t="str">
        <f ca="1">IF(Vorrunde!$N$25="","",Vorrunde!$N$25)</f>
        <v>Manchester City</v>
      </c>
      <c r="AF13" s="425"/>
    </row>
    <row r="14" spans="2:32" s="319" customFormat="1" ht="24" customHeight="1" x14ac:dyDescent="0.2">
      <c r="B14" s="387"/>
      <c r="C14" s="389">
        <f t="array" aca="1" ref="C14" ca="1">$C$12+ROW(2:2)-SUM((($I$12:$I13="")+($K$12:$K13="")&gt;0)*1)</f>
        <v>58</v>
      </c>
      <c r="D14" s="350">
        <f t="array" aca="1" ref="D14" ca="1">IF(Planung!$U$16,"",$D$12+QUOTIENT(($C14-$C$12),Planung!$U$18)*(Planung!$R$7+Planung!$R$9)/1440+SUM($O$12:$O13)/1440)</f>
        <v>0.71527777777777779</v>
      </c>
      <c r="E14" s="344">
        <f ca="1">IF(Planung!$U$16,"",MOD($C14-$C$12,Planung!$U$18)+1)</f>
        <v>2</v>
      </c>
      <c r="F14" s="511" t="s">
        <v>328</v>
      </c>
      <c r="G14" s="512" t="s">
        <v>5</v>
      </c>
      <c r="H14" s="513" t="s">
        <v>331</v>
      </c>
      <c r="I14" s="490" t="str">
        <f t="shared" ca="1" si="0"/>
        <v>Knock Out Rangers</v>
      </c>
      <c r="J14" s="335" t="s">
        <v>5</v>
      </c>
      <c r="K14" s="336" t="str">
        <f t="shared" ca="1" si="1"/>
        <v>FC Grönlingen</v>
      </c>
      <c r="L14" s="340">
        <v>2</v>
      </c>
      <c r="M14" s="342" t="str">
        <f>Sprache!$E$73</f>
        <v>:</v>
      </c>
      <c r="N14" s="324">
        <v>1</v>
      </c>
      <c r="O14" s="346"/>
      <c r="Q14" s="499">
        <f ca="1">IF(CalcE1!$K$13=0,"",IF(VLOOKUP(CalcE1!$B$6,CalcE1!$C$4:$E$12,3,0)=MAX($Q12:$Q13),VLOOKUP(CalcE1!$B$6,CalcE1!$C$4:$E$12,3,0),CalcE1!$B$6))</f>
        <v>3</v>
      </c>
      <c r="R14" s="384" t="str">
        <f ca="1">IF(Calc1!$F$14&lt;3,"",IF(CalcE1!$K$13=0,CalcE1!$Q$66,VLOOKUP(CalcE1!$B$6,CalcE1!$C$4:$N$12,4,0)))</f>
        <v>Manchester City</v>
      </c>
      <c r="S14" s="223">
        <f ca="1">IF(CalcE1!$K$13=0,"",VLOOKUP(CalcE1!$B$6,CalcE1!$C$4:$N$12,9,0))</f>
        <v>3</v>
      </c>
      <c r="T14" s="198">
        <f ca="1">IF(CalcE1!$K$13=0,"",VLOOKUP(CalcE1!$B$6,CalcE1!$C$4:$N$12,10,0))</f>
        <v>1</v>
      </c>
      <c r="U14" s="198">
        <f ca="1">IF(CalcE1!$K$13=0,"",VLOOKUP(CalcE1!$B$6,CalcE1!$C$4:$N$12,11,0))</f>
        <v>0</v>
      </c>
      <c r="V14" s="198">
        <f ca="1">IF(CalcE1!$K$13=0,"",VLOOKUP(CalcE1!$B$6,CalcE1!$C$4:$N$12,12,0))</f>
        <v>2</v>
      </c>
      <c r="W14" s="219">
        <f ca="1">IF(CalcE1!$K$13=0,"",VLOOKUP(CalcE1!$B$6,CalcE1!$C$4:$N$12,5,0))</f>
        <v>4</v>
      </c>
      <c r="X14" s="500" t="str">
        <f>Sprache!$E$73</f>
        <v>:</v>
      </c>
      <c r="Y14" s="221">
        <f ca="1">IF(CalcE1!$K$13=0,"",VLOOKUP(CalcE1!$B$6,CalcE1!$C$4:$N$12,6,0))</f>
        <v>13</v>
      </c>
      <c r="Z14" s="198">
        <f ca="1">IF(CalcE1!$K$13=0,"",VLOOKUP(CalcE1!$B$6,CalcE1!$C$4:$N$12,7,0))</f>
        <v>-9</v>
      </c>
      <c r="AA14" s="222">
        <f ca="1">IF(CalcE1!$K$13=0,"",VLOOKUP(CalcE1!$B$6,CalcE1!$C$4:$N$12,8,0))</f>
        <v>3</v>
      </c>
      <c r="AB14" s="49"/>
      <c r="AC14" s="49"/>
      <c r="AD14" s="483" t="s">
        <v>323</v>
      </c>
      <c r="AE14" s="502" t="str">
        <f ca="1">IF(Vorrunde!$N$13="","",Vorrunde!$N$13)</f>
        <v>Eintracht Frankfurt</v>
      </c>
      <c r="AF14" s="425"/>
    </row>
    <row r="15" spans="2:32" s="319" customFormat="1" ht="24" customHeight="1" thickBot="1" x14ac:dyDescent="0.25">
      <c r="B15" s="387"/>
      <c r="C15" s="389">
        <f t="array" aca="1" ref="C15" ca="1">$C$12+ROW(3:3)-SUM((($I$12:$I14="")+($K$12:$K14="")&gt;0)*1)</f>
        <v>59</v>
      </c>
      <c r="D15" s="350">
        <f t="array" aca="1" ref="D15" ca="1">IF(Planung!$U$16,"",$D$12+QUOTIENT(($C15-$C$12),Planung!$U$18)*(Planung!$R$7+Planung!$R$9)/1440+SUM($O$12:$O14)/1440)</f>
        <v>0.71527777777777779</v>
      </c>
      <c r="E15" s="344">
        <f ca="1">IF(Planung!$U$16,"",MOD($C15-$C$12,Planung!$U$18)+1)</f>
        <v>3</v>
      </c>
      <c r="F15" s="514" t="s">
        <v>317</v>
      </c>
      <c r="G15" s="515" t="s">
        <v>5</v>
      </c>
      <c r="H15" s="516" t="s">
        <v>327</v>
      </c>
      <c r="I15" s="490" t="str">
        <f t="shared" ca="1" si="0"/>
        <v>Raslo Winners</v>
      </c>
      <c r="J15" s="335" t="s">
        <v>5</v>
      </c>
      <c r="K15" s="336" t="str">
        <f t="shared" ca="1" si="1"/>
        <v>Mainz 05</v>
      </c>
      <c r="L15" s="340">
        <v>1</v>
      </c>
      <c r="M15" s="343" t="str">
        <f>Sprache!$E$73</f>
        <v>:</v>
      </c>
      <c r="N15" s="324">
        <v>1</v>
      </c>
      <c r="O15" s="346"/>
      <c r="Q15" s="503">
        <f ca="1">IF(CalcE1!$K$13=0,"",IF(VLOOKUP(CalcE1!$B$7,CalcE1!$C$4:$E$12,3,0)=MAX($Q12:$Q14),VLOOKUP(CalcE1!$B$7,CalcE1!$C$4:$E$12,3,0),CalcE1!$B$7))</f>
        <v>4</v>
      </c>
      <c r="R15" s="386" t="str">
        <f ca="1">IF(Calc1!$F$14&lt;3,"",IF(CalcE1!$K$13=0,CalcE1!$Q$67,VLOOKUP(CalcE1!$B$7,CalcE1!$C$4:$N$12,4,0)))</f>
        <v>Eintracht Frankfurt</v>
      </c>
      <c r="S15" s="234">
        <f ca="1">IF(CalcE1!$K$13=0,"",VLOOKUP(CalcE1!$B$7,CalcE1!$C$4:$N$12,9,0))</f>
        <v>3</v>
      </c>
      <c r="T15" s="228">
        <f ca="1">IF(CalcE1!$K$13=0,"",VLOOKUP(CalcE1!$B$7,CalcE1!$C$4:$N$12,10,0))</f>
        <v>0</v>
      </c>
      <c r="U15" s="228">
        <f ca="1">IF(CalcE1!$K$13=0,"",VLOOKUP(CalcE1!$B$7,CalcE1!$C$4:$N$12,11,0))</f>
        <v>1</v>
      </c>
      <c r="V15" s="228">
        <f ca="1">IF(CalcE1!$K$13=0,"",VLOOKUP(CalcE1!$B$7,CalcE1!$C$4:$N$12,12,0))</f>
        <v>2</v>
      </c>
      <c r="W15" s="230">
        <f ca="1">IF(CalcE1!$K$13=0,"",VLOOKUP(CalcE1!$B$7,CalcE1!$C$4:$N$12,5,0))</f>
        <v>7</v>
      </c>
      <c r="X15" s="504" t="str">
        <f>Sprache!$E$73</f>
        <v>:</v>
      </c>
      <c r="Y15" s="232">
        <f ca="1">IF(CalcE1!$K$13=0,"",VLOOKUP(CalcE1!$B$7,CalcE1!$C$4:$N$12,6,0))</f>
        <v>14</v>
      </c>
      <c r="Z15" s="228">
        <f ca="1">IF(CalcE1!$K$13=0,"",VLOOKUP(CalcE1!$B$7,CalcE1!$C$4:$N$12,7,0))</f>
        <v>-7</v>
      </c>
      <c r="AA15" s="233">
        <f ca="1">IF(CalcE1!$K$13=0,"",VLOOKUP(CalcE1!$B$7,CalcE1!$C$4:$N$12,8,0))</f>
        <v>1</v>
      </c>
      <c r="AB15" s="49"/>
      <c r="AC15" s="49"/>
      <c r="AD15" s="505" t="s">
        <v>324</v>
      </c>
      <c r="AE15" s="506" t="str">
        <f ca="1">IF(Vorrunde!$N$26="","",Vorrunde!$N$26)</f>
        <v>AC Roma</v>
      </c>
      <c r="AF15" s="426"/>
    </row>
    <row r="16" spans="2:32" s="319" customFormat="1" ht="24" customHeight="1" thickTop="1" x14ac:dyDescent="0.2">
      <c r="B16" s="387"/>
      <c r="C16" s="389">
        <f t="array" aca="1" ref="C16" ca="1">$C$12+ROW(4:4)-SUM((($I$12:$I15="")+($K$12:$K15="")&gt;0)*1)</f>
        <v>60</v>
      </c>
      <c r="D16" s="350">
        <f t="array" aca="1" ref="D16" ca="1">IF(Planung!$U$16,"",$D$12+QUOTIENT(($C16-$C$12),Planung!$U$18)*(Planung!$R$7+Planung!$R$9)/1440+SUM($O$12:$O15)/1440)</f>
        <v>0.71527777777777779</v>
      </c>
      <c r="E16" s="344">
        <f ca="1">IF(Planung!$U$16,"",MOD($C16-$C$12,Planung!$U$18)+1)</f>
        <v>4</v>
      </c>
      <c r="F16" s="514" t="s">
        <v>322</v>
      </c>
      <c r="G16" s="515" t="s">
        <v>5</v>
      </c>
      <c r="H16" s="516" t="s">
        <v>324</v>
      </c>
      <c r="I16" s="490" t="str">
        <f t="shared" ca="1" si="0"/>
        <v>FC Barcelona</v>
      </c>
      <c r="J16" s="335" t="s">
        <v>5</v>
      </c>
      <c r="K16" s="336" t="str">
        <f t="shared" ca="1" si="1"/>
        <v>AC Roma</v>
      </c>
      <c r="L16" s="340">
        <v>5</v>
      </c>
      <c r="M16" s="343" t="str">
        <f>Sprache!$E$73</f>
        <v>:</v>
      </c>
      <c r="N16" s="324">
        <v>1</v>
      </c>
      <c r="O16" s="362"/>
    </row>
    <row r="17" spans="2:32" s="319" customFormat="1" ht="24" customHeight="1" thickBot="1" x14ac:dyDescent="0.45">
      <c r="B17" s="387"/>
      <c r="C17" s="389">
        <f t="array" aca="1" ref="C17" ca="1">$C$12+ROW(5:5)-SUM((($I$12:$I16="")+($K$12:$K16="")&gt;0)*1)</f>
        <v>61</v>
      </c>
      <c r="D17" s="350">
        <f t="array" aca="1" ref="D17" ca="1">IF(Planung!$U$16,"",$D$12+QUOTIENT(($C17-$C$12),Planung!$U$18)*(Planung!$R$7+Planung!$R$9)/1440+SUM($O$12:$O16)/1440)</f>
        <v>0.73958333333333337</v>
      </c>
      <c r="E17" s="344">
        <f ca="1">IF(Planung!$U$16,"",MOD($C17-$C$12,Planung!$U$18)+1)</f>
        <v>1</v>
      </c>
      <c r="F17" s="514" t="s">
        <v>359</v>
      </c>
      <c r="G17" s="515" t="s">
        <v>5</v>
      </c>
      <c r="H17" s="516" t="s">
        <v>360</v>
      </c>
      <c r="I17" s="490" t="str">
        <f t="shared" ca="1" si="0"/>
        <v>VFL Ronsdorf</v>
      </c>
      <c r="J17" s="335" t="s">
        <v>5</v>
      </c>
      <c r="K17" s="336" t="str">
        <f t="shared" ca="1" si="1"/>
        <v>1. FC Riedwald</v>
      </c>
      <c r="L17" s="340">
        <v>2</v>
      </c>
      <c r="M17" s="343" t="str">
        <f>Sprache!$E$73</f>
        <v>:</v>
      </c>
      <c r="N17" s="324">
        <v>0</v>
      </c>
      <c r="O17" s="362"/>
      <c r="Q17" s="720" t="str">
        <f>Sprache!$E$58</f>
        <v>Gruppendritte und -vierte</v>
      </c>
      <c r="R17" s="720"/>
      <c r="S17" s="720"/>
      <c r="T17" s="720"/>
      <c r="U17" s="720"/>
      <c r="V17" s="720"/>
      <c r="W17" s="199"/>
      <c r="X17" s="199"/>
      <c r="Y17" s="199"/>
      <c r="Z17" s="199"/>
      <c r="AA17" s="199"/>
      <c r="AB17" s="49"/>
      <c r="AC17" s="49"/>
      <c r="AD17" s="721" t="str">
        <f>$Q17</f>
        <v>Gruppendritte und -vierte</v>
      </c>
      <c r="AE17" s="721"/>
      <c r="AF17" s="721"/>
    </row>
    <row r="18" spans="2:32" ht="24" customHeight="1" thickTop="1" thickBot="1" x14ac:dyDescent="0.25">
      <c r="C18" s="389">
        <f t="array" aca="1" ref="C18" ca="1">$C$12+ROW(6:6)-SUM((($I$12:$I17="")+($K$12:$K17="")&gt;0)*1)</f>
        <v>62</v>
      </c>
      <c r="D18" s="350">
        <f t="array" aca="1" ref="D18" ca="1">IF(Planung!$U$16,"",$D$12+QUOTIENT(($C18-$C$12),Planung!$U$18)*(Planung!$R$7+Planung!$R$9)/1440+SUM($O$12:$O17)/1440)</f>
        <v>0.73958333333333337</v>
      </c>
      <c r="E18" s="344">
        <f ca="1">IF(Planung!$U$16,"",MOD($C18-$C$12,Planung!$U$18)+1)</f>
        <v>2</v>
      </c>
      <c r="F18" s="514" t="s">
        <v>329</v>
      </c>
      <c r="G18" s="515" t="s">
        <v>5</v>
      </c>
      <c r="H18" s="516" t="s">
        <v>330</v>
      </c>
      <c r="I18" s="490" t="str">
        <f t="shared" ca="1" si="0"/>
        <v>Borussia Heine</v>
      </c>
      <c r="J18" s="335" t="s">
        <v>5</v>
      </c>
      <c r="K18" s="336" t="str">
        <f t="shared" ca="1" si="1"/>
        <v>Maibach 1822 eV</v>
      </c>
      <c r="L18" s="340">
        <v>1</v>
      </c>
      <c r="M18" s="343" t="str">
        <f>Sprache!$E$73</f>
        <v>:</v>
      </c>
      <c r="N18" s="324">
        <v>2</v>
      </c>
      <c r="O18" s="362"/>
      <c r="Q18" s="722"/>
      <c r="R18" s="723"/>
      <c r="S18" s="201" t="str">
        <f>Sprache!$E$21</f>
        <v>SP</v>
      </c>
      <c r="T18" s="202" t="str">
        <f>Sprache!$E$22</f>
        <v>G</v>
      </c>
      <c r="U18" s="202" t="str">
        <f>Sprache!$E$23</f>
        <v>U</v>
      </c>
      <c r="V18" s="487" t="str">
        <f>Sprache!$E$24</f>
        <v>V</v>
      </c>
      <c r="W18" s="724" t="str">
        <f>Sprache!$E$25</f>
        <v>Tore</v>
      </c>
      <c r="X18" s="725"/>
      <c r="Y18" s="726"/>
      <c r="Z18" s="202" t="str">
        <f>Sprache!$E$26</f>
        <v>Diff.</v>
      </c>
      <c r="AA18" s="204" t="str">
        <f>Sprache!$E$27</f>
        <v>Pkt</v>
      </c>
      <c r="AD18" s="493"/>
      <c r="AE18" s="494" t="str">
        <f>Sprache!$E$10</f>
        <v>Teilnehmer bzw. Mannschaft</v>
      </c>
      <c r="AF18" s="422" t="str">
        <f>Sprache!$E$49</f>
        <v>Bonus</v>
      </c>
    </row>
    <row r="19" spans="2:32" ht="24" customHeight="1" x14ac:dyDescent="0.2">
      <c r="C19" s="389">
        <f t="array" aca="1" ref="C19" ca="1">$C$12+ROW(7:7)-SUM((($I$12:$I18="")+($K$12:$K18="")&gt;0)*1)</f>
        <v>63</v>
      </c>
      <c r="D19" s="350">
        <f t="array" aca="1" ref="D19" ca="1">IF(Planung!$U$16,"",$D$12+QUOTIENT(($C19-$C$12),Planung!$U$18)*(Planung!$R$7+Planung!$R$9)/1440+SUM($O$12:$O18)/1440)</f>
        <v>0.73958333333333337</v>
      </c>
      <c r="E19" s="344">
        <f ca="1">IF(Planung!$U$16,"",MOD($C19-$C$12,Planung!$U$18)+1)</f>
        <v>3</v>
      </c>
      <c r="F19" s="514" t="s">
        <v>325</v>
      </c>
      <c r="G19" s="515" t="s">
        <v>5</v>
      </c>
      <c r="H19" s="516" t="s">
        <v>326</v>
      </c>
      <c r="I19" s="490" t="str">
        <f t="shared" ca="1" si="0"/>
        <v>Inter Mailand</v>
      </c>
      <c r="J19" s="335" t="s">
        <v>5</v>
      </c>
      <c r="K19" s="336" t="str">
        <f t="shared" ca="1" si="1"/>
        <v>Fun Kickers Oes</v>
      </c>
      <c r="L19" s="340">
        <v>5</v>
      </c>
      <c r="M19" s="343" t="str">
        <f>Sprache!$E$73</f>
        <v>:</v>
      </c>
      <c r="N19" s="324">
        <v>3</v>
      </c>
      <c r="O19" s="362"/>
      <c r="Q19" s="495">
        <f ca="1">IF(CalcE2!$K$13=0,"",1)</f>
        <v>1</v>
      </c>
      <c r="R19" s="382" t="str">
        <f ca="1">IF(Calc1!$F$14&lt;3,"",IF(AND(CalcE2!$K$13=0,AE23&lt;&gt;1),CalcE2!$Q$64,VLOOKUP(CalcE2!$B$4,CalcE2!$C$4:$N$12,4,0)))</f>
        <v>Mainz 05</v>
      </c>
      <c r="S19" s="496">
        <f ca="1">IF(CalcE2!$K$13=0,"",VLOOKUP(CalcE2!$B$4,CalcE2!$C$4:$N$12,9,0))</f>
        <v>3</v>
      </c>
      <c r="T19" s="208">
        <f ca="1">IF(CalcE2!$K$13=0,"",VLOOKUP(CalcE2!$B$4,CalcE2!$C$4:$N$12,10,0))</f>
        <v>2</v>
      </c>
      <c r="U19" s="208">
        <f ca="1">IF(CalcE2!$K$13=0,"",VLOOKUP(CalcE2!$B$4,CalcE2!$C$4:$N$12,11,0))</f>
        <v>1</v>
      </c>
      <c r="V19" s="208">
        <f ca="1">IF(CalcE2!$K$13=0,"",VLOOKUP(CalcE2!$B$4,CalcE2!$C$4:$N$12,12,0))</f>
        <v>0</v>
      </c>
      <c r="W19" s="210">
        <f ca="1">IF(CalcE2!$K$13=0,"",VLOOKUP(CalcE2!$B$4,CalcE2!$C$4:$N$12,5,0))</f>
        <v>19</v>
      </c>
      <c r="X19" s="497" t="str">
        <f>Sprache!$E$73</f>
        <v>:</v>
      </c>
      <c r="Y19" s="212">
        <f ca="1">IF(CalcE2!$K$13=0,"",VLOOKUP(CalcE2!$B$4,CalcE2!$C$4:$N$12,6,0))</f>
        <v>6</v>
      </c>
      <c r="Z19" s="208">
        <f ca="1">IF(CalcE2!$K$13=0,"",VLOOKUP(CalcE2!$B$4,CalcE2!$C$4:$N$12,7,0))</f>
        <v>13</v>
      </c>
      <c r="AA19" s="213">
        <f ca="1">IF(CalcE2!$K$13=0,"",VLOOKUP(CalcE2!$B$4,CalcE2!$C$4:$N$12,8,0))</f>
        <v>7</v>
      </c>
      <c r="AD19" s="485" t="s">
        <v>317</v>
      </c>
      <c r="AE19" s="498" t="str">
        <f ca="1">IF(Vorrunde!$N$14="","",Vorrunde!$N$14)</f>
        <v>Raslo Winners</v>
      </c>
      <c r="AF19" s="424"/>
    </row>
    <row r="20" spans="2:32" ht="24" customHeight="1" x14ac:dyDescent="0.2">
      <c r="C20" s="389">
        <f t="array" aca="1" ref="C20" ca="1">$C$12+ROW(8:8)-SUM((($I$12:$I19="")+($K$12:$K19="")&gt;0)*1)</f>
        <v>64</v>
      </c>
      <c r="D20" s="350">
        <f t="array" aca="1" ref="D20" ca="1">IF(Planung!$U$16,"",$D$12+QUOTIENT(($C20-$C$12),Planung!$U$18)*(Planung!$R$7+Planung!$R$9)/1440+SUM($O$12:$O19)/1440)</f>
        <v>0.73958333333333337</v>
      </c>
      <c r="E20" s="344">
        <f ca="1">IF(Planung!$U$16,"",MOD($C20-$C$12,Planung!$U$18)+1)</f>
        <v>4</v>
      </c>
      <c r="F20" s="514" t="s">
        <v>318</v>
      </c>
      <c r="G20" s="515" t="s">
        <v>5</v>
      </c>
      <c r="H20" s="516" t="s">
        <v>323</v>
      </c>
      <c r="I20" s="490" t="str">
        <f t="shared" ca="1" si="0"/>
        <v>Manchester City</v>
      </c>
      <c r="J20" s="335" t="s">
        <v>5</v>
      </c>
      <c r="K20" s="336" t="str">
        <f t="shared" ca="1" si="1"/>
        <v>Eintracht Frankfurt</v>
      </c>
      <c r="L20" s="340">
        <v>2</v>
      </c>
      <c r="M20" s="343" t="str">
        <f>Sprache!$E$73</f>
        <v>:</v>
      </c>
      <c r="N20" s="324">
        <v>1</v>
      </c>
      <c r="O20" s="362"/>
      <c r="Q20" s="499">
        <f ca="1">IF(CalcE2!$K$13=0,"",IF(VLOOKUP(CalcE2!$B$5,CalcE2!$C$4:$E$12,3,0)=MAX($Q19:$Q19),VLOOKUP(CalcE2!$B$5,CalcE2!$C$4:$E$12,3,0),CalcE2!$B$5))</f>
        <v>2</v>
      </c>
      <c r="R20" s="384" t="str">
        <f ca="1">IF(OR(Calc1!$F$14&lt;3,AE23=1),"",IF(CalcE2!$K$13=0,CalcE2!$Q$65,VLOOKUP(CalcE2!$B$5,CalcE2!$C$4:$N$12,4,0)))</f>
        <v>Inter Mailand</v>
      </c>
      <c r="S20" s="223">
        <f ca="1">IF(CalcE2!$K$13=0,"",VLOOKUP(CalcE2!$B$5,CalcE2!$C$4:$N$12,9,0))</f>
        <v>3</v>
      </c>
      <c r="T20" s="198">
        <f ca="1">IF(CalcE2!$K$13=0,"",VLOOKUP(CalcE2!$B$5,CalcE2!$C$4:$N$12,10,0))</f>
        <v>2</v>
      </c>
      <c r="U20" s="198">
        <f ca="1">IF(CalcE2!$K$13=0,"",VLOOKUP(CalcE2!$B$5,CalcE2!$C$4:$N$12,11,0))</f>
        <v>0</v>
      </c>
      <c r="V20" s="198">
        <f ca="1">IF(CalcE2!$K$13=0,"",VLOOKUP(CalcE2!$B$5,CalcE2!$C$4:$N$12,12,0))</f>
        <v>1</v>
      </c>
      <c r="W20" s="219">
        <f ca="1">IF(CalcE2!$K$13=0,"",VLOOKUP(CalcE2!$B$5,CalcE2!$C$4:$N$12,5,0))</f>
        <v>20</v>
      </c>
      <c r="X20" s="500" t="str">
        <f>Sprache!$E$73</f>
        <v>:</v>
      </c>
      <c r="Y20" s="221">
        <f ca="1">IF(CalcE2!$K$13=0,"",VLOOKUP(CalcE2!$B$5,CalcE2!$C$4:$N$12,6,0))</f>
        <v>19</v>
      </c>
      <c r="Z20" s="198">
        <f ca="1">IF(CalcE2!$K$13=0,"",VLOOKUP(CalcE2!$B$5,CalcE2!$C$4:$N$12,7,0))</f>
        <v>1</v>
      </c>
      <c r="AA20" s="222">
        <f ca="1">IF(CalcE2!$K$13=0,"",VLOOKUP(CalcE2!$B$5,CalcE2!$C$4:$N$12,8,0))</f>
        <v>6</v>
      </c>
      <c r="AD20" s="501" t="s">
        <v>325</v>
      </c>
      <c r="AE20" s="502" t="str">
        <f ca="1">IF(Vorrunde!$N$27="","",Vorrunde!$N$27)</f>
        <v>Inter Mailand</v>
      </c>
      <c r="AF20" s="425"/>
    </row>
    <row r="21" spans="2:32" ht="24" customHeight="1" x14ac:dyDescent="0.2">
      <c r="C21" s="389">
        <f t="array" aca="1" ref="C21" ca="1">$C$12+ROW(9:9)-SUM((($I$12:$I20="")+($K$12:$K20="")&gt;0)*1)</f>
        <v>65</v>
      </c>
      <c r="D21" s="350">
        <f t="array" aca="1" ref="D21" ca="1">IF(Planung!$U$16,"",$D$12+QUOTIENT(($C21-$C$12),Planung!$U$18)*(Planung!$R$7+Planung!$R$9)/1440+SUM($O$12:$O20)/1440)</f>
        <v>0.76388888888888895</v>
      </c>
      <c r="E21" s="344">
        <f ca="1">IF(Planung!$U$16,"",MOD($C21-$C$12,Planung!$U$18)+1)</f>
        <v>1</v>
      </c>
      <c r="F21" s="514" t="s">
        <v>358</v>
      </c>
      <c r="G21" s="515" t="s">
        <v>5</v>
      </c>
      <c r="H21" s="516" t="s">
        <v>360</v>
      </c>
      <c r="I21" s="490" t="str">
        <f t="shared" ca="1" si="0"/>
        <v>VFB Essenheim</v>
      </c>
      <c r="J21" s="335" t="s">
        <v>5</v>
      </c>
      <c r="K21" s="336" t="str">
        <f t="shared" ca="1" si="1"/>
        <v>1. FC Riedwald</v>
      </c>
      <c r="L21" s="340">
        <v>2</v>
      </c>
      <c r="M21" s="343" t="str">
        <f>Sprache!$E$73</f>
        <v>:</v>
      </c>
      <c r="N21" s="324">
        <v>2</v>
      </c>
      <c r="O21" s="362"/>
      <c r="Q21" s="499">
        <f ca="1">IF(CalcE2!$K$13=0,"",IF(VLOOKUP(CalcE2!$B$6,CalcE2!$C$4:$E$12,3,0)=MAX($Q19:$Q20),VLOOKUP(CalcE2!$B$6,CalcE2!$C$4:$E$12,3,0),CalcE2!$B$6))</f>
        <v>3</v>
      </c>
      <c r="R21" s="384" t="str">
        <f ca="1">IF(OR(Calc1!$F$14&lt;3,AE23=1),"",IF(CalcE2!$K$13=0,CalcE2!$Q$66,VLOOKUP(CalcE2!$B$6,CalcE2!$C$4:$N$12,4,0)))</f>
        <v>Raslo Winners</v>
      </c>
      <c r="S21" s="223">
        <f ca="1">IF(CalcE2!$K$13=0,"",VLOOKUP(CalcE2!$B$6,CalcE2!$C$4:$N$12,9,0))</f>
        <v>3</v>
      </c>
      <c r="T21" s="198">
        <f ca="1">IF(CalcE2!$K$13=0,"",VLOOKUP(CalcE2!$B$6,CalcE2!$C$4:$N$12,10,0))</f>
        <v>1</v>
      </c>
      <c r="U21" s="198">
        <f ca="1">IF(CalcE2!$K$13=0,"",VLOOKUP(CalcE2!$B$6,CalcE2!$C$4:$N$12,11,0))</f>
        <v>1</v>
      </c>
      <c r="V21" s="198">
        <f ca="1">IF(CalcE2!$K$13=0,"",VLOOKUP(CalcE2!$B$6,CalcE2!$C$4:$N$12,12,0))</f>
        <v>1</v>
      </c>
      <c r="W21" s="219">
        <f ca="1">IF(CalcE2!$K$13=0,"",VLOOKUP(CalcE2!$B$6,CalcE2!$C$4:$N$12,5,0))</f>
        <v>14</v>
      </c>
      <c r="X21" s="500" t="str">
        <f>Sprache!$E$73</f>
        <v>:</v>
      </c>
      <c r="Y21" s="221">
        <f ca="1">IF(CalcE2!$K$13=0,"",VLOOKUP(CalcE2!$B$6,CalcE2!$C$4:$N$12,6,0))</f>
        <v>19</v>
      </c>
      <c r="Z21" s="198">
        <f ca="1">IF(CalcE2!$K$13=0,"",VLOOKUP(CalcE2!$B$6,CalcE2!$C$4:$N$12,7,0))</f>
        <v>-5</v>
      </c>
      <c r="AA21" s="222">
        <f ca="1">IF(CalcE2!$K$13=0,"",VLOOKUP(CalcE2!$B$6,CalcE2!$C$4:$N$12,8,0))</f>
        <v>4</v>
      </c>
      <c r="AD21" s="486" t="s">
        <v>326</v>
      </c>
      <c r="AE21" s="502" t="str">
        <f ca="1">IF(Vorrunde!$N$15="","",Vorrunde!$N$15)</f>
        <v>Fun Kickers Oes</v>
      </c>
      <c r="AF21" s="425"/>
    </row>
    <row r="22" spans="2:32" ht="24" customHeight="1" thickBot="1" x14ac:dyDescent="0.25">
      <c r="C22" s="389">
        <f t="array" aca="1" ref="C22" ca="1">$C$12+ROW(10:10)-SUM((($I$12:$I21="")+($K$12:$K21="")&gt;0)*1)</f>
        <v>66</v>
      </c>
      <c r="D22" s="350">
        <f t="array" aca="1" ref="D22" ca="1">IF(Planung!$U$16,"",$D$12+QUOTIENT(($C22-$C$12),Planung!$U$18)*(Planung!$R$7+Planung!$R$9)/1440+SUM($O$12:$O21)/1440)</f>
        <v>0.76388888888888895</v>
      </c>
      <c r="E22" s="344">
        <f ca="1">IF(Planung!$U$16,"",MOD($C22-$C$12,Planung!$U$18)+1)</f>
        <v>2</v>
      </c>
      <c r="F22" s="514" t="s">
        <v>328</v>
      </c>
      <c r="G22" s="515" t="s">
        <v>5</v>
      </c>
      <c r="H22" s="516" t="s">
        <v>330</v>
      </c>
      <c r="I22" s="490" t="str">
        <f t="shared" ca="1" si="0"/>
        <v>Knock Out Rangers</v>
      </c>
      <c r="J22" s="335" t="s">
        <v>5</v>
      </c>
      <c r="K22" s="336" t="str">
        <f t="shared" ca="1" si="1"/>
        <v>Maibach 1822 eV</v>
      </c>
      <c r="L22" s="340">
        <v>4</v>
      </c>
      <c r="M22" s="343" t="str">
        <f>Sprache!$E$73</f>
        <v>:</v>
      </c>
      <c r="N22" s="324">
        <v>2</v>
      </c>
      <c r="O22" s="362"/>
      <c r="Q22" s="503">
        <f ca="1">IF(CalcE2!$K$13=0,"",IF(VLOOKUP(CalcE2!$B$7,CalcE2!$C$4:$E$12,3,0)=MAX($Q19:$Q21),VLOOKUP(CalcE2!$B$7,CalcE2!$C$4:$E$12,3,0),CalcE2!$B$7))</f>
        <v>4</v>
      </c>
      <c r="R22" s="386" t="str">
        <f ca="1">IF(OR(Calc1!$F$14&lt;3,AE23=1),"",IF(CalcE2!$K$13=0,CalcE2!$Q$67,VLOOKUP(CalcE2!$B$7,CalcE2!$C$4:$N$12,4,0)))</f>
        <v>Fun Kickers Oes</v>
      </c>
      <c r="S22" s="234">
        <f ca="1">IF(CalcE2!$K$13=0,"",VLOOKUP(CalcE2!$B$7,CalcE2!$C$4:$N$12,9,0))</f>
        <v>3</v>
      </c>
      <c r="T22" s="228">
        <f ca="1">IF(CalcE2!$K$13=0,"",VLOOKUP(CalcE2!$B$7,CalcE2!$C$4:$N$12,10,0))</f>
        <v>0</v>
      </c>
      <c r="U22" s="228">
        <f ca="1">IF(CalcE2!$K$13=0,"",VLOOKUP(CalcE2!$B$7,CalcE2!$C$4:$N$12,11,0))</f>
        <v>0</v>
      </c>
      <c r="V22" s="228">
        <f ca="1">IF(CalcE2!$K$13=0,"",VLOOKUP(CalcE2!$B$7,CalcE2!$C$4:$N$12,12,0))</f>
        <v>3</v>
      </c>
      <c r="W22" s="230">
        <f ca="1">IF(CalcE2!$K$13=0,"",VLOOKUP(CalcE2!$B$7,CalcE2!$C$4:$N$12,5,0))</f>
        <v>11</v>
      </c>
      <c r="X22" s="504" t="str">
        <f>Sprache!$E$73</f>
        <v>:</v>
      </c>
      <c r="Y22" s="232">
        <f ca="1">IF(CalcE2!$K$13=0,"",VLOOKUP(CalcE2!$B$7,CalcE2!$C$4:$N$12,6,0))</f>
        <v>20</v>
      </c>
      <c r="Z22" s="228">
        <f ca="1">IF(CalcE2!$K$13=0,"",VLOOKUP(CalcE2!$B$7,CalcE2!$C$4:$N$12,7,0))</f>
        <v>-9</v>
      </c>
      <c r="AA22" s="233">
        <f ca="1">IF(CalcE2!$K$13=0,"",VLOOKUP(CalcE2!$B$7,CalcE2!$C$4:$N$12,8,0))</f>
        <v>0</v>
      </c>
      <c r="AD22" s="505" t="s">
        <v>327</v>
      </c>
      <c r="AE22" s="506" t="str">
        <f ca="1">IF(Vorrunde!$N$28="","",Vorrunde!$N$28)</f>
        <v>Mainz 05</v>
      </c>
      <c r="AF22" s="426"/>
    </row>
    <row r="23" spans="2:32" ht="24" customHeight="1" thickTop="1" x14ac:dyDescent="0.2">
      <c r="C23" s="389">
        <f t="array" aca="1" ref="C23" ca="1">$C$12+ROW(11:11)-SUM((($I$12:$I22="")+($K$12:$K22="")&gt;0)*1)</f>
        <v>67</v>
      </c>
      <c r="D23" s="350">
        <f t="array" aca="1" ref="D23" ca="1">IF(Planung!$U$16,"",$D$12+QUOTIENT(($C23-$C$12),Planung!$U$18)*(Planung!$R$7+Planung!$R$9)/1440+SUM($O$12:$O22)/1440)</f>
        <v>0.76388888888888895</v>
      </c>
      <c r="E23" s="344">
        <f ca="1">IF(Planung!$U$16,"",MOD($C23-$C$12,Planung!$U$18)+1)</f>
        <v>3</v>
      </c>
      <c r="F23" s="514" t="s">
        <v>317</v>
      </c>
      <c r="G23" s="515" t="s">
        <v>5</v>
      </c>
      <c r="H23" s="516" t="s">
        <v>326</v>
      </c>
      <c r="I23" s="490" t="str">
        <f t="shared" ca="1" si="0"/>
        <v>Raslo Winners</v>
      </c>
      <c r="J23" s="335" t="s">
        <v>5</v>
      </c>
      <c r="K23" s="336" t="str">
        <f t="shared" ca="1" si="1"/>
        <v>Fun Kickers Oes</v>
      </c>
      <c r="L23" s="340">
        <v>4</v>
      </c>
      <c r="M23" s="343" t="str">
        <f>Sprache!$E$73</f>
        <v>:</v>
      </c>
      <c r="N23" s="324">
        <v>3</v>
      </c>
      <c r="O23" s="362"/>
      <c r="AE23" s="530">
        <f t="array" aca="1" ref="AE23" ca="1">SUM((AE19:AE22&lt;&gt;"")*1)</f>
        <v>4</v>
      </c>
    </row>
    <row r="24" spans="2:32" ht="24" customHeight="1" thickBot="1" x14ac:dyDescent="0.45">
      <c r="C24" s="389">
        <f t="array" aca="1" ref="C24" ca="1">$C$12+ROW(12:12)-SUM((($I$12:$I23="")+($K$12:$K23="")&gt;0)*1)</f>
        <v>68</v>
      </c>
      <c r="D24" s="350">
        <f t="array" aca="1" ref="D24" ca="1">IF(Planung!$U$16,"",$D$12+QUOTIENT(($C24-$C$12),Planung!$U$18)*(Planung!$R$7+Planung!$R$9)/1440+SUM($O$12:$O23)/1440)</f>
        <v>0.76388888888888895</v>
      </c>
      <c r="E24" s="344">
        <f ca="1">IF(Planung!$U$16,"",MOD($C24-$C$12,Planung!$U$18)+1)</f>
        <v>4</v>
      </c>
      <c r="F24" s="514" t="s">
        <v>322</v>
      </c>
      <c r="G24" s="515" t="s">
        <v>5</v>
      </c>
      <c r="H24" s="516" t="s">
        <v>323</v>
      </c>
      <c r="I24" s="490" t="str">
        <f t="shared" ca="1" si="0"/>
        <v>FC Barcelona</v>
      </c>
      <c r="J24" s="335" t="s">
        <v>5</v>
      </c>
      <c r="K24" s="336" t="str">
        <f t="shared" ca="1" si="1"/>
        <v>Eintracht Frankfurt</v>
      </c>
      <c r="L24" s="340">
        <v>0</v>
      </c>
      <c r="M24" s="343" t="str">
        <f>Sprache!$E$73</f>
        <v>:</v>
      </c>
      <c r="N24" s="324">
        <v>0</v>
      </c>
      <c r="O24" s="362"/>
      <c r="Q24" s="720" t="str">
        <f>Sprache!$E$59</f>
        <v>Gruppenfünfte und -sechste</v>
      </c>
      <c r="R24" s="720"/>
      <c r="S24" s="720"/>
      <c r="T24" s="720"/>
      <c r="U24" s="720"/>
      <c r="V24" s="720"/>
      <c r="W24" s="199"/>
      <c r="X24" s="199"/>
      <c r="Y24" s="199"/>
      <c r="Z24" s="199"/>
      <c r="AA24" s="199"/>
      <c r="AD24" s="721" t="str">
        <f>$Q24</f>
        <v>Gruppenfünfte und -sechste</v>
      </c>
      <c r="AE24" s="721"/>
      <c r="AF24" s="721"/>
    </row>
    <row r="25" spans="2:32" ht="24" customHeight="1" thickTop="1" thickBot="1" x14ac:dyDescent="0.25">
      <c r="C25" s="389">
        <f t="array" aca="1" ref="C25" ca="1">$C$12+ROW(13:13)-SUM((($I$12:$I24="")+($K$12:$K24="")&gt;0)*1)</f>
        <v>69</v>
      </c>
      <c r="D25" s="350">
        <f t="array" aca="1" ref="D25" ca="1">IF(Planung!$U$16,"",$D$12+QUOTIENT(($C25-$C$12),Planung!$U$18)*(Planung!$R$7+Planung!$R$9)/1440+SUM($O$12:$O24)/1440)</f>
        <v>0.78819444444444442</v>
      </c>
      <c r="E25" s="344">
        <f ca="1">IF(Planung!$U$16,"",MOD($C25-$C$12,Planung!$U$18)+1)</f>
        <v>1</v>
      </c>
      <c r="F25" s="514" t="s">
        <v>359</v>
      </c>
      <c r="G25" s="515" t="s">
        <v>5</v>
      </c>
      <c r="H25" s="516" t="s">
        <v>361</v>
      </c>
      <c r="I25" s="490" t="str">
        <f t="shared" ca="1" si="0"/>
        <v>VFL Ronsdorf</v>
      </c>
      <c r="J25" s="335" t="s">
        <v>5</v>
      </c>
      <c r="K25" s="336" t="str">
        <f t="shared" ca="1" si="1"/>
        <v>SSV Wildbach</v>
      </c>
      <c r="L25" s="340">
        <v>1</v>
      </c>
      <c r="M25" s="343" t="str">
        <f>Sprache!$E$73</f>
        <v>:</v>
      </c>
      <c r="N25" s="324">
        <v>5</v>
      </c>
      <c r="O25" s="362"/>
      <c r="Q25" s="722"/>
      <c r="R25" s="723"/>
      <c r="S25" s="201" t="str">
        <f>Sprache!$E$21</f>
        <v>SP</v>
      </c>
      <c r="T25" s="202" t="str">
        <f>Sprache!$E$22</f>
        <v>G</v>
      </c>
      <c r="U25" s="202" t="str">
        <f>Sprache!$E$23</f>
        <v>U</v>
      </c>
      <c r="V25" s="487" t="str">
        <f>Sprache!$E$24</f>
        <v>V</v>
      </c>
      <c r="W25" s="724" t="str">
        <f>Sprache!$E$25</f>
        <v>Tore</v>
      </c>
      <c r="X25" s="725"/>
      <c r="Y25" s="726"/>
      <c r="Z25" s="202" t="str">
        <f>Sprache!$E$26</f>
        <v>Diff.</v>
      </c>
      <c r="AA25" s="204" t="str">
        <f>Sprache!$E$27</f>
        <v>Pkt</v>
      </c>
      <c r="AD25" s="493"/>
      <c r="AE25" s="494" t="str">
        <f>Sprache!$E$10</f>
        <v>Teilnehmer bzw. Mannschaft</v>
      </c>
      <c r="AF25" s="422" t="str">
        <f>Sprache!$E$49</f>
        <v>Bonus</v>
      </c>
    </row>
    <row r="26" spans="2:32" ht="24" customHeight="1" x14ac:dyDescent="0.2">
      <c r="C26" s="389">
        <f t="array" aca="1" ref="C26" ca="1">$C$12+ROW(14:14)-SUM((($I$12:$I25="")+($K$12:$K25="")&gt;0)*1)</f>
        <v>70</v>
      </c>
      <c r="D26" s="350">
        <f t="array" aca="1" ref="D26" ca="1">IF(Planung!$U$16,"",$D$12+QUOTIENT(($C26-$C$12),Planung!$U$18)*(Planung!$R$7+Planung!$R$9)/1440+SUM($O$12:$O25)/1440)</f>
        <v>0.78819444444444442</v>
      </c>
      <c r="E26" s="520">
        <f ca="1">IF(Planung!$U$16,"",MOD($C26-$C$12,Planung!$U$18)+1)</f>
        <v>2</v>
      </c>
      <c r="F26" s="514" t="s">
        <v>329</v>
      </c>
      <c r="G26" s="515" t="s">
        <v>5</v>
      </c>
      <c r="H26" s="516" t="s">
        <v>331</v>
      </c>
      <c r="I26" s="491" t="str">
        <f t="shared" ca="1" si="0"/>
        <v>Borussia Heine</v>
      </c>
      <c r="J26" s="153" t="s">
        <v>5</v>
      </c>
      <c r="K26" s="329" t="str">
        <f t="shared" ca="1" si="1"/>
        <v>FC Grönlingen</v>
      </c>
      <c r="L26" s="340">
        <v>4</v>
      </c>
      <c r="M26" s="343" t="str">
        <f>Sprache!$E$73</f>
        <v>:</v>
      </c>
      <c r="N26" s="324">
        <v>4</v>
      </c>
      <c r="O26" s="362"/>
      <c r="Q26" s="495">
        <f ca="1">IF(CalcE3!$K$13=0,"",1)</f>
        <v>1</v>
      </c>
      <c r="R26" s="382" t="str">
        <f ca="1">IF(Calc1!$F$14&lt;3,"",IF(AND(CalcE3!$K$13=0,AE30&lt;&gt;1),CalcE3!$Q$64,VLOOKUP(CalcE3!$B$4,CalcE3!$C$4:$N$12,4,0)))</f>
        <v>Knock Out Rangers</v>
      </c>
      <c r="S26" s="496">
        <f ca="1">IF(CalcE3!$K$13=0,"",VLOOKUP(CalcE3!$B$4,CalcE3!$C$4:$N$12,9,0))</f>
        <v>3</v>
      </c>
      <c r="T26" s="208">
        <f ca="1">IF(CalcE3!$K$13=0,"",VLOOKUP(CalcE3!$B$4,CalcE3!$C$4:$N$12,10,0))</f>
        <v>2</v>
      </c>
      <c r="U26" s="208">
        <f ca="1">IF(CalcE3!$K$13=0,"",VLOOKUP(CalcE3!$B$4,CalcE3!$C$4:$N$12,11,0))</f>
        <v>0</v>
      </c>
      <c r="V26" s="208">
        <f ca="1">IF(CalcE3!$K$13=0,"",VLOOKUP(CalcE3!$B$4,CalcE3!$C$4:$N$12,12,0))</f>
        <v>1</v>
      </c>
      <c r="W26" s="210">
        <f ca="1">IF(CalcE3!$K$13=0,"",VLOOKUP(CalcE3!$B$4,CalcE3!$C$4:$N$12,5,0))</f>
        <v>14</v>
      </c>
      <c r="X26" s="497" t="str">
        <f>Sprache!$E$73</f>
        <v>:</v>
      </c>
      <c r="Y26" s="212">
        <f ca="1">IF(CalcE3!$K$13=0,"",VLOOKUP(CalcE3!$B$4,CalcE3!$C$4:$N$12,6,0))</f>
        <v>17</v>
      </c>
      <c r="Z26" s="208">
        <f ca="1">IF(CalcE3!$K$13=0,"",VLOOKUP(CalcE3!$B$4,CalcE3!$C$4:$N$12,7,0))</f>
        <v>-3</v>
      </c>
      <c r="AA26" s="213">
        <f ca="1">IF(CalcE3!$K$13=0,"",VLOOKUP(CalcE3!$B$4,CalcE3!$C$4:$N$12,8,0))</f>
        <v>6</v>
      </c>
      <c r="AD26" s="485" t="s">
        <v>328</v>
      </c>
      <c r="AE26" s="498" t="str">
        <f ca="1">IF(Vorrunde!$N$16="","",Vorrunde!$N$16)</f>
        <v>Knock Out Rangers</v>
      </c>
      <c r="AF26" s="424"/>
    </row>
    <row r="27" spans="2:32" ht="24" customHeight="1" x14ac:dyDescent="0.2">
      <c r="C27" s="389">
        <f t="array" aca="1" ref="C27" ca="1">$C$12+ROW(15:15)-SUM((($I$12:$I26="")+($K$12:$K26="")&gt;0)*1)</f>
        <v>71</v>
      </c>
      <c r="D27" s="350">
        <f t="array" aca="1" ref="D27" ca="1">IF(Planung!$U$16,"",$D$12+QUOTIENT(($C27-$C$12),Planung!$U$18)*(Planung!$R$7+Planung!$R$9)/1440+SUM($O$12:$O26)/1440)</f>
        <v>0.78819444444444442</v>
      </c>
      <c r="E27" s="344">
        <f ca="1">IF(Planung!$U$16,"",MOD($C27-$C$12,Planung!$U$18)+1)</f>
        <v>3</v>
      </c>
      <c r="F27" s="514" t="s">
        <v>325</v>
      </c>
      <c r="G27" s="515" t="s">
        <v>5</v>
      </c>
      <c r="H27" s="516" t="s">
        <v>327</v>
      </c>
      <c r="I27" s="490" t="str">
        <f t="shared" ca="1" si="0"/>
        <v>Inter Mailand</v>
      </c>
      <c r="J27" s="335" t="s">
        <v>5</v>
      </c>
      <c r="K27" s="336" t="str">
        <f t="shared" ca="1" si="1"/>
        <v>Mainz 05</v>
      </c>
      <c r="L27" s="340">
        <v>0</v>
      </c>
      <c r="M27" s="343" t="str">
        <f>Sprache!$E$73</f>
        <v>:</v>
      </c>
      <c r="N27" s="324">
        <v>7</v>
      </c>
      <c r="O27" s="362"/>
      <c r="Q27" s="499">
        <f ca="1">IF(CalcE3!$K$13=0,"",IF(VLOOKUP(CalcE3!$B$5,CalcE3!$C$4:$E$12,3,0)=MAX($Q26:$Q26),VLOOKUP(CalcE3!$B$5,CalcE3!$C$4:$E$12,3,0),CalcE3!$B$5))</f>
        <v>2</v>
      </c>
      <c r="R27" s="384" t="str">
        <f ca="1">IF(OR(Calc1!$F$14&lt;3,AE30=1),"",IF(CalcE3!$K$13=0,CalcE3!$Q$65,VLOOKUP(CalcE3!$B$5,CalcE3!$C$4:$N$12,4,0)))</f>
        <v>Borussia Heine</v>
      </c>
      <c r="S27" s="223">
        <f ca="1">IF(CalcE3!$K$13=0,"",VLOOKUP(CalcE3!$B$5,CalcE3!$C$4:$N$12,9,0))</f>
        <v>3</v>
      </c>
      <c r="T27" s="198">
        <f ca="1">IF(CalcE3!$K$13=0,"",VLOOKUP(CalcE3!$B$5,CalcE3!$C$4:$N$12,10,0))</f>
        <v>1</v>
      </c>
      <c r="U27" s="198">
        <f ca="1">IF(CalcE3!$K$13=0,"",VLOOKUP(CalcE3!$B$5,CalcE3!$C$4:$N$12,11,0))</f>
        <v>1</v>
      </c>
      <c r="V27" s="198">
        <f ca="1">IF(CalcE3!$K$13=0,"",VLOOKUP(CalcE3!$B$5,CalcE3!$C$4:$N$12,12,0))</f>
        <v>1</v>
      </c>
      <c r="W27" s="219">
        <f ca="1">IF(CalcE3!$K$13=0,"",VLOOKUP(CalcE3!$B$5,CalcE3!$C$4:$N$12,5,0))</f>
        <v>19</v>
      </c>
      <c r="X27" s="500" t="str">
        <f>Sprache!$E$73</f>
        <v>:</v>
      </c>
      <c r="Y27" s="221">
        <f ca="1">IF(CalcE3!$K$13=0,"",VLOOKUP(CalcE3!$B$5,CalcE3!$C$4:$N$12,6,0))</f>
        <v>14</v>
      </c>
      <c r="Z27" s="198">
        <f ca="1">IF(CalcE3!$K$13=0,"",VLOOKUP(CalcE3!$B$5,CalcE3!$C$4:$N$12,7,0))</f>
        <v>5</v>
      </c>
      <c r="AA27" s="222">
        <f ca="1">IF(CalcE3!$K$13=0,"",VLOOKUP(CalcE3!$B$5,CalcE3!$C$4:$N$12,8,0))</f>
        <v>4</v>
      </c>
      <c r="AD27" s="501" t="s">
        <v>329</v>
      </c>
      <c r="AE27" s="502" t="str">
        <f ca="1">IF(Vorrunde!$N$29="","",Vorrunde!$N$29)</f>
        <v>Borussia Heine</v>
      </c>
      <c r="AF27" s="425"/>
    </row>
    <row r="28" spans="2:32" ht="24" customHeight="1" x14ac:dyDescent="0.2">
      <c r="C28" s="389">
        <f t="array" aca="1" ref="C28" ca="1">$C$12+ROW(16:16)-SUM((($I$12:$I27="")+($K$12:$K27="")&gt;0)*1)</f>
        <v>72</v>
      </c>
      <c r="D28" s="350">
        <f t="array" aca="1" ref="D28" ca="1">IF(Planung!$U$16,"",$D$12+QUOTIENT(($C28-$C$12),Planung!$U$18)*(Planung!$R$7+Planung!$R$9)/1440+SUM($O$12:$O27)/1440)</f>
        <v>0.78819444444444442</v>
      </c>
      <c r="E28" s="520">
        <f ca="1">IF(Planung!$U$16,"",MOD($C28-$C$12,Planung!$U$18)+1)</f>
        <v>4</v>
      </c>
      <c r="F28" s="514" t="s">
        <v>318</v>
      </c>
      <c r="G28" s="515" t="s">
        <v>5</v>
      </c>
      <c r="H28" s="516" t="s">
        <v>324</v>
      </c>
      <c r="I28" s="491" t="str">
        <f t="shared" ca="1" si="0"/>
        <v>Manchester City</v>
      </c>
      <c r="J28" s="153" t="s">
        <v>5</v>
      </c>
      <c r="K28" s="329" t="str">
        <f t="shared" ca="1" si="1"/>
        <v>AC Roma</v>
      </c>
      <c r="L28" s="340">
        <v>2</v>
      </c>
      <c r="M28" s="343" t="str">
        <f>Sprache!$E$73</f>
        <v>:</v>
      </c>
      <c r="N28" s="324">
        <v>8</v>
      </c>
      <c r="O28" s="362"/>
      <c r="Q28" s="499">
        <f ca="1">IF(CalcE3!$K$13=0,"",IF(VLOOKUP(CalcE3!$B$6,CalcE3!$C$4:$E$12,3,0)=MAX($Q26:$Q27),VLOOKUP(CalcE3!$B$6,CalcE3!$C$4:$E$12,3,0),CalcE3!$B$6))</f>
        <v>3</v>
      </c>
      <c r="R28" s="384" t="str">
        <f ca="1">IF(OR(Calc1!$F$14&lt;3,AE30=1),"",IF(CalcE3!$K$13=0,CalcE3!$Q$66,VLOOKUP(CalcE3!$B$6,CalcE3!$C$4:$N$12,4,0)))</f>
        <v>FC Grönlingen</v>
      </c>
      <c r="S28" s="223">
        <f ca="1">IF(CalcE3!$K$13=0,"",VLOOKUP(CalcE3!$B$6,CalcE3!$C$4:$N$12,9,0))</f>
        <v>3</v>
      </c>
      <c r="T28" s="198">
        <f ca="1">IF(CalcE3!$K$13=0,"",VLOOKUP(CalcE3!$B$6,CalcE3!$C$4:$N$12,10,0))</f>
        <v>1</v>
      </c>
      <c r="U28" s="198">
        <f ca="1">IF(CalcE3!$K$13=0,"",VLOOKUP(CalcE3!$B$6,CalcE3!$C$4:$N$12,11,0))</f>
        <v>1</v>
      </c>
      <c r="V28" s="198">
        <f ca="1">IF(CalcE3!$K$13=0,"",VLOOKUP(CalcE3!$B$6,CalcE3!$C$4:$N$12,12,0))</f>
        <v>1</v>
      </c>
      <c r="W28" s="219">
        <f ca="1">IF(CalcE3!$K$13=0,"",VLOOKUP(CalcE3!$B$6,CalcE3!$C$4:$N$12,5,0))</f>
        <v>15</v>
      </c>
      <c r="X28" s="500" t="str">
        <f>Sprache!$E$73</f>
        <v>:</v>
      </c>
      <c r="Y28" s="221">
        <f ca="1">IF(CalcE3!$K$13=0,"",VLOOKUP(CalcE3!$B$6,CalcE3!$C$4:$N$12,6,0))</f>
        <v>10</v>
      </c>
      <c r="Z28" s="198">
        <f ca="1">IF(CalcE3!$K$13=0,"",VLOOKUP(CalcE3!$B$6,CalcE3!$C$4:$N$12,7,0))</f>
        <v>5</v>
      </c>
      <c r="AA28" s="222">
        <f ca="1">IF(CalcE3!$K$13=0,"",VLOOKUP(CalcE3!$B$6,CalcE3!$C$4:$N$12,8,0))</f>
        <v>4</v>
      </c>
      <c r="AD28" s="486" t="s">
        <v>330</v>
      </c>
      <c r="AE28" s="502" t="str">
        <f ca="1">IF(Vorrunde!$N$17="","",Vorrunde!$N$17)</f>
        <v>Maibach 1822 eV</v>
      </c>
      <c r="AF28" s="425"/>
    </row>
    <row r="29" spans="2:32" ht="24" customHeight="1" thickBot="1" x14ac:dyDescent="0.25">
      <c r="C29" s="389">
        <f t="array" aca="1" ref="C29" ca="1">$C$12+ROW(17:17)-SUM((($I$12:$I28="")+($K$12:$K28="")&gt;0)*1)</f>
        <v>73</v>
      </c>
      <c r="D29" s="350">
        <f t="array" aca="1" ref="D29" ca="1">IF(Planung!$U$16,"",$D$12+QUOTIENT(($C29-$C$12),Planung!$U$18)*(Planung!$R$7+Planung!$R$9)/1440+SUM($O$12:$O28)/1440)</f>
        <v>0.8125</v>
      </c>
      <c r="E29" s="520">
        <f ca="1">IF(Planung!$U$16,"",MOD($C29-$C$12,Planung!$U$18)+1)</f>
        <v>1</v>
      </c>
      <c r="F29" s="514" t="s">
        <v>360</v>
      </c>
      <c r="G29" s="515" t="s">
        <v>5</v>
      </c>
      <c r="H29" s="516" t="s">
        <v>361</v>
      </c>
      <c r="I29" s="491" t="str">
        <f t="shared" ref="I29:I35" ca="1" si="2">IF($F29="","",IF(VLOOKUP($F29,$AD$12:$AE$41,2,0)="","",VLOOKUP($F29,$AD$12:$AE$41,2,0)))</f>
        <v>1. FC Riedwald</v>
      </c>
      <c r="J29" s="153" t="s">
        <v>5</v>
      </c>
      <c r="K29" s="329" t="str">
        <f t="shared" ref="K29:K35" ca="1" si="3">IF($H29="","",IF(VLOOKUP($H29,$AD$12:$AE$41,2,0)="","",VLOOKUP($H29,$AD$12:$AE$41,2,0)))</f>
        <v>SSV Wildbach</v>
      </c>
      <c r="L29" s="340">
        <v>3</v>
      </c>
      <c r="M29" s="343" t="str">
        <f>Sprache!$E$73</f>
        <v>:</v>
      </c>
      <c r="N29" s="324">
        <v>9</v>
      </c>
      <c r="O29" s="362"/>
      <c r="Q29" s="503">
        <f ca="1">IF(CalcE3!$K$13=0,"",IF(VLOOKUP(CalcE3!$B$7,CalcE3!$C$4:$E$12,3,0)=MAX($Q26:$Q28),VLOOKUP(CalcE3!$B$7,CalcE3!$C$4:$E$12,3,0),CalcE3!$B$7))</f>
        <v>4</v>
      </c>
      <c r="R29" s="386" t="str">
        <f ca="1">IF(OR(Calc1!$F$14&lt;3,AE30=1),"",IF(CalcE3!$K$13=0,CalcE3!$Q$67,VLOOKUP(CalcE3!$B$7,CalcE3!$C$4:$N$12,4,0)))</f>
        <v>Maibach 1822 eV</v>
      </c>
      <c r="S29" s="234">
        <f ca="1">IF(CalcE3!$K$13=0,"",VLOOKUP(CalcE3!$B$7,CalcE3!$C$4:$N$12,9,0))</f>
        <v>3</v>
      </c>
      <c r="T29" s="228">
        <f ca="1">IF(CalcE3!$K$13=0,"",VLOOKUP(CalcE3!$B$7,CalcE3!$C$4:$N$12,10,0))</f>
        <v>1</v>
      </c>
      <c r="U29" s="228">
        <f ca="1">IF(CalcE3!$K$13=0,"",VLOOKUP(CalcE3!$B$7,CalcE3!$C$4:$N$12,11,0))</f>
        <v>0</v>
      </c>
      <c r="V29" s="228">
        <f ca="1">IF(CalcE3!$K$13=0,"",VLOOKUP(CalcE3!$B$7,CalcE3!$C$4:$N$12,12,0))</f>
        <v>2</v>
      </c>
      <c r="W29" s="230">
        <f ca="1">IF(CalcE3!$K$13=0,"",VLOOKUP(CalcE3!$B$7,CalcE3!$C$4:$N$12,5,0))</f>
        <v>8</v>
      </c>
      <c r="X29" s="504" t="str">
        <f>Sprache!$E$73</f>
        <v>:</v>
      </c>
      <c r="Y29" s="232">
        <f ca="1">IF(CalcE3!$K$13=0,"",VLOOKUP(CalcE3!$B$7,CalcE3!$C$4:$N$12,6,0))</f>
        <v>15</v>
      </c>
      <c r="Z29" s="228">
        <f ca="1">IF(CalcE3!$K$13=0,"",VLOOKUP(CalcE3!$B$7,CalcE3!$C$4:$N$12,7,0))</f>
        <v>-7</v>
      </c>
      <c r="AA29" s="233">
        <f ca="1">IF(CalcE3!$K$13=0,"",VLOOKUP(CalcE3!$B$7,CalcE3!$C$4:$N$12,8,0))</f>
        <v>3</v>
      </c>
      <c r="AD29" s="505" t="s">
        <v>331</v>
      </c>
      <c r="AE29" s="506" t="str">
        <f ca="1">IF(Vorrunde!$N$30="","",Vorrunde!$N$30)</f>
        <v>FC Grönlingen</v>
      </c>
      <c r="AF29" s="426"/>
    </row>
    <row r="30" spans="2:32" ht="24" customHeight="1" thickTop="1" x14ac:dyDescent="0.2">
      <c r="C30" s="389">
        <f t="array" aca="1" ref="C30" ca="1">$C$12+ROW(18:18)-SUM((($I$12:$I29="")+($K$12:$K29="")&gt;0)*1)</f>
        <v>74</v>
      </c>
      <c r="D30" s="350">
        <f t="array" aca="1" ref="D30" ca="1">IF(Planung!$U$16,"",$D$12+QUOTIENT(($C30-$C$12),Planung!$U$18)*(Planung!$R$7+Planung!$R$9)/1440+SUM($O$12:$O29)/1440)</f>
        <v>0.8125</v>
      </c>
      <c r="E30" s="520">
        <f ca="1">IF(Planung!$U$16,"",MOD($C30-$C$12,Planung!$U$18)+1)</f>
        <v>2</v>
      </c>
      <c r="F30" s="514" t="s">
        <v>330</v>
      </c>
      <c r="G30" s="515" t="s">
        <v>5</v>
      </c>
      <c r="H30" s="516" t="s">
        <v>331</v>
      </c>
      <c r="I30" s="491" t="str">
        <f t="shared" ca="1" si="2"/>
        <v>Maibach 1822 eV</v>
      </c>
      <c r="J30" s="153" t="s">
        <v>5</v>
      </c>
      <c r="K30" s="329" t="str">
        <f t="shared" ca="1" si="3"/>
        <v>FC Grönlingen</v>
      </c>
      <c r="L30" s="340">
        <v>4</v>
      </c>
      <c r="M30" s="343" t="str">
        <f>Sprache!$E$73</f>
        <v>:</v>
      </c>
      <c r="N30" s="324">
        <v>10</v>
      </c>
      <c r="O30" s="362"/>
      <c r="AE30" s="530">
        <f t="array" aca="1" ref="AE30" ca="1">SUM((AE26:AE29&lt;&gt;"")*1)</f>
        <v>4</v>
      </c>
    </row>
    <row r="31" spans="2:32" ht="24" customHeight="1" thickBot="1" x14ac:dyDescent="0.45">
      <c r="C31" s="389">
        <f t="array" aca="1" ref="C31" ca="1">$C$12+ROW(19:19)-SUM((($I$12:$I30="")+($K$12:$K30="")&gt;0)*1)</f>
        <v>75</v>
      </c>
      <c r="D31" s="350">
        <f t="array" aca="1" ref="D31" ca="1">IF(Planung!$U$16,"",$D$12+QUOTIENT(($C31-$C$12),Planung!$U$18)*(Planung!$R$7+Planung!$R$9)/1440+SUM($O$12:$O30)/1440)</f>
        <v>0.8125</v>
      </c>
      <c r="E31" s="520">
        <f ca="1">IF(Planung!$U$16,"",MOD($C31-$C$12,Planung!$U$18)+1)</f>
        <v>3</v>
      </c>
      <c r="F31" s="514" t="s">
        <v>326</v>
      </c>
      <c r="G31" s="515" t="s">
        <v>5</v>
      </c>
      <c r="H31" s="516" t="s">
        <v>327</v>
      </c>
      <c r="I31" s="491" t="str">
        <f t="shared" ca="1" si="2"/>
        <v>Fun Kickers Oes</v>
      </c>
      <c r="J31" s="153" t="s">
        <v>5</v>
      </c>
      <c r="K31" s="329" t="str">
        <f t="shared" ca="1" si="3"/>
        <v>Mainz 05</v>
      </c>
      <c r="L31" s="340">
        <v>5</v>
      </c>
      <c r="M31" s="343" t="str">
        <f>Sprache!$E$73</f>
        <v>:</v>
      </c>
      <c r="N31" s="324">
        <v>11</v>
      </c>
      <c r="O31" s="362"/>
      <c r="Q31" s="720" t="str">
        <f>Sprache!$E$60</f>
        <v>Gruppensiebte und -achte</v>
      </c>
      <c r="R31" s="720"/>
      <c r="S31" s="720"/>
      <c r="T31" s="720"/>
      <c r="U31" s="720"/>
      <c r="V31" s="720"/>
      <c r="W31" s="199"/>
      <c r="X31" s="199"/>
      <c r="Y31" s="199"/>
      <c r="Z31" s="199"/>
      <c r="AA31" s="199"/>
      <c r="AD31" s="721" t="str">
        <f>$Q31</f>
        <v>Gruppensiebte und -achte</v>
      </c>
      <c r="AE31" s="721"/>
      <c r="AF31" s="721"/>
    </row>
    <row r="32" spans="2:32" ht="24" customHeight="1" thickTop="1" thickBot="1" x14ac:dyDescent="0.25">
      <c r="C32" s="389">
        <f t="array" aca="1" ref="C32" ca="1">$C$12+ROW(20:20)-SUM((($I$12:$I31="")+($K$12:$K31="")&gt;0)*1)</f>
        <v>76</v>
      </c>
      <c r="D32" s="350">
        <f t="array" aca="1" ref="D32" ca="1">IF(Planung!$U$16,"",$D$12+QUOTIENT(($C32-$C$12),Planung!$U$18)*(Planung!$R$7+Planung!$R$9)/1440+SUM($O$12:$O31)/1440)</f>
        <v>0.8125</v>
      </c>
      <c r="E32" s="520">
        <f ca="1">IF(Planung!$U$16,"",MOD($C32-$C$12,Planung!$U$18)+1)</f>
        <v>4</v>
      </c>
      <c r="F32" s="514" t="s">
        <v>323</v>
      </c>
      <c r="G32" s="515" t="s">
        <v>5</v>
      </c>
      <c r="H32" s="516" t="s">
        <v>324</v>
      </c>
      <c r="I32" s="491" t="str">
        <f t="shared" ca="1" si="2"/>
        <v>Eintracht Frankfurt</v>
      </c>
      <c r="J32" s="153" t="s">
        <v>5</v>
      </c>
      <c r="K32" s="329" t="str">
        <f t="shared" ca="1" si="3"/>
        <v>AC Roma</v>
      </c>
      <c r="L32" s="340">
        <v>6</v>
      </c>
      <c r="M32" s="343" t="str">
        <f>Sprache!$E$73</f>
        <v>:</v>
      </c>
      <c r="N32" s="324">
        <v>12</v>
      </c>
      <c r="O32" s="362"/>
      <c r="Q32" s="586"/>
      <c r="R32" s="587"/>
      <c r="S32" s="201" t="str">
        <f>Sprache!$E$21</f>
        <v>SP</v>
      </c>
      <c r="T32" s="202" t="str">
        <f>Sprache!$E$22</f>
        <v>G</v>
      </c>
      <c r="U32" s="202" t="str">
        <f>Sprache!$E$23</f>
        <v>U</v>
      </c>
      <c r="V32" s="585" t="str">
        <f>Sprache!$E$24</f>
        <v>V</v>
      </c>
      <c r="W32" s="588" t="str">
        <f>Sprache!$E$25</f>
        <v>Tore</v>
      </c>
      <c r="X32" s="589"/>
      <c r="Y32" s="590"/>
      <c r="Z32" s="202" t="str">
        <f>Sprache!$E$26</f>
        <v>Diff.</v>
      </c>
      <c r="AA32" s="204" t="str">
        <f>Sprache!$E$27</f>
        <v>Pkt</v>
      </c>
      <c r="AD32" s="493"/>
      <c r="AE32" s="494" t="str">
        <f>Sprache!$E$10</f>
        <v>Teilnehmer bzw. Mannschaft</v>
      </c>
      <c r="AF32" s="422" t="str">
        <f>Sprache!$E$49</f>
        <v>Bonus</v>
      </c>
    </row>
    <row r="33" spans="3:32" ht="24" customHeight="1" x14ac:dyDescent="0.2">
      <c r="C33" s="389">
        <f t="array" aca="1" ref="C33" ca="1">$C$12+ROW(21:21)-SUM((($I$12:$I32="")+($K$12:$K32="")&gt;0)*1)</f>
        <v>77</v>
      </c>
      <c r="D33" s="350">
        <f t="array" aca="1" ref="D33" ca="1">IF(Planung!$U$16,"",$D$12+QUOTIENT(($C33-$C$12),Planung!$U$18)*(Planung!$R$7+Planung!$R$9)/1440+SUM($O$12:$O32)/1440)</f>
        <v>0.83680555555555558</v>
      </c>
      <c r="E33" s="520">
        <f ca="1">IF(Planung!$U$16,"",MOD($C33-$C$12,Planung!$U$18)+1)</f>
        <v>1</v>
      </c>
      <c r="F33" s="514" t="s">
        <v>358</v>
      </c>
      <c r="G33" s="515" t="s">
        <v>5</v>
      </c>
      <c r="H33" s="516" t="s">
        <v>359</v>
      </c>
      <c r="I33" s="491" t="str">
        <f t="shared" ca="1" si="2"/>
        <v>VFB Essenheim</v>
      </c>
      <c r="J33" s="153" t="s">
        <v>5</v>
      </c>
      <c r="K33" s="329" t="str">
        <f t="shared" ca="1" si="3"/>
        <v>VFL Ronsdorf</v>
      </c>
      <c r="L33" s="340">
        <v>7</v>
      </c>
      <c r="M33" s="343" t="str">
        <f>Sprache!$E$73</f>
        <v>:</v>
      </c>
      <c r="N33" s="324">
        <v>13</v>
      </c>
      <c r="O33" s="362"/>
      <c r="Q33" s="495">
        <f ca="1">IF(CalcE4!$K$13=0,"",1)</f>
        <v>1</v>
      </c>
      <c r="R33" s="382" t="str">
        <f ca="1">IF(Calc1!$F$14&lt;3,"",IF(AND(CalcE4!$K$13=0,AE37&lt;&gt;1),CalcE4!$Q$64,VLOOKUP(CalcE4!$B$4,CalcE4!$C$4:$N$12,4,0)))</f>
        <v>SSV Wildbach</v>
      </c>
      <c r="S33" s="496">
        <f ca="1">IF(CalcE4!$K$13=0,"",VLOOKUP(CalcE4!$B$4,CalcE4!$C$4:$N$12,9,0))</f>
        <v>3</v>
      </c>
      <c r="T33" s="208">
        <f ca="1">IF(CalcE4!$K$13=0,"",VLOOKUP(CalcE4!$B$4,CalcE4!$C$4:$N$12,10,0))</f>
        <v>3</v>
      </c>
      <c r="U33" s="208">
        <f ca="1">IF(CalcE4!$K$13=0,"",VLOOKUP(CalcE4!$B$4,CalcE4!$C$4:$N$12,11,0))</f>
        <v>0</v>
      </c>
      <c r="V33" s="208">
        <f ca="1">IF(CalcE4!$K$13=0,"",VLOOKUP(CalcE4!$B$4,CalcE4!$C$4:$N$12,12,0))</f>
        <v>0</v>
      </c>
      <c r="W33" s="210">
        <f ca="1">IF(CalcE4!$K$13=0,"",VLOOKUP(CalcE4!$B$4,CalcE4!$C$4:$N$12,5,0))</f>
        <v>18</v>
      </c>
      <c r="X33" s="497" t="str">
        <f>Sprache!$E$73</f>
        <v>:</v>
      </c>
      <c r="Y33" s="212">
        <f ca="1">IF(CalcE4!$K$13=0,"",VLOOKUP(CalcE4!$B$4,CalcE4!$C$4:$N$12,6,0))</f>
        <v>6</v>
      </c>
      <c r="Z33" s="208">
        <f ca="1">IF(CalcE4!$K$13=0,"",VLOOKUP(CalcE4!$B$4,CalcE4!$C$4:$N$12,7,0))</f>
        <v>12</v>
      </c>
      <c r="AA33" s="213">
        <f ca="1">IF(CalcE4!$K$13=0,"",VLOOKUP(CalcE4!$B$4,CalcE4!$C$4:$N$12,8,0))</f>
        <v>9</v>
      </c>
      <c r="AD33" s="584" t="s">
        <v>358</v>
      </c>
      <c r="AE33" s="498" t="str">
        <f ca="1">IF(Vorrunde!$N$18="","",Vorrunde!$N$18)</f>
        <v>VFB Essenheim</v>
      </c>
      <c r="AF33" s="424"/>
    </row>
    <row r="34" spans="3:32" ht="24" customHeight="1" x14ac:dyDescent="0.2">
      <c r="C34" s="389">
        <f t="array" aca="1" ref="C34" ca="1">$C$12+ROW(22:22)-SUM((($I$12:$I33="")+($K$12:$K33="")&gt;0)*1)</f>
        <v>78</v>
      </c>
      <c r="D34" s="350">
        <f t="array" aca="1" ref="D34" ca="1">IF(Planung!$U$16,"",$D$12+QUOTIENT(($C34-$C$12),Planung!$U$18)*(Planung!$R$7+Planung!$R$9)/1440+SUM($O$12:$O33)/1440)</f>
        <v>0.83680555555555558</v>
      </c>
      <c r="E34" s="520">
        <f ca="1">IF(Planung!$U$16,"",MOD($C34-$C$12,Planung!$U$18)+1)</f>
        <v>2</v>
      </c>
      <c r="F34" s="514" t="s">
        <v>328</v>
      </c>
      <c r="G34" s="515" t="s">
        <v>5</v>
      </c>
      <c r="H34" s="516" t="s">
        <v>329</v>
      </c>
      <c r="I34" s="491" t="str">
        <f t="shared" ca="1" si="2"/>
        <v>Knock Out Rangers</v>
      </c>
      <c r="J34" s="153" t="s">
        <v>5</v>
      </c>
      <c r="K34" s="329" t="str">
        <f t="shared" ca="1" si="3"/>
        <v>Borussia Heine</v>
      </c>
      <c r="L34" s="340">
        <v>8</v>
      </c>
      <c r="M34" s="343" t="str">
        <f>Sprache!$E$73</f>
        <v>:</v>
      </c>
      <c r="N34" s="324">
        <v>14</v>
      </c>
      <c r="O34" s="362"/>
      <c r="Q34" s="499">
        <f ca="1">IF(CalcE4!$K$13=0,"",IF(VLOOKUP(CalcE4!$B$5,CalcE4!$C$4:$E$12,3,0)=MAX($Q33:$Q33),VLOOKUP(CalcE4!$B$5,CalcE4!$C$4:$E$12,3,0),CalcE4!$B$5))</f>
        <v>2</v>
      </c>
      <c r="R34" s="384" t="str">
        <f ca="1">IF(OR(Calc1!$F$14&lt;3,AE37=1),"",IF(CalcE4!$K$13=0,CalcE4!$Q$65,VLOOKUP(CalcE4!$B$5,CalcE4!$C$4:$N$12,4,0)))</f>
        <v>VFL Ronsdorf</v>
      </c>
      <c r="S34" s="223">
        <f ca="1">IF(CalcE4!$K$13=0,"",VLOOKUP(CalcE4!$B$5,CalcE4!$C$4:$N$12,9,0))</f>
        <v>3</v>
      </c>
      <c r="T34" s="198">
        <f ca="1">IF(CalcE4!$K$13=0,"",VLOOKUP(CalcE4!$B$5,CalcE4!$C$4:$N$12,10,0))</f>
        <v>2</v>
      </c>
      <c r="U34" s="198">
        <f ca="1">IF(CalcE4!$K$13=0,"",VLOOKUP(CalcE4!$B$5,CalcE4!$C$4:$N$12,11,0))</f>
        <v>0</v>
      </c>
      <c r="V34" s="198">
        <f ca="1">IF(CalcE4!$K$13=0,"",VLOOKUP(CalcE4!$B$5,CalcE4!$C$4:$N$12,12,0))</f>
        <v>1</v>
      </c>
      <c r="W34" s="219">
        <f ca="1">IF(CalcE4!$K$13=0,"",VLOOKUP(CalcE4!$B$5,CalcE4!$C$4:$N$12,5,0))</f>
        <v>16</v>
      </c>
      <c r="X34" s="500" t="str">
        <f>Sprache!$E$73</f>
        <v>:</v>
      </c>
      <c r="Y34" s="221">
        <f ca="1">IF(CalcE4!$K$13=0,"",VLOOKUP(CalcE4!$B$5,CalcE4!$C$4:$N$12,6,0))</f>
        <v>12</v>
      </c>
      <c r="Z34" s="198">
        <f ca="1">IF(CalcE4!$K$13=0,"",VLOOKUP(CalcE4!$B$5,CalcE4!$C$4:$N$12,7,0))</f>
        <v>4</v>
      </c>
      <c r="AA34" s="222">
        <f ca="1">IF(CalcE4!$K$13=0,"",VLOOKUP(CalcE4!$B$5,CalcE4!$C$4:$N$12,8,0))</f>
        <v>6</v>
      </c>
      <c r="AD34" s="501" t="s">
        <v>359</v>
      </c>
      <c r="AE34" s="502" t="str">
        <f ca="1">IF(Vorrunde!$N$31="","",Vorrunde!$N$31)</f>
        <v>VFL Ronsdorf</v>
      </c>
      <c r="AF34" s="425"/>
    </row>
    <row r="35" spans="3:32" ht="24" customHeight="1" thickBot="1" x14ac:dyDescent="0.25">
      <c r="C35" s="389">
        <f t="array" aca="1" ref="C35" ca="1">$C$12+ROW(23:23)-SUM((($I$12:$I34="")+($K$12:$K34="")&gt;0)*1)</f>
        <v>79</v>
      </c>
      <c r="D35" s="350">
        <f t="array" aca="1" ref="D35" ca="1">IF(Planung!$U$16,"",$D$12+QUOTIENT(($C35-$C$12),Planung!$U$18)*(Planung!$R$7+Planung!$R$9)/1440+SUM($O$12:$O34)/1440)</f>
        <v>0.83680555555555558</v>
      </c>
      <c r="E35" s="520">
        <f ca="1">IF(Planung!$U$16,"",MOD($C35-$C$12,Planung!$U$18)+1)</f>
        <v>3</v>
      </c>
      <c r="F35" s="514" t="s">
        <v>317</v>
      </c>
      <c r="G35" s="515" t="s">
        <v>5</v>
      </c>
      <c r="H35" s="516" t="s">
        <v>325</v>
      </c>
      <c r="I35" s="491" t="str">
        <f t="shared" ca="1" si="2"/>
        <v>Raslo Winners</v>
      </c>
      <c r="J35" s="153" t="s">
        <v>5</v>
      </c>
      <c r="K35" s="329" t="str">
        <f t="shared" ca="1" si="3"/>
        <v>Inter Mailand</v>
      </c>
      <c r="L35" s="340">
        <v>9</v>
      </c>
      <c r="M35" s="343" t="str">
        <f>Sprache!$E$73</f>
        <v>:</v>
      </c>
      <c r="N35" s="324">
        <v>15</v>
      </c>
      <c r="O35" s="362"/>
      <c r="Q35" s="499">
        <f ca="1">IF(CalcE4!$K$13=0,"",IF(VLOOKUP(CalcE4!$B$6,CalcE4!$C$4:$E$12,3,0)=MAX($Q33:$Q34),VLOOKUP(CalcE4!$B$6,CalcE4!$C$4:$E$12,3,0),CalcE4!$B$6))</f>
        <v>3</v>
      </c>
      <c r="R35" s="384" t="str">
        <f ca="1">IF(OR(Calc1!$F$14&lt;3,AE37=1),"",IF(CalcE4!$K$13=0,CalcE4!$Q$66,VLOOKUP(CalcE4!$B$6,CalcE4!$C$4:$N$12,4,0)))</f>
        <v>VFB Essenheim</v>
      </c>
      <c r="S35" s="223">
        <f ca="1">IF(CalcE4!$K$13=0,"",VLOOKUP(CalcE4!$B$6,CalcE4!$C$4:$N$12,9,0))</f>
        <v>3</v>
      </c>
      <c r="T35" s="198">
        <f ca="1">IF(CalcE4!$K$13=0,"",VLOOKUP(CalcE4!$B$6,CalcE4!$C$4:$N$12,10,0))</f>
        <v>0</v>
      </c>
      <c r="U35" s="198">
        <f ca="1">IF(CalcE4!$K$13=0,"",VLOOKUP(CalcE4!$B$6,CalcE4!$C$4:$N$12,11,0))</f>
        <v>1</v>
      </c>
      <c r="V35" s="198">
        <f ca="1">IF(CalcE4!$K$13=0,"",VLOOKUP(CalcE4!$B$6,CalcE4!$C$4:$N$12,12,0))</f>
        <v>2</v>
      </c>
      <c r="W35" s="219">
        <f ca="1">IF(CalcE4!$K$13=0,"",VLOOKUP(CalcE4!$B$6,CalcE4!$C$4:$N$12,5,0))</f>
        <v>11</v>
      </c>
      <c r="X35" s="500" t="str">
        <f>Sprache!$E$73</f>
        <v>:</v>
      </c>
      <c r="Y35" s="221">
        <f ca="1">IF(CalcE4!$K$13=0,"",VLOOKUP(CalcE4!$B$6,CalcE4!$C$4:$N$12,6,0))</f>
        <v>19</v>
      </c>
      <c r="Z35" s="198">
        <f ca="1">IF(CalcE4!$K$13=0,"",VLOOKUP(CalcE4!$B$6,CalcE4!$C$4:$N$12,7,0))</f>
        <v>-8</v>
      </c>
      <c r="AA35" s="222">
        <f ca="1">IF(CalcE4!$K$13=0,"",VLOOKUP(CalcE4!$B$6,CalcE4!$C$4:$N$12,8,0))</f>
        <v>1</v>
      </c>
      <c r="AD35" s="583" t="s">
        <v>360</v>
      </c>
      <c r="AE35" s="502" t="str">
        <f ca="1">IF(Vorrunde!$N$19="","",Vorrunde!$N$19)</f>
        <v>1. FC Riedwald</v>
      </c>
      <c r="AF35" s="425"/>
    </row>
    <row r="36" spans="3:32" ht="24" customHeight="1" thickBot="1" x14ac:dyDescent="0.25">
      <c r="C36" s="390">
        <f t="array" aca="1" ref="C36" ca="1">$C$12+ROW(24:24)-SUM((($I$12:$I35="")+($K$12:$K35="")&gt;0)*1)</f>
        <v>80</v>
      </c>
      <c r="D36" s="351">
        <f t="array" aca="1" ref="D36" ca="1">IF(Planung!$U$16,"",$D$12+QUOTIENT(($C36-$C$12),Planung!$U$18)*(Planung!$R$7+Planung!$R$9)/1440+SUM($O$12:$O35)/1440)</f>
        <v>0.83680555555555558</v>
      </c>
      <c r="E36" s="378">
        <f ca="1">IF(Planung!$U$16,"",MOD($C36-$C$12,Planung!$U$18)+1)</f>
        <v>4</v>
      </c>
      <c r="F36" s="517" t="s">
        <v>322</v>
      </c>
      <c r="G36" s="518" t="s">
        <v>5</v>
      </c>
      <c r="H36" s="519" t="s">
        <v>318</v>
      </c>
      <c r="I36" s="521" t="str">
        <f ca="1">IF($F36="","",IF(VLOOKUP($F36,$AD$12:$AE$41,2,0)="","",VLOOKUP($F36,$AD$12:$AE$41,2,0)))</f>
        <v>FC Barcelona</v>
      </c>
      <c r="J36" s="522" t="s">
        <v>5</v>
      </c>
      <c r="K36" s="523" t="str">
        <f ca="1">IF($H36="","",IF(VLOOKUP($H36,$AD$12:$AE$41,2,0)="","",VLOOKUP($H36,$AD$12:$AE$41,2,0)))</f>
        <v>Manchester City</v>
      </c>
      <c r="L36" s="341">
        <v>4</v>
      </c>
      <c r="M36" s="379" t="str">
        <f>Sprache!$E$73</f>
        <v>:</v>
      </c>
      <c r="N36" s="326">
        <v>0</v>
      </c>
      <c r="O36" s="510"/>
      <c r="Q36" s="503">
        <f ca="1">IF(CalcE4!$K$13=0,"",IF(VLOOKUP(CalcE4!$B$7,CalcE4!$C$4:$E$12,3,0)=MAX($Q33:$Q35),VLOOKUP(CalcE4!$B$7,CalcE4!$C$4:$E$12,3,0),CalcE4!$B$7))</f>
        <v>4</v>
      </c>
      <c r="R36" s="386" t="str">
        <f ca="1">IF(OR(Calc1!$F$14&lt;3,AE37=1),"",IF(CalcE4!$K$13=0,CalcE4!$Q$67,VLOOKUP(CalcE4!$B$7,CalcE4!$C$4:$N$12,4,0)))</f>
        <v>1. FC Riedwald</v>
      </c>
      <c r="S36" s="234">
        <f ca="1">IF(CalcE4!$K$13=0,"",VLOOKUP(CalcE4!$B$7,CalcE4!$C$4:$N$12,9,0))</f>
        <v>3</v>
      </c>
      <c r="T36" s="228">
        <f ca="1">IF(CalcE4!$K$13=0,"",VLOOKUP(CalcE4!$B$7,CalcE4!$C$4:$N$12,10,0))</f>
        <v>0</v>
      </c>
      <c r="U36" s="228">
        <f ca="1">IF(CalcE4!$K$13=0,"",VLOOKUP(CalcE4!$B$7,CalcE4!$C$4:$N$12,11,0))</f>
        <v>1</v>
      </c>
      <c r="V36" s="228">
        <f ca="1">IF(CalcE4!$K$13=0,"",VLOOKUP(CalcE4!$B$7,CalcE4!$C$4:$N$12,12,0))</f>
        <v>2</v>
      </c>
      <c r="W36" s="230">
        <f ca="1">IF(CalcE4!$K$13=0,"",VLOOKUP(CalcE4!$B$7,CalcE4!$C$4:$N$12,5,0))</f>
        <v>5</v>
      </c>
      <c r="X36" s="504" t="str">
        <f>Sprache!$E$73</f>
        <v>:</v>
      </c>
      <c r="Y36" s="232">
        <f ca="1">IF(CalcE4!$K$13=0,"",VLOOKUP(CalcE4!$B$7,CalcE4!$C$4:$N$12,6,0))</f>
        <v>13</v>
      </c>
      <c r="Z36" s="228">
        <f ca="1">IF(CalcE4!$K$13=0,"",VLOOKUP(CalcE4!$B$7,CalcE4!$C$4:$N$12,7,0))</f>
        <v>-8</v>
      </c>
      <c r="AA36" s="233">
        <f ca="1">IF(CalcE4!$K$13=0,"",VLOOKUP(CalcE4!$B$7,CalcE4!$C$4:$N$12,8,0))</f>
        <v>1</v>
      </c>
      <c r="AD36" s="505" t="s">
        <v>361</v>
      </c>
      <c r="AE36" s="506" t="str">
        <f ca="1">IF(Vorrunde!$N$32="","",Vorrunde!$N$32)</f>
        <v>SSV Wildbach</v>
      </c>
      <c r="AF36" s="426"/>
    </row>
    <row r="37" spans="3:32" ht="24" customHeight="1" thickTop="1" x14ac:dyDescent="0.2"/>
    <row r="38" spans="3:32" ht="24" customHeight="1" thickBot="1" x14ac:dyDescent="0.45">
      <c r="C38" s="359"/>
      <c r="D38" s="359"/>
      <c r="E38" s="359"/>
      <c r="F38" s="359"/>
      <c r="G38" s="359"/>
      <c r="H38" s="359"/>
      <c r="I38" s="685" t="str">
        <f>Sprache!$E$29</f>
        <v>Turnierende:</v>
      </c>
      <c r="J38" s="685"/>
      <c r="K38" s="360">
        <f ca="1">IF(Planung!$R$13="","",$D$36+Planung!$R$7/1440)</f>
        <v>0.85763888888888895</v>
      </c>
      <c r="L38" s="361"/>
      <c r="M38" s="361"/>
      <c r="N38" s="361"/>
      <c r="O38" s="361"/>
      <c r="Q38" s="720" t="str">
        <f>Sprache!$E$61</f>
        <v>Gruppenneunte</v>
      </c>
      <c r="R38" s="720"/>
      <c r="S38" s="720"/>
      <c r="T38" s="720"/>
      <c r="U38" s="720"/>
      <c r="V38" s="720"/>
      <c r="W38" s="199"/>
      <c r="X38" s="199"/>
      <c r="Y38" s="199"/>
      <c r="Z38" s="199"/>
      <c r="AA38" s="199"/>
      <c r="AD38" s="721" t="str">
        <f>$Q38</f>
        <v>Gruppenneunte</v>
      </c>
      <c r="AE38" s="721"/>
      <c r="AF38" s="721"/>
    </row>
    <row r="39" spans="3:32" ht="24" customHeight="1" thickTop="1" thickBot="1" x14ac:dyDescent="0.25">
      <c r="D39" s="353"/>
      <c r="Q39" s="722"/>
      <c r="R39" s="723"/>
      <c r="S39" s="201" t="str">
        <f>Sprache!$E$21</f>
        <v>SP</v>
      </c>
      <c r="T39" s="202" t="str">
        <f>Sprache!$E$22</f>
        <v>G</v>
      </c>
      <c r="U39" s="202" t="str">
        <f>Sprache!$E$23</f>
        <v>U</v>
      </c>
      <c r="V39" s="585" t="str">
        <f>Sprache!$E$24</f>
        <v>V</v>
      </c>
      <c r="W39" s="724" t="str">
        <f>Sprache!$E$25</f>
        <v>Tore</v>
      </c>
      <c r="X39" s="725"/>
      <c r="Y39" s="726"/>
      <c r="Z39" s="202" t="str">
        <f>Sprache!$E$26</f>
        <v>Diff.</v>
      </c>
      <c r="AA39" s="204" t="str">
        <f>Sprache!$E$27</f>
        <v>Pkt</v>
      </c>
      <c r="AD39" s="493"/>
      <c r="AE39" s="494" t="str">
        <f>Sprache!$E$10</f>
        <v>Teilnehmer bzw. Mannschaft</v>
      </c>
      <c r="AF39" s="422" t="str">
        <f>Sprache!$E$49</f>
        <v>Bonus</v>
      </c>
    </row>
    <row r="40" spans="3:32" ht="24" customHeight="1" thickBot="1" x14ac:dyDescent="0.25">
      <c r="F40" s="507"/>
      <c r="G40" s="508"/>
      <c r="H40" s="460" t="str">
        <f>Sprache!$E$81</f>
        <v>Rang</v>
      </c>
      <c r="I40" s="727" t="str">
        <f>"  "&amp;Sprache!$E$10</f>
        <v xml:space="preserve">  Teilnehmer bzw. Mannschaft</v>
      </c>
      <c r="J40" s="728"/>
      <c r="K40" s="729"/>
      <c r="Q40" s="495" t="str">
        <f ca="1">IF(CalcE5!$K$13=0,"",1)</f>
        <v/>
      </c>
      <c r="R40" s="382" t="str">
        <f ca="1">IF(Calc1!$F$14&lt;3,"",IF(AND(CalcE5!$K$13=0,AE51&lt;&gt;1),CalcE5!$Q$64,VLOOKUP(CalcE5!$B$4,CalcE5!$C$4:$N$12,4,0)))</f>
        <v/>
      </c>
      <c r="S40" s="496" t="str">
        <f ca="1">IF(CalcE5!$K$13=0,"",VLOOKUP(CalcE5!$B$4,CalcE5!$C$4:$N$12,9,0))</f>
        <v/>
      </c>
      <c r="T40" s="208" t="str">
        <f ca="1">IF(CalcE5!$K$13=0,"",VLOOKUP(CalcE5!$B$4,CalcE5!$C$4:$N$12,10,0))</f>
        <v/>
      </c>
      <c r="U40" s="208" t="str">
        <f ca="1">IF(CalcE5!$K$13=0,"",VLOOKUP(CalcE5!$B$4,CalcE5!$C$4:$N$12,11,0))</f>
        <v/>
      </c>
      <c r="V40" s="208" t="str">
        <f ca="1">IF(CalcE5!$K$13=0,"",VLOOKUP(CalcE5!$B$4,CalcE5!$C$4:$N$12,12,0))</f>
        <v/>
      </c>
      <c r="W40" s="210" t="str">
        <f ca="1">IF(CalcE5!$K$13=0,"",VLOOKUP(CalcE5!$B$4,CalcE5!$C$4:$N$12,5,0))</f>
        <v/>
      </c>
      <c r="X40" s="497" t="str">
        <f>Sprache!$E$73</f>
        <v>:</v>
      </c>
      <c r="Y40" s="212" t="str">
        <f ca="1">IF(CalcE5!$K$13=0,"",VLOOKUP(CalcE5!$B$4,CalcE5!$C$4:$N$12,6,0))</f>
        <v/>
      </c>
      <c r="Z40" s="208" t="str">
        <f ca="1">IF(CalcE5!$K$13=0,"",VLOOKUP(CalcE5!$B$4,CalcE5!$C$4:$N$12,7,0))</f>
        <v/>
      </c>
      <c r="AA40" s="213" t="str">
        <f ca="1">IF(CalcE5!$K$13=0,"",VLOOKUP(CalcE5!$B$4,CalcE5!$C$4:$N$12,8,0))</f>
        <v/>
      </c>
      <c r="AD40" s="584" t="s">
        <v>362</v>
      </c>
      <c r="AE40" s="498" t="str">
        <f ca="1">IF(Vorrunde!$N$20="","",Vorrunde!$N$20)</f>
        <v/>
      </c>
      <c r="AF40" s="424"/>
    </row>
    <row r="41" spans="3:32" ht="24" customHeight="1" thickTop="1" thickBot="1" x14ac:dyDescent="0.25">
      <c r="E41" s="354">
        <v>1</v>
      </c>
      <c r="F41" s="509"/>
      <c r="G41" s="509"/>
      <c r="H41" s="397">
        <v>1</v>
      </c>
      <c r="I41" s="699" t="str">
        <f ca="1">IF(CalcE1!$K$13=0,"",$R$12)</f>
        <v>FC Barcelona</v>
      </c>
      <c r="J41" s="699"/>
      <c r="K41" s="700"/>
      <c r="Q41" s="503" t="str">
        <f ca="1">IF(CalcE5!$K$13=0,"",IF(VLOOKUP(CalcE5!$B$5,CalcE5!$C$4:$E$12,3,0)=MAX($Q40:$Q40),VLOOKUP(CalcE5!$B$5,CalcE5!$C$4:$E$12,3,0),CalcE5!$B$5))</f>
        <v/>
      </c>
      <c r="R41" s="386" t="str">
        <f ca="1">IF(OR(Calc1!$F$14&lt;3,AE51=1),"",IF(CalcE5!$K$13=0,CalcE5!$Q$65,VLOOKUP(CalcE5!$B$5,CalcE5!$C$4:$N$12,4,0)))</f>
        <v/>
      </c>
      <c r="S41" s="234" t="str">
        <f ca="1">IF(CalcE5!$K$13=0,"",VLOOKUP(CalcE5!$B$5,CalcE5!$C$4:$N$12,9,0))</f>
        <v/>
      </c>
      <c r="T41" s="228" t="str">
        <f ca="1">IF(CalcE5!$K$13=0,"",VLOOKUP(CalcE5!$B$5,CalcE5!$C$4:$N$12,10,0))</f>
        <v/>
      </c>
      <c r="U41" s="228" t="str">
        <f ca="1">IF(CalcE5!$K$13=0,"",VLOOKUP(CalcE5!$B$5,CalcE5!$C$4:$N$12,11,0))</f>
        <v/>
      </c>
      <c r="V41" s="228" t="str">
        <f ca="1">IF(CalcE5!$K$13=0,"",VLOOKUP(CalcE5!$B$5,CalcE5!$C$4:$N$12,12,0))</f>
        <v/>
      </c>
      <c r="W41" s="230" t="str">
        <f ca="1">IF(CalcE5!$K$13=0,"",VLOOKUP(CalcE5!$B$5,CalcE5!$C$4:$N$12,5,0))</f>
        <v/>
      </c>
      <c r="X41" s="504" t="str">
        <f>Sprache!$E$73</f>
        <v>:</v>
      </c>
      <c r="Y41" s="232" t="str">
        <f ca="1">IF(CalcE5!$K$13=0,"",VLOOKUP(CalcE5!$B$5,CalcE5!$C$4:$N$12,6,0))</f>
        <v/>
      </c>
      <c r="Z41" s="228" t="str">
        <f ca="1">IF(CalcE5!$K$13=0,"",VLOOKUP(CalcE5!$B$5,CalcE5!$C$4:$N$12,7,0))</f>
        <v/>
      </c>
      <c r="AA41" s="233" t="str">
        <f ca="1">IF(CalcE5!$K$13=0,"",VLOOKUP(CalcE5!$B$5,CalcE5!$C$4:$N$12,8,0))</f>
        <v/>
      </c>
      <c r="AD41" s="505" t="s">
        <v>363</v>
      </c>
      <c r="AE41" s="506" t="str">
        <f ca="1">IF(Vorrunde!$N$33="","",Vorrunde!$N$33)</f>
        <v/>
      </c>
      <c r="AF41" s="426"/>
    </row>
    <row r="42" spans="3:32" ht="24" customHeight="1" thickTop="1" x14ac:dyDescent="0.2">
      <c r="E42" s="354">
        <v>2</v>
      </c>
      <c r="F42" s="509"/>
      <c r="G42" s="509"/>
      <c r="H42" s="398">
        <v>2</v>
      </c>
      <c r="I42" s="701" t="str">
        <f ca="1">IF(CalcE1!$K$13=0,"",$R$13)</f>
        <v>AC Roma</v>
      </c>
      <c r="J42" s="701"/>
      <c r="K42" s="702"/>
      <c r="Q42" s="593"/>
      <c r="R42" s="283"/>
      <c r="S42" s="284"/>
      <c r="T42" s="284"/>
      <c r="U42" s="284"/>
      <c r="V42" s="284"/>
      <c r="W42" s="285"/>
      <c r="X42" s="594"/>
      <c r="Y42" s="283"/>
      <c r="Z42" s="284"/>
      <c r="AA42" s="286"/>
      <c r="AB42" s="595"/>
      <c r="AC42" s="595"/>
      <c r="AD42" s="596"/>
      <c r="AE42" s="597"/>
      <c r="AF42" s="598"/>
    </row>
    <row r="43" spans="3:32" ht="24" customHeight="1" x14ac:dyDescent="0.2">
      <c r="E43" s="354">
        <v>3</v>
      </c>
      <c r="F43" s="509"/>
      <c r="G43" s="509"/>
      <c r="H43" s="399">
        <v>3</v>
      </c>
      <c r="I43" s="703" t="str">
        <f ca="1">IF(CalcE1!$K$13=0,"",$R$14)</f>
        <v>Manchester City</v>
      </c>
      <c r="J43" s="703"/>
      <c r="K43" s="704"/>
      <c r="Q43" s="593"/>
      <c r="R43" s="283"/>
      <c r="S43" s="284"/>
      <c r="T43" s="284"/>
      <c r="U43" s="284"/>
      <c r="V43" s="284"/>
      <c r="W43" s="285"/>
      <c r="X43" s="594"/>
      <c r="Y43" s="283"/>
      <c r="Z43" s="284"/>
      <c r="AA43" s="286"/>
      <c r="AB43" s="595"/>
      <c r="AC43" s="595"/>
      <c r="AD43" s="596"/>
      <c r="AE43" s="597"/>
      <c r="AF43" s="598"/>
    </row>
    <row r="44" spans="3:32" ht="24" customHeight="1" x14ac:dyDescent="0.2">
      <c r="E44" s="354">
        <v>4</v>
      </c>
      <c r="F44" s="509"/>
      <c r="G44" s="509"/>
      <c r="H44" s="400">
        <v>4</v>
      </c>
      <c r="I44" s="683" t="str">
        <f ca="1">IF(CalcE1!$K$13=0,"",$R$15)</f>
        <v>Eintracht Frankfurt</v>
      </c>
      <c r="J44" s="683"/>
      <c r="K44" s="684"/>
    </row>
    <row r="45" spans="3:32" ht="24" customHeight="1" x14ac:dyDescent="0.2">
      <c r="E45" s="354">
        <v>5</v>
      </c>
      <c r="F45" s="509"/>
      <c r="G45" s="509"/>
      <c r="H45" s="400">
        <v>5</v>
      </c>
      <c r="I45" s="683" t="str">
        <f ca="1">IF(AND(CalcE2!$K$13=0,CalcE2!$F$13&lt;&gt;1),"",$R$19)</f>
        <v>Mainz 05</v>
      </c>
      <c r="J45" s="683"/>
      <c r="K45" s="684"/>
    </row>
    <row r="46" spans="3:32" ht="24" customHeight="1" x14ac:dyDescent="0.2">
      <c r="E46" s="354">
        <v>6</v>
      </c>
      <c r="F46" s="509"/>
      <c r="G46" s="509"/>
      <c r="H46" s="400">
        <v>6</v>
      </c>
      <c r="I46" s="683" t="str">
        <f ca="1">IF(CalcE2!$K$13=0,"",$R$20)</f>
        <v>Inter Mailand</v>
      </c>
      <c r="J46" s="683"/>
      <c r="K46" s="684"/>
    </row>
    <row r="47" spans="3:32" ht="24" customHeight="1" x14ac:dyDescent="0.2">
      <c r="E47" s="354">
        <v>7</v>
      </c>
      <c r="F47" s="509"/>
      <c r="G47" s="509"/>
      <c r="H47" s="400">
        <v>7</v>
      </c>
      <c r="I47" s="683" t="str">
        <f ca="1">IF(CalcE2!$K$13=0,"",$R$21)</f>
        <v>Raslo Winners</v>
      </c>
      <c r="J47" s="683"/>
      <c r="K47" s="684"/>
    </row>
    <row r="48" spans="3:32" ht="24" customHeight="1" x14ac:dyDescent="0.2">
      <c r="E48" s="354">
        <v>8</v>
      </c>
      <c r="F48" s="509"/>
      <c r="G48" s="509"/>
      <c r="H48" s="400">
        <v>8</v>
      </c>
      <c r="I48" s="683" t="str">
        <f ca="1">IF(CalcE2!$K$13=0,"",$R$22)</f>
        <v>Fun Kickers Oes</v>
      </c>
      <c r="J48" s="683"/>
      <c r="K48" s="684"/>
    </row>
    <row r="49" spans="5:11" ht="24" customHeight="1" x14ac:dyDescent="0.2">
      <c r="E49" s="354">
        <v>9</v>
      </c>
      <c r="F49" s="509"/>
      <c r="G49" s="509"/>
      <c r="H49" s="400">
        <v>9</v>
      </c>
      <c r="I49" s="683" t="str">
        <f ca="1">IF(AND(CalcE3!$K$13=0,CalcE3!$F$13&lt;&gt;1),"",$R$26)</f>
        <v>Knock Out Rangers</v>
      </c>
      <c r="J49" s="683"/>
      <c r="K49" s="684"/>
    </row>
    <row r="50" spans="5:11" ht="24" customHeight="1" x14ac:dyDescent="0.2">
      <c r="E50" s="354">
        <v>10</v>
      </c>
      <c r="F50" s="509"/>
      <c r="G50" s="509"/>
      <c r="H50" s="400">
        <v>10</v>
      </c>
      <c r="I50" s="683" t="str">
        <f ca="1">IF(CalcE3!$K$13=0,"",$R$27)</f>
        <v>Borussia Heine</v>
      </c>
      <c r="J50" s="683"/>
      <c r="K50" s="684"/>
    </row>
    <row r="51" spans="5:11" ht="24" customHeight="1" x14ac:dyDescent="0.2">
      <c r="E51" s="354">
        <v>11</v>
      </c>
      <c r="F51" s="509"/>
      <c r="G51" s="509"/>
      <c r="H51" s="400">
        <v>11</v>
      </c>
      <c r="I51" s="683" t="str">
        <f ca="1">IF(CalcE3!$K$13=0,"",$R$28)</f>
        <v>FC Grönlingen</v>
      </c>
      <c r="J51" s="683"/>
      <c r="K51" s="684"/>
    </row>
    <row r="52" spans="5:11" ht="24" customHeight="1" x14ac:dyDescent="0.2">
      <c r="E52" s="354">
        <v>12</v>
      </c>
      <c r="F52" s="509"/>
      <c r="G52" s="509"/>
      <c r="H52" s="400">
        <v>12</v>
      </c>
      <c r="I52" s="683" t="str">
        <f ca="1">IF(CalcE3!$K$13=0,"",$R$29)</f>
        <v>Maibach 1822 eV</v>
      </c>
      <c r="J52" s="683"/>
      <c r="K52" s="684"/>
    </row>
    <row r="53" spans="5:11" ht="24" customHeight="1" x14ac:dyDescent="0.2">
      <c r="H53" s="400">
        <v>13</v>
      </c>
      <c r="I53" s="683" t="str">
        <f ca="1">IF(AND(CalcE4!$K$13=0,CalcE4!$F$13&lt;&gt;1),"",$R$33)</f>
        <v>SSV Wildbach</v>
      </c>
      <c r="J53" s="683"/>
      <c r="K53" s="684"/>
    </row>
    <row r="54" spans="5:11" ht="24" customHeight="1" x14ac:dyDescent="0.2">
      <c r="H54" s="400">
        <v>14</v>
      </c>
      <c r="I54" s="683" t="str">
        <f ca="1">IF(CalcE4!$K$13=0,"",$R$34)</f>
        <v>VFL Ronsdorf</v>
      </c>
      <c r="J54" s="683"/>
      <c r="K54" s="684"/>
    </row>
    <row r="55" spans="5:11" ht="24" customHeight="1" x14ac:dyDescent="0.2">
      <c r="H55" s="400">
        <v>15</v>
      </c>
      <c r="I55" s="683" t="str">
        <f ca="1">IF(CalcE4!$K$13=0,"",$R$35)</f>
        <v>VFB Essenheim</v>
      </c>
      <c r="J55" s="683"/>
      <c r="K55" s="684"/>
    </row>
    <row r="56" spans="5:11" ht="24" customHeight="1" x14ac:dyDescent="0.2">
      <c r="H56" s="400">
        <v>16</v>
      </c>
      <c r="I56" s="683" t="str">
        <f ca="1">IF(CalcE4!$K$13=0,"",$R$36)</f>
        <v>1. FC Riedwald</v>
      </c>
      <c r="J56" s="683"/>
      <c r="K56" s="684"/>
    </row>
    <row r="57" spans="5:11" ht="24" customHeight="1" x14ac:dyDescent="0.2">
      <c r="H57" s="400">
        <v>17</v>
      </c>
      <c r="I57" s="683" t="str">
        <f ca="1">IF(AND(CalcE5!$K$13=0,CalcE5!$F$13&lt;&gt;1),"",$R$40)</f>
        <v/>
      </c>
      <c r="J57" s="683"/>
      <c r="K57" s="684"/>
    </row>
    <row r="58" spans="5:11" ht="24" customHeight="1" thickBot="1" x14ac:dyDescent="0.25">
      <c r="H58" s="401">
        <v>18</v>
      </c>
      <c r="I58" s="673" t="str">
        <f ca="1">IF(CalcE5!$K$13=0,"",$R$41)</f>
        <v/>
      </c>
      <c r="J58" s="673"/>
      <c r="K58" s="674"/>
    </row>
    <row r="59" spans="5:11" ht="24" customHeight="1" thickTop="1" x14ac:dyDescent="0.2"/>
    <row r="60" spans="5:11" ht="12.75" customHeight="1" x14ac:dyDescent="0.2"/>
    <row r="61" spans="5:11" ht="12.75" customHeight="1" x14ac:dyDescent="0.2"/>
  </sheetData>
  <sheetProtection sheet="1" selectLockedCells="1"/>
  <mergeCells count="47">
    <mergeCell ref="Q31:V31"/>
    <mergeCell ref="AD31:AF31"/>
    <mergeCell ref="Q18:R18"/>
    <mergeCell ref="W18:Y18"/>
    <mergeCell ref="Q24:V24"/>
    <mergeCell ref="AD24:AF24"/>
    <mergeCell ref="Q25:R25"/>
    <mergeCell ref="W25:Y25"/>
    <mergeCell ref="I2:Y2"/>
    <mergeCell ref="I3:Y3"/>
    <mergeCell ref="I4:Y4"/>
    <mergeCell ref="I5:Y5"/>
    <mergeCell ref="L7:R8"/>
    <mergeCell ref="C10:F10"/>
    <mergeCell ref="I11:K11"/>
    <mergeCell ref="L11:N11"/>
    <mergeCell ref="Q17:V17"/>
    <mergeCell ref="AD17:AF17"/>
    <mergeCell ref="O10:O11"/>
    <mergeCell ref="Q10:V10"/>
    <mergeCell ref="AD10:AF10"/>
    <mergeCell ref="Q11:R11"/>
    <mergeCell ref="W11:Y11"/>
    <mergeCell ref="I49:K49"/>
    <mergeCell ref="I50:K50"/>
    <mergeCell ref="I51:K51"/>
    <mergeCell ref="I52:K52"/>
    <mergeCell ref="I45:K45"/>
    <mergeCell ref="I48:K48"/>
    <mergeCell ref="I47:K47"/>
    <mergeCell ref="I46:K46"/>
    <mergeCell ref="Q38:V38"/>
    <mergeCell ref="AD38:AF38"/>
    <mergeCell ref="Q39:R39"/>
    <mergeCell ref="W39:Y39"/>
    <mergeCell ref="I44:K44"/>
    <mergeCell ref="I43:K43"/>
    <mergeCell ref="I42:K42"/>
    <mergeCell ref="I41:K41"/>
    <mergeCell ref="I40:K40"/>
    <mergeCell ref="I38:J38"/>
    <mergeCell ref="I58:K58"/>
    <mergeCell ref="I53:K53"/>
    <mergeCell ref="I54:K54"/>
    <mergeCell ref="I55:K55"/>
    <mergeCell ref="I56:K56"/>
    <mergeCell ref="I57:K57"/>
  </mergeCells>
  <conditionalFormatting sqref="F30:N35 I27:N29 C12:N26 C27:E36">
    <cfRule type="expression" dxfId="13" priority="20">
      <formula>OR($I12="",$K12="")</formula>
    </cfRule>
  </conditionalFormatting>
  <conditionalFormatting sqref="Q12:AA15 Q19:AA22 Q26:AA29 Q33:AA36 Q40:AA42">
    <cfRule type="expression" dxfId="12" priority="8">
      <formula>$R12=""</formula>
    </cfRule>
    <cfRule type="expression" dxfId="11" priority="9">
      <formula>OR(AND($Q12=$Q11,$R11&lt;&gt;""),AND($Q12=$Q13,$R13&lt;&gt;""))</formula>
    </cfRule>
  </conditionalFormatting>
  <conditionalFormatting sqref="Q43:AA43">
    <cfRule type="expression" dxfId="10" priority="335">
      <formula>$R43=""</formula>
    </cfRule>
    <cfRule type="expression" dxfId="9" priority="336">
      <formula>OR(AND($Q43=$Q42,$R42&lt;&gt;""),AND($Q43=$Q51,$R51&lt;&gt;""))</formula>
    </cfRule>
  </conditionalFormatting>
  <conditionalFormatting sqref="I36:N36">
    <cfRule type="expression" dxfId="8" priority="3">
      <formula>OR($I36="",$K36="")</formula>
    </cfRule>
  </conditionalFormatting>
  <conditionalFormatting sqref="F36:H36">
    <cfRule type="expression" dxfId="7" priority="2">
      <formula>OR($I36="",$K36="")</formula>
    </cfRule>
  </conditionalFormatting>
  <conditionalFormatting sqref="F26:H29">
    <cfRule type="expression" dxfId="6" priority="1">
      <formula>OR($I26="",$K26="")</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0" id="{648D8133-7717-4F1D-AB74-A1A63E64B3CD}">
            <xm:f>$H41&gt;2*Calc1!$F$14-MOD((Calc1!$F$13+Calc2!$F$13),2)</xm:f>
            <x14:dxf>
              <numFmt numFmtId="165" formatCode=";;;"/>
            </x14:dxf>
          </x14:cfRule>
          <xm:sqref>H41:H58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01"/>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2"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1"/>
      <c r="F1" s="612" t="str">
        <f>$E$35</f>
        <v>Sprache wählen</v>
      </c>
      <c r="G1" s="612"/>
      <c r="H1" s="612"/>
      <c r="I1" s="108"/>
      <c r="J1" s="110" t="s">
        <v>152</v>
      </c>
      <c r="K1" s="172" t="str">
        <f>_xlfn.UNICHAR(8592)</f>
        <v>←</v>
      </c>
      <c r="L1" s="171" t="str">
        <f>$E$69</f>
        <v>Hier klicken und Sprache wählen</v>
      </c>
    </row>
    <row r="2" spans="2:12" ht="11.25" customHeight="1" thickBot="1" x14ac:dyDescent="0.25">
      <c r="F2" s="738"/>
      <c r="G2" s="738"/>
      <c r="I2" s="73"/>
      <c r="J2" s="74"/>
    </row>
    <row r="3" spans="2:12" ht="13.5" thickTop="1" x14ac:dyDescent="0.2">
      <c r="B3" s="75" t="s">
        <v>116</v>
      </c>
      <c r="C3" s="76">
        <f>IF(AND($J$1&lt;&gt;B4,$J$1&lt;&gt;B5),1,0)</f>
        <v>0</v>
      </c>
      <c r="D3" s="739"/>
      <c r="E3" s="741"/>
      <c r="F3" s="742" t="s">
        <v>116</v>
      </c>
      <c r="G3" s="744" t="s">
        <v>152</v>
      </c>
      <c r="H3" s="736" t="s">
        <v>115</v>
      </c>
      <c r="I3" s="77"/>
    </row>
    <row r="4" spans="2:12" ht="13.5" thickBot="1" x14ac:dyDescent="0.25">
      <c r="B4" s="75" t="s">
        <v>152</v>
      </c>
      <c r="C4" s="76">
        <f>IF($J$1=B4,1,0)</f>
        <v>1</v>
      </c>
      <c r="D4" s="740"/>
      <c r="E4" s="741"/>
      <c r="F4" s="743"/>
      <c r="G4" s="745"/>
      <c r="H4" s="737"/>
      <c r="I4" s="78"/>
      <c r="J4" s="79"/>
    </row>
    <row r="5" spans="2:12" ht="29.25" thickTop="1" x14ac:dyDescent="0.45">
      <c r="B5" s="75" t="s">
        <v>115</v>
      </c>
      <c r="C5" s="76">
        <f>IF($J$1=B5,1,0)</f>
        <v>0</v>
      </c>
      <c r="E5" s="75"/>
      <c r="F5" s="83" t="str">
        <f>$E$36</f>
        <v>Überschriften</v>
      </c>
      <c r="G5" s="84"/>
      <c r="H5" s="85"/>
      <c r="I5" s="78"/>
      <c r="J5" s="79"/>
    </row>
    <row r="6" spans="2:12" x14ac:dyDescent="0.2">
      <c r="E6" s="75" t="str">
        <f>IF($C$3,F6,IF($C$4,G6,IF($H6&lt;&gt;"",$H6,$F6)))</f>
        <v>Tie Break Vorrunde</v>
      </c>
      <c r="F6" s="82" t="s">
        <v>226</v>
      </c>
      <c r="G6" s="80" t="s">
        <v>225</v>
      </c>
      <c r="H6" s="103"/>
    </row>
    <row r="7" spans="2:12" x14ac:dyDescent="0.2">
      <c r="E7" s="75" t="str">
        <f t="shared" ref="E7:E96" si="0">IF($C$3,F7,IF($C$4,G7,IF($H7&lt;&gt;"",$H7,$F7)))</f>
        <v>Direkte Vergleiche</v>
      </c>
      <c r="F7" s="82" t="s">
        <v>117</v>
      </c>
      <c r="G7" s="80" t="s">
        <v>13</v>
      </c>
      <c r="H7" s="81"/>
    </row>
    <row r="8" spans="2:12" x14ac:dyDescent="0.2">
      <c r="E8" s="75" t="str">
        <f t="shared" si="0"/>
        <v>Dein Datum</v>
      </c>
      <c r="F8" s="101" t="s">
        <v>147</v>
      </c>
      <c r="G8" s="100" t="s">
        <v>146</v>
      </c>
      <c r="H8" s="81"/>
    </row>
    <row r="9" spans="2:12" ht="15" customHeight="1" x14ac:dyDescent="0.45">
      <c r="E9" s="75" t="str">
        <f t="shared" si="0"/>
        <v>Nr.</v>
      </c>
      <c r="F9" s="98" t="s">
        <v>120</v>
      </c>
      <c r="G9" s="97" t="s">
        <v>0</v>
      </c>
      <c r="H9" s="81"/>
      <c r="I9" s="89"/>
    </row>
    <row r="10" spans="2:12" ht="15" customHeight="1" x14ac:dyDescent="0.45">
      <c r="E10" s="75" t="str">
        <f t="shared" si="0"/>
        <v>Teilnehmer bzw. Mannschaft</v>
      </c>
      <c r="F10" s="98" t="s">
        <v>121</v>
      </c>
      <c r="G10" s="97" t="s">
        <v>22</v>
      </c>
      <c r="H10" s="81"/>
      <c r="I10" s="89"/>
    </row>
    <row r="11" spans="2:12" ht="15" customHeight="1" x14ac:dyDescent="0.45">
      <c r="E11" s="75" t="str">
        <f t="shared" si="0"/>
        <v>Ergebnisse</v>
      </c>
      <c r="F11" s="98" t="s">
        <v>122</v>
      </c>
      <c r="G11" s="97" t="s">
        <v>23</v>
      </c>
      <c r="H11" s="81"/>
      <c r="I11" s="89"/>
    </row>
    <row r="12" spans="2:12" ht="15" customHeight="1" x14ac:dyDescent="0.45">
      <c r="E12" s="75" t="str">
        <f t="shared" si="0"/>
        <v>Tabelle</v>
      </c>
      <c r="F12" s="98" t="s">
        <v>123</v>
      </c>
      <c r="G12" s="97" t="s">
        <v>14</v>
      </c>
      <c r="H12" s="81"/>
      <c r="I12" s="89"/>
    </row>
    <row r="13" spans="2:12" ht="15" customHeight="1" x14ac:dyDescent="0.45">
      <c r="E13" s="75" t="str">
        <f t="shared" si="0"/>
        <v>Tabelle (Kopie)</v>
      </c>
      <c r="F13" s="98" t="s">
        <v>124</v>
      </c>
      <c r="G13" s="97" t="s">
        <v>53</v>
      </c>
      <c r="H13" s="81"/>
      <c r="I13" s="89"/>
    </row>
    <row r="14" spans="2:12" ht="15" customHeight="1" x14ac:dyDescent="0.45">
      <c r="E14" s="75" t="str">
        <f t="shared" si="0"/>
        <v>Spielpaarung</v>
      </c>
      <c r="F14" s="98" t="s">
        <v>127</v>
      </c>
      <c r="G14" s="97" t="s">
        <v>1</v>
      </c>
      <c r="H14" s="81"/>
      <c r="I14" s="89"/>
    </row>
    <row r="15" spans="2:12" ht="15" customHeight="1" x14ac:dyDescent="0.45">
      <c r="E15" s="75" t="str">
        <f t="shared" si="0"/>
        <v>Ergebnis</v>
      </c>
      <c r="F15" s="98" t="s">
        <v>128</v>
      </c>
      <c r="G15" s="97" t="s">
        <v>2</v>
      </c>
      <c r="H15" s="81"/>
      <c r="I15" s="89"/>
    </row>
    <row r="16" spans="2:12" ht="15" customHeight="1" x14ac:dyDescent="0.45">
      <c r="E16" s="75" t="str">
        <f t="shared" si="0"/>
        <v>Gruppe</v>
      </c>
      <c r="F16" s="98" t="s">
        <v>204</v>
      </c>
      <c r="G16" s="97" t="s">
        <v>203</v>
      </c>
      <c r="H16" s="81"/>
      <c r="I16" s="89"/>
    </row>
    <row r="17" spans="5:13" ht="15" customHeight="1" x14ac:dyDescent="0.45">
      <c r="E17" s="75" t="str">
        <f t="shared" si="0"/>
        <v>Grp</v>
      </c>
      <c r="F17" s="98" t="s">
        <v>205</v>
      </c>
      <c r="G17" s="97" t="s">
        <v>205</v>
      </c>
      <c r="H17" s="81"/>
      <c r="I17" s="89"/>
    </row>
    <row r="18" spans="5:13" ht="15" customHeight="1" x14ac:dyDescent="0.45">
      <c r="E18" s="75" t="str">
        <f t="shared" si="0"/>
        <v>Vorrunde</v>
      </c>
      <c r="F18" s="98" t="s">
        <v>220</v>
      </c>
      <c r="G18" s="97" t="s">
        <v>218</v>
      </c>
      <c r="H18" s="81"/>
      <c r="I18" s="89"/>
    </row>
    <row r="19" spans="5:13" ht="15" customHeight="1" x14ac:dyDescent="0.45">
      <c r="E19" s="75" t="str">
        <f t="shared" si="0"/>
        <v>Endrunde</v>
      </c>
      <c r="F19" s="98" t="s">
        <v>221</v>
      </c>
      <c r="G19" s="97" t="s">
        <v>219</v>
      </c>
      <c r="H19" s="81"/>
      <c r="I19" s="89"/>
    </row>
    <row r="20" spans="5:13" ht="15" x14ac:dyDescent="0.25">
      <c r="E20" s="75" t="str">
        <f t="shared" si="0"/>
        <v>Zusätzl. Pause (min)</v>
      </c>
      <c r="F20" s="101" t="s">
        <v>235</v>
      </c>
      <c r="G20" s="100" t="s">
        <v>234</v>
      </c>
      <c r="H20" s="81"/>
      <c r="I20" s="90"/>
      <c r="J20" s="90"/>
      <c r="K20" s="90"/>
      <c r="L20" s="90"/>
      <c r="M20" s="90"/>
    </row>
    <row r="21" spans="5:13" ht="15" x14ac:dyDescent="0.25">
      <c r="E21" s="75" t="str">
        <f t="shared" si="0"/>
        <v>SP</v>
      </c>
      <c r="F21" s="101" t="s">
        <v>105</v>
      </c>
      <c r="G21" s="100" t="s">
        <v>129</v>
      </c>
      <c r="H21" s="81"/>
      <c r="I21" s="90"/>
      <c r="J21" s="90"/>
      <c r="K21" s="90"/>
      <c r="L21" s="90"/>
      <c r="M21" s="90"/>
    </row>
    <row r="22" spans="5:13" ht="15" x14ac:dyDescent="0.25">
      <c r="E22" s="75" t="str">
        <f t="shared" si="0"/>
        <v>G</v>
      </c>
      <c r="F22" s="101" t="s">
        <v>106</v>
      </c>
      <c r="G22" s="100" t="s">
        <v>130</v>
      </c>
      <c r="H22" s="81"/>
      <c r="I22" s="90"/>
      <c r="J22" s="90"/>
      <c r="K22" s="90"/>
      <c r="L22" s="90"/>
      <c r="M22" s="90"/>
    </row>
    <row r="23" spans="5:13" ht="15" x14ac:dyDescent="0.25">
      <c r="E23" s="75" t="str">
        <f t="shared" si="0"/>
        <v>U</v>
      </c>
      <c r="F23" s="101" t="s">
        <v>107</v>
      </c>
      <c r="G23" s="100" t="s">
        <v>131</v>
      </c>
      <c r="H23" s="81"/>
      <c r="I23" s="90"/>
      <c r="J23" s="90"/>
      <c r="K23" s="90"/>
      <c r="L23" s="90"/>
      <c r="M23" s="90"/>
    </row>
    <row r="24" spans="5:13" ht="15" x14ac:dyDescent="0.25">
      <c r="E24" s="75" t="str">
        <f t="shared" si="0"/>
        <v>V</v>
      </c>
      <c r="F24" s="101" t="s">
        <v>108</v>
      </c>
      <c r="G24" s="100" t="s">
        <v>132</v>
      </c>
      <c r="H24" s="81"/>
      <c r="I24" s="90"/>
      <c r="J24" s="90"/>
      <c r="K24" s="90"/>
      <c r="L24" s="90"/>
      <c r="M24" s="90"/>
    </row>
    <row r="25" spans="5:13" ht="15" x14ac:dyDescent="0.25">
      <c r="E25" s="75" t="str">
        <f t="shared" si="0"/>
        <v>Tore</v>
      </c>
      <c r="F25" s="101" t="s">
        <v>96</v>
      </c>
      <c r="G25" s="100" t="s">
        <v>3</v>
      </c>
      <c r="H25" s="81"/>
      <c r="I25" s="90"/>
      <c r="J25" s="90"/>
      <c r="K25" s="90"/>
      <c r="L25" s="90"/>
      <c r="M25" s="90"/>
    </row>
    <row r="26" spans="5:13" ht="15" x14ac:dyDescent="0.25">
      <c r="E26" s="75" t="str">
        <f t="shared" si="0"/>
        <v>Diff.</v>
      </c>
      <c r="F26" s="101" t="s">
        <v>111</v>
      </c>
      <c r="G26" s="100" t="s">
        <v>4</v>
      </c>
      <c r="H26" s="81"/>
      <c r="I26" s="90"/>
      <c r="J26" s="90"/>
      <c r="K26" s="90"/>
      <c r="L26" s="90"/>
      <c r="M26" s="90"/>
    </row>
    <row r="27" spans="5:13" ht="15" x14ac:dyDescent="0.25">
      <c r="E27" s="75" t="str">
        <f t="shared" si="0"/>
        <v>Pkt</v>
      </c>
      <c r="F27" s="101" t="s">
        <v>112</v>
      </c>
      <c r="G27" s="100" t="s">
        <v>133</v>
      </c>
      <c r="H27" s="81"/>
      <c r="I27" s="90"/>
      <c r="J27" s="90"/>
      <c r="K27" s="90"/>
      <c r="L27" s="90"/>
      <c r="M27" s="90"/>
    </row>
    <row r="28" spans="5:13" ht="15" x14ac:dyDescent="0.25">
      <c r="E28" s="75" t="str">
        <f t="shared" si="0"/>
        <v>erz. Tore</v>
      </c>
      <c r="F28" s="101" t="s">
        <v>109</v>
      </c>
      <c r="G28" s="100" t="s">
        <v>156</v>
      </c>
      <c r="H28" s="81"/>
      <c r="I28" s="90"/>
      <c r="J28" s="90"/>
      <c r="K28" s="90"/>
      <c r="L28" s="90"/>
      <c r="M28" s="90"/>
    </row>
    <row r="29" spans="5:13" x14ac:dyDescent="0.2">
      <c r="E29" s="75" t="str">
        <f t="shared" si="0"/>
        <v>Turnierende:</v>
      </c>
      <c r="F29" s="101" t="s">
        <v>237</v>
      </c>
      <c r="G29" s="100" t="s">
        <v>236</v>
      </c>
      <c r="H29" s="81"/>
    </row>
    <row r="30" spans="5:13" x14ac:dyDescent="0.2">
      <c r="E30" s="75" t="str">
        <f t="shared" si="0"/>
        <v>Teilnehmer und Ablaufplan</v>
      </c>
      <c r="F30" s="101" t="s">
        <v>134</v>
      </c>
      <c r="G30" s="100" t="s">
        <v>20</v>
      </c>
      <c r="H30" s="81"/>
    </row>
    <row r="31" spans="5:13" x14ac:dyDescent="0.2">
      <c r="E31" s="75" t="str">
        <f t="shared" si="0"/>
        <v>Teilnehmer</v>
      </c>
      <c r="F31" s="102" t="s">
        <v>135</v>
      </c>
      <c r="G31" s="100" t="s">
        <v>21</v>
      </c>
      <c r="H31" s="81"/>
    </row>
    <row r="32" spans="5:13" x14ac:dyDescent="0.2">
      <c r="E32" s="75" t="str">
        <f t="shared" si="0"/>
        <v>Ablaufplan</v>
      </c>
      <c r="F32" s="102" t="s">
        <v>136</v>
      </c>
      <c r="G32" s="100" t="s">
        <v>24</v>
      </c>
      <c r="H32" s="81"/>
    </row>
    <row r="33" spans="5:8" x14ac:dyDescent="0.2">
      <c r="E33" s="75" t="str">
        <f t="shared" si="0"/>
        <v>Spiel-Nr.</v>
      </c>
      <c r="F33" s="102" t="s">
        <v>137</v>
      </c>
      <c r="G33" s="100" t="s">
        <v>52</v>
      </c>
      <c r="H33" s="81"/>
    </row>
    <row r="34" spans="5:8" x14ac:dyDescent="0.2">
      <c r="E34" s="75" t="str">
        <f t="shared" si="0"/>
        <v>Paarungen</v>
      </c>
      <c r="F34" s="102" t="s">
        <v>140</v>
      </c>
      <c r="G34" s="100" t="s">
        <v>54</v>
      </c>
      <c r="H34" s="81"/>
    </row>
    <row r="35" spans="5:8" x14ac:dyDescent="0.2">
      <c r="E35" s="75" t="str">
        <f t="shared" si="0"/>
        <v>Sprache wählen</v>
      </c>
      <c r="F35" s="101" t="s">
        <v>114</v>
      </c>
      <c r="G35" s="100" t="s">
        <v>145</v>
      </c>
      <c r="H35" s="81"/>
    </row>
    <row r="36" spans="5:8" x14ac:dyDescent="0.2">
      <c r="E36" s="75" t="str">
        <f t="shared" si="0"/>
        <v>Überschriften</v>
      </c>
      <c r="F36" s="101" t="s">
        <v>118</v>
      </c>
      <c r="G36" s="100" t="s">
        <v>142</v>
      </c>
      <c r="H36" s="81"/>
    </row>
    <row r="37" spans="5:8" x14ac:dyDescent="0.2">
      <c r="E37" s="75" t="str">
        <f t="shared" si="0"/>
        <v>Meldungen</v>
      </c>
      <c r="F37" s="101" t="s">
        <v>143</v>
      </c>
      <c r="G37" s="100" t="s">
        <v>144</v>
      </c>
      <c r="H37" s="81"/>
    </row>
    <row r="38" spans="5:8" x14ac:dyDescent="0.2">
      <c r="E38" s="75" t="str">
        <f t="shared" si="0"/>
        <v>Deine Überschriften</v>
      </c>
      <c r="F38" s="101" t="s">
        <v>150</v>
      </c>
      <c r="G38" s="100" t="s">
        <v>149</v>
      </c>
      <c r="H38" s="81"/>
    </row>
    <row r="39" spans="5:8" x14ac:dyDescent="0.2">
      <c r="E39" s="75" t="str">
        <f t="shared" si="0"/>
        <v>Beginn</v>
      </c>
      <c r="F39" s="101" t="s">
        <v>312</v>
      </c>
      <c r="G39" s="100" t="s">
        <v>313</v>
      </c>
      <c r="H39" s="81"/>
    </row>
    <row r="40" spans="5:8" x14ac:dyDescent="0.2">
      <c r="E40" s="75" t="str">
        <f t="shared" si="0"/>
        <v>Ende der Vorrunde:</v>
      </c>
      <c r="F40" s="101" t="s">
        <v>240</v>
      </c>
      <c r="G40" s="100" t="s">
        <v>241</v>
      </c>
      <c r="H40" s="81"/>
    </row>
    <row r="41" spans="5:8" x14ac:dyDescent="0.2">
      <c r="E41" s="75" t="str">
        <f t="shared" si="0"/>
        <v>Spielzeiten</v>
      </c>
      <c r="F41" s="101" t="s">
        <v>175</v>
      </c>
      <c r="G41" s="100" t="s">
        <v>174</v>
      </c>
      <c r="H41" s="81"/>
    </row>
    <row r="42" spans="5:8" x14ac:dyDescent="0.2">
      <c r="E42" s="75" t="str">
        <f t="shared" si="0"/>
        <v>Spielzeit pro Spiel:</v>
      </c>
      <c r="F42" s="101" t="s">
        <v>242</v>
      </c>
      <c r="G42" s="100" t="s">
        <v>243</v>
      </c>
      <c r="H42" s="81"/>
    </row>
    <row r="43" spans="5:8" x14ac:dyDescent="0.2">
      <c r="E43" s="75" t="str">
        <f t="shared" si="0"/>
        <v>Wechselzeit:</v>
      </c>
      <c r="F43" s="101" t="s">
        <v>244</v>
      </c>
      <c r="G43" s="100" t="s">
        <v>245</v>
      </c>
      <c r="H43" s="81"/>
    </row>
    <row r="44" spans="5:8" x14ac:dyDescent="0.2">
      <c r="E44" s="75" t="str">
        <f t="shared" si="0"/>
        <v>Anzahl der Spielfelder:</v>
      </c>
      <c r="F44" s="101" t="s">
        <v>310</v>
      </c>
      <c r="G44" s="100" t="s">
        <v>309</v>
      </c>
      <c r="H44" s="81"/>
    </row>
    <row r="45" spans="5:8" x14ac:dyDescent="0.2">
      <c r="E45" s="75" t="str">
        <f t="shared" si="0"/>
        <v>Uhr</v>
      </c>
      <c r="F45" s="101" t="s">
        <v>167</v>
      </c>
      <c r="G45" s="100" t="s">
        <v>166</v>
      </c>
      <c r="H45" s="81"/>
    </row>
    <row r="46" spans="5:8" x14ac:dyDescent="0.2">
      <c r="E46" s="75" t="str">
        <f t="shared" si="0"/>
        <v>Spiel gegen</v>
      </c>
      <c r="F46" s="101" t="s">
        <v>171</v>
      </c>
      <c r="G46" s="100" t="s">
        <v>170</v>
      </c>
      <c r="H46" s="81"/>
    </row>
    <row r="47" spans="5:8" x14ac:dyDescent="0.2">
      <c r="E47" s="75" t="str">
        <f t="shared" si="0"/>
        <v>Anmerkung</v>
      </c>
      <c r="F47" s="101" t="s">
        <v>172</v>
      </c>
      <c r="G47" s="100" t="s">
        <v>173</v>
      </c>
      <c r="H47" s="81"/>
    </row>
    <row r="48" spans="5:8" x14ac:dyDescent="0.2">
      <c r="E48" s="75" t="str">
        <f t="shared" si="0"/>
        <v>Feld</v>
      </c>
      <c r="F48" s="101" t="s">
        <v>246</v>
      </c>
      <c r="G48" s="100" t="s">
        <v>311</v>
      </c>
      <c r="H48" s="81"/>
    </row>
    <row r="49" spans="5:8" x14ac:dyDescent="0.2">
      <c r="E49" s="75" t="str">
        <f t="shared" si="0"/>
        <v>Bonus</v>
      </c>
      <c r="F49" s="82" t="s">
        <v>119</v>
      </c>
      <c r="G49" s="80" t="s">
        <v>59</v>
      </c>
      <c r="H49" s="81"/>
    </row>
    <row r="50" spans="5:8" x14ac:dyDescent="0.2">
      <c r="E50" s="75" t="str">
        <f t="shared" si="0"/>
        <v>Spielpaarungen</v>
      </c>
      <c r="F50" s="98" t="s">
        <v>181</v>
      </c>
      <c r="G50" s="97" t="s">
        <v>182</v>
      </c>
      <c r="H50" s="238"/>
    </row>
    <row r="51" spans="5:8" x14ac:dyDescent="0.2">
      <c r="E51" s="75" t="str">
        <f t="shared" si="0"/>
        <v>Einstellungen</v>
      </c>
      <c r="F51" s="98" t="s">
        <v>184</v>
      </c>
      <c r="G51" s="97" t="s">
        <v>183</v>
      </c>
      <c r="H51" s="238"/>
    </row>
    <row r="52" spans="5:8" x14ac:dyDescent="0.2">
      <c r="E52" s="75" t="str">
        <f t="shared" si="0"/>
        <v>Anzahl der Punkte für einen Sieg:</v>
      </c>
      <c r="F52" s="98" t="s">
        <v>186</v>
      </c>
      <c r="G52" s="97" t="s">
        <v>185</v>
      </c>
      <c r="H52" s="238"/>
    </row>
    <row r="53" spans="5:8" x14ac:dyDescent="0.2">
      <c r="E53" s="75" t="str">
        <f t="shared" si="0"/>
        <v>Halbfinale</v>
      </c>
      <c r="F53" s="98" t="s">
        <v>260</v>
      </c>
      <c r="G53" s="97" t="s">
        <v>257</v>
      </c>
      <c r="H53" s="238"/>
    </row>
    <row r="54" spans="5:8" x14ac:dyDescent="0.2">
      <c r="E54" s="75" t="str">
        <f t="shared" si="0"/>
        <v>Endspiele</v>
      </c>
      <c r="F54" s="98" t="s">
        <v>259</v>
      </c>
      <c r="G54" s="97" t="s">
        <v>258</v>
      </c>
      <c r="H54" s="238"/>
    </row>
    <row r="55" spans="5:8" x14ac:dyDescent="0.2">
      <c r="E55" s="75" t="str">
        <f t="shared" si="0"/>
        <v xml:space="preserve">Spiele um die Plätze </v>
      </c>
      <c r="F55" s="98" t="s">
        <v>262</v>
      </c>
      <c r="G55" s="97" t="s">
        <v>261</v>
      </c>
      <c r="H55" s="238"/>
    </row>
    <row r="56" spans="5:8" x14ac:dyDescent="0.2">
      <c r="E56" s="75" t="str">
        <f t="shared" si="0"/>
        <v>Vorrunde Gruppe</v>
      </c>
      <c r="F56" s="98" t="s">
        <v>266</v>
      </c>
      <c r="G56" s="97" t="s">
        <v>265</v>
      </c>
      <c r="H56" s="238"/>
    </row>
    <row r="57" spans="5:8" x14ac:dyDescent="0.2">
      <c r="E57" s="75" t="str">
        <f t="shared" si="0"/>
        <v>Gruppenerste und -zweite</v>
      </c>
      <c r="F57" s="98" t="s">
        <v>356</v>
      </c>
      <c r="G57" s="97" t="s">
        <v>319</v>
      </c>
      <c r="H57" s="238"/>
    </row>
    <row r="58" spans="5:8" x14ac:dyDescent="0.2">
      <c r="E58" s="75" t="str">
        <f t="shared" si="0"/>
        <v>Gruppendritte und -vierte</v>
      </c>
      <c r="F58" s="98" t="s">
        <v>357</v>
      </c>
      <c r="G58" s="97" t="s">
        <v>320</v>
      </c>
      <c r="H58" s="238"/>
    </row>
    <row r="59" spans="5:8" x14ac:dyDescent="0.2">
      <c r="E59" s="75" t="str">
        <f t="shared" si="0"/>
        <v>Gruppenfünfte und -sechste</v>
      </c>
      <c r="F59" s="98" t="s">
        <v>355</v>
      </c>
      <c r="G59" s="97" t="s">
        <v>321</v>
      </c>
      <c r="H59" s="238"/>
    </row>
    <row r="60" spans="5:8" x14ac:dyDescent="0.2">
      <c r="E60" s="75" t="str">
        <f t="shared" si="0"/>
        <v>Gruppensiebte und -achte</v>
      </c>
      <c r="F60" s="98" t="s">
        <v>353</v>
      </c>
      <c r="G60" s="97" t="s">
        <v>351</v>
      </c>
      <c r="H60" s="238"/>
    </row>
    <row r="61" spans="5:8" x14ac:dyDescent="0.2">
      <c r="E61" s="75" t="str">
        <f t="shared" si="0"/>
        <v>Gruppenneunte</v>
      </c>
      <c r="F61" s="98" t="s">
        <v>354</v>
      </c>
      <c r="G61" s="97" t="s">
        <v>352</v>
      </c>
      <c r="H61" s="238"/>
    </row>
    <row r="62" spans="5:8" x14ac:dyDescent="0.2">
      <c r="E62" s="75"/>
      <c r="F62" s="98"/>
      <c r="G62" s="97"/>
      <c r="H62" s="238"/>
    </row>
    <row r="63" spans="5:8" x14ac:dyDescent="0.2">
      <c r="E63" s="75" t="str">
        <f t="shared" si="0"/>
        <v>Elfmeter</v>
      </c>
      <c r="F63" s="82" t="s">
        <v>239</v>
      </c>
      <c r="G63" s="80" t="s">
        <v>238</v>
      </c>
      <c r="H63" s="238"/>
    </row>
    <row r="64" spans="5:8" ht="28.5" x14ac:dyDescent="0.45">
      <c r="E64" s="75"/>
      <c r="F64" s="86" t="str">
        <f>$E$37</f>
        <v>Meldungen</v>
      </c>
      <c r="G64" s="87"/>
      <c r="H64" s="88"/>
    </row>
    <row r="65" spans="5:8" ht="79.5" customHeight="1" x14ac:dyDescent="0.2">
      <c r="E65" s="75" t="str">
        <f t="shared" si="0"/>
        <v>Sind zwei oder mehr Mannschaften nicht unterscheidbar und wird eine Entscheidung z.B. durch Elfmeterschießen oder Los getroffen, genügt es, für die bevorzugte Mannschaft einen Bonuspunkt einzutragen.</v>
      </c>
      <c r="F65" s="92" t="s">
        <v>250</v>
      </c>
      <c r="G65" s="93" t="s">
        <v>249</v>
      </c>
      <c r="H65" s="94"/>
    </row>
    <row r="66" spans="5:8" ht="51.75" customHeight="1" x14ac:dyDescent="0.2">
      <c r="E66" s="75" t="str">
        <f t="shared" si="0"/>
        <v>Doppelte Spielpaarungen und Spiele gegen sich selbst
führen in der Gesamttabelle zu falschen Werten!</v>
      </c>
      <c r="F66" s="99" t="s">
        <v>159</v>
      </c>
      <c r="G66" s="142" t="s">
        <v>56</v>
      </c>
      <c r="H66" s="94"/>
    </row>
    <row r="67" spans="5:8" ht="51.75" customHeight="1" x14ac:dyDescent="0.2">
      <c r="E67" s="75" t="str">
        <f t="shared" si="0"/>
        <v>Änderung der Spielpaarungen nur auf dem Blatt 'Planung'!   Hier nur die Ergebnisse eintragen!</v>
      </c>
      <c r="F67" s="99" t="s">
        <v>126</v>
      </c>
      <c r="G67" s="93" t="s">
        <v>125</v>
      </c>
      <c r="H67" s="94"/>
    </row>
    <row r="68" spans="5:8" ht="16.5" customHeight="1" x14ac:dyDescent="0.2">
      <c r="E68" s="75" t="str">
        <f t="shared" si="0"/>
        <v>Kann gelöscht werden   →</v>
      </c>
      <c r="F68" s="105" t="s">
        <v>151</v>
      </c>
      <c r="G68" s="104" t="s">
        <v>148</v>
      </c>
      <c r="H68" s="95"/>
    </row>
    <row r="69" spans="5:8" ht="20.25" customHeight="1" x14ac:dyDescent="0.2">
      <c r="E69" s="75" t="str">
        <f t="shared" si="0"/>
        <v>Hier klicken und Sprache wählen</v>
      </c>
      <c r="F69" s="111" t="s">
        <v>154</v>
      </c>
      <c r="G69" s="109" t="s">
        <v>153</v>
      </c>
      <c r="H69" s="96"/>
    </row>
    <row r="70" spans="5:8" ht="32.25" customHeight="1" x14ac:dyDescent="0.2">
      <c r="E70" s="75" t="str">
        <f t="shared" si="0"/>
        <v>Doppelte Namen führen zu
falschen Tabellenwerten</v>
      </c>
      <c r="F70" s="164" t="s">
        <v>164</v>
      </c>
      <c r="G70" s="163" t="s">
        <v>55</v>
      </c>
      <c r="H70" s="96"/>
    </row>
    <row r="71" spans="5:8" ht="51.75" customHeight="1" x14ac:dyDescent="0.2">
      <c r="E71" s="75" t="str">
        <f t="shared" si="0"/>
        <v>Rote Schrift bedeutet, dass die Rangfolge auch mit dem direkten Vergleich nicht geklärt ist. Fair Play oder Los muss hier entscheiden.</v>
      </c>
      <c r="F71" s="251" t="s">
        <v>158</v>
      </c>
      <c r="G71" s="252" t="s">
        <v>157</v>
      </c>
      <c r="H71" s="95"/>
    </row>
    <row r="72" spans="5:8" ht="17.25" customHeight="1" x14ac:dyDescent="0.2">
      <c r="E72" s="75" t="str">
        <f t="shared" si="0"/>
        <v>Zeitkonflikt</v>
      </c>
      <c r="F72" s="253" t="s">
        <v>169</v>
      </c>
      <c r="G72" s="254" t="s">
        <v>168</v>
      </c>
      <c r="H72" s="255"/>
    </row>
    <row r="73" spans="5:8" ht="16.5" customHeight="1" x14ac:dyDescent="0.2">
      <c r="E73" s="75" t="str">
        <f t="shared" si="0"/>
        <v>:</v>
      </c>
      <c r="F73" s="256" t="s">
        <v>5</v>
      </c>
      <c r="G73" s="273" t="s">
        <v>233</v>
      </c>
      <c r="H73" s="255"/>
    </row>
    <row r="74" spans="5:8" ht="33" customHeight="1" x14ac:dyDescent="0.2">
      <c r="E74" s="75" t="str">
        <f t="shared" si="0"/>
        <v>Direkte Vergleiche bei Gleichstand in Punkten, Tordifferenz und erzielten Toren (FIFA-Modus)</v>
      </c>
      <c r="F74" s="261" t="s">
        <v>194</v>
      </c>
      <c r="G74" s="262" t="s">
        <v>191</v>
      </c>
      <c r="H74" s="258"/>
    </row>
    <row r="75" spans="5:8" ht="32.25" customHeight="1" x14ac:dyDescent="0.2">
      <c r="E75" s="75" t="str">
        <f t="shared" si="0"/>
        <v>Direkte Vergleiche bei Gleichstand in Punkten (UEFA-Modus)</v>
      </c>
      <c r="F75" s="261" t="s">
        <v>192</v>
      </c>
      <c r="G75" s="262" t="s">
        <v>193</v>
      </c>
      <c r="H75" s="258"/>
    </row>
    <row r="76" spans="5:8" ht="18" customHeight="1" x14ac:dyDescent="0.2">
      <c r="E76" s="75" t="str">
        <f t="shared" si="0"/>
        <v>Modus für direkte Vergleiche:</v>
      </c>
      <c r="F76" s="264" t="s">
        <v>196</v>
      </c>
      <c r="G76" s="265" t="s">
        <v>195</v>
      </c>
      <c r="H76" s="266"/>
    </row>
    <row r="77" spans="5:8" ht="18" customHeight="1" x14ac:dyDescent="0.2">
      <c r="E77" s="75" t="str">
        <f t="shared" si="0"/>
        <v>Modus 1</v>
      </c>
      <c r="F77" s="264" t="s">
        <v>199</v>
      </c>
      <c r="G77" s="265" t="s">
        <v>197</v>
      </c>
      <c r="H77" s="266"/>
    </row>
    <row r="78" spans="5:8" ht="20.25" customHeight="1" x14ac:dyDescent="0.2">
      <c r="E78" s="75" t="str">
        <f t="shared" si="0"/>
        <v>Modus 2</v>
      </c>
      <c r="F78" s="264" t="s">
        <v>200</v>
      </c>
      <c r="G78" s="265" t="s">
        <v>198</v>
      </c>
      <c r="H78" s="266"/>
    </row>
    <row r="79" spans="5:8" ht="18" customHeight="1" x14ac:dyDescent="0.2">
      <c r="E79" s="75" t="str">
        <f t="shared" si="0"/>
        <v>Abkürzungen der Mannschaftsnamen:</v>
      </c>
      <c r="F79" s="264" t="s">
        <v>281</v>
      </c>
      <c r="G79" s="265" t="s">
        <v>282</v>
      </c>
      <c r="H79" s="266"/>
    </row>
    <row r="80" spans="5:8" ht="17.25" customHeight="1" x14ac:dyDescent="0.2">
      <c r="E80" s="75" t="str">
        <f t="shared" si="0"/>
        <v>Buchstaben</v>
      </c>
      <c r="F80" s="264" t="s">
        <v>202</v>
      </c>
      <c r="G80" s="265" t="s">
        <v>201</v>
      </c>
      <c r="H80" s="266"/>
    </row>
    <row r="81" spans="5:8" ht="18" customHeight="1" x14ac:dyDescent="0.2">
      <c r="E81" s="75" t="str">
        <f t="shared" si="0"/>
        <v>Rang</v>
      </c>
      <c r="F81" s="264" t="s">
        <v>248</v>
      </c>
      <c r="G81" s="265" t="s">
        <v>247</v>
      </c>
      <c r="H81" s="266"/>
    </row>
    <row r="82" spans="5:8" ht="16.5" customHeight="1" x14ac:dyDescent="0.2">
      <c r="E82" s="75" t="str">
        <f t="shared" si="0"/>
        <v>3. Platz</v>
      </c>
      <c r="F82" s="264" t="s">
        <v>256</v>
      </c>
      <c r="G82" s="265" t="s">
        <v>253</v>
      </c>
      <c r="H82" s="266"/>
    </row>
    <row r="83" spans="5:8" ht="17.25" customHeight="1" x14ac:dyDescent="0.2">
      <c r="E83" s="75" t="str">
        <f t="shared" si="0"/>
        <v>Finale</v>
      </c>
      <c r="F83" s="264" t="s">
        <v>255</v>
      </c>
      <c r="G83" s="265" t="s">
        <v>254</v>
      </c>
      <c r="H83" s="266"/>
    </row>
    <row r="84" spans="5:8" ht="30.75" customHeight="1" x14ac:dyDescent="0.2">
      <c r="E84" s="75" t="str">
        <f t="shared" si="0"/>
        <v xml:space="preserve">Wegen zeitlicher Konflikte kann nur auf maximal </v>
      </c>
      <c r="F84" s="261" t="s">
        <v>278</v>
      </c>
      <c r="G84" s="262" t="s">
        <v>279</v>
      </c>
      <c r="H84" s="266"/>
    </row>
    <row r="85" spans="5:8" ht="17.25" customHeight="1" x14ac:dyDescent="0.2">
      <c r="E85" s="75" t="str">
        <f t="shared" si="0"/>
        <v xml:space="preserve"> Spielplätzen gleichzeitig gespielt werden.</v>
      </c>
      <c r="F85" s="261" t="s">
        <v>289</v>
      </c>
      <c r="G85" s="262" t="s">
        <v>280</v>
      </c>
      <c r="H85" s="266"/>
    </row>
    <row r="86" spans="5:8" ht="17.25" customHeight="1" x14ac:dyDescent="0.2">
      <c r="E86" s="75" t="str">
        <f t="shared" si="0"/>
        <v>Turnierende (Endrunde 1):</v>
      </c>
      <c r="F86" s="264" t="s">
        <v>283</v>
      </c>
      <c r="G86" s="265" t="s">
        <v>284</v>
      </c>
      <c r="H86" s="266"/>
    </row>
    <row r="87" spans="5:8" ht="17.25" customHeight="1" x14ac:dyDescent="0.2">
      <c r="E87" s="75" t="str">
        <f t="shared" si="0"/>
        <v>Turnierende (Endrunde 2):</v>
      </c>
      <c r="F87" s="264" t="s">
        <v>285</v>
      </c>
      <c r="G87" s="265" t="s">
        <v>286</v>
      </c>
      <c r="H87" s="266"/>
    </row>
    <row r="88" spans="5:8" ht="17.25" customHeight="1" x14ac:dyDescent="0.2">
      <c r="E88" s="75" t="str">
        <f t="shared" si="0"/>
        <v>Turnierende (Endrunde 3):</v>
      </c>
      <c r="F88" s="264" t="s">
        <v>314</v>
      </c>
      <c r="G88" s="265" t="s">
        <v>315</v>
      </c>
      <c r="H88" s="266"/>
    </row>
    <row r="89" spans="5:8" ht="17.25" customHeight="1" x14ac:dyDescent="0.2">
      <c r="E89" s="75" t="str">
        <f t="shared" si="0"/>
        <v>Turnierende (Endrunde 4):</v>
      </c>
      <c r="F89" s="264" t="s">
        <v>332</v>
      </c>
      <c r="G89" s="265" t="s">
        <v>333</v>
      </c>
      <c r="H89" s="266"/>
    </row>
    <row r="90" spans="5:8" ht="17.25" customHeight="1" x14ac:dyDescent="0.2">
      <c r="E90" s="75">
        <f t="shared" si="0"/>
        <v>0</v>
      </c>
      <c r="F90" s="264"/>
      <c r="G90" s="265"/>
      <c r="H90" s="266"/>
    </row>
    <row r="91" spans="5:8" ht="17.25" customHeight="1" x14ac:dyDescent="0.2">
      <c r="E91" s="75" t="str">
        <f t="shared" si="0"/>
        <v xml:space="preserve">ZEITKONFLIKT für Team </v>
      </c>
      <c r="F91" s="264" t="s">
        <v>293</v>
      </c>
      <c r="G91" s="265" t="s">
        <v>294</v>
      </c>
      <c r="H91" s="266"/>
    </row>
    <row r="92" spans="5:8" ht="17.25" customHeight="1" x14ac:dyDescent="0.2">
      <c r="E92" s="75" t="str">
        <f t="shared" si="0"/>
        <v xml:space="preserve">in den Spielen </v>
      </c>
      <c r="F92" s="264" t="s">
        <v>295</v>
      </c>
      <c r="G92" s="265" t="s">
        <v>296</v>
      </c>
      <c r="H92" s="266"/>
    </row>
    <row r="93" spans="5:8" ht="17.25" customHeight="1" x14ac:dyDescent="0.2">
      <c r="E93" s="75" t="str">
        <f t="shared" si="0"/>
        <v xml:space="preserve"> und </v>
      </c>
      <c r="F93" s="264" t="s">
        <v>297</v>
      </c>
      <c r="G93" s="265" t="s">
        <v>298</v>
      </c>
      <c r="H93" s="266"/>
    </row>
    <row r="94" spans="5:8" ht="31.5" customHeight="1" x14ac:dyDescent="0.2">
      <c r="E94" s="75" t="str">
        <f t="shared" si="0"/>
        <v>ZEITKONFLIKT
Zu viele Spielplätze!</v>
      </c>
      <c r="F94" s="264" t="s">
        <v>287</v>
      </c>
      <c r="G94" s="265" t="s">
        <v>288</v>
      </c>
      <c r="H94" s="266"/>
    </row>
    <row r="95" spans="5:8" ht="17.25" customHeight="1" x14ac:dyDescent="0.2">
      <c r="E95" s="75">
        <f t="shared" si="0"/>
        <v>0</v>
      </c>
      <c r="F95" s="264"/>
      <c r="G95" s="265"/>
      <c r="H95" s="266"/>
    </row>
    <row r="96" spans="5:8" ht="18.75" customHeight="1" thickBot="1" x14ac:dyDescent="0.25">
      <c r="E96" s="75">
        <f t="shared" si="0"/>
        <v>0</v>
      </c>
      <c r="F96" s="259"/>
      <c r="G96" s="257"/>
      <c r="H96" s="260"/>
    </row>
    <row r="97" spans="9:9" ht="13.5" thickTop="1" x14ac:dyDescent="0.2"/>
    <row r="98" spans="9:9" x14ac:dyDescent="0.2"/>
    <row r="99" spans="9:9" x14ac:dyDescent="0.2"/>
    <row r="100" spans="9:9" x14ac:dyDescent="0.2"/>
    <row r="101" spans="9:9" hidden="1" x14ac:dyDescent="0.2">
      <c r="I101" s="106"/>
    </row>
  </sheetData>
  <sheetProtection sheet="1" selectLockedCells="1"/>
  <mergeCells count="7">
    <mergeCell ref="F1:H1"/>
    <mergeCell ref="H3:H4"/>
    <mergeCell ref="F2:G2"/>
    <mergeCell ref="D3:D4"/>
    <mergeCell ref="E3:E4"/>
    <mergeCell ref="F3:F4"/>
    <mergeCell ref="G3:G4"/>
  </mergeCells>
  <conditionalFormatting sqref="F3:F4">
    <cfRule type="expression" dxfId="4" priority="7">
      <formula>C3</formula>
    </cfRule>
  </conditionalFormatting>
  <conditionalFormatting sqref="G3:G4">
    <cfRule type="expression" dxfId="3" priority="3">
      <formula>C4</formula>
    </cfRule>
  </conditionalFormatting>
  <conditionalFormatting sqref="D3:D4">
    <cfRule type="expression" dxfId="2" priority="84">
      <formula>#REF!</formula>
    </cfRule>
  </conditionalFormatting>
  <conditionalFormatting sqref="H3:H4">
    <cfRule type="expression" dxfId="1"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67" customWidth="1"/>
    <col min="2" max="2" width="37.140625" customWidth="1"/>
    <col min="3" max="3" width="7.28515625" customWidth="1"/>
    <col min="4" max="4" width="15" customWidth="1"/>
    <col min="5" max="5" width="11.42578125" customWidth="1"/>
    <col min="6" max="16384" width="11.42578125" hidden="1"/>
  </cols>
  <sheetData>
    <row r="1" spans="1:4" ht="26.25" x14ac:dyDescent="0.4">
      <c r="B1" s="240" t="str">
        <f>Sprache!$E$51</f>
        <v>Einstellungen</v>
      </c>
    </row>
    <row r="2" spans="1:4" x14ac:dyDescent="0.2"/>
    <row r="3" spans="1:4" x14ac:dyDescent="0.2"/>
    <row r="4" spans="1:4" x14ac:dyDescent="0.2">
      <c r="A4" s="271" t="s">
        <v>7</v>
      </c>
      <c r="B4" s="269" t="str">
        <f>Sprache!$E$52</f>
        <v>Anzahl der Punkte für einen Sieg:</v>
      </c>
      <c r="C4" s="241">
        <v>3</v>
      </c>
    </row>
    <row r="5" spans="1:4" x14ac:dyDescent="0.2"/>
    <row r="6" spans="1:4" x14ac:dyDescent="0.2"/>
    <row r="7" spans="1:4" x14ac:dyDescent="0.2">
      <c r="A7" s="271" t="s">
        <v>8</v>
      </c>
      <c r="B7" s="270" t="str">
        <f>Sprache!E76</f>
        <v>Modus für direkte Vergleiche:</v>
      </c>
      <c r="C7" s="263"/>
    </row>
    <row r="8" spans="1:4" x14ac:dyDescent="0.2">
      <c r="B8" s="263"/>
      <c r="C8" s="263"/>
    </row>
    <row r="9" spans="1:4" ht="21.75" customHeight="1" x14ac:dyDescent="0.2">
      <c r="B9" s="268" t="s">
        <v>197</v>
      </c>
      <c r="C9" s="263"/>
    </row>
    <row r="10" spans="1:4" x14ac:dyDescent="0.2"/>
    <row r="11" spans="1:4" x14ac:dyDescent="0.2">
      <c r="B11" s="272" t="str">
        <f>Sprache!E77</f>
        <v>Modus 1</v>
      </c>
    </row>
    <row r="12" spans="1:4" ht="27.75" customHeight="1" x14ac:dyDescent="0.2">
      <c r="B12" s="746" t="str">
        <f>Sprache!E74</f>
        <v>Direkte Vergleiche bei Gleichstand in Punkten, Tordifferenz und erzielten Toren (FIFA-Modus)</v>
      </c>
      <c r="C12" s="746"/>
      <c r="D12" s="746"/>
    </row>
    <row r="13" spans="1:4" x14ac:dyDescent="0.2"/>
    <row r="14" spans="1:4" x14ac:dyDescent="0.2">
      <c r="B14" s="272" t="str">
        <f>Sprache!E78</f>
        <v>Modus 2</v>
      </c>
    </row>
    <row r="15" spans="1:4" ht="28.5" customHeight="1" x14ac:dyDescent="0.2">
      <c r="B15" s="746" t="str">
        <f>Sprache!E75</f>
        <v>Direkte Vergleiche bei Gleichstand in Punkten (UEFA-Modus)</v>
      </c>
      <c r="C15" s="746"/>
      <c r="D15" s="746"/>
    </row>
    <row r="16" spans="1:4" x14ac:dyDescent="0.2"/>
    <row r="17" spans="1:4" x14ac:dyDescent="0.2">
      <c r="A17" s="271" t="s">
        <v>9</v>
      </c>
      <c r="B17" s="269" t="str">
        <f>Sprache!$E$79</f>
        <v>Abkürzungen der Mannschaftsnamen:</v>
      </c>
      <c r="C17" s="241">
        <v>7</v>
      </c>
      <c r="D17" t="str">
        <f>" "&amp;Sprache!$E$80</f>
        <v xml:space="preserve"> Buchstaben</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Sprache!$E$77:$E$78</xm:f>
          </x14:formula1>
          <xm:sqref>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3"/>
  <sheetViews>
    <sheetView showGridLines="0" showRowColHeaders="0" workbookViewId="0"/>
  </sheetViews>
  <sheetFormatPr baseColWidth="10" defaultColWidth="0" defaultRowHeight="12.75" x14ac:dyDescent="0.2"/>
  <cols>
    <col min="1" max="11" width="11.42578125" customWidth="1"/>
    <col min="12" max="12" width="5.85546875" customWidth="1"/>
    <col min="13" max="23" width="11.42578125" customWidth="1"/>
    <col min="24" max="16384" width="11.42578125" hidden="1"/>
  </cols>
  <sheetData>
    <row r="1" spans="1:13" x14ac:dyDescent="0.2">
      <c r="A1" s="75"/>
    </row>
    <row r="2" spans="1:13" x14ac:dyDescent="0.2">
      <c r="B2" s="107" t="s">
        <v>138</v>
      </c>
      <c r="M2" s="107" t="s">
        <v>139</v>
      </c>
    </row>
    <row r="88" spans="2:3" x14ac:dyDescent="0.2">
      <c r="B88" s="402"/>
      <c r="C88" s="402"/>
    </row>
    <row r="89" spans="2:3" x14ac:dyDescent="0.2">
      <c r="B89" s="403"/>
      <c r="C89" s="405"/>
    </row>
    <row r="90" spans="2:3" x14ac:dyDescent="0.2">
      <c r="B90" s="403"/>
      <c r="C90" s="405"/>
    </row>
    <row r="91" spans="2:3" x14ac:dyDescent="0.2">
      <c r="B91" s="403"/>
      <c r="C91" s="405"/>
    </row>
    <row r="92" spans="2:3" x14ac:dyDescent="0.2">
      <c r="B92" s="403"/>
      <c r="C92" s="405"/>
    </row>
    <row r="93" spans="2:3" x14ac:dyDescent="0.2">
      <c r="B93" s="403"/>
      <c r="C93" s="405"/>
    </row>
    <row r="94" spans="2:3" x14ac:dyDescent="0.2">
      <c r="B94" s="403"/>
      <c r="C94" s="405"/>
    </row>
    <row r="95" spans="2:3" x14ac:dyDescent="0.2">
      <c r="B95" s="403"/>
      <c r="C95" s="405"/>
    </row>
    <row r="96" spans="2:3" x14ac:dyDescent="0.2">
      <c r="B96" s="403"/>
      <c r="C96" s="405"/>
    </row>
    <row r="97" spans="2:20" x14ac:dyDescent="0.2">
      <c r="B97" s="403"/>
      <c r="C97" s="405"/>
    </row>
    <row r="98" spans="2:20" x14ac:dyDescent="0.2">
      <c r="B98" s="404"/>
      <c r="C98" s="404"/>
    </row>
    <row r="99" spans="2:20" x14ac:dyDescent="0.2">
      <c r="B99" s="402"/>
      <c r="C99" s="402"/>
      <c r="D99" s="402"/>
      <c r="E99" s="402"/>
      <c r="F99" s="402"/>
      <c r="G99" s="402"/>
      <c r="H99" s="402"/>
    </row>
    <row r="100" spans="2:20" x14ac:dyDescent="0.2">
      <c r="D100" s="747"/>
      <c r="E100" s="748"/>
      <c r="F100" s="748"/>
      <c r="G100" s="748"/>
      <c r="H100" s="748"/>
      <c r="I100" s="749"/>
      <c r="O100" s="747"/>
      <c r="P100" s="748"/>
      <c r="Q100" s="748"/>
      <c r="R100" s="748"/>
      <c r="S100" s="748"/>
      <c r="T100" s="749"/>
    </row>
    <row r="101" spans="2:20" x14ac:dyDescent="0.2">
      <c r="D101" s="750" t="s">
        <v>141</v>
      </c>
      <c r="E101" s="751"/>
      <c r="F101" s="751"/>
      <c r="G101" s="751"/>
      <c r="H101" s="751"/>
      <c r="I101" s="752"/>
      <c r="O101" s="750" t="s">
        <v>58</v>
      </c>
      <c r="P101" s="751"/>
      <c r="Q101" s="751"/>
      <c r="R101" s="751"/>
      <c r="S101" s="751"/>
      <c r="T101" s="752"/>
    </row>
    <row r="102" spans="2:20" x14ac:dyDescent="0.2">
      <c r="D102" s="753" t="s">
        <v>57</v>
      </c>
      <c r="E102" s="754"/>
      <c r="F102" s="754"/>
      <c r="G102" s="754"/>
      <c r="H102" s="754"/>
      <c r="I102" s="755"/>
      <c r="O102" s="753" t="s">
        <v>57</v>
      </c>
      <c r="P102" s="754"/>
      <c r="Q102" s="754"/>
      <c r="R102" s="754"/>
      <c r="S102" s="754"/>
      <c r="T102" s="755"/>
    </row>
    <row r="103" spans="2:20" x14ac:dyDescent="0.2">
      <c r="D103" s="756"/>
      <c r="E103" s="757"/>
      <c r="F103" s="757"/>
      <c r="G103" s="757"/>
      <c r="H103" s="757"/>
      <c r="I103" s="758"/>
      <c r="O103" s="756"/>
      <c r="P103" s="757"/>
      <c r="Q103" s="757"/>
      <c r="R103" s="757"/>
      <c r="S103" s="757"/>
      <c r="T103" s="758"/>
    </row>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2.140625"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c r="Z1" s="1"/>
    </row>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65">
        <f ca="1">IF($O$4&lt;10,$O$4,0)</f>
        <v>0</v>
      </c>
      <c r="X3" s="766"/>
      <c r="Y3" s="766"/>
      <c r="Z3" s="766"/>
      <c r="AA3" s="766"/>
      <c r="AB3" s="765">
        <f ca="1">IF($P$4&lt;10,$P$4,0)</f>
        <v>0</v>
      </c>
      <c r="AC3" s="766"/>
      <c r="AD3" s="766"/>
      <c r="AE3" s="766"/>
      <c r="AF3" s="766"/>
      <c r="AG3" s="765">
        <f ca="1">IF($Q$4&lt;10,$Q$4,0)</f>
        <v>0</v>
      </c>
      <c r="AH3" s="766"/>
      <c r="AI3" s="766"/>
      <c r="AJ3" s="766"/>
      <c r="AK3" s="766"/>
      <c r="AL3" s="765">
        <f ca="1">IF($R$4&lt;10,$R$4,0)</f>
        <v>0</v>
      </c>
      <c r="AM3" s="766"/>
      <c r="AN3" s="766"/>
      <c r="AO3" s="766"/>
      <c r="AP3" s="766"/>
    </row>
    <row r="4" spans="1:42" s="2" customFormat="1" ht="12.75" thickTop="1" x14ac:dyDescent="0.2">
      <c r="A4" s="239"/>
      <c r="B4" s="1">
        <v>1</v>
      </c>
      <c r="C4" s="21">
        <f ca="1">RANK(D4,$D$4:$D$12,1)</f>
        <v>8</v>
      </c>
      <c r="D4" s="3">
        <f ca="1">E4+ROW()/1000+(F4="")*10</f>
        <v>8.0039999999999996</v>
      </c>
      <c r="E4" s="250">
        <f ca="1">IF($AI$15,RANK(AH17,AH$17:AH$25,1),RANK(X17,X$17:X$25,1))</f>
        <v>8</v>
      </c>
      <c r="F4" s="1" t="str">
        <f>$Q64</f>
        <v>1. FC Riedwald</v>
      </c>
      <c r="G4" s="1">
        <f t="shared" ref="G4:G12" ca="1" si="1">SUMIFS($X$64:$X$135,$V$64:$V$135,$F4)+SUMIFS($Y$64:$Y$135,$W$64:$W$135,$F4)</f>
        <v>4</v>
      </c>
      <c r="H4" s="1">
        <f t="shared" ref="H4:H12" ca="1" si="2">SUMIFS($Y$64:$Y$135,$V$64:$V$135,$F4)+SUMIFS($X$64:$X$135,$W$64:$W$135,$F4)</f>
        <v>12</v>
      </c>
      <c r="I4" s="3">
        <f t="shared" ref="I4:I12" ca="1" si="3">G4-H4</f>
        <v>-8</v>
      </c>
      <c r="J4" s="1">
        <f ca="1">SUMIF($V$64:$V$135,F4,$AE$64:$AE$135)+SUMIF($W$64:$W$135,F4,$AF$64:$AF$135)</f>
        <v>0</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8">
        <f ca="1">RANK(Y4,Y$4:Y$12,1)+IFERROR(INDEX($E$4:$E$12,MATCH(W4,$F$4:$F$12,0)),0)/100+ROW()/10000</f>
        <v>1.0904</v>
      </c>
      <c r="AA4" s="540">
        <f ca="1">RANK($Z4,$Z$4:$Z$12,1)</f>
        <v>1</v>
      </c>
      <c r="AB4" s="536" t="str">
        <f t="shared" ref="AB4:AB12" ca="1" si="8">IFERROR(INDEX($O$17:$V$25,ROW(A1),$AB$3),"")</f>
        <v/>
      </c>
      <c r="AC4" s="537" t="str">
        <f ca="1">INDEX($AB$4:$AB$12,MATCH(ROW(A1),$AF$4:$AF$12,0))</f>
        <v/>
      </c>
      <c r="AD4" s="561">
        <f ca="1">IF($AB4="",99999,VLOOKUP($AB4,$C$17:$Z$25,24,0))</f>
        <v>99999</v>
      </c>
      <c r="AE4" s="538">
        <f ca="1">RANK(AD4,AD$4:AD$12,1)+IFERROR(INDEX($E$4:$E$12,MATCH(AB4,$F$4:$F$12,0)),0)/100+ROW()/10000</f>
        <v>1.0904</v>
      </c>
      <c r="AF4" s="538">
        <f ca="1">RANK($AE4,$AE$4:$AE$12,1)</f>
        <v>1</v>
      </c>
      <c r="AG4" s="536" t="str">
        <f t="shared" ref="AG4:AG12" ca="1" si="9">IFERROR(INDEX($O$17:$V$25,ROW(C1),$AG$3),"")</f>
        <v/>
      </c>
      <c r="AH4" s="537" t="str">
        <f ca="1">INDEX($AG$4:$AG$12,MATCH(ROW(A1),$AK$4:$AK$12,0))</f>
        <v/>
      </c>
      <c r="AI4" s="561">
        <f ca="1">IF($AG4="",99999,VLOOKUP($AG4,$C$17:$Z$25,24,0))</f>
        <v>99999</v>
      </c>
      <c r="AJ4" s="538">
        <f ca="1">RANK(AI4,AI$4:AI$12,1)+IFERROR(INDEX($E$4:$E$12,MATCH(AG4,$F$4:$F$12,0)),0)/100+ROW()/10000</f>
        <v>1.0904</v>
      </c>
      <c r="AK4" s="540">
        <f ca="1">RANK($AJ4,$AJ$4:$AJ$12,1)</f>
        <v>1</v>
      </c>
      <c r="AL4" s="537" t="str">
        <f t="shared" ref="AL4:AL12" ca="1" si="10">IFERROR(INDEX($O$17:$V$25,ROW(E1),$AL$3),"")</f>
        <v/>
      </c>
      <c r="AM4" s="537" t="str">
        <f ca="1">INDEX($AL$4:$AL$12,MATCH(ROW(A1),$AP$4:$AP$12,0))</f>
        <v/>
      </c>
      <c r="AN4" s="561">
        <f ca="1">IF($AL4="",99999,VLOOKUP($AL4,$C$17:$Z$25,24,0))</f>
        <v>99999</v>
      </c>
      <c r="AO4" s="538">
        <f ca="1">RANK(AN4,AN$4:AN$12,1)+IFERROR(INDEX($E$4:$E$12,MATCH(AL4,$F$4:$F$12,0)),0)/100+ROW()/10000</f>
        <v>1.0904</v>
      </c>
      <c r="AP4" s="540">
        <f ca="1">RANK($AO4,$AO$4:$AO$12,1)</f>
        <v>1</v>
      </c>
    </row>
    <row r="5" spans="1:42" s="2" customFormat="1" x14ac:dyDescent="0.2">
      <c r="A5" s="239"/>
      <c r="B5" s="1">
        <v>2</v>
      </c>
      <c r="C5" s="22">
        <f t="shared" ref="C5:C12" ca="1" si="11">RANK(D5,$D$4:$D$12,1)</f>
        <v>1</v>
      </c>
      <c r="D5" s="13">
        <f t="shared" ref="D5:D12" ca="1" si="12">E5+ROW()/1000+(F5="")*10</f>
        <v>1.0049999999999999</v>
      </c>
      <c r="E5" s="250">
        <f t="shared" ref="E5:E12" ca="1" si="13">IF($AI$15,RANK(AH18,AH$17:AH$25,1),RANK(X18,X$17:X$25,1))</f>
        <v>1</v>
      </c>
      <c r="F5" s="1" t="str">
        <f t="shared" ref="F5:F12" si="14">$Q65</f>
        <v>FC Barcelona</v>
      </c>
      <c r="G5" s="1">
        <f t="shared" ca="1" si="1"/>
        <v>10</v>
      </c>
      <c r="H5" s="1">
        <f t="shared" ca="1" si="2"/>
        <v>1</v>
      </c>
      <c r="I5" s="3">
        <f t="shared" ca="1" si="3"/>
        <v>9</v>
      </c>
      <c r="J5" s="1">
        <f t="shared" ref="J5:J12" ca="1" si="15">SUMIF($V$64:$V$135,F5,$AE$64:$AE$135)+SUMIF($W$64:$W$135,F5,$AF$64:$AF$135)</f>
        <v>6</v>
      </c>
      <c r="K5" s="1">
        <f t="shared" ca="1" si="4"/>
        <v>2</v>
      </c>
      <c r="L5" s="1">
        <f t="shared" ca="1" si="5"/>
        <v>2</v>
      </c>
      <c r="M5" s="1">
        <f t="shared" ca="1" si="6"/>
        <v>0</v>
      </c>
      <c r="N5" s="1">
        <f t="shared" ca="1" si="7"/>
        <v>0</v>
      </c>
      <c r="O5" s="24"/>
      <c r="P5" s="25"/>
      <c r="V5" s="1"/>
      <c r="W5" s="541" t="str">
        <f t="shared" ref="W5:W12" ca="1" si="16">IFERROR(INDEX($O$17:$V$25,ROW(A2),$W$3),"")</f>
        <v/>
      </c>
      <c r="X5" s="542" t="str">
        <f t="shared" ref="X5:X12" ca="1" si="17">INDEX($W$4:$W$12,MATCH(ROW(A2),$AA$4:$AA$12,0))</f>
        <v/>
      </c>
      <c r="Y5" s="539">
        <f t="shared" ref="Y5:Y12" ca="1" si="18">IF($W5="",99999,VLOOKUP($W5,$C$17:$Z$25,24,0))</f>
        <v>99999</v>
      </c>
      <c r="Z5" s="539">
        <f t="shared" ref="Z5:Z12" ca="1" si="19">RANK(Y5,Y$4:Y$12,1)+IFERROR(INDEX($E$4:$E$12,MATCH(W5,$F$4:$F$12,0)),0)/100+ROW()/10000</f>
        <v>1.0905</v>
      </c>
      <c r="AA5" s="544">
        <f t="shared" ref="AA5:AA12" ca="1" si="20">RANK($Z5,$Z$4:$Z$12,1)</f>
        <v>2</v>
      </c>
      <c r="AB5" s="541" t="str">
        <f t="shared" ca="1" si="8"/>
        <v/>
      </c>
      <c r="AC5" s="542" t="str">
        <f t="shared" ref="AC5:AC12" ca="1" si="21">INDEX($AB$4:$AB$12,MATCH(ROW(A2),$AF$4:$AF$12,0))</f>
        <v/>
      </c>
      <c r="AD5" s="543">
        <f t="shared" ref="AD5:AD12" ca="1" si="22">IF($AB5="",99999,VLOOKUP($AB5,$C$17:$Z$25,24,0))</f>
        <v>99999</v>
      </c>
      <c r="AE5" s="539">
        <f t="shared" ref="AE5:AE12" ca="1" si="23">RANK(AD5,AD$4:AD$12,1)+IFERROR(INDEX($E$4:$E$12,MATCH(AB5,$F$4:$F$12,0)),0)/100+ROW()/10000</f>
        <v>1.0905</v>
      </c>
      <c r="AF5" s="539">
        <f t="shared" ref="AF5:AF12" ca="1" si="24">RANK($AE5,$AE$4:$AE$12,1)</f>
        <v>2</v>
      </c>
      <c r="AG5" s="541" t="str">
        <f t="shared" ca="1" si="9"/>
        <v/>
      </c>
      <c r="AH5" s="542" t="str">
        <f t="shared" ref="AH5:AH12" ca="1" si="25">INDEX($AG$4:$AG$12,MATCH(ROW(A2),$AK$4:$AK$12,0))</f>
        <v/>
      </c>
      <c r="AI5" s="543">
        <f t="shared" ref="AI5:AI12" ca="1" si="26">IF($AG5="",99999,VLOOKUP($AG5,$C$17:$Z$25,24,0))</f>
        <v>99999</v>
      </c>
      <c r="AJ5" s="539">
        <f t="shared" ref="AJ5:AJ12" ca="1" si="27">RANK(AI5,AI$4:AI$12,1)+IFERROR(INDEX($E$4:$E$12,MATCH(AG5,$F$4:$F$12,0)),0)/100+ROW()/10000</f>
        <v>1.0905</v>
      </c>
      <c r="AK5" s="544">
        <f t="shared" ref="AK5:AK12" ca="1" si="28">RANK($AJ5,$AJ$4:$AJ$12,1)</f>
        <v>2</v>
      </c>
      <c r="AL5" s="542" t="str">
        <f t="shared" ca="1" si="10"/>
        <v/>
      </c>
      <c r="AM5" s="542" t="str">
        <f t="shared" ref="AM5:AM12" ca="1" si="29">INDEX($AL$4:$AL$12,MATCH(ROW(A2),$AP$4:$AP$12,0))</f>
        <v/>
      </c>
      <c r="AN5" s="543">
        <f t="shared" ref="AN5:AN12" ca="1" si="30">IF($AL5="",99999,VLOOKUP($AL5,$C$17:$Z$25,24,0))</f>
        <v>99999</v>
      </c>
      <c r="AO5" s="539">
        <f t="shared" ref="AO5:AO12" ca="1" si="31">RANK(AN5,AN$4:AN$12,1)+IFERROR(INDEX($E$4:$E$12,MATCH(AL5,$F$4:$F$12,0)),0)/100+ROW()/10000</f>
        <v>1.0905</v>
      </c>
      <c r="AP5" s="544">
        <f t="shared" ref="AP5:AP12" ca="1" si="32">RANK($AO5,$AO$4:$AO$12,1)</f>
        <v>2</v>
      </c>
    </row>
    <row r="6" spans="1:42" s="2" customFormat="1" x14ac:dyDescent="0.2">
      <c r="A6" s="239"/>
      <c r="B6" s="1">
        <v>3</v>
      </c>
      <c r="C6" s="22">
        <f t="shared" ca="1" si="11"/>
        <v>2</v>
      </c>
      <c r="D6" s="13">
        <f t="shared" ca="1" si="12"/>
        <v>2.0059999999999998</v>
      </c>
      <c r="E6" s="250">
        <f t="shared" ca="1" si="13"/>
        <v>2</v>
      </c>
      <c r="F6" s="1" t="str">
        <f t="shared" si="14"/>
        <v>Eintracht Frankfurt</v>
      </c>
      <c r="G6" s="1">
        <f t="shared" ca="1" si="1"/>
        <v>7</v>
      </c>
      <c r="H6" s="1">
        <f t="shared" ca="1" si="2"/>
        <v>3</v>
      </c>
      <c r="I6" s="3">
        <f t="shared" ca="1" si="3"/>
        <v>4</v>
      </c>
      <c r="J6" s="1">
        <f t="shared" ca="1" si="15"/>
        <v>6</v>
      </c>
      <c r="K6" s="1">
        <f t="shared" ca="1" si="4"/>
        <v>2</v>
      </c>
      <c r="L6" s="1">
        <f t="shared" ca="1" si="5"/>
        <v>2</v>
      </c>
      <c r="M6" s="1">
        <f t="shared" ca="1" si="6"/>
        <v>0</v>
      </c>
      <c r="N6" s="1">
        <f t="shared" ca="1" si="7"/>
        <v>0</v>
      </c>
      <c r="O6" s="24"/>
      <c r="P6" s="25"/>
      <c r="V6" s="1"/>
      <c r="W6" s="541" t="str">
        <f t="shared" ca="1" si="16"/>
        <v/>
      </c>
      <c r="X6" s="542" t="str">
        <f t="shared" ca="1" si="17"/>
        <v/>
      </c>
      <c r="Y6" s="539">
        <f t="shared" ca="1" si="18"/>
        <v>99999</v>
      </c>
      <c r="Z6" s="539">
        <f t="shared" ca="1" si="19"/>
        <v>1.0906</v>
      </c>
      <c r="AA6" s="544">
        <f t="shared" ca="1" si="20"/>
        <v>3</v>
      </c>
      <c r="AB6" s="541" t="str">
        <f t="shared" ca="1" si="8"/>
        <v/>
      </c>
      <c r="AC6" s="542" t="str">
        <f t="shared" ca="1" si="21"/>
        <v/>
      </c>
      <c r="AD6" s="543">
        <f t="shared" ca="1" si="22"/>
        <v>99999</v>
      </c>
      <c r="AE6" s="539">
        <f t="shared" ca="1" si="23"/>
        <v>1.0906</v>
      </c>
      <c r="AF6" s="539">
        <f t="shared" ca="1" si="24"/>
        <v>3</v>
      </c>
      <c r="AG6" s="541" t="str">
        <f t="shared" ca="1" si="9"/>
        <v/>
      </c>
      <c r="AH6" s="542" t="str">
        <f t="shared" ca="1" si="25"/>
        <v/>
      </c>
      <c r="AI6" s="543">
        <f t="shared" ca="1" si="26"/>
        <v>99999</v>
      </c>
      <c r="AJ6" s="539">
        <f t="shared" ca="1" si="27"/>
        <v>1.0906</v>
      </c>
      <c r="AK6" s="544">
        <f t="shared" ca="1" si="28"/>
        <v>3</v>
      </c>
      <c r="AL6" s="542" t="str">
        <f t="shared" ca="1" si="10"/>
        <v/>
      </c>
      <c r="AM6" s="542" t="str">
        <f t="shared" ca="1" si="29"/>
        <v/>
      </c>
      <c r="AN6" s="543">
        <f t="shared" ca="1" si="30"/>
        <v>99999</v>
      </c>
      <c r="AO6" s="539">
        <f t="shared" ca="1" si="31"/>
        <v>1.0906</v>
      </c>
      <c r="AP6" s="544">
        <f t="shared" ca="1" si="32"/>
        <v>3</v>
      </c>
    </row>
    <row r="7" spans="1:42" s="2" customFormat="1" x14ac:dyDescent="0.2">
      <c r="A7" s="239"/>
      <c r="B7" s="1">
        <v>4</v>
      </c>
      <c r="C7" s="22">
        <f t="shared" ca="1" si="11"/>
        <v>6</v>
      </c>
      <c r="D7" s="13">
        <f t="shared" ca="1" si="12"/>
        <v>6.0069999999999997</v>
      </c>
      <c r="E7" s="250">
        <f t="shared" ca="1" si="13"/>
        <v>6</v>
      </c>
      <c r="F7" s="1" t="str">
        <f t="shared" si="14"/>
        <v>Maibach 1822 eV</v>
      </c>
      <c r="G7" s="1">
        <f t="shared" ca="1" si="1"/>
        <v>4</v>
      </c>
      <c r="H7" s="1">
        <f t="shared" ca="1" si="2"/>
        <v>6</v>
      </c>
      <c r="I7" s="3">
        <f t="shared" ca="1" si="3"/>
        <v>-2</v>
      </c>
      <c r="J7" s="1">
        <f t="shared" ca="1" si="15"/>
        <v>2</v>
      </c>
      <c r="K7" s="1">
        <f t="shared" ca="1" si="4"/>
        <v>3</v>
      </c>
      <c r="L7" s="1">
        <f t="shared" ca="1" si="5"/>
        <v>0</v>
      </c>
      <c r="M7" s="1">
        <f t="shared" ca="1" si="6"/>
        <v>2</v>
      </c>
      <c r="N7" s="1">
        <f t="shared" ca="1" si="7"/>
        <v>1</v>
      </c>
      <c r="O7" s="24"/>
      <c r="P7" s="25"/>
      <c r="V7" s="1"/>
      <c r="W7" s="541" t="str">
        <f t="shared" ca="1" si="16"/>
        <v/>
      </c>
      <c r="X7" s="542" t="str">
        <f t="shared" ca="1" si="17"/>
        <v/>
      </c>
      <c r="Y7" s="539">
        <f t="shared" ca="1" si="18"/>
        <v>99999</v>
      </c>
      <c r="Z7" s="539">
        <f t="shared" ca="1" si="19"/>
        <v>1.0907</v>
      </c>
      <c r="AA7" s="544">
        <f t="shared" ca="1" si="20"/>
        <v>4</v>
      </c>
      <c r="AB7" s="541" t="str">
        <f t="shared" ca="1" si="8"/>
        <v/>
      </c>
      <c r="AC7" s="542" t="str">
        <f t="shared" ca="1" si="21"/>
        <v/>
      </c>
      <c r="AD7" s="543">
        <f t="shared" ca="1" si="22"/>
        <v>99999</v>
      </c>
      <c r="AE7" s="539">
        <f t="shared" ca="1" si="23"/>
        <v>1.0907</v>
      </c>
      <c r="AF7" s="539">
        <f t="shared" ca="1" si="24"/>
        <v>4</v>
      </c>
      <c r="AG7" s="541" t="str">
        <f t="shared" ca="1" si="9"/>
        <v/>
      </c>
      <c r="AH7" s="542" t="str">
        <f t="shared" ca="1" si="25"/>
        <v/>
      </c>
      <c r="AI7" s="543">
        <f t="shared" ca="1" si="26"/>
        <v>99999</v>
      </c>
      <c r="AJ7" s="539">
        <f t="shared" ca="1" si="27"/>
        <v>1.0907</v>
      </c>
      <c r="AK7" s="544">
        <f t="shared" ca="1" si="28"/>
        <v>4</v>
      </c>
      <c r="AL7" s="542" t="str">
        <f t="shared" ca="1" si="10"/>
        <v/>
      </c>
      <c r="AM7" s="542" t="str">
        <f t="shared" ca="1" si="29"/>
        <v/>
      </c>
      <c r="AN7" s="543">
        <f t="shared" ca="1" si="30"/>
        <v>99999</v>
      </c>
      <c r="AO7" s="539">
        <f t="shared" ca="1" si="31"/>
        <v>1.0907</v>
      </c>
      <c r="AP7" s="544">
        <f t="shared" ca="1" si="32"/>
        <v>4</v>
      </c>
    </row>
    <row r="8" spans="1:42" s="2" customFormat="1" x14ac:dyDescent="0.2">
      <c r="A8" s="239"/>
      <c r="B8" s="1">
        <v>5</v>
      </c>
      <c r="C8" s="22">
        <f t="shared" ca="1" si="11"/>
        <v>7</v>
      </c>
      <c r="D8" s="13">
        <f t="shared" ca="1" si="12"/>
        <v>7.008</v>
      </c>
      <c r="E8" s="250">
        <f t="shared" ca="1" si="13"/>
        <v>7</v>
      </c>
      <c r="F8" s="1" t="str">
        <f t="shared" si="14"/>
        <v>VFB Essenheim</v>
      </c>
      <c r="G8" s="1">
        <f t="shared" ca="1" si="1"/>
        <v>2</v>
      </c>
      <c r="H8" s="1">
        <f t="shared" ca="1" si="2"/>
        <v>11</v>
      </c>
      <c r="I8" s="3">
        <f t="shared" ca="1" si="3"/>
        <v>-9</v>
      </c>
      <c r="J8" s="1">
        <f t="shared" ca="1" si="15"/>
        <v>1</v>
      </c>
      <c r="K8" s="1">
        <f t="shared" ca="1" si="4"/>
        <v>3</v>
      </c>
      <c r="L8" s="1">
        <f t="shared" ca="1" si="5"/>
        <v>0</v>
      </c>
      <c r="M8" s="1">
        <f t="shared" ca="1" si="6"/>
        <v>1</v>
      </c>
      <c r="N8" s="1">
        <f t="shared" ca="1" si="7"/>
        <v>2</v>
      </c>
      <c r="P8" s="25"/>
      <c r="W8" s="541" t="str">
        <f t="shared" ca="1" si="16"/>
        <v/>
      </c>
      <c r="X8" s="542" t="str">
        <f t="shared" ca="1" si="17"/>
        <v/>
      </c>
      <c r="Y8" s="539">
        <f t="shared" ca="1" si="18"/>
        <v>99999</v>
      </c>
      <c r="Z8" s="539">
        <f t="shared" ca="1" si="19"/>
        <v>1.0908</v>
      </c>
      <c r="AA8" s="544">
        <f t="shared" ca="1" si="20"/>
        <v>5</v>
      </c>
      <c r="AB8" s="541" t="str">
        <f t="shared" ca="1" si="8"/>
        <v/>
      </c>
      <c r="AC8" s="542" t="str">
        <f t="shared" ca="1" si="21"/>
        <v/>
      </c>
      <c r="AD8" s="543">
        <f t="shared" ca="1" si="22"/>
        <v>99999</v>
      </c>
      <c r="AE8" s="539">
        <f t="shared" ca="1" si="23"/>
        <v>1.0908</v>
      </c>
      <c r="AF8" s="539">
        <f t="shared" ca="1" si="24"/>
        <v>5</v>
      </c>
      <c r="AG8" s="541" t="str">
        <f t="shared" ca="1" si="9"/>
        <v/>
      </c>
      <c r="AH8" s="542" t="str">
        <f t="shared" ca="1" si="25"/>
        <v/>
      </c>
      <c r="AI8" s="543">
        <f t="shared" ca="1" si="26"/>
        <v>99999</v>
      </c>
      <c r="AJ8" s="539">
        <f t="shared" ca="1" si="27"/>
        <v>1.0908</v>
      </c>
      <c r="AK8" s="544">
        <f t="shared" ca="1" si="28"/>
        <v>5</v>
      </c>
      <c r="AL8" s="542" t="str">
        <f t="shared" ca="1" si="10"/>
        <v/>
      </c>
      <c r="AM8" s="542" t="str">
        <f t="shared" ca="1" si="29"/>
        <v/>
      </c>
      <c r="AN8" s="543">
        <f t="shared" ca="1" si="30"/>
        <v>99999</v>
      </c>
      <c r="AO8" s="539">
        <f t="shared" ca="1" si="31"/>
        <v>1.0908</v>
      </c>
      <c r="AP8" s="544">
        <f t="shared" ca="1" si="32"/>
        <v>5</v>
      </c>
    </row>
    <row r="9" spans="1:42" s="2" customFormat="1" x14ac:dyDescent="0.2">
      <c r="A9" s="239"/>
      <c r="B9" s="1">
        <v>6</v>
      </c>
      <c r="C9" s="22">
        <f t="shared" ca="1" si="11"/>
        <v>4</v>
      </c>
      <c r="D9" s="13">
        <f t="shared" ca="1" si="12"/>
        <v>4.0090000000000003</v>
      </c>
      <c r="E9" s="250">
        <f t="shared" ca="1" si="13"/>
        <v>4</v>
      </c>
      <c r="F9" s="1" t="str">
        <f t="shared" si="14"/>
        <v>Fun Kickers Oes</v>
      </c>
      <c r="G9" s="1">
        <f t="shared" ca="1" si="1"/>
        <v>9</v>
      </c>
      <c r="H9" s="1">
        <f t="shared" ca="1" si="2"/>
        <v>8</v>
      </c>
      <c r="I9" s="3">
        <f t="shared" ca="1" si="3"/>
        <v>1</v>
      </c>
      <c r="J9" s="1">
        <f t="shared" ca="1" si="15"/>
        <v>6</v>
      </c>
      <c r="K9" s="1">
        <f t="shared" ca="1" si="4"/>
        <v>3</v>
      </c>
      <c r="L9" s="1">
        <f t="shared" ca="1" si="5"/>
        <v>2</v>
      </c>
      <c r="M9" s="1">
        <f t="shared" ca="1" si="6"/>
        <v>0</v>
      </c>
      <c r="N9" s="1">
        <f t="shared" ca="1" si="7"/>
        <v>1</v>
      </c>
      <c r="P9" s="25"/>
      <c r="W9" s="541" t="str">
        <f t="shared" ca="1" si="16"/>
        <v/>
      </c>
      <c r="X9" s="542" t="str">
        <f t="shared" ca="1" si="17"/>
        <v/>
      </c>
      <c r="Y9" s="539">
        <f t="shared" ca="1" si="18"/>
        <v>99999</v>
      </c>
      <c r="Z9" s="539">
        <f t="shared" ca="1" si="19"/>
        <v>1.0909</v>
      </c>
      <c r="AA9" s="544">
        <f t="shared" ca="1" si="20"/>
        <v>6</v>
      </c>
      <c r="AB9" s="541" t="str">
        <f t="shared" ca="1" si="8"/>
        <v/>
      </c>
      <c r="AC9" s="542" t="str">
        <f t="shared" ca="1" si="21"/>
        <v/>
      </c>
      <c r="AD9" s="543">
        <f t="shared" ca="1" si="22"/>
        <v>99999</v>
      </c>
      <c r="AE9" s="539">
        <f t="shared" ca="1" si="23"/>
        <v>1.0909</v>
      </c>
      <c r="AF9" s="539">
        <f t="shared" ca="1" si="24"/>
        <v>6</v>
      </c>
      <c r="AG9" s="541" t="str">
        <f t="shared" ca="1" si="9"/>
        <v/>
      </c>
      <c r="AH9" s="542" t="str">
        <f t="shared" ca="1" si="25"/>
        <v/>
      </c>
      <c r="AI9" s="543">
        <f t="shared" ca="1" si="26"/>
        <v>99999</v>
      </c>
      <c r="AJ9" s="539">
        <f t="shared" ca="1" si="27"/>
        <v>1.0909</v>
      </c>
      <c r="AK9" s="544">
        <f t="shared" ca="1" si="28"/>
        <v>6</v>
      </c>
      <c r="AL9" s="542" t="str">
        <f t="shared" ca="1" si="10"/>
        <v/>
      </c>
      <c r="AM9" s="542" t="str">
        <f t="shared" ca="1" si="29"/>
        <v/>
      </c>
      <c r="AN9" s="543">
        <f t="shared" ca="1" si="30"/>
        <v>99999</v>
      </c>
      <c r="AO9" s="539">
        <f t="shared" ca="1" si="31"/>
        <v>1.0909</v>
      </c>
      <c r="AP9" s="544">
        <f t="shared" ca="1" si="32"/>
        <v>6</v>
      </c>
    </row>
    <row r="10" spans="1:42" s="2" customFormat="1" x14ac:dyDescent="0.2">
      <c r="A10" s="239"/>
      <c r="B10" s="1">
        <v>7</v>
      </c>
      <c r="C10" s="22">
        <f t="shared" ca="1" si="11"/>
        <v>3</v>
      </c>
      <c r="D10" s="13">
        <f t="shared" ca="1" si="12"/>
        <v>3.01</v>
      </c>
      <c r="E10" s="250">
        <f t="shared" ca="1" si="13"/>
        <v>3</v>
      </c>
      <c r="F10" s="1" t="str">
        <f t="shared" si="14"/>
        <v>Raslo Winners</v>
      </c>
      <c r="G10" s="1">
        <f t="shared" ca="1" si="1"/>
        <v>6</v>
      </c>
      <c r="H10" s="1">
        <f t="shared" ca="1" si="2"/>
        <v>4</v>
      </c>
      <c r="I10" s="3">
        <f t="shared" ca="1" si="3"/>
        <v>2</v>
      </c>
      <c r="J10" s="1">
        <f t="shared" ca="1" si="15"/>
        <v>6</v>
      </c>
      <c r="K10" s="1">
        <f t="shared" ca="1" si="4"/>
        <v>3</v>
      </c>
      <c r="L10" s="1">
        <f t="shared" ca="1" si="5"/>
        <v>2</v>
      </c>
      <c r="M10" s="1">
        <f t="shared" ca="1" si="6"/>
        <v>0</v>
      </c>
      <c r="N10" s="1">
        <f t="shared" ca="1" si="7"/>
        <v>1</v>
      </c>
      <c r="P10" s="25"/>
      <c r="W10" s="541" t="str">
        <f t="shared" ca="1" si="16"/>
        <v/>
      </c>
      <c r="X10" s="542" t="str">
        <f t="shared" ca="1" si="17"/>
        <v/>
      </c>
      <c r="Y10" s="539">
        <f t="shared" ca="1" si="18"/>
        <v>99999</v>
      </c>
      <c r="Z10" s="539">
        <f t="shared" ca="1" si="19"/>
        <v>1.091</v>
      </c>
      <c r="AA10" s="544">
        <f t="shared" ca="1" si="20"/>
        <v>7</v>
      </c>
      <c r="AB10" s="541" t="str">
        <f t="shared" ca="1" si="8"/>
        <v/>
      </c>
      <c r="AC10" s="542" t="str">
        <f t="shared" ca="1" si="21"/>
        <v/>
      </c>
      <c r="AD10" s="543">
        <f t="shared" ca="1" si="22"/>
        <v>99999</v>
      </c>
      <c r="AE10" s="539">
        <f t="shared" ca="1" si="23"/>
        <v>1.091</v>
      </c>
      <c r="AF10" s="539">
        <f t="shared" ca="1" si="24"/>
        <v>7</v>
      </c>
      <c r="AG10" s="541" t="str">
        <f t="shared" ca="1" si="9"/>
        <v/>
      </c>
      <c r="AH10" s="542" t="str">
        <f t="shared" ca="1" si="25"/>
        <v/>
      </c>
      <c r="AI10" s="543">
        <f t="shared" ca="1" si="26"/>
        <v>99999</v>
      </c>
      <c r="AJ10" s="539">
        <f t="shared" ca="1" si="27"/>
        <v>1.091</v>
      </c>
      <c r="AK10" s="544">
        <f t="shared" ca="1" si="28"/>
        <v>7</v>
      </c>
      <c r="AL10" s="542" t="str">
        <f t="shared" ca="1" si="10"/>
        <v/>
      </c>
      <c r="AM10" s="542" t="str">
        <f t="shared" ca="1" si="29"/>
        <v/>
      </c>
      <c r="AN10" s="543">
        <f t="shared" ca="1" si="30"/>
        <v>99999</v>
      </c>
      <c r="AO10" s="539">
        <f t="shared" ca="1" si="31"/>
        <v>1.091</v>
      </c>
      <c r="AP10" s="544">
        <f t="shared" ca="1" si="32"/>
        <v>7</v>
      </c>
    </row>
    <row r="11" spans="1:42" s="2" customFormat="1" x14ac:dyDescent="0.2">
      <c r="A11" s="239"/>
      <c r="B11" s="1">
        <v>8</v>
      </c>
      <c r="C11" s="22">
        <f t="shared" ca="1" si="11"/>
        <v>5</v>
      </c>
      <c r="D11" s="13">
        <f t="shared" ca="1" si="12"/>
        <v>5.0110000000000001</v>
      </c>
      <c r="E11" s="250">
        <f t="shared" ca="1" si="13"/>
        <v>5</v>
      </c>
      <c r="F11" s="1" t="str">
        <f t="shared" si="14"/>
        <v>Knock Out Rangers</v>
      </c>
      <c r="G11" s="1">
        <f t="shared" ca="1" si="1"/>
        <v>9</v>
      </c>
      <c r="H11" s="1">
        <f t="shared" ca="1" si="2"/>
        <v>6</v>
      </c>
      <c r="I11" s="3">
        <f t="shared" ca="1" si="3"/>
        <v>3</v>
      </c>
      <c r="J11" s="1">
        <f t="shared" ca="1" si="15"/>
        <v>4</v>
      </c>
      <c r="K11" s="1">
        <f t="shared" ca="1" si="4"/>
        <v>3</v>
      </c>
      <c r="L11" s="1">
        <f t="shared" ca="1" si="5"/>
        <v>1</v>
      </c>
      <c r="M11" s="1">
        <f t="shared" ca="1" si="6"/>
        <v>1</v>
      </c>
      <c r="N11" s="1">
        <f t="shared" ca="1" si="7"/>
        <v>1</v>
      </c>
      <c r="O11" s="13"/>
      <c r="P11" s="13"/>
      <c r="Q11" s="13"/>
      <c r="R11" s="13"/>
      <c r="S11" s="13"/>
      <c r="T11" s="13"/>
      <c r="U11" s="13"/>
      <c r="V11" s="13"/>
      <c r="W11" s="541" t="str">
        <f t="shared" ca="1" si="16"/>
        <v/>
      </c>
      <c r="X11" s="542" t="str">
        <f t="shared" ca="1" si="17"/>
        <v/>
      </c>
      <c r="Y11" s="539">
        <f t="shared" ca="1" si="18"/>
        <v>99999</v>
      </c>
      <c r="Z11" s="539">
        <f t="shared" ca="1" si="19"/>
        <v>1.0911000000000002</v>
      </c>
      <c r="AA11" s="544">
        <f t="shared" ca="1" si="20"/>
        <v>8</v>
      </c>
      <c r="AB11" s="541" t="str">
        <f t="shared" ca="1" si="8"/>
        <v/>
      </c>
      <c r="AC11" s="542" t="str">
        <f t="shared" ca="1" si="21"/>
        <v/>
      </c>
      <c r="AD11" s="543">
        <f t="shared" ca="1" si="22"/>
        <v>99999</v>
      </c>
      <c r="AE11" s="539">
        <f t="shared" ca="1" si="23"/>
        <v>1.0911000000000002</v>
      </c>
      <c r="AF11" s="539">
        <f t="shared" ca="1" si="24"/>
        <v>8</v>
      </c>
      <c r="AG11" s="541" t="str">
        <f t="shared" ca="1" si="9"/>
        <v/>
      </c>
      <c r="AH11" s="542" t="str">
        <f t="shared" ca="1" si="25"/>
        <v/>
      </c>
      <c r="AI11" s="543">
        <f t="shared" ca="1" si="26"/>
        <v>99999</v>
      </c>
      <c r="AJ11" s="539">
        <f t="shared" ca="1" si="27"/>
        <v>1.0911000000000002</v>
      </c>
      <c r="AK11" s="544">
        <f t="shared" ca="1" si="28"/>
        <v>8</v>
      </c>
      <c r="AL11" s="542" t="str">
        <f t="shared" ca="1" si="10"/>
        <v/>
      </c>
      <c r="AM11" s="542" t="str">
        <f t="shared" ca="1" si="29"/>
        <v/>
      </c>
      <c r="AN11" s="543">
        <f t="shared" ca="1" si="30"/>
        <v>99999</v>
      </c>
      <c r="AO11" s="539">
        <f t="shared" ca="1" si="31"/>
        <v>1.0911000000000002</v>
      </c>
      <c r="AP11" s="544">
        <f t="shared" ca="1" si="32"/>
        <v>8</v>
      </c>
    </row>
    <row r="12" spans="1:42" s="2" customFormat="1" ht="12.75" thickBot="1" x14ac:dyDescent="0.25">
      <c r="A12" s="239"/>
      <c r="B12" s="1">
        <v>9</v>
      </c>
      <c r="C12" s="23">
        <f t="shared" ca="1" si="11"/>
        <v>9</v>
      </c>
      <c r="D12" s="13">
        <f t="shared" ca="1" si="12"/>
        <v>19.012</v>
      </c>
      <c r="E12" s="250">
        <f t="shared" ca="1" si="13"/>
        <v>9</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19"/>
        <v>1.0912000000000002</v>
      </c>
      <c r="AA12" s="548">
        <f t="shared" ca="1" si="20"/>
        <v>9</v>
      </c>
      <c r="AB12" s="545" t="str">
        <f t="shared" ca="1" si="8"/>
        <v/>
      </c>
      <c r="AC12" s="546" t="str">
        <f t="shared" ca="1" si="21"/>
        <v/>
      </c>
      <c r="AD12" s="549">
        <f t="shared" ca="1" si="22"/>
        <v>99999</v>
      </c>
      <c r="AE12" s="547">
        <f t="shared" ca="1" si="23"/>
        <v>1.0912000000000002</v>
      </c>
      <c r="AF12" s="547">
        <f t="shared" ca="1" si="24"/>
        <v>9</v>
      </c>
      <c r="AG12" s="545" t="str">
        <f t="shared" ca="1" si="9"/>
        <v/>
      </c>
      <c r="AH12" s="546" t="str">
        <f t="shared" ca="1" si="25"/>
        <v/>
      </c>
      <c r="AI12" s="549">
        <f t="shared" ca="1" si="26"/>
        <v>99999</v>
      </c>
      <c r="AJ12" s="547">
        <f t="shared" ca="1" si="27"/>
        <v>1.0912000000000002</v>
      </c>
      <c r="AK12" s="548">
        <f t="shared" ca="1" si="28"/>
        <v>9</v>
      </c>
      <c r="AL12" s="546" t="str">
        <f t="shared" ca="1" si="10"/>
        <v/>
      </c>
      <c r="AM12" s="546" t="str">
        <f t="shared" ca="1" si="29"/>
        <v/>
      </c>
      <c r="AN12" s="549">
        <f t="shared" ca="1" si="30"/>
        <v>99999</v>
      </c>
      <c r="AO12" s="547">
        <f t="shared" ca="1" si="31"/>
        <v>1.0912000000000002</v>
      </c>
      <c r="AP12" s="548">
        <f t="shared" ca="1" si="32"/>
        <v>9</v>
      </c>
    </row>
    <row r="13" spans="1:42" s="2" customFormat="1" ht="12.75" thickTop="1" x14ac:dyDescent="0.2">
      <c r="B13" s="3">
        <f>$F$13*($F$13-1)</f>
        <v>56</v>
      </c>
      <c r="C13" s="3"/>
      <c r="D13" s="3"/>
      <c r="E13" s="3"/>
      <c r="F13" s="3">
        <f>9-COUNTBLANK($F$4:$F$12)</f>
        <v>8</v>
      </c>
      <c r="G13" s="3"/>
      <c r="H13" s="3"/>
      <c r="I13" s="3"/>
      <c r="J13" s="3"/>
      <c r="K13" s="28">
        <f ca="1">QUOTIENT(SUM(K4:K12),2)</f>
        <v>11</v>
      </c>
      <c r="L13" s="1"/>
      <c r="M13" s="1"/>
      <c r="N13" s="1"/>
      <c r="O13" s="1"/>
      <c r="P13" s="1"/>
      <c r="Q13" s="1"/>
      <c r="R13" s="1"/>
      <c r="S13" s="1"/>
      <c r="T13" s="1"/>
      <c r="U13" s="1"/>
      <c r="V13" s="1"/>
      <c r="Y13" s="1"/>
      <c r="Z13" s="1"/>
    </row>
    <row r="14" spans="1:42" s="2" customFormat="1" x14ac:dyDescent="0.2">
      <c r="B14" s="14">
        <f>MAX($B$13,Calc2!$B$13)</f>
        <v>56</v>
      </c>
      <c r="D14" s="1" t="s">
        <v>222</v>
      </c>
      <c r="F14" s="14">
        <f>MAX($F$13,Calc2!$F$13)</f>
        <v>8</v>
      </c>
      <c r="O14" s="1"/>
      <c r="P14" s="1"/>
      <c r="Q14" s="1"/>
      <c r="R14" s="1"/>
      <c r="S14" s="1"/>
      <c r="T14" s="1"/>
      <c r="U14" s="1"/>
      <c r="V14" s="1"/>
      <c r="W14" s="1"/>
      <c r="Y14" s="1"/>
      <c r="Z14" s="1"/>
    </row>
    <row r="15" spans="1:42" s="2" customFormat="1" x14ac:dyDescent="0.2">
      <c r="O15" s="12"/>
      <c r="AD15" s="767" t="s">
        <v>190</v>
      </c>
      <c r="AE15" s="768"/>
      <c r="AF15" s="768"/>
      <c r="AG15" s="768"/>
      <c r="AH15" s="769"/>
      <c r="AI15" s="2" t="b">
        <f>(Einstellungen!$B$9=Sprache!$E$78)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$Q64</f>
        <v>1. FC Riedwald</v>
      </c>
      <c r="D17" s="1">
        <f t="shared" ref="D17:D25" ca="1" si="33">K4</f>
        <v>3</v>
      </c>
      <c r="E17" s="1">
        <f t="shared" ref="E17:E25" ca="1" si="34">L4</f>
        <v>0</v>
      </c>
      <c r="F17" s="1">
        <f t="shared" ref="F17:F25" ca="1" si="35">M4</f>
        <v>0</v>
      </c>
      <c r="G17" s="1">
        <f t="shared" ref="G17:G25" ca="1" si="36">N4</f>
        <v>3</v>
      </c>
      <c r="H17" s="1">
        <f t="shared" ref="H17:J23" ca="1" si="37">G4</f>
        <v>4</v>
      </c>
      <c r="I17" s="1">
        <f t="shared" ca="1" si="37"/>
        <v>12</v>
      </c>
      <c r="J17" s="13">
        <f t="shared" ca="1" si="37"/>
        <v>-8</v>
      </c>
      <c r="K17" s="1">
        <f t="shared" ref="K17:K25" ca="1" si="38">J4</f>
        <v>0</v>
      </c>
      <c r="L17" s="30">
        <f t="shared" ref="L17:L25" ca="1" si="39">K17*$F$64+(J17+$H$65)*$F$65+H17*$F$66</f>
        <v>492004</v>
      </c>
      <c r="M17" s="14">
        <f ca="1">IF($AI$15,COUNTIF($K$17:$K$25,K17),COUNTIF($L$17:$L$25,L17))</f>
        <v>1</v>
      </c>
      <c r="N17" s="14">
        <f t="array" aca="1" ref="N17" ca="1">IF($AI$15,SUM(($K$17:$K$25&gt;=K17)/COUNTIF($K$17:$K$25,$K$17:$K$25)),SUM(($L$17:$L$25&gt;=L17)/COUNTIF($L$17:$L$25,$L$17:$L$25)))</f>
        <v>9</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5" ca="1" si="48">AA17*$F$64+(AB17+$H$65)*$F$65+AC17*$F$66</f>
        <v>500000</v>
      </c>
      <c r="X17" s="21">
        <f ca="1">RANK($L17,$L$17:$L$25)+RANK($W17,$W$17:$W$25)/100+(9-$Y17)/10000+($C17="")*100</f>
        <v>9.0108999999999995</v>
      </c>
      <c r="Y17" s="13">
        <f>Vorrunde!$AL12</f>
        <v>0</v>
      </c>
      <c r="Z17" s="1">
        <f ca="1">RANK($W17,$W$17:$W$25)+(9-$Y17)/10</f>
        <v>1.9</v>
      </c>
      <c r="AA17" s="1">
        <f ca="1">SUM(E30:BP30)</f>
        <v>0</v>
      </c>
      <c r="AB17" s="1">
        <f ca="1">SUM(E41:BP41)</f>
        <v>0</v>
      </c>
      <c r="AC17" s="1">
        <f ca="1">SUM(E52:BP52)</f>
        <v>0</v>
      </c>
      <c r="AD17" s="244">
        <f ca="1">RANK($K17,$K$17:$K$25)</f>
        <v>8</v>
      </c>
      <c r="AE17" s="30">
        <f t="shared" ref="AE17:AE25" ca="1" si="49">(J17+$H$65)*$F$65+H17*$F$66</f>
        <v>492004</v>
      </c>
      <c r="AF17" s="1">
        <f ca="1">RANK($AE17,$AE$17:$AE$25)</f>
        <v>8</v>
      </c>
      <c r="AG17" s="1">
        <f ca="1">RANK($W17,$W$17:$W$25)</f>
        <v>1</v>
      </c>
      <c r="AH17" s="246">
        <f ca="1">AD17+AG17/100+AF17/10000+(10-Y17)/1000000+($C17="")*100</f>
        <v>8.0108099999999993</v>
      </c>
      <c r="AI17" s="1"/>
    </row>
    <row r="18" spans="2:80" s="2" customFormat="1" x14ac:dyDescent="0.2">
      <c r="C18" s="2" t="str">
        <f t="shared" ref="C18:C25" si="50">$Q65</f>
        <v>FC Barcelona</v>
      </c>
      <c r="D18" s="1">
        <f t="shared" ca="1" si="33"/>
        <v>2</v>
      </c>
      <c r="E18" s="1">
        <f t="shared" ca="1" si="34"/>
        <v>2</v>
      </c>
      <c r="F18" s="1">
        <f t="shared" ca="1" si="35"/>
        <v>0</v>
      </c>
      <c r="G18" s="1">
        <f t="shared" ca="1" si="36"/>
        <v>0</v>
      </c>
      <c r="H18" s="1">
        <f t="shared" ca="1" si="37"/>
        <v>10</v>
      </c>
      <c r="I18" s="1">
        <f t="shared" ca="1" si="37"/>
        <v>1</v>
      </c>
      <c r="J18" s="13">
        <f t="shared" ca="1" si="37"/>
        <v>9</v>
      </c>
      <c r="K18" s="1">
        <f t="shared" ca="1" si="38"/>
        <v>6</v>
      </c>
      <c r="L18" s="30">
        <f t="shared" ca="1" si="39"/>
        <v>6509010</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ca="1">RANK($L18,$L$17:$L$25)+RANK($W18,$W$17:$W$25)/100+(9-$Y18)/10000+($C18="")*100</f>
        <v>1.0108999999999999</v>
      </c>
      <c r="Y18" s="13">
        <f>Vorrunde!$AL13</f>
        <v>0</v>
      </c>
      <c r="Z18" s="1">
        <f t="shared" ref="Z18:Z25" ca="1" si="52">RANK($W18,$W$17:$W$25)+(9-$Y18)/10</f>
        <v>1.9</v>
      </c>
      <c r="AA18" s="1">
        <f t="shared" ref="AA18:AA25" ca="1" si="53">SUM(E31:BP31)</f>
        <v>0</v>
      </c>
      <c r="AB18" s="1">
        <f t="shared" ref="AB18:AB25" ca="1" si="54">SUM(E42:BP42)</f>
        <v>0</v>
      </c>
      <c r="AC18" s="1">
        <f t="shared" ref="AC18:AC25" ca="1" si="55">SUM(E53:BP53)</f>
        <v>0</v>
      </c>
      <c r="AD18" s="244">
        <f t="shared" ref="AD18:AD25" ca="1" si="56">RANK($K18,$K$17:$K$25)</f>
        <v>1</v>
      </c>
      <c r="AE18" s="30">
        <f t="shared" ca="1" si="49"/>
        <v>509010</v>
      </c>
      <c r="AF18" s="1">
        <f t="shared" ref="AF18:AF25" ca="1" si="57">RANK($AE18,$AE$17:$AE$25)</f>
        <v>1</v>
      </c>
      <c r="AG18" s="1">
        <f t="shared" ref="AG18:AG25" ca="1" si="58">RANK($W18,$W$17:$W$25)</f>
        <v>1</v>
      </c>
      <c r="AH18" s="247">
        <f ca="1">AD18+AG18/100+AF18/10000+(10-Y18)/1000000+($C18="")*100</f>
        <v>1.0101100000000001</v>
      </c>
      <c r="AI18" s="1"/>
    </row>
    <row r="19" spans="2:80" s="2" customFormat="1" x14ac:dyDescent="0.2">
      <c r="C19" s="2" t="str">
        <f t="shared" si="50"/>
        <v>Eintracht Frankfurt</v>
      </c>
      <c r="D19" s="1">
        <f t="shared" ca="1" si="33"/>
        <v>2</v>
      </c>
      <c r="E19" s="1">
        <f t="shared" ca="1" si="34"/>
        <v>2</v>
      </c>
      <c r="F19" s="1">
        <f t="shared" ca="1" si="35"/>
        <v>0</v>
      </c>
      <c r="G19" s="1">
        <f t="shared" ca="1" si="36"/>
        <v>0</v>
      </c>
      <c r="H19" s="1">
        <f t="shared" ca="1" si="37"/>
        <v>7</v>
      </c>
      <c r="I19" s="1">
        <f t="shared" ca="1" si="37"/>
        <v>3</v>
      </c>
      <c r="J19" s="13">
        <f t="shared" ca="1" si="37"/>
        <v>4</v>
      </c>
      <c r="K19" s="1">
        <f t="shared" ca="1" si="38"/>
        <v>6</v>
      </c>
      <c r="L19" s="30">
        <f t="shared" ca="1" si="39"/>
        <v>6504007</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ref="X19:X25" ca="1" si="59">RANK($L19,$L$17:$L$25)+RANK($W19,$W$17:$W$25)/100+(9-$Y19)/10000+($C19="")*100</f>
        <v>2.0108999999999999</v>
      </c>
      <c r="Y19" s="13">
        <f>Vorrunde!$AL14</f>
        <v>0</v>
      </c>
      <c r="Z19" s="1">
        <f t="shared" ca="1" si="52"/>
        <v>1.9</v>
      </c>
      <c r="AA19" s="1">
        <f t="shared" ca="1" si="53"/>
        <v>0</v>
      </c>
      <c r="AB19" s="1">
        <f t="shared" ca="1" si="54"/>
        <v>0</v>
      </c>
      <c r="AC19" s="1">
        <f t="shared" ca="1" si="55"/>
        <v>0</v>
      </c>
      <c r="AD19" s="244">
        <f t="shared" ca="1" si="56"/>
        <v>1</v>
      </c>
      <c r="AE19" s="30">
        <f t="shared" ca="1" si="49"/>
        <v>504007</v>
      </c>
      <c r="AF19" s="1">
        <f t="shared" ca="1" si="57"/>
        <v>2</v>
      </c>
      <c r="AG19" s="1">
        <f t="shared" ca="1" si="58"/>
        <v>1</v>
      </c>
      <c r="AH19" s="247">
        <f t="shared" ref="AH19:AH25" ca="1" si="60">AD19+AG19/100+AF19/10000+(10-Y19)/1000000+($C19="")*100</f>
        <v>1.0102100000000001</v>
      </c>
      <c r="AI19" s="1"/>
    </row>
    <row r="20" spans="2:80" s="2" customFormat="1" x14ac:dyDescent="0.2">
      <c r="C20" s="2" t="str">
        <f t="shared" si="50"/>
        <v>Maibach 1822 eV</v>
      </c>
      <c r="D20" s="1">
        <f t="shared" ca="1" si="33"/>
        <v>3</v>
      </c>
      <c r="E20" s="1">
        <f t="shared" ca="1" si="34"/>
        <v>0</v>
      </c>
      <c r="F20" s="1">
        <f t="shared" ca="1" si="35"/>
        <v>2</v>
      </c>
      <c r="G20" s="1">
        <f t="shared" ca="1" si="36"/>
        <v>1</v>
      </c>
      <c r="H20" s="1">
        <f t="shared" ca="1" si="37"/>
        <v>4</v>
      </c>
      <c r="I20" s="1">
        <f t="shared" ca="1" si="37"/>
        <v>6</v>
      </c>
      <c r="J20" s="13">
        <f t="shared" ca="1" si="37"/>
        <v>-2</v>
      </c>
      <c r="K20" s="1">
        <f t="shared" ca="1" si="38"/>
        <v>2</v>
      </c>
      <c r="L20" s="30">
        <f t="shared" ca="1" si="39"/>
        <v>2498004</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9"/>
        <v>6.0108999999999995</v>
      </c>
      <c r="Y20" s="13">
        <f>Vorrunde!$AL15</f>
        <v>0</v>
      </c>
      <c r="Z20" s="1">
        <f t="shared" ca="1" si="52"/>
        <v>1.9</v>
      </c>
      <c r="AA20" s="1">
        <f t="shared" ca="1" si="53"/>
        <v>0</v>
      </c>
      <c r="AB20" s="1">
        <f t="shared" ca="1" si="54"/>
        <v>0</v>
      </c>
      <c r="AC20" s="1">
        <f t="shared" ca="1" si="55"/>
        <v>0</v>
      </c>
      <c r="AD20" s="244">
        <f t="shared" ca="1" si="56"/>
        <v>6</v>
      </c>
      <c r="AE20" s="30">
        <f t="shared" ca="1" si="49"/>
        <v>498004</v>
      </c>
      <c r="AF20" s="1">
        <f t="shared" ca="1" si="57"/>
        <v>7</v>
      </c>
      <c r="AG20" s="1">
        <f t="shared" ca="1" si="58"/>
        <v>1</v>
      </c>
      <c r="AH20" s="247">
        <f t="shared" ca="1" si="60"/>
        <v>6.0107099999999996</v>
      </c>
      <c r="AI20" s="1"/>
    </row>
    <row r="21" spans="2:80" s="2" customFormat="1" x14ac:dyDescent="0.2">
      <c r="C21" s="2" t="str">
        <f t="shared" si="50"/>
        <v>VFB Essenheim</v>
      </c>
      <c r="D21" s="1">
        <f t="shared" ca="1" si="33"/>
        <v>3</v>
      </c>
      <c r="E21" s="1">
        <f t="shared" ca="1" si="34"/>
        <v>0</v>
      </c>
      <c r="F21" s="1">
        <f t="shared" ca="1" si="35"/>
        <v>1</v>
      </c>
      <c r="G21" s="1">
        <f t="shared" ca="1" si="36"/>
        <v>2</v>
      </c>
      <c r="H21" s="1">
        <f t="shared" ca="1" si="37"/>
        <v>2</v>
      </c>
      <c r="I21" s="1">
        <f t="shared" ca="1" si="37"/>
        <v>11</v>
      </c>
      <c r="J21" s="13">
        <f t="shared" ca="1" si="37"/>
        <v>-9</v>
      </c>
      <c r="K21" s="1">
        <f t="shared" ca="1" si="38"/>
        <v>1</v>
      </c>
      <c r="L21" s="30">
        <f t="shared" ca="1" si="39"/>
        <v>1491002</v>
      </c>
      <c r="M21" s="14">
        <f t="shared" ca="1" si="51"/>
        <v>1</v>
      </c>
      <c r="N21" s="14">
        <f t="array" aca="1" ref="N21" ca="1">IF($AI$15,SUM(($K$17:$K$25&gt;=K21)/COUNTIF($K$17:$K$25,$K$17:$K$25)),SUM(($L$17:$L$25&gt;=L21)/COUNTIF($L$17:$L$25,$L$17:$L$25)))</f>
        <v>7</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9"/>
        <v>7.0108999999999995</v>
      </c>
      <c r="Y21" s="13">
        <f>Vorrunde!$AL16</f>
        <v>0</v>
      </c>
      <c r="Z21" s="1">
        <f t="shared" ca="1" si="52"/>
        <v>1.9</v>
      </c>
      <c r="AA21" s="1">
        <f t="shared" ca="1" si="53"/>
        <v>0</v>
      </c>
      <c r="AB21" s="1">
        <f t="shared" ca="1" si="54"/>
        <v>0</v>
      </c>
      <c r="AC21" s="1">
        <f t="shared" ca="1" si="55"/>
        <v>0</v>
      </c>
      <c r="AD21" s="244">
        <f t="shared" ca="1" si="56"/>
        <v>7</v>
      </c>
      <c r="AE21" s="30">
        <f t="shared" ca="1" si="49"/>
        <v>491002</v>
      </c>
      <c r="AF21" s="1">
        <f t="shared" ca="1" si="57"/>
        <v>9</v>
      </c>
      <c r="AG21" s="1">
        <f t="shared" ca="1" si="58"/>
        <v>1</v>
      </c>
      <c r="AH21" s="247">
        <f t="shared" ca="1" si="60"/>
        <v>7.0109099999999991</v>
      </c>
      <c r="AI21" s="1"/>
    </row>
    <row r="22" spans="2:80" s="2" customFormat="1" x14ac:dyDescent="0.2">
      <c r="C22" s="2" t="str">
        <f t="shared" si="50"/>
        <v>Fun Kickers Oes</v>
      </c>
      <c r="D22" s="1">
        <f t="shared" ca="1" si="33"/>
        <v>3</v>
      </c>
      <c r="E22" s="1">
        <f t="shared" ca="1" si="34"/>
        <v>2</v>
      </c>
      <c r="F22" s="1">
        <f t="shared" ca="1" si="35"/>
        <v>0</v>
      </c>
      <c r="G22" s="1">
        <f t="shared" ca="1" si="36"/>
        <v>1</v>
      </c>
      <c r="H22" s="1">
        <f t="shared" ca="1" si="37"/>
        <v>9</v>
      </c>
      <c r="I22" s="1">
        <f t="shared" ca="1" si="37"/>
        <v>8</v>
      </c>
      <c r="J22" s="13">
        <f t="shared" ca="1" si="37"/>
        <v>1</v>
      </c>
      <c r="K22" s="1">
        <f t="shared" ca="1" si="38"/>
        <v>6</v>
      </c>
      <c r="L22" s="30">
        <f t="shared" ca="1" si="39"/>
        <v>6501009</v>
      </c>
      <c r="M22" s="14">
        <f t="shared" ca="1" si="51"/>
        <v>1</v>
      </c>
      <c r="N22" s="14">
        <f t="array" aca="1" ref="N22" ca="1">IF($AI$15,SUM(($K$17:$K$25&gt;=K22)/COUNTIF($K$17:$K$25,$K$17:$K$25)),SUM(($L$17:$L$25&gt;=L22)/COUNTIF($L$17:$L$25,$L$17:$L$25)))</f>
        <v>4</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9"/>
        <v>4.0108999999999995</v>
      </c>
      <c r="Y22" s="13">
        <f>Vorrunde!$AL17</f>
        <v>0</v>
      </c>
      <c r="Z22" s="1">
        <f t="shared" ca="1" si="52"/>
        <v>1.9</v>
      </c>
      <c r="AA22" s="1">
        <f t="shared" ca="1" si="53"/>
        <v>0</v>
      </c>
      <c r="AB22" s="1">
        <f t="shared" ca="1" si="54"/>
        <v>0</v>
      </c>
      <c r="AC22" s="1">
        <f t="shared" ca="1" si="55"/>
        <v>0</v>
      </c>
      <c r="AD22" s="244">
        <f t="shared" ca="1" si="56"/>
        <v>1</v>
      </c>
      <c r="AE22" s="30">
        <f t="shared" ca="1" si="49"/>
        <v>501009</v>
      </c>
      <c r="AF22" s="1">
        <f t="shared" ca="1" si="57"/>
        <v>5</v>
      </c>
      <c r="AG22" s="1">
        <f t="shared" ca="1" si="58"/>
        <v>1</v>
      </c>
      <c r="AH22" s="247">
        <f t="shared" ca="1" si="60"/>
        <v>1.01051</v>
      </c>
      <c r="AI22" s="1"/>
    </row>
    <row r="23" spans="2:80" s="2" customFormat="1" x14ac:dyDescent="0.2">
      <c r="C23" s="2" t="str">
        <f t="shared" si="50"/>
        <v>Raslo Winners</v>
      </c>
      <c r="D23" s="1">
        <f t="shared" ca="1" si="33"/>
        <v>3</v>
      </c>
      <c r="E23" s="1">
        <f t="shared" ca="1" si="34"/>
        <v>2</v>
      </c>
      <c r="F23" s="1">
        <f t="shared" ca="1" si="35"/>
        <v>0</v>
      </c>
      <c r="G23" s="1">
        <f t="shared" ca="1" si="36"/>
        <v>1</v>
      </c>
      <c r="H23" s="1">
        <f t="shared" ca="1" si="37"/>
        <v>6</v>
      </c>
      <c r="I23" s="1">
        <f t="shared" ca="1" si="37"/>
        <v>4</v>
      </c>
      <c r="J23" s="13">
        <f t="shared" ca="1" si="37"/>
        <v>2</v>
      </c>
      <c r="K23" s="1">
        <f t="shared" ca="1" si="38"/>
        <v>6</v>
      </c>
      <c r="L23" s="30">
        <f t="shared" ca="1" si="39"/>
        <v>6502006</v>
      </c>
      <c r="M23" s="14">
        <f t="shared" ca="1" si="51"/>
        <v>1</v>
      </c>
      <c r="N23" s="14">
        <f t="array" aca="1" ref="N23" ca="1">IF($AI$15,SUM(($K$17:$K$25&gt;=K23)/COUNTIF($K$17:$K$25,$K$17:$K$25)),SUM(($L$17:$L$25&gt;=L23)/COUNTIF($L$17:$L$25,$L$17:$L$25)))</f>
        <v>3</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f t="shared" ca="1" si="48"/>
        <v>500000</v>
      </c>
      <c r="X23" s="22">
        <f t="shared" ca="1" si="59"/>
        <v>3.0108999999999999</v>
      </c>
      <c r="Y23" s="13">
        <f>Vorrunde!$AL18</f>
        <v>0</v>
      </c>
      <c r="Z23" s="1">
        <f t="shared" ca="1" si="52"/>
        <v>1.9</v>
      </c>
      <c r="AA23" s="1">
        <f t="shared" ca="1" si="53"/>
        <v>0</v>
      </c>
      <c r="AB23" s="1">
        <f t="shared" ca="1" si="54"/>
        <v>0</v>
      </c>
      <c r="AC23" s="1">
        <f t="shared" ca="1" si="55"/>
        <v>0</v>
      </c>
      <c r="AD23" s="244">
        <f t="shared" ca="1" si="56"/>
        <v>1</v>
      </c>
      <c r="AE23" s="30">
        <f t="shared" ca="1" si="49"/>
        <v>502006</v>
      </c>
      <c r="AF23" s="1">
        <f t="shared" ca="1" si="57"/>
        <v>4</v>
      </c>
      <c r="AG23" s="1">
        <f t="shared" ca="1" si="58"/>
        <v>1</v>
      </c>
      <c r="AH23" s="247">
        <f t="shared" ca="1" si="60"/>
        <v>1.01041</v>
      </c>
      <c r="AI23" s="1"/>
    </row>
    <row r="24" spans="2:80" s="2" customFormat="1" x14ac:dyDescent="0.2">
      <c r="C24" s="2" t="str">
        <f t="shared" si="50"/>
        <v>Knock Out Rangers</v>
      </c>
      <c r="D24" s="1">
        <f t="shared" ca="1" si="33"/>
        <v>3</v>
      </c>
      <c r="E24" s="1">
        <f t="shared" ca="1" si="34"/>
        <v>1</v>
      </c>
      <c r="F24" s="1">
        <f t="shared" ca="1" si="35"/>
        <v>1</v>
      </c>
      <c r="G24" s="1">
        <f t="shared" ca="1" si="36"/>
        <v>1</v>
      </c>
      <c r="H24" s="1">
        <f t="shared" ref="H24:J24" ca="1" si="61">G11</f>
        <v>9</v>
      </c>
      <c r="I24" s="1">
        <f t="shared" ca="1" si="61"/>
        <v>6</v>
      </c>
      <c r="J24" s="13">
        <f t="shared" ca="1" si="61"/>
        <v>3</v>
      </c>
      <c r="K24" s="1">
        <f t="shared" ca="1" si="38"/>
        <v>4</v>
      </c>
      <c r="L24" s="30">
        <f t="shared" ca="1" si="39"/>
        <v>4503009</v>
      </c>
      <c r="M24" s="14">
        <f t="shared" ca="1" si="51"/>
        <v>1</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f t="shared" ca="1" si="48"/>
        <v>500000</v>
      </c>
      <c r="X24" s="22">
        <f t="shared" ca="1" si="59"/>
        <v>5.0108999999999995</v>
      </c>
      <c r="Y24" s="13">
        <f>Vorrunde!$AL19</f>
        <v>0</v>
      </c>
      <c r="Z24" s="1">
        <f t="shared" ca="1" si="52"/>
        <v>1.9</v>
      </c>
      <c r="AA24" s="1">
        <f t="shared" ca="1" si="53"/>
        <v>0</v>
      </c>
      <c r="AB24" s="1">
        <f t="shared" ca="1" si="54"/>
        <v>0</v>
      </c>
      <c r="AC24" s="1">
        <f t="shared" ca="1" si="55"/>
        <v>0</v>
      </c>
      <c r="AD24" s="244">
        <f t="shared" ca="1" si="56"/>
        <v>5</v>
      </c>
      <c r="AE24" s="30">
        <f t="shared" ca="1" si="49"/>
        <v>503009</v>
      </c>
      <c r="AF24" s="1">
        <f t="shared" ca="1" si="57"/>
        <v>3</v>
      </c>
      <c r="AG24" s="1">
        <f t="shared" ca="1" si="58"/>
        <v>1</v>
      </c>
      <c r="AH24" s="247">
        <f t="shared" ca="1" si="60"/>
        <v>5.0103099999999996</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1</v>
      </c>
      <c r="N25" s="14">
        <f t="array" aca="1" ref="N25" ca="1">IF($AI$15,SUM(($K$17:$K$25&gt;=K25)/COUNTIF($K$17:$K$25,$K$17:$K$25)),SUM(($L$17:$L$25&gt;=L25)/COUNTIF($L$17:$L$25,$L$17:$L$25)))</f>
        <v>8</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f t="shared" ca="1" si="48"/>
        <v>500000</v>
      </c>
      <c r="X25" s="23">
        <f t="shared" ca="1" si="59"/>
        <v>108.01089999999999</v>
      </c>
      <c r="Y25" s="13">
        <f>Vorrunde!$AL20</f>
        <v>0</v>
      </c>
      <c r="Z25" s="1">
        <f t="shared" ca="1" si="52"/>
        <v>1.9</v>
      </c>
      <c r="AA25" s="1">
        <f t="shared" ca="1" si="53"/>
        <v>0</v>
      </c>
      <c r="AB25" s="1">
        <f t="shared" ca="1" si="54"/>
        <v>0</v>
      </c>
      <c r="AC25" s="1">
        <f t="shared" ca="1" si="55"/>
        <v>0</v>
      </c>
      <c r="AD25" s="244">
        <f t="shared" ca="1" si="56"/>
        <v>8</v>
      </c>
      <c r="AE25" s="30">
        <f t="shared" ca="1" si="49"/>
        <v>500000</v>
      </c>
      <c r="AF25" s="1">
        <f t="shared" ca="1" si="57"/>
        <v>6</v>
      </c>
      <c r="AG25" s="1">
        <f t="shared" ca="1" si="58"/>
        <v>1</v>
      </c>
      <c r="AH25" s="248">
        <f t="shared" ca="1" si="60"/>
        <v>108.01061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$F$4</f>
        <v>1. FC Riedwald</v>
      </c>
      <c r="BT29" s="2" t="str">
        <f>$F$5</f>
        <v>FC Barcelona</v>
      </c>
      <c r="BU29" s="2" t="str">
        <f>$F$6</f>
        <v>Eintracht Frankfurt</v>
      </c>
      <c r="BV29" s="2" t="str">
        <f>$F$7</f>
        <v>Maibach 1822 eV</v>
      </c>
      <c r="BW29" s="2" t="str">
        <f>$F$8</f>
        <v>VFB Essenheim</v>
      </c>
      <c r="BX29" s="2" t="str">
        <f>$F$9</f>
        <v>Fun Kickers Oes</v>
      </c>
      <c r="BY29" s="2" t="str">
        <f>$F$10</f>
        <v>Raslo Winners</v>
      </c>
      <c r="BZ29" s="2" t="str">
        <f>$F$11</f>
        <v>Knock Out Rangers</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0</v>
      </c>
      <c r="BV30" s="8">
        <f t="shared" ca="1" si="64"/>
        <v>0</v>
      </c>
      <c r="BW30" s="8">
        <f t="shared" ca="1" si="64"/>
        <v>0</v>
      </c>
      <c r="BX30" s="8">
        <f t="shared" ca="1" si="64"/>
        <v>2</v>
      </c>
      <c r="BY30" s="8">
        <f t="shared" ca="1" si="64"/>
        <v>0</v>
      </c>
      <c r="BZ30" s="8">
        <f t="shared" ca="1" si="64"/>
        <v>2</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0</v>
      </c>
      <c r="BT31" s="7"/>
      <c r="BU31" s="8">
        <f t="shared" ref="BU31:CA31" ca="1" si="67">SUMIFS($X$64:$X$135,$V$64:$V$135,$BR31,$W$64:$W$135,BU$29)+SUMIFS($Y$64:$Y$135,$W$64:$W$135,$BR31,$V$64:$V$135,BU$29)</f>
        <v>0</v>
      </c>
      <c r="BV31" s="8">
        <f t="shared" ca="1" si="67"/>
        <v>0</v>
      </c>
      <c r="BW31" s="8">
        <f t="shared" ca="1" si="67"/>
        <v>6</v>
      </c>
      <c r="BX31" s="8">
        <f t="shared" ca="1" si="67"/>
        <v>0</v>
      </c>
      <c r="BY31" s="8">
        <f t="shared" ca="1" si="67"/>
        <v>4</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0</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0</v>
      </c>
      <c r="BX32" s="8">
        <f t="shared" ca="1" si="69"/>
        <v>4</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1</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0</v>
      </c>
      <c r="BT34" s="9">
        <f t="shared" ca="1" si="68"/>
        <v>0</v>
      </c>
      <c r="BU34" s="9">
        <f t="shared" ca="1" si="7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Fun Kickers Oes</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Fun Kickers Oes</v>
      </c>
      <c r="BS35" s="9">
        <f t="shared" ca="1" si="66"/>
        <v>4</v>
      </c>
      <c r="BT35" s="9">
        <f t="shared" ca="1" si="68"/>
        <v>0</v>
      </c>
      <c r="BU35" s="9">
        <f t="shared" ca="1" si="70"/>
        <v>2</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3</v>
      </c>
      <c r="CA35" s="8">
        <f ca="1">SUMIFS($X$64:$X$135,$V$64:$V$135,$BR35,$W$64:$W$135,CA$29)+SUMIFS($Y$64:$Y$135,$W$64:$W$135,$BR35,$V$64:$V$135,CA$29)</f>
        <v>0</v>
      </c>
      <c r="CB35" s="4"/>
    </row>
    <row r="36" spans="2:80" s="2" customFormat="1" x14ac:dyDescent="0.2">
      <c r="C36" s="2" t="str">
        <f t="shared" si="65"/>
        <v>Raslo Winners</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Raslo Winners</v>
      </c>
      <c r="BS36" s="9">
        <f t="shared" ca="1" si="66"/>
        <v>2</v>
      </c>
      <c r="BT36" s="9">
        <f t="shared" ca="1" si="68"/>
        <v>1</v>
      </c>
      <c r="BU36" s="9">
        <f t="shared" ca="1" si="70"/>
        <v>0</v>
      </c>
      <c r="BV36" s="9">
        <f ca="1">SUMIFS($X$64:$X$135,$V$64:$V$135,$BR36,$W$64:$W$135,BV$29)+SUMIFS($Y$64:$Y$135,$W$64:$W$135,$BR36,$V$64:$V$135,BV$29)</f>
        <v>0</v>
      </c>
      <c r="BW36" s="9">
        <f ca="1">SUMIFS($X$64:$X$135,$V$64:$V$135,$BR36,$W$64:$W$135,BW$29)+SUMIFS($Y$64:$Y$135,$W$64:$W$135,$BR36,$V$64:$V$135,BW$29)</f>
        <v>3</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Knock Out Rangers</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Knock Out Rangers</v>
      </c>
      <c r="BS37" s="9">
        <f t="shared" ca="1" si="66"/>
        <v>6</v>
      </c>
      <c r="BT37" s="9">
        <f t="shared" ca="1" si="68"/>
        <v>0</v>
      </c>
      <c r="BU37" s="9">
        <f t="shared" ca="1" si="7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2</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Fun Kickers Oes</v>
      </c>
      <c r="BY40" s="2" t="str">
        <f>$F$10</f>
        <v>Raslo Winners</v>
      </c>
      <c r="BZ40" s="2" t="str">
        <f>$F$11</f>
        <v>Knock Out Rangers</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0</v>
      </c>
      <c r="BU41" s="8">
        <f ca="1">BU30-BS32</f>
        <v>0</v>
      </c>
      <c r="BV41" s="8">
        <f ca="1">BV30-BS33</f>
        <v>0</v>
      </c>
      <c r="BW41" s="8">
        <f ca="1">BW30-BS34</f>
        <v>0</v>
      </c>
      <c r="BX41" s="8">
        <f ca="1">BX30-BS35</f>
        <v>-2</v>
      </c>
      <c r="BY41" s="8">
        <f ca="1">BY30-BS36</f>
        <v>-2</v>
      </c>
      <c r="BZ41" s="8">
        <f ca="1">BZ30-BS37</f>
        <v>-4</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0</v>
      </c>
      <c r="BT42" s="7"/>
      <c r="BU42" s="8">
        <f ca="1">BU31-BT32</f>
        <v>0</v>
      </c>
      <c r="BV42" s="8">
        <f ca="1">BV31-BT33</f>
        <v>0</v>
      </c>
      <c r="BW42" s="8">
        <f ca="1">BW31-BT34</f>
        <v>6</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0</v>
      </c>
      <c r="BT43" s="9">
        <f ca="1">IF(BU42="","",-1*BU42)</f>
        <v>0</v>
      </c>
      <c r="BU43" s="7"/>
      <c r="BV43" s="8">
        <f ca="1">BV32-BU33</f>
        <v>2</v>
      </c>
      <c r="BW43" s="8">
        <f ca="1">BW32-BU34</f>
        <v>0</v>
      </c>
      <c r="BX43" s="8">
        <f ca="1">BX32-BU35</f>
        <v>2</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-6</v>
      </c>
      <c r="BU45" s="9">
        <f ca="1">IF(BW43="","",-1*BW43)</f>
        <v>0</v>
      </c>
      <c r="BV45" s="9">
        <f ca="1">IF(BW44="","",-1*BW44)</f>
        <v>0</v>
      </c>
      <c r="BW45" s="7"/>
      <c r="BX45" s="8">
        <f ca="1">BX34-BW35</f>
        <v>0</v>
      </c>
      <c r="BY45" s="8">
        <f ca="1">BY34-BW36</f>
        <v>-3</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Fun Kickers Oes</v>
      </c>
      <c r="BS46" s="9">
        <f ca="1">IF(BX41="","",-1*BX41)</f>
        <v>2</v>
      </c>
      <c r="BT46" s="9">
        <f ca="1">IF(BX42="","",-1*BX42)</f>
        <v>0</v>
      </c>
      <c r="BU46" s="9">
        <f ca="1">IF(BX43="","",-1*BX43)</f>
        <v>-2</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Raslo Winners</v>
      </c>
      <c r="BS47" s="9">
        <f ca="1">IF(BY41="","",-1*BY41)</f>
        <v>2</v>
      </c>
      <c r="BT47" s="9">
        <f ca="1">IF(BY42="","",-1*BY42)</f>
        <v>-3</v>
      </c>
      <c r="BU47" s="9">
        <f ca="1">IF(BY43="","",-1*BY43)</f>
        <v>0</v>
      </c>
      <c r="BV47" s="9">
        <f ca="1">IF(BY44="","",-1*BY44)</f>
        <v>0</v>
      </c>
      <c r="BW47" s="9">
        <f ca="1">IF(BY45="","",-1*BY45)</f>
        <v>3</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Knock Out Rangers</v>
      </c>
      <c r="BS48" s="9">
        <f ca="1">IF(BZ41="","",-1*BZ41)</f>
        <v>4</v>
      </c>
      <c r="BT48" s="9">
        <f ca="1">IF(BZ42="","",-1*BZ42)</f>
        <v>0</v>
      </c>
      <c r="BU48" s="9">
        <f ca="1">IF(BZ43="","",-1*BZ43)</f>
        <v>0</v>
      </c>
      <c r="BV48" s="9">
        <f ca="1">IF(BZ44="","",-1*BZ44)</f>
        <v>0</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Fun Kickers Oes</v>
      </c>
      <c r="BY51" s="2" t="str">
        <f>$F$10</f>
        <v>Raslo Winners</v>
      </c>
      <c r="BZ51" s="2" t="str">
        <f>$F$11</f>
        <v>Knock Out Rangers</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0</v>
      </c>
      <c r="BW52" s="8">
        <f t="shared" ca="1" si="74"/>
        <v>0</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0</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3</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75"/>
        <v>1</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Fun Kickers Oes</v>
      </c>
      <c r="BS57" s="9">
        <f t="shared" ca="1" si="76"/>
        <v>3</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3</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Raslo Winners</v>
      </c>
      <c r="BS58" s="9">
        <f t="shared" ca="1" si="76"/>
        <v>3</v>
      </c>
      <c r="BT58" s="9">
        <f t="shared" ca="1" si="77"/>
        <v>0</v>
      </c>
      <c r="BU58" s="9">
        <f t="shared" ca="1" si="78"/>
        <v>0</v>
      </c>
      <c r="BV58" s="9">
        <f ca="1">SUMIFS($AE$64:$AE$135,$V$64:$V$135,$BR58,$W$64:$W$135,BV$51)+SUMIFS($AF$64:$AF$135,$W$64:$W$135,$BR58,$V$64:$V$135,BV$51)</f>
        <v>0</v>
      </c>
      <c r="BW58" s="9">
        <f ca="1">SUMIFS($AE$64:$AE$135,$V$64:$V$135,$BR58,$W$64:$W$135,BW$51)+SUMIFS($AF$64:$AF$135,$W$64:$W$135,$BR58,$V$64:$V$135,BW$51)</f>
        <v>3</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Knock Out Rangers</v>
      </c>
      <c r="BS59" s="9">
        <f t="shared" ca="1" si="76"/>
        <v>3</v>
      </c>
      <c r="BT59" s="9">
        <f t="shared" ca="1" si="77"/>
        <v>0</v>
      </c>
      <c r="BU59" s="9">
        <f t="shared" ca="1" si="78"/>
        <v>0</v>
      </c>
      <c r="BV59" s="9">
        <f ca="1">SUMIFS($AE$64:$AE$135,$V$64:$V$135,$BR59,$W$64:$W$135,BV$51)+SUMIFS($AF$64:$AF$135,$W$64:$W$135,$BR59,$V$64:$V$135,BV$51)</f>
        <v>1</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162" t="s">
        <v>163</v>
      </c>
      <c r="AD63" s="161" t="s">
        <v>161</v>
      </c>
      <c r="AE63" s="764" t="s">
        <v>112</v>
      </c>
      <c r="AF63" s="764"/>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IF(Planung!$C$7="","",Planung!$C$7)</f>
        <v>1. FC Riedwald</v>
      </c>
      <c r="U64" s="67" t="s">
        <v>7</v>
      </c>
      <c r="V64" s="40" t="str">
        <f ca="1">Planung!$L6</f>
        <v>1. FC Riedwald</v>
      </c>
      <c r="W64" s="33" t="str">
        <f ca="1">Planung!$N6</f>
        <v>Knock Out Rangers</v>
      </c>
      <c r="X64" s="33">
        <f ca="1">IF(AND(Vorrunde!$I12&lt;&gt;"",Vorrunde!$K12&lt;&gt;"",Vorrunde!$F12&lt;&gt;Vorrunde!$H12,$V64&lt;&gt;"",$W64&lt;&gt;""),Vorrunde!$I12,"")</f>
        <v>2</v>
      </c>
      <c r="Y64" s="34">
        <f ca="1">IF(AND(Vorrunde!$I12&lt;&gt;"",Vorrunde!$K12&lt;&gt;"",Vorrunde!$F12&lt;&gt;Vorrunde!$H12,$V64&lt;&gt;"",$W64&lt;&gt;""),Vorrunde!$K12,"")</f>
        <v>6</v>
      </c>
      <c r="Z64" s="32" t="str">
        <f ca="1">V64&amp;W64</f>
        <v>1. FC RiedwaldKnock Out Rangers</v>
      </c>
      <c r="AA64" s="33">
        <f ca="1">IF(AND(V64&lt;&gt;"",W64&lt;&gt;"",V64&lt;&gt;W64,X64&lt;&gt;"",Y64&lt;&gt;""),1,0)</f>
        <v>1</v>
      </c>
      <c r="AB64" s="143" t="str">
        <f ca="1">IF(AA64&gt;0,X64&amp;Sprache!$E$73&amp;Y64,"")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316</v>
      </c>
      <c r="P65" s="47" t="s">
        <v>8</v>
      </c>
      <c r="Q65" s="62" t="str">
        <f>IF(Planung!$C$9="","",Planung!$C$9)</f>
        <v>FC Barcelona</v>
      </c>
      <c r="U65" s="68" t="s">
        <v>8</v>
      </c>
      <c r="V65" s="41" t="str">
        <f ca="1">Planung!$L7</f>
        <v>Mainz 05</v>
      </c>
      <c r="W65" s="13" t="str">
        <f ca="1">Planung!$N7</f>
        <v>Borussia Heine</v>
      </c>
      <c r="X65" s="13">
        <f ca="1">IF(AND(Vorrunde!$I13&lt;&gt;"",Vorrunde!$K13&lt;&gt;"",Vorrunde!$F13&lt;&gt;Vorrunde!$H13,$V65&lt;&gt;"",$W65&lt;&gt;""),Vorrunde!$I13,"")</f>
        <v>2</v>
      </c>
      <c r="Y65" s="36">
        <f ca="1">IF(AND(Vorrunde!$I13&lt;&gt;"",Vorrunde!$K13&lt;&gt;"",Vorrunde!$F13&lt;&gt;Vorrunde!$H13,$V65&lt;&gt;"",$W65&lt;&gt;""),Vorrunde!$K13,"")</f>
        <v>4</v>
      </c>
      <c r="Z65" s="35" t="str">
        <f t="shared" ref="Z65:Z73" ca="1" si="79">V65&amp;W65</f>
        <v>Mainz 05Borussia Heine</v>
      </c>
      <c r="AA65" s="13">
        <f t="shared" ref="AA65:AA93" ca="1" si="80">IF(AND(V65&lt;&gt;"",W65&lt;&gt;"",V65&lt;&gt;W65,X65&lt;&gt;"",Y65&lt;&gt;""),1,0)</f>
        <v>1</v>
      </c>
      <c r="AB65" s="13" t="str">
        <f ca="1">IF(AA65&gt;0,X65&amp;Sprache!$E$73&amp;Y65,"")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IF(Planung!$C$11="","",Planung!$C$11)</f>
        <v>Eintracht Frankfurt</v>
      </c>
      <c r="U66" s="68" t="s">
        <v>9</v>
      </c>
      <c r="V66" s="41" t="str">
        <f ca="1">Planung!$L8</f>
        <v>Raslo Winners</v>
      </c>
      <c r="W66" s="13" t="str">
        <f ca="1">Planung!$N8</f>
        <v>FC Barcelona</v>
      </c>
      <c r="X66" s="13">
        <f ca="1">IF(AND(Vorrunde!$I14&lt;&gt;"",Vorrunde!$K14&lt;&gt;"",Vorrunde!$F14&lt;&gt;Vorrunde!$H14,$V66&lt;&gt;"",$W66&lt;&gt;""),Vorrunde!$I14,"")</f>
        <v>1</v>
      </c>
      <c r="Y66" s="36">
        <f ca="1">IF(AND(Vorrunde!$I14&lt;&gt;"",Vorrunde!$K14&lt;&gt;"",Vorrunde!$F14&lt;&gt;Vorrunde!$H14,$V66&lt;&gt;"",$W66&lt;&gt;""),Vorrunde!$K14,"")</f>
        <v>4</v>
      </c>
      <c r="Z66" s="35" t="str">
        <f t="shared" ca="1" si="79"/>
        <v>Raslo WinnersFC Barcelona</v>
      </c>
      <c r="AA66" s="13">
        <f t="shared" ca="1" si="80"/>
        <v>1</v>
      </c>
      <c r="AB66" s="13" t="str">
        <f ca="1">IF(AA66&gt;0,X66&amp;Sprache!$E$73&amp;Y66,"")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t="s">
        <v>10</v>
      </c>
      <c r="Q67" s="62" t="str">
        <f>IF(Planung!$C$13="","",Planung!$C$13)</f>
        <v>Maibach 1822 eV</v>
      </c>
      <c r="U67" s="68" t="s">
        <v>10</v>
      </c>
      <c r="V67" s="41" t="str">
        <f ca="1">Planung!$L9</f>
        <v>VFL Ronsdorf</v>
      </c>
      <c r="W67" s="13" t="str">
        <f ca="1">Planung!$N9</f>
        <v>Inter Mailand</v>
      </c>
      <c r="X67" s="13">
        <f ca="1">IF(AND(Vorrunde!$I15&lt;&gt;"",Vorrunde!$K15&lt;&gt;"",Vorrunde!$F15&lt;&gt;Vorrunde!$H15,$V67&lt;&gt;"",$W67&lt;&gt;""),Vorrunde!$I15,"")</f>
        <v>2</v>
      </c>
      <c r="Y67" s="36">
        <f ca="1">IF(AND(Vorrunde!$I15&lt;&gt;"",Vorrunde!$K15&lt;&gt;"",Vorrunde!$F15&lt;&gt;Vorrunde!$H15,$V67&lt;&gt;"",$W67&lt;&gt;""),Vorrunde!$K15,"")</f>
        <v>5</v>
      </c>
      <c r="Z67" s="35" t="str">
        <f t="shared" ca="1" si="79"/>
        <v>VFL RonsdorfInter Mailand</v>
      </c>
      <c r="AA67" s="13">
        <f t="shared" ca="1" si="80"/>
        <v>1</v>
      </c>
      <c r="AB67" s="13" t="str">
        <f ca="1">IF(AA67&gt;0,X67&amp;Sprache!$E$73&amp;Y67,"")</f>
        <v>2:5</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t="s">
        <v>11</v>
      </c>
      <c r="Q68" s="62" t="str">
        <f>IF(Planung!$C$15="","",Planung!$C$15)</f>
        <v>VFB Essenheim</v>
      </c>
      <c r="U68" s="68" t="s">
        <v>11</v>
      </c>
      <c r="V68" s="41" t="str">
        <f ca="1">Planung!$L10</f>
        <v>Eintracht Frankfurt</v>
      </c>
      <c r="W68" s="13" t="str">
        <f ca="1">Planung!$N10</f>
        <v>Fun Kickers Oes</v>
      </c>
      <c r="X68" s="13">
        <f ca="1">IF(AND(Vorrunde!$I16&lt;&gt;"",Vorrunde!$K16&lt;&gt;"",Vorrunde!$F16&lt;&gt;Vorrunde!$H16,$V68&lt;&gt;"",$W68&lt;&gt;""),Vorrunde!$I16,"")</f>
        <v>4</v>
      </c>
      <c r="Y68" s="36">
        <f ca="1">IF(AND(Vorrunde!$I16&lt;&gt;"",Vorrunde!$K16&lt;&gt;"",Vorrunde!$F16&lt;&gt;Vorrunde!$H16,$V68&lt;&gt;"",$W68&lt;&gt;""),Vorrunde!$K16,"")</f>
        <v>2</v>
      </c>
      <c r="Z68" s="35" t="str">
        <f t="shared" ca="1" si="79"/>
        <v>Eintracht FrankfurtFun Kickers Oes</v>
      </c>
      <c r="AA68" s="13">
        <f t="shared" ca="1" si="80"/>
        <v>1</v>
      </c>
      <c r="AB68" s="13" t="str">
        <f ca="1">IF(AA68&gt;0,X68&amp;Sprache!$E$73&amp;Y68,"")</f>
        <v>4:2</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t="s">
        <v>12</v>
      </c>
      <c r="Q69" s="62" t="str">
        <f>IF(Planung!$C$17="","",Planung!$C$17)</f>
        <v>Fun Kickers Oes</v>
      </c>
      <c r="U69" s="68" t="s">
        <v>12</v>
      </c>
      <c r="V69" s="41" t="str">
        <f ca="1">Planung!$L11</f>
        <v>SSV Wildbach</v>
      </c>
      <c r="W69" s="13" t="str">
        <f ca="1">Planung!$N11</f>
        <v>AC Roma</v>
      </c>
      <c r="X69" s="13">
        <f ca="1">IF(AND(Vorrunde!$I17&lt;&gt;"",Vorrunde!$K17&lt;&gt;"",Vorrunde!$F17&lt;&gt;Vorrunde!$H17,$V69&lt;&gt;"",$W69&lt;&gt;""),Vorrunde!$I17,"")</f>
        <v>0</v>
      </c>
      <c r="Y69" s="36">
        <f ca="1">IF(AND(Vorrunde!$I17&lt;&gt;"",Vorrunde!$K17&lt;&gt;"",Vorrunde!$F17&lt;&gt;Vorrunde!$H17,$V69&lt;&gt;"",$W69&lt;&gt;""),Vorrunde!$K17,"")</f>
        <v>5</v>
      </c>
      <c r="Z69" s="35" t="str">
        <f t="shared" ca="1" si="79"/>
        <v>SSV WildbachAC Roma</v>
      </c>
      <c r="AA69" s="13">
        <f t="shared" ca="1" si="80"/>
        <v>1</v>
      </c>
      <c r="AB69" s="13" t="str">
        <f ca="1">IF(AA69&gt;0,X69&amp;Sprache!$E$73&amp;Y69,"")</f>
        <v>0:5</v>
      </c>
      <c r="AD69" s="145"/>
      <c r="AE69" s="150">
        <f ca="1">IF($AA69=0,"",IF($X69&gt;$Y69,Einstellungen!$C$4,IF($X69=$Y69,1,0)))</f>
        <v>0</v>
      </c>
      <c r="AF69" s="145">
        <f ca="1">IF($AA69=0,"",IF($X69&lt;$Y69,Einstellungen!$C$4,IF($X69=$Y69,1,0)))</f>
        <v>3</v>
      </c>
      <c r="AH69" s="4"/>
      <c r="AI69" s="13"/>
      <c r="AJ69" s="13"/>
      <c r="AK69" s="13"/>
      <c r="AL69" s="13"/>
      <c r="AM69" s="4"/>
      <c r="AN69" s="13"/>
      <c r="AO69" s="13"/>
      <c r="AP69" s="13"/>
      <c r="AQ69" s="13"/>
    </row>
    <row r="70" spans="2:43" s="2" customFormat="1" x14ac:dyDescent="0.2">
      <c r="P70" s="47" t="s">
        <v>17</v>
      </c>
      <c r="Q70" s="62" t="str">
        <f>IF(Planung!$C$19="","",Planung!$C$19)</f>
        <v>Raslo Winners</v>
      </c>
      <c r="U70" s="68" t="s">
        <v>17</v>
      </c>
      <c r="V70" s="41" t="str">
        <f ca="1">Planung!$L12</f>
        <v>VFB Essenheim</v>
      </c>
      <c r="W70" s="13" t="str">
        <f ca="1">Planung!$N12</f>
        <v>Maibach 1822 eV</v>
      </c>
      <c r="X70" s="13">
        <f ca="1">IF(AND(Vorrunde!$I18&lt;&gt;"",Vorrunde!$K18&lt;&gt;"",Vorrunde!$F18&lt;&gt;Vorrunde!$H18,$V70&lt;&gt;"",$W70&lt;&gt;""),Vorrunde!$I18,"")</f>
        <v>2</v>
      </c>
      <c r="Y70" s="36">
        <f ca="1">IF(AND(Vorrunde!$I18&lt;&gt;"",Vorrunde!$K18&lt;&gt;"",Vorrunde!$F18&lt;&gt;Vorrunde!$H18,$V70&lt;&gt;"",$W70&lt;&gt;""),Vorrunde!$K18,"")</f>
        <v>2</v>
      </c>
      <c r="Z70" s="35" t="str">
        <f t="shared" ca="1" si="79"/>
        <v>VFB EssenheimMaibach 1822 eV</v>
      </c>
      <c r="AA70" s="13">
        <f t="shared" ca="1" si="80"/>
        <v>1</v>
      </c>
      <c r="AB70" s="13" t="str">
        <f ca="1">IF(AA70&gt;0,X70&amp;Sprache!$E$73&amp;Y70,"")</f>
        <v>2:2</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IF(Planung!$C$21="","",Planung!$C$21)</f>
        <v>Knock Out Rangers</v>
      </c>
      <c r="U71" s="68" t="s">
        <v>18</v>
      </c>
      <c r="V71" s="41" t="str">
        <f ca="1">Planung!$L13</f>
        <v>FC Grönlingen</v>
      </c>
      <c r="W71" s="13" t="str">
        <f ca="1">Planung!$N13</f>
        <v>Manchester City</v>
      </c>
      <c r="X71" s="13">
        <f ca="1">IF(AND(Vorrunde!$I19&lt;&gt;"",Vorrunde!$K19&lt;&gt;"",Vorrunde!$F19&lt;&gt;Vorrunde!$H19,$V71&lt;&gt;"",$W71&lt;&gt;""),Vorrunde!$I19,"")</f>
        <v>2</v>
      </c>
      <c r="Y71" s="36">
        <f ca="1">IF(AND(Vorrunde!$I19&lt;&gt;"",Vorrunde!$K19&lt;&gt;"",Vorrunde!$F19&lt;&gt;Vorrunde!$H19,$V71&lt;&gt;"",$W71&lt;&gt;""),Vorrunde!$K19,"")</f>
        <v>5</v>
      </c>
      <c r="Z71" s="35" t="str">
        <f t="shared" ca="1" si="79"/>
        <v>FC GrönlingenManchester City</v>
      </c>
      <c r="AA71" s="13">
        <f t="shared" ca="1" si="80"/>
        <v>1</v>
      </c>
      <c r="AB71" s="13" t="str">
        <f ca="1">IF(AA71&gt;0,X71&amp;Sprache!$E$73&amp;Y71,"")</f>
        <v>2:5</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IF(Planung!$C$23="","",Planung!$C$23)</f>
        <v/>
      </c>
      <c r="U72" s="68" t="s">
        <v>19</v>
      </c>
      <c r="V72" s="41" t="str">
        <f ca="1">Planung!$L14</f>
        <v>Raslo Winners</v>
      </c>
      <c r="W72" s="13" t="str">
        <f ca="1">Planung!$N14</f>
        <v>1. FC Riedwald</v>
      </c>
      <c r="X72" s="13">
        <f ca="1">IF(AND(Vorrunde!$I20&lt;&gt;"",Vorrunde!$K20&lt;&gt;"",Vorrunde!$F20&lt;&gt;Vorrunde!$H20,$V72&lt;&gt;"",$W72&lt;&gt;""),Vorrunde!$I20,"")</f>
        <v>2</v>
      </c>
      <c r="Y72" s="36">
        <f ca="1">IF(AND(Vorrunde!$I20&lt;&gt;"",Vorrunde!$K20&lt;&gt;"",Vorrunde!$F20&lt;&gt;Vorrunde!$H20,$V72&lt;&gt;"",$W72&lt;&gt;""),Vorrunde!$K20,"")</f>
        <v>0</v>
      </c>
      <c r="Z72" s="35" t="str">
        <f t="shared" ca="1" si="79"/>
        <v>Raslo Winners1. FC Riedwald</v>
      </c>
      <c r="AA72" s="13">
        <f t="shared" ca="1" si="80"/>
        <v>1</v>
      </c>
      <c r="AB72" s="13" t="str">
        <f ca="1">IF(AA72&gt;0,X72&amp;Sprache!$E$73&amp;Y72,"")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VFL Ronsdorf</v>
      </c>
      <c r="W73" s="13" t="str">
        <f ca="1">Planung!$N15</f>
        <v>Mainz 05</v>
      </c>
      <c r="X73" s="13">
        <f ca="1">IF(AND(Vorrunde!$I21&lt;&gt;"",Vorrunde!$K21&lt;&gt;"",Vorrunde!$F21&lt;&gt;Vorrunde!$H21,$V73&lt;&gt;"",$W73&lt;&gt;""),Vorrunde!$I21,"")</f>
        <v>2</v>
      </c>
      <c r="Y73" s="36">
        <f ca="1">IF(AND(Vorrunde!$I21&lt;&gt;"",Vorrunde!$K21&lt;&gt;"",Vorrunde!$F21&lt;&gt;Vorrunde!$H21,$V73&lt;&gt;"",$W73&lt;&gt;""),Vorrunde!$K21,"")</f>
        <v>6</v>
      </c>
      <c r="Z73" s="35" t="str">
        <f t="shared" ca="1" si="79"/>
        <v>VFL RonsdorfMainz 05</v>
      </c>
      <c r="AA73" s="13">
        <f t="shared" ca="1" si="80"/>
        <v>1</v>
      </c>
      <c r="AB73" s="13" t="str">
        <f ca="1">IF(AA73&gt;0,X73&amp;Sprache!$E$73&amp;Y73,"")</f>
        <v>2:6</v>
      </c>
      <c r="AD73" s="145"/>
      <c r="AE73" s="150">
        <f ca="1">IF($AA73=0,"",IF($X73&gt;$Y73,Einstellungen!$C$4,IF($X73=$Y73,1,0)))</f>
        <v>0</v>
      </c>
      <c r="AF73" s="145">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Fun Kickers Oes</v>
      </c>
      <c r="W74" s="13" t="str">
        <f ca="1">Planung!$N16</f>
        <v>Knock Out Rangers</v>
      </c>
      <c r="X74" s="13">
        <f ca="1">IF(AND(Vorrunde!$I22&lt;&gt;"",Vorrunde!$K22&lt;&gt;"",Vorrunde!$F22&lt;&gt;Vorrunde!$H22,$V74&lt;&gt;"",$W74&lt;&gt;""),Vorrunde!$I22,"")</f>
        <v>3</v>
      </c>
      <c r="Y74" s="36">
        <f ca="1">IF(AND(Vorrunde!$I22&lt;&gt;"",Vorrunde!$K22&lt;&gt;"",Vorrunde!$F22&lt;&gt;Vorrunde!$H22,$V74&lt;&gt;"",$W74&lt;&gt;""),Vorrunde!$K22,"")</f>
        <v>2</v>
      </c>
      <c r="Z74" s="35" t="str">
        <f ca="1">V74&amp;W74</f>
        <v>Fun Kickers OesKnock Out Rangers</v>
      </c>
      <c r="AA74" s="13">
        <f t="shared" ca="1" si="80"/>
        <v>1</v>
      </c>
      <c r="AB74" s="13" t="str">
        <f ca="1">IF(AA74&gt;0,X74&amp;Sprache!$E$73&amp;Y74,"")</f>
        <v>3:2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AC Roma</v>
      </c>
      <c r="W75" s="13" t="str">
        <f ca="1">Planung!$N17</f>
        <v>Borussia Heine</v>
      </c>
      <c r="X75" s="13">
        <f ca="1">IF(AND(Vorrunde!$I23&lt;&gt;"",Vorrunde!$K23&lt;&gt;"",Vorrunde!$F23&lt;&gt;Vorrunde!$H23,$V75&lt;&gt;"",$W75&lt;&gt;""),Vorrunde!$I23,"")</f>
        <v>2</v>
      </c>
      <c r="Y75" s="36">
        <f ca="1">IF(AND(Vorrunde!$I23&lt;&gt;"",Vorrunde!$K23&lt;&gt;"",Vorrunde!$F23&lt;&gt;Vorrunde!$H23,$V75&lt;&gt;"",$W75&lt;&gt;""),Vorrunde!$K23,"")</f>
        <v>1</v>
      </c>
      <c r="Z75" s="35" t="str">
        <f t="shared" ref="Z75:Z93" ca="1" si="81">V75&amp;W75</f>
        <v>AC RomaBorussia Heine</v>
      </c>
      <c r="AA75" s="13">
        <f t="shared" ca="1" si="80"/>
        <v>1</v>
      </c>
      <c r="AB75" s="13" t="str">
        <f ca="1">IF(AA75&gt;0,X75&amp;Sprache!$E$73&amp;Y75,"")</f>
        <v>2:1</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FC Barcelona</v>
      </c>
      <c r="W76" s="13" t="str">
        <f ca="1">Planung!$N18</f>
        <v>VFB Essenheim</v>
      </c>
      <c r="X76" s="13">
        <f ca="1">IF(AND(Vorrunde!$I24&lt;&gt;"",Vorrunde!$K24&lt;&gt;"",Vorrunde!$F24&lt;&gt;Vorrunde!$H24,$V76&lt;&gt;"",$W76&lt;&gt;""),Vorrunde!$I24,"")</f>
        <v>6</v>
      </c>
      <c r="Y76" s="36">
        <f ca="1">IF(AND(Vorrunde!$I24&lt;&gt;"",Vorrunde!$K24&lt;&gt;"",Vorrunde!$F24&lt;&gt;Vorrunde!$H24,$V76&lt;&gt;"",$W76&lt;&gt;""),Vorrunde!$K24,"")</f>
        <v>0</v>
      </c>
      <c r="Z76" s="35" t="str">
        <f t="shared" ca="1" si="81"/>
        <v>FC BarcelonaVFB Essenheim</v>
      </c>
      <c r="AA76" s="13">
        <f t="shared" ca="1" si="80"/>
        <v>1</v>
      </c>
      <c r="AB76" s="13" t="str">
        <f ca="1">IF(AA76&gt;0,X76&amp;Sprache!$E$73&amp;Y76,"")</f>
        <v>6:0</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Inter Mailand</v>
      </c>
      <c r="W77" s="13" t="str">
        <f ca="1">Planung!$N19</f>
        <v>FC Grönlingen</v>
      </c>
      <c r="X77" s="13">
        <f ca="1">IF(AND(Vorrunde!$I25&lt;&gt;"",Vorrunde!$K25&lt;&gt;"",Vorrunde!$F25&lt;&gt;Vorrunde!$H25,$V77&lt;&gt;"",$W77&lt;&gt;""),Vorrunde!$I25,"")</f>
        <v>2</v>
      </c>
      <c r="Y77" s="36">
        <f ca="1">IF(AND(Vorrunde!$I25&lt;&gt;"",Vorrunde!$K25&lt;&gt;"",Vorrunde!$F25&lt;&gt;Vorrunde!$H25,$V77&lt;&gt;"",$W77&lt;&gt;""),Vorrunde!$K25,"")</f>
        <v>0</v>
      </c>
      <c r="Z77" s="35" t="str">
        <f t="shared" ca="1" si="81"/>
        <v>Inter MailandFC Grönlingen</v>
      </c>
      <c r="AA77" s="13">
        <f t="shared" ca="1" si="80"/>
        <v>1</v>
      </c>
      <c r="AB77" s="13" t="str">
        <f ca="1">IF(AA77&gt;0,X77&amp;Sprache!$E$73&amp;Y77,"")</f>
        <v>2:0</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Planung!$L20</f>
        <v>Maibach 1822 eV</v>
      </c>
      <c r="W78" s="13" t="str">
        <f ca="1">Planung!$N20</f>
        <v>Eintracht Frankfurt</v>
      </c>
      <c r="X78" s="13">
        <f ca="1">IF(AND(Vorrunde!$I26&lt;&gt;"",Vorrunde!$K26&lt;&gt;"",Vorrunde!$F26&lt;&gt;Vorrunde!$H26,$V78&lt;&gt;"",$W78&lt;&gt;""),Vorrunde!$I26,"")</f>
        <v>1</v>
      </c>
      <c r="Y78" s="36">
        <f ca="1">IF(AND(Vorrunde!$I26&lt;&gt;"",Vorrunde!$K26&lt;&gt;"",Vorrunde!$F26&lt;&gt;Vorrunde!$H26,$V78&lt;&gt;"",$W78&lt;&gt;""),Vorrunde!$K26,"")</f>
        <v>3</v>
      </c>
      <c r="Z78" s="35" t="str">
        <f t="shared" ca="1" si="81"/>
        <v>Maibach 1822 eVEintracht Frankfurt</v>
      </c>
      <c r="AA78" s="13">
        <f t="shared" ca="1" si="80"/>
        <v>1</v>
      </c>
      <c r="AB78" s="13" t="str">
        <f ca="1">IF(AA78&gt;0,X78&amp;Sprache!$E$73&amp;Y78,"")</f>
        <v>1:3</v>
      </c>
      <c r="AD78" s="145"/>
      <c r="AE78" s="150">
        <f ca="1">IF($AA78=0,"",IF($X78&gt;$Y78,Einstellungen!$C$4,IF($X78=$Y78,1,0)))</f>
        <v>0</v>
      </c>
      <c r="AF78" s="145">
        <f ca="1">IF($AA78=0,"",IF($X78&lt;$Y78,Einstellungen!$C$4,IF($X78=$Y78,1,0)))</f>
        <v>3</v>
      </c>
    </row>
    <row r="79" spans="2:43" s="2" customFormat="1" x14ac:dyDescent="0.2">
      <c r="B79" s="4"/>
      <c r="C79" s="4"/>
      <c r="D79" s="4"/>
      <c r="E79" s="4"/>
      <c r="F79" s="13"/>
      <c r="G79" s="13"/>
      <c r="H79" s="13"/>
      <c r="I79" s="13"/>
      <c r="J79" s="13"/>
      <c r="K79" s="13"/>
      <c r="L79" s="13"/>
      <c r="M79" s="13"/>
      <c r="U79" s="68" t="s">
        <v>31</v>
      </c>
      <c r="V79" s="41" t="str">
        <f ca="1">Planung!$L21</f>
        <v>Manchester City</v>
      </c>
      <c r="W79" s="13" t="str">
        <f ca="1">Planung!$N21</f>
        <v>SSV Wildbach</v>
      </c>
      <c r="X79" s="13">
        <f ca="1">IF(AND(Vorrunde!$I27&lt;&gt;"",Vorrunde!$K27&lt;&gt;"",Vorrunde!$F27&lt;&gt;Vorrunde!$H27,$V79&lt;&gt;"",$W79&lt;&gt;""),Vorrunde!$I27,"")</f>
        <v>7</v>
      </c>
      <c r="Y79" s="36">
        <f ca="1">IF(AND(Vorrunde!$I27&lt;&gt;"",Vorrunde!$K27&lt;&gt;"",Vorrunde!$F27&lt;&gt;Vorrunde!$H27,$V79&lt;&gt;"",$W79&lt;&gt;""),Vorrunde!$K27,"")</f>
        <v>2</v>
      </c>
      <c r="Z79" s="35" t="str">
        <f t="shared" ca="1" si="81"/>
        <v>Manchester CitySSV Wildbach</v>
      </c>
      <c r="AA79" s="13">
        <f t="shared" ca="1" si="80"/>
        <v>1</v>
      </c>
      <c r="AB79" s="13" t="str">
        <f ca="1">IF(AA79&gt;0,X79&amp;Sprache!$E$73&amp;Y79,"")</f>
        <v>7:2</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1. FC Riedwald</v>
      </c>
      <c r="W80" s="13" t="str">
        <f ca="1">Planung!$N22</f>
        <v>Fun Kickers Oes</v>
      </c>
      <c r="X80" s="13">
        <f ca="1">IF(AND(Vorrunde!$I28&lt;&gt;"",Vorrunde!$K28&lt;&gt;"",Vorrunde!$F28&lt;&gt;Vorrunde!$H28,$V80&lt;&gt;"",$W80&lt;&gt;""),Vorrunde!$I28,"")</f>
        <v>2</v>
      </c>
      <c r="Y80" s="36">
        <f ca="1">IF(AND(Vorrunde!$I28&lt;&gt;"",Vorrunde!$K28&lt;&gt;"",Vorrunde!$F28&lt;&gt;Vorrunde!$H28,$V80&lt;&gt;"",$W80&lt;&gt;""),Vorrunde!$K28,"")</f>
        <v>4</v>
      </c>
      <c r="Z80" s="35" t="str">
        <f t="shared" ca="1" si="81"/>
        <v>1. FC RiedwaldFun Kickers Oes</v>
      </c>
      <c r="AA80" s="13">
        <f t="shared" ca="1" si="80"/>
        <v>1</v>
      </c>
      <c r="AB80" s="13" t="str">
        <f ca="1">IF(AA80&gt;0,X80&amp;Sprache!$E$73&amp;Y80,"")</f>
        <v>2:4</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Planung!$L23</f>
        <v>Mainz 05</v>
      </c>
      <c r="W81" s="13" t="str">
        <f ca="1">Planung!$N23</f>
        <v>AC Roma</v>
      </c>
      <c r="X81" s="13">
        <f ca="1">IF(AND(Vorrunde!$I29&lt;&gt;"",Vorrunde!$K29&lt;&gt;"",Vorrunde!$F29&lt;&gt;Vorrunde!$H29,$V81&lt;&gt;"",$W81&lt;&gt;""),Vorrunde!$I29,"")</f>
        <v>1</v>
      </c>
      <c r="Y81" s="36">
        <f ca="1">IF(AND(Vorrunde!$I29&lt;&gt;"",Vorrunde!$K29&lt;&gt;"",Vorrunde!$F29&lt;&gt;Vorrunde!$H29,$V81&lt;&gt;"",$W81&lt;&gt;""),Vorrunde!$K29,"")</f>
        <v>5</v>
      </c>
      <c r="Z81" s="35" t="str">
        <f t="shared" ca="1" si="81"/>
        <v>Mainz 05AC Roma</v>
      </c>
      <c r="AA81" s="13">
        <f t="shared" ca="1" si="80"/>
        <v>1</v>
      </c>
      <c r="AB81" s="13" t="str">
        <f ca="1">IF(AA81&gt;0,X81&amp;Sprache!$E$73&amp;Y81,"")</f>
        <v>1:5</v>
      </c>
      <c r="AD81" s="145"/>
      <c r="AE81" s="150">
        <f ca="1">IF($AA81=0,"",IF($X81&gt;$Y81,Einstellungen!$C$4,IF($X81=$Y81,1,0)))</f>
        <v>0</v>
      </c>
      <c r="AF81" s="145">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Planung!$L24</f>
        <v>VFB Essenheim</v>
      </c>
      <c r="W82" s="13" t="str">
        <f ca="1">Planung!$N24</f>
        <v>Raslo Winners</v>
      </c>
      <c r="X82" s="13">
        <f ca="1">IF(AND(Vorrunde!$I30&lt;&gt;"",Vorrunde!$K30&lt;&gt;"",Vorrunde!$F30&lt;&gt;Vorrunde!$H30,$V82&lt;&gt;"",$W82&lt;&gt;""),Vorrunde!$I30,"")</f>
        <v>0</v>
      </c>
      <c r="Y82" s="36">
        <f ca="1">IF(AND(Vorrunde!$I30&lt;&gt;"",Vorrunde!$K30&lt;&gt;"",Vorrunde!$F30&lt;&gt;Vorrunde!$H30,$V82&lt;&gt;"",$W82&lt;&gt;""),Vorrunde!$K30,"")</f>
        <v>3</v>
      </c>
      <c r="Z82" s="35" t="str">
        <f t="shared" ca="1" si="81"/>
        <v>VFB EssenheimRaslo Winners</v>
      </c>
      <c r="AA82" s="13">
        <f t="shared" ca="1" si="80"/>
        <v>1</v>
      </c>
      <c r="AB82" s="13" t="str">
        <f ca="1">IF(AA82&gt;0,X82&amp;Sprache!$E$73&amp;Y82,"")</f>
        <v>0:3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Planung!$L25</f>
        <v>FC Grönlingen</v>
      </c>
      <c r="W83" s="13" t="str">
        <f ca="1">Planung!$N25</f>
        <v>VFL Ronsdorf</v>
      </c>
      <c r="X83" s="13">
        <f ca="1">IF(AND(Vorrunde!$I31&lt;&gt;"",Vorrunde!$K31&lt;&gt;"",Vorrunde!$F31&lt;&gt;Vorrunde!$H31,$V83&lt;&gt;"",$W83&lt;&gt;""),Vorrunde!$I31,"")</f>
        <v>1</v>
      </c>
      <c r="Y83" s="36">
        <f ca="1">IF(AND(Vorrunde!$I31&lt;&gt;"",Vorrunde!$K31&lt;&gt;"",Vorrunde!$F31&lt;&gt;Vorrunde!$H31,$V83&lt;&gt;"",$W83&lt;&gt;""),Vorrunde!$K31,"")</f>
        <v>1</v>
      </c>
      <c r="Z83" s="35" t="str">
        <f t="shared" ca="1" si="81"/>
        <v>FC GrönlingenVFL Ronsdorf</v>
      </c>
      <c r="AA83" s="13">
        <f t="shared" ca="1" si="80"/>
        <v>1</v>
      </c>
      <c r="AB83" s="13" t="str">
        <f ca="1">IF(AA83&gt;0,X83&amp;Sprache!$E$73&amp;Y83,"")</f>
        <v>1:1</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Planung!$L26</f>
        <v>Knock Out Rangers</v>
      </c>
      <c r="W84" s="13" t="str">
        <f ca="1">Planung!$N26</f>
        <v>Maibach 1822 eV</v>
      </c>
      <c r="X84" s="13">
        <f ca="1">IF(AND(Vorrunde!$I32&lt;&gt;"",Vorrunde!$K32&lt;&gt;"",Vorrunde!$F32&lt;&gt;Vorrunde!$H32,$V84&lt;&gt;"",$W84&lt;&gt;""),Vorrunde!$I32,"")</f>
        <v>1</v>
      </c>
      <c r="Y84" s="36">
        <f ca="1">IF(AND(Vorrunde!$I32&lt;&gt;"",Vorrunde!$K32&lt;&gt;"",Vorrunde!$F32&lt;&gt;Vorrunde!$H32,$V84&lt;&gt;"",$W84&lt;&gt;""),Vorrunde!$K32,"")</f>
        <v>1</v>
      </c>
      <c r="Z84" s="35" t="str">
        <f t="shared" ca="1" si="81"/>
        <v>Knock Out RangersMaibach 1822 eV</v>
      </c>
      <c r="AA84" s="13">
        <f t="shared" ca="1" si="80"/>
        <v>1</v>
      </c>
      <c r="AB84" s="13" t="str">
        <f ca="1">IF(AA84&gt;0,X84&amp;Sprache!$E$73&amp;Y84,"")</f>
        <v>1:1</v>
      </c>
      <c r="AD84" s="145"/>
      <c r="AE84" s="150">
        <f ca="1">IF($AA84=0,"",IF($X84&gt;$Y84,Einstellungen!$C$4,IF($X84=$Y84,1,0)))</f>
        <v>1</v>
      </c>
      <c r="AF84" s="145">
        <f ca="1">IF($AA84=0,"",IF($X84&lt;$Y84,Einstellungen!$C$4,IF($X84=$Y84,1,0)))</f>
        <v>1</v>
      </c>
    </row>
    <row r="85" spans="2:32" s="2" customFormat="1" x14ac:dyDescent="0.2">
      <c r="B85" s="4"/>
      <c r="C85" s="4"/>
      <c r="D85" s="4"/>
      <c r="E85" s="4"/>
      <c r="F85" s="13"/>
      <c r="G85" s="13"/>
      <c r="H85" s="13"/>
      <c r="I85" s="13"/>
      <c r="J85" s="13"/>
      <c r="K85" s="13"/>
      <c r="L85" s="13"/>
      <c r="M85" s="13"/>
      <c r="U85" s="68" t="s">
        <v>37</v>
      </c>
      <c r="V85" s="41" t="str">
        <f ca="1">Planung!$L27</f>
        <v>Borussia Heine</v>
      </c>
      <c r="W85" s="13" t="str">
        <f ca="1">Planung!$N27</f>
        <v>Manchester City</v>
      </c>
      <c r="X85" s="13">
        <f ca="1">IF(AND(Vorrunde!$I33&lt;&gt;"",Vorrunde!$K33&lt;&gt;"",Vorrunde!$F33&lt;&gt;Vorrunde!$H33,$V85&lt;&gt;"",$W85&lt;&gt;""),Vorrunde!$I33,"")</f>
        <v>1</v>
      </c>
      <c r="Y85" s="36">
        <f ca="1">IF(AND(Vorrunde!$I33&lt;&gt;"",Vorrunde!$K33&lt;&gt;"",Vorrunde!$F33&lt;&gt;Vorrunde!$H33,$V85&lt;&gt;"",$W85&lt;&gt;""),Vorrunde!$K33,"")</f>
        <v>4</v>
      </c>
      <c r="Z85" s="35" t="str">
        <f t="shared" ca="1" si="81"/>
        <v>Borussia HeineManchester City</v>
      </c>
      <c r="AA85" s="13">
        <f t="shared" ca="1" si="80"/>
        <v>1</v>
      </c>
      <c r="AB85" s="13" t="str">
        <f ca="1">IF(AA85&gt;0,X85&amp;Sprache!$E$73&amp;Y85,"")</f>
        <v>1:4</v>
      </c>
      <c r="AD85" s="145"/>
      <c r="AE85" s="150">
        <f ca="1">IF($AA85=0,"",IF($X85&gt;$Y85,Einstellungen!$C$4,IF($X85=$Y85,1,0)))</f>
        <v>0</v>
      </c>
      <c r="AF85" s="145">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Planung!$L28</f>
        <v>Eintracht Frankfurt</v>
      </c>
      <c r="W86" s="13" t="str">
        <f ca="1">Planung!$N28</f>
        <v>FC Barcelona</v>
      </c>
      <c r="X86" s="13" t="str">
        <f ca="1">IF(AND(Vorrunde!$I34&lt;&gt;"",Vorrunde!$K34&lt;&gt;"",Vorrunde!$F34&lt;&gt;Vorrunde!$H34,$V86&lt;&gt;"",$W86&lt;&gt;""),Vorrunde!$I34,"")</f>
        <v/>
      </c>
      <c r="Y86" s="36" t="str">
        <f ca="1">IF(AND(Vorrunde!$I34&lt;&gt;"",Vorrunde!$K34&lt;&gt;"",Vorrunde!$F34&lt;&gt;Vorrunde!$H34,$V86&lt;&gt;"",$W86&lt;&gt;""),Vorrunde!$K34,"")</f>
        <v/>
      </c>
      <c r="Z86" s="35" t="str">
        <f t="shared" ca="1" si="81"/>
        <v>Eintracht FrankfurtFC Barcelona</v>
      </c>
      <c r="AA86" s="13">
        <f t="shared" ca="1" si="80"/>
        <v>0</v>
      </c>
      <c r="AB86" s="13" t="str">
        <f ca="1">IF(AA86&gt;0,X86&amp;Sprache!$E$73&amp;Y86,"")</f>
        <v/>
      </c>
      <c r="AD86" s="145"/>
      <c r="AE86" s="150" t="str">
        <f ca="1">IF($AA86=0,"",IF($X86&gt;$Y86,Einstellungen!$C$4,IF($X86=$Y86,1,0)))</f>
        <v/>
      </c>
      <c r="AF86" s="145" t="str">
        <f ca="1">IF($AA86=0,"",IF($X86&lt;$Y86,Einstellungen!$C$4,IF($X86=$Y86,1,0)))</f>
        <v/>
      </c>
    </row>
    <row r="87" spans="2:32" s="2" customFormat="1" x14ac:dyDescent="0.2">
      <c r="B87" s="4"/>
      <c r="C87" s="4"/>
      <c r="D87" s="4"/>
      <c r="E87" s="4"/>
      <c r="F87" s="13"/>
      <c r="G87" s="13"/>
      <c r="H87" s="13"/>
      <c r="I87" s="13"/>
      <c r="J87" s="13"/>
      <c r="K87" s="13"/>
      <c r="L87" s="13"/>
      <c r="M87" s="13"/>
      <c r="U87" s="68" t="s">
        <v>39</v>
      </c>
      <c r="V87" s="41" t="str">
        <f ca="1">Planung!$L29</f>
        <v>SSV Wildbach</v>
      </c>
      <c r="W87" s="13" t="str">
        <f ca="1">Planung!$N29</f>
        <v>Inter Mailand</v>
      </c>
      <c r="X87" s="13" t="str">
        <f ca="1">IF(AND(Vorrunde!$I35&lt;&gt;"",Vorrunde!$K35&lt;&gt;"",Vorrunde!$F35&lt;&gt;Vorrunde!$H35,$V87&lt;&gt;"",$W87&lt;&gt;""),Vorrunde!$I35,"")</f>
        <v/>
      </c>
      <c r="Y87" s="36" t="str">
        <f ca="1">IF(AND(Vorrunde!$I35&lt;&gt;"",Vorrunde!$K35&lt;&gt;"",Vorrunde!$F35&lt;&gt;Vorrunde!$H35,$V87&lt;&gt;"",$W87&lt;&gt;""),Vorrunde!$K35,"")</f>
        <v/>
      </c>
      <c r="Z87" s="35" t="str">
        <f t="shared" ca="1" si="81"/>
        <v>SSV WildbachInter Mailand</v>
      </c>
      <c r="AA87" s="13">
        <f t="shared" ca="1" si="80"/>
        <v>0</v>
      </c>
      <c r="AB87" s="13" t="str">
        <f ca="1">IF(AA87&gt;0,X87&amp;Sprache!$E$73&amp;Y87,"")</f>
        <v/>
      </c>
      <c r="AD87" s="145"/>
      <c r="AE87" s="150" t="str">
        <f ca="1">IF($AA87=0,"",IF($X87&gt;$Y87,Einstellungen!$C$4,IF($X87=$Y87,1,0)))</f>
        <v/>
      </c>
      <c r="AF87" s="145" t="str">
        <f ca="1">IF($AA87=0,"",IF($X87&lt;$Y87,Einstellungen!$C$4,IF($X87=$Y87,1,0)))</f>
        <v/>
      </c>
    </row>
    <row r="88" spans="2:32" s="2" customFormat="1" x14ac:dyDescent="0.2">
      <c r="B88" s="4"/>
      <c r="C88" s="4"/>
      <c r="D88" s="4"/>
      <c r="E88" s="4"/>
      <c r="F88" s="13"/>
      <c r="G88" s="13"/>
      <c r="H88" s="13"/>
      <c r="I88" s="13"/>
      <c r="J88" s="13"/>
      <c r="K88" s="13"/>
      <c r="L88" s="13"/>
      <c r="M88" s="13"/>
      <c r="U88" s="68" t="s">
        <v>40</v>
      </c>
      <c r="V88" s="41" t="str">
        <f ca="1">Planung!$L30</f>
        <v>VFB Essenheim</v>
      </c>
      <c r="W88" s="13" t="str">
        <f ca="1">Planung!$N30</f>
        <v>1. FC Riedwald</v>
      </c>
      <c r="X88" s="13" t="str">
        <f ca="1">IF(AND(Vorrunde!$I36&lt;&gt;"",Vorrunde!$K36&lt;&gt;"",Vorrunde!$F36&lt;&gt;Vorrunde!$H36,$V88&lt;&gt;"",$W88&lt;&gt;""),Vorrunde!$I36,"")</f>
        <v/>
      </c>
      <c r="Y88" s="36" t="str">
        <f ca="1">IF(AND(Vorrunde!$I36&lt;&gt;"",Vorrunde!$K36&lt;&gt;"",Vorrunde!$F36&lt;&gt;Vorrunde!$H36,$V88&lt;&gt;"",$W88&lt;&gt;""),Vorrunde!$K36,"")</f>
        <v/>
      </c>
      <c r="Z88" s="35" t="str">
        <f t="shared" ca="1" si="81"/>
        <v>VFB Essenheim1. FC Riedwald</v>
      </c>
      <c r="AA88" s="13">
        <f t="shared" ca="1" si="80"/>
        <v>0</v>
      </c>
      <c r="AB88" s="13" t="str">
        <f ca="1">IF(AA88&gt;0,X88&amp;Sprache!$E$73&amp;Y88,"")</f>
        <v/>
      </c>
      <c r="AD88" s="145"/>
      <c r="AE88" s="150" t="str">
        <f ca="1">IF($AA88=0,"",IF($X88&gt;$Y88,Einstellungen!$C$4,IF($X88=$Y88,1,0)))</f>
        <v/>
      </c>
      <c r="AF88" s="145"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Planung!$L31</f>
        <v>FC Grönlingen</v>
      </c>
      <c r="W89" s="13" t="str">
        <f ca="1">Planung!$N31</f>
        <v>Mainz 05</v>
      </c>
      <c r="X89" s="13" t="str">
        <f ca="1">IF(AND(Vorrunde!$I37&lt;&gt;"",Vorrunde!$K37&lt;&gt;"",Vorrunde!$F37&lt;&gt;Vorrunde!$H37,$V89&lt;&gt;"",$W89&lt;&gt;""),Vorrunde!$I37,"")</f>
        <v/>
      </c>
      <c r="Y89" s="36" t="str">
        <f ca="1">IF(AND(Vorrunde!$I37&lt;&gt;"",Vorrunde!$K37&lt;&gt;"",Vorrunde!$F37&lt;&gt;Vorrunde!$H37,$V89&lt;&gt;"",$W89&lt;&gt;""),Vorrunde!$K37,"")</f>
        <v/>
      </c>
      <c r="Z89" s="35" t="str">
        <f t="shared" ca="1" si="81"/>
        <v>FC GrönlingenMainz 05</v>
      </c>
      <c r="AA89" s="13">
        <f t="shared" ca="1" si="80"/>
        <v>0</v>
      </c>
      <c r="AB89" s="13" t="str">
        <f ca="1">IF(AA89&gt;0,X89&amp;Sprache!$E$73&amp;Y89,"")</f>
        <v/>
      </c>
      <c r="AD89" s="145"/>
      <c r="AE89" s="150" t="str">
        <f ca="1">IF($AA89=0,"",IF($X89&gt;$Y89,Einstellungen!$C$4,IF($X89=$Y89,1,0)))</f>
        <v/>
      </c>
      <c r="AF89" s="145" t="str">
        <f ca="1">IF($AA89=0,"",IF($X89&lt;$Y89,Einstellungen!$C$4,IF($X89=$Y89,1,0)))</f>
        <v/>
      </c>
    </row>
    <row r="90" spans="2:32" s="2" customFormat="1" x14ac:dyDescent="0.2">
      <c r="B90" s="4"/>
      <c r="C90" s="4"/>
      <c r="D90" s="4"/>
      <c r="E90" s="4"/>
      <c r="F90" s="13"/>
      <c r="G90" s="13"/>
      <c r="H90" s="13"/>
      <c r="I90" s="13"/>
      <c r="J90" s="13"/>
      <c r="K90" s="13"/>
      <c r="L90" s="13"/>
      <c r="M90" s="13"/>
      <c r="U90" s="68" t="s">
        <v>42</v>
      </c>
      <c r="V90" s="41" t="str">
        <f ca="1">Planung!$L32</f>
        <v>Maibach 1822 eV</v>
      </c>
      <c r="W90" s="13" t="str">
        <f ca="1">Planung!$N32</f>
        <v>Fun Kickers Oes</v>
      </c>
      <c r="X90" s="13" t="str">
        <f ca="1">IF(AND(Vorrunde!$I38&lt;&gt;"",Vorrunde!$K38&lt;&gt;"",Vorrunde!$F38&lt;&gt;Vorrunde!$H38,$V90&lt;&gt;"",$W90&lt;&gt;""),Vorrunde!$I38,"")</f>
        <v/>
      </c>
      <c r="Y90" s="36" t="str">
        <f ca="1">IF(AND(Vorrunde!$I38&lt;&gt;"",Vorrunde!$K38&lt;&gt;"",Vorrunde!$F38&lt;&gt;Vorrunde!$H38,$V90&lt;&gt;"",$W90&lt;&gt;""),Vorrunde!$K38,"")</f>
        <v/>
      </c>
      <c r="Z90" s="35" t="str">
        <f t="shared" ca="1" si="81"/>
        <v>Maibach 1822 eVFun Kickers Oes</v>
      </c>
      <c r="AA90" s="13">
        <f t="shared" ca="1" si="80"/>
        <v>0</v>
      </c>
      <c r="AB90" s="13" t="str">
        <f ca="1">IF(AA90&gt;0,X90&amp;Sprache!$E$73&amp;Y90,"")</f>
        <v/>
      </c>
      <c r="AD90" s="145"/>
      <c r="AE90" s="150" t="str">
        <f ca="1">IF($AA90=0,"",IF($X90&gt;$Y90,Einstellungen!$C$4,IF($X90=$Y90,1,0)))</f>
        <v/>
      </c>
      <c r="AF90" s="145" t="str">
        <f ca="1">IF($AA90=0,"",IF($X90&lt;$Y90,Einstellungen!$C$4,IF($X90=$Y90,1,0)))</f>
        <v/>
      </c>
    </row>
    <row r="91" spans="2:32" s="2" customFormat="1" x14ac:dyDescent="0.2">
      <c r="B91" s="4"/>
      <c r="C91" s="4"/>
      <c r="D91" s="4"/>
      <c r="E91" s="4"/>
      <c r="F91" s="13"/>
      <c r="G91" s="13"/>
      <c r="H91" s="13"/>
      <c r="I91" s="13"/>
      <c r="J91" s="13"/>
      <c r="K91" s="13"/>
      <c r="L91" s="13"/>
      <c r="M91" s="13"/>
      <c r="U91" s="68" t="s">
        <v>43</v>
      </c>
      <c r="V91" s="41" t="str">
        <f ca="1">Planung!$L33</f>
        <v>Manchester City</v>
      </c>
      <c r="W91" s="13" t="str">
        <f ca="1">Planung!$N33</f>
        <v>AC Roma</v>
      </c>
      <c r="X91" s="13" t="str">
        <f ca="1">IF(AND(Vorrunde!$I39&lt;&gt;"",Vorrunde!$K39&lt;&gt;"",Vorrunde!$F39&lt;&gt;Vorrunde!$H39,$V91&lt;&gt;"",$W91&lt;&gt;""),Vorrunde!$I39,"")</f>
        <v/>
      </c>
      <c r="Y91" s="36" t="str">
        <f ca="1">IF(AND(Vorrunde!$I39&lt;&gt;"",Vorrunde!$K39&lt;&gt;"",Vorrunde!$F39&lt;&gt;Vorrunde!$H39,$V91&lt;&gt;"",$W91&lt;&gt;""),Vorrunde!$K39,"")</f>
        <v/>
      </c>
      <c r="Z91" s="35" t="str">
        <f t="shared" ca="1" si="81"/>
        <v>Manchester CityAC Roma</v>
      </c>
      <c r="AA91" s="13">
        <f t="shared" ca="1" si="80"/>
        <v>0</v>
      </c>
      <c r="AB91" s="13" t="str">
        <f ca="1">IF(AA91&gt;0,X91&amp;Sprache!$E$73&amp;Y91,"")</f>
        <v/>
      </c>
      <c r="AD91" s="145"/>
      <c r="AE91" s="150" t="str">
        <f ca="1">IF($AA91=0,"",IF($X91&gt;$Y91,Einstellungen!$C$4,IF($X91=$Y91,1,0)))</f>
        <v/>
      </c>
      <c r="AF91" s="145" t="str">
        <f ca="1">IF($AA91=0,"",IF($X91&lt;$Y91,Einstellungen!$C$4,IF($X91=$Y91,1,0)))</f>
        <v/>
      </c>
    </row>
    <row r="92" spans="2:32" s="2" customFormat="1" x14ac:dyDescent="0.2">
      <c r="B92" s="4"/>
      <c r="C92" s="4"/>
      <c r="D92" s="4"/>
      <c r="E92" s="4"/>
      <c r="F92" s="13"/>
      <c r="G92" s="13"/>
      <c r="H92" s="13"/>
      <c r="I92" s="13"/>
      <c r="J92" s="13"/>
      <c r="K92" s="13"/>
      <c r="L92" s="13"/>
      <c r="M92" s="13"/>
      <c r="U92" s="68" t="s">
        <v>44</v>
      </c>
      <c r="V92" s="41" t="str">
        <f ca="1">Planung!$L34</f>
        <v>Raslo Winners</v>
      </c>
      <c r="W92" s="13" t="str">
        <f ca="1">Planung!$N34</f>
        <v>Eintracht Frankfurt</v>
      </c>
      <c r="X92" s="13" t="str">
        <f ca="1">IF(AND(Vorrunde!$I40&lt;&gt;"",Vorrunde!$K40&lt;&gt;"",Vorrunde!$F40&lt;&gt;Vorrunde!$H40,$V92&lt;&gt;"",$W92&lt;&gt;""),Vorrunde!$I40,"")</f>
        <v/>
      </c>
      <c r="Y92" s="36" t="str">
        <f ca="1">IF(AND(Vorrunde!$I40&lt;&gt;"",Vorrunde!$K40&lt;&gt;"",Vorrunde!$F40&lt;&gt;Vorrunde!$H40,$V92&lt;&gt;"",$W92&lt;&gt;""),Vorrunde!$K40,"")</f>
        <v/>
      </c>
      <c r="Z92" s="35" t="str">
        <f t="shared" ca="1" si="81"/>
        <v>Raslo WinnersEintracht Frankfurt</v>
      </c>
      <c r="AA92" s="13">
        <f t="shared" ca="1" si="80"/>
        <v>0</v>
      </c>
      <c r="AB92" s="13" t="str">
        <f ca="1">IF(AA92&gt;0,X92&amp;Sprache!$E$73&amp;Y92,"")</f>
        <v/>
      </c>
      <c r="AD92" s="145"/>
      <c r="AE92" s="150" t="str">
        <f ca="1">IF($AA92=0,"",IF($X92&gt;$Y92,Einstellungen!$C$4,IF($X92=$Y92,1,0)))</f>
        <v/>
      </c>
      <c r="AF92" s="145" t="str">
        <f ca="1">IF($AA92=0,"",IF($X92&lt;$Y92,Einstellungen!$C$4,IF($X92=$Y92,1,0)))</f>
        <v/>
      </c>
    </row>
    <row r="93" spans="2:32" s="2" customFormat="1" x14ac:dyDescent="0.2">
      <c r="B93" s="4"/>
      <c r="C93" s="4"/>
      <c r="D93" s="4"/>
      <c r="E93" s="4"/>
      <c r="F93" s="13"/>
      <c r="G93" s="13"/>
      <c r="H93" s="13"/>
      <c r="I93" s="13"/>
      <c r="J93" s="13"/>
      <c r="K93" s="13"/>
      <c r="L93" s="13"/>
      <c r="M93" s="13"/>
      <c r="U93" s="68" t="s">
        <v>45</v>
      </c>
      <c r="V93" s="41" t="str">
        <f ca="1">Planung!$L35</f>
        <v>VFL Ronsdorf</v>
      </c>
      <c r="W93" s="13" t="str">
        <f ca="1">Planung!$N35</f>
        <v>SSV Wildbach</v>
      </c>
      <c r="X93" s="13" t="str">
        <f ca="1">IF(AND(Vorrunde!$I41&lt;&gt;"",Vorrunde!$K41&lt;&gt;"",Vorrunde!$F41&lt;&gt;Vorrunde!$H41,$V93&lt;&gt;"",$W93&lt;&gt;""),Vorrunde!$I41,"")</f>
        <v/>
      </c>
      <c r="Y93" s="36" t="str">
        <f ca="1">IF(AND(Vorrunde!$I41&lt;&gt;"",Vorrunde!$K41&lt;&gt;"",Vorrunde!$F41&lt;&gt;Vorrunde!$H41,$V93&lt;&gt;"",$W93&lt;&gt;""),Vorrunde!$K41,"")</f>
        <v/>
      </c>
      <c r="Z93" s="35" t="str">
        <f t="shared" ca="1" si="81"/>
        <v>VFL RonsdorfSSV Wildbach</v>
      </c>
      <c r="AA93" s="13">
        <f t="shared" ca="1" si="80"/>
        <v>0</v>
      </c>
      <c r="AB93" s="13" t="str">
        <f ca="1">IF(AA93&gt;0,X93&amp;Sprache!$E$73&amp;Y93,"")</f>
        <v/>
      </c>
      <c r="AC93" s="4"/>
      <c r="AD93" s="145"/>
      <c r="AE93" s="150" t="str">
        <f ca="1">IF($AA93=0,"",IF($X93&gt;$Y93,Einstellungen!$C$4,IF($X93=$Y93,1,0)))</f>
        <v/>
      </c>
      <c r="AF93" s="145" t="str">
        <f ca="1">IF($AA93=0,"",IF($X93&lt;$Y93,Einstellungen!$C$4,IF($X93=$Y93,1,0)))</f>
        <v/>
      </c>
    </row>
    <row r="94" spans="2:32" s="2" customFormat="1" x14ac:dyDescent="0.2">
      <c r="B94" s="4"/>
      <c r="C94" s="4"/>
      <c r="D94" s="4"/>
      <c r="E94" s="4"/>
      <c r="F94" s="13"/>
      <c r="G94" s="13"/>
      <c r="H94" s="13"/>
      <c r="I94" s="13"/>
      <c r="J94" s="13"/>
      <c r="K94" s="13"/>
      <c r="L94" s="13"/>
      <c r="M94" s="13"/>
      <c r="U94" s="68" t="s">
        <v>46</v>
      </c>
      <c r="V94" s="41" t="str">
        <f ca="1">Planung!$L36</f>
        <v>FC Barcelona</v>
      </c>
      <c r="W94" s="13" t="str">
        <f ca="1">Planung!$N36</f>
        <v>Knock Out Rangers</v>
      </c>
      <c r="X94" s="13" t="str">
        <f ca="1">IF(AND(Vorrunde!$I42&lt;&gt;"",Vorrunde!$K42&lt;&gt;"",Vorrunde!$F42&lt;&gt;Vorrunde!$H42,$V94&lt;&gt;"",$W94&lt;&gt;""),Vorrunde!$I42,"")</f>
        <v/>
      </c>
      <c r="Y94" s="36" t="str">
        <f ca="1">IF(AND(Vorrunde!$I42&lt;&gt;"",Vorrunde!$K42&lt;&gt;"",Vorrunde!$F42&lt;&gt;Vorrunde!$H42,$V94&lt;&gt;"",$W94&lt;&gt;""),Vorrunde!$K42,"")</f>
        <v/>
      </c>
      <c r="Z94" s="35" t="str">
        <f t="shared" ref="Z94:Z135" ca="1" si="82">V94&amp;W94</f>
        <v>FC BarcelonaKnock Out Rangers</v>
      </c>
      <c r="AA94" s="13">
        <f t="shared" ref="AA94:AA135" ca="1" si="83">IF(AND(V94&lt;&gt;"",W94&lt;&gt;"",V94&lt;&gt;W94,X94&lt;&gt;"",Y94&lt;&gt;""),1,0)</f>
        <v>0</v>
      </c>
      <c r="AB94" s="13" t="str">
        <f ca="1">IF(AA94&gt;0,X94&amp;Sprache!$E$73&amp;Y94,"")</f>
        <v/>
      </c>
      <c r="AC94" s="4"/>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Inter Mailand</v>
      </c>
      <c r="W95" s="13" t="str">
        <f ca="1">Planung!$N37</f>
        <v>Borussia Heine</v>
      </c>
      <c r="X95" s="13" t="str">
        <f ca="1">IF(AND(Vorrunde!$I43&lt;&gt;"",Vorrunde!$K43&lt;&gt;"",Vorrunde!$F43&lt;&gt;Vorrunde!$H43,$V95&lt;&gt;"",$W95&lt;&gt;""),Vorrunde!$I43,"")</f>
        <v/>
      </c>
      <c r="Y95" s="36" t="str">
        <f ca="1">IF(AND(Vorrunde!$I43&lt;&gt;"",Vorrunde!$K43&lt;&gt;"",Vorrunde!$F43&lt;&gt;Vorrunde!$H43,$V95&lt;&gt;"",$W95&lt;&gt;""),Vorrunde!$K43,"")</f>
        <v/>
      </c>
      <c r="Z95" s="35" t="str">
        <f t="shared" ca="1" si="82"/>
        <v>Inter MailandBorussia Heine</v>
      </c>
      <c r="AA95" s="13">
        <f t="shared" ca="1" si="83"/>
        <v>0</v>
      </c>
      <c r="AB95" s="13" t="str">
        <f ca="1">IF(AA95&gt;0,X95&amp;Sprache!$E$73&amp;Y95,"")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1. FC Riedwald</v>
      </c>
      <c r="W96" s="13" t="str">
        <f ca="1">Planung!$N38</f>
        <v>Maibach 1822 eV</v>
      </c>
      <c r="X96" s="13" t="str">
        <f ca="1">IF(AND(Vorrunde!$I44&lt;&gt;"",Vorrunde!$K44&lt;&gt;"",Vorrunde!$F44&lt;&gt;Vorrunde!$H44,$V96&lt;&gt;"",$W96&lt;&gt;""),Vorrunde!$I44,"")</f>
        <v/>
      </c>
      <c r="Y96" s="36" t="str">
        <f ca="1">IF(AND(Vorrunde!$I44&lt;&gt;"",Vorrunde!$K44&lt;&gt;"",Vorrunde!$F44&lt;&gt;Vorrunde!$H44,$V96&lt;&gt;"",$W96&lt;&gt;""),Vorrunde!$K44,"")</f>
        <v/>
      </c>
      <c r="Z96" s="35" t="str">
        <f t="shared" ca="1" si="82"/>
        <v>1. FC RiedwaldMaibach 1822 eV</v>
      </c>
      <c r="AA96" s="13">
        <f t="shared" ca="1" si="83"/>
        <v>0</v>
      </c>
      <c r="AB96" s="13" t="str">
        <f ca="1">IF(AA96&gt;0,X96&amp;Sprache!$E$73&amp;Y96,"")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Mainz 05</v>
      </c>
      <c r="W97" s="13" t="str">
        <f ca="1">Planung!$N39</f>
        <v>Manchester City</v>
      </c>
      <c r="X97" s="13" t="str">
        <f ca="1">IF(AND(Vorrunde!$I45&lt;&gt;"",Vorrunde!$K45&lt;&gt;"",Vorrunde!$F45&lt;&gt;Vorrunde!$H45,$V97&lt;&gt;"",$W97&lt;&gt;""),Vorrunde!$I45,"")</f>
        <v/>
      </c>
      <c r="Y97" s="36" t="str">
        <f ca="1">IF(AND(Vorrunde!$I45&lt;&gt;"",Vorrunde!$K45&lt;&gt;"",Vorrunde!$F45&lt;&gt;Vorrunde!$H45,$V97&lt;&gt;"",$W97&lt;&gt;""),Vorrunde!$K45,"")</f>
        <v/>
      </c>
      <c r="Z97" s="35" t="str">
        <f t="shared" ca="1" si="82"/>
        <v>Mainz 05Manchester City</v>
      </c>
      <c r="AA97" s="13">
        <f t="shared" ca="1" si="83"/>
        <v>0</v>
      </c>
      <c r="AB97" s="13" t="str">
        <f ca="1">IF(AA97&gt;0,X97&amp;Sprache!$E$73&amp;Y97,"")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Eintracht Frankfurt</v>
      </c>
      <c r="W98" s="13" t="str">
        <f ca="1">Planung!$N40</f>
        <v>VFB Essenheim</v>
      </c>
      <c r="X98" s="13" t="str">
        <f ca="1">IF(AND(Vorrunde!$I46&lt;&gt;"",Vorrunde!$K46&lt;&gt;"",Vorrunde!$F46&lt;&gt;Vorrunde!$H46,$V98&lt;&gt;"",$W98&lt;&gt;""),Vorrunde!$I46,"")</f>
        <v/>
      </c>
      <c r="Y98" s="36" t="str">
        <f ca="1">IF(AND(Vorrunde!$I46&lt;&gt;"",Vorrunde!$K46&lt;&gt;"",Vorrunde!$F46&lt;&gt;Vorrunde!$H46,$V98&lt;&gt;"",$W98&lt;&gt;""),Vorrunde!$K46,"")</f>
        <v/>
      </c>
      <c r="Z98" s="35" t="str">
        <f t="shared" ca="1" si="82"/>
        <v>Eintracht FrankfurtVFB Essenheim</v>
      </c>
      <c r="AA98" s="13">
        <f t="shared" ca="1" si="83"/>
        <v>0</v>
      </c>
      <c r="AB98" s="13" t="str">
        <f ca="1">IF(AA98&gt;0,X98&amp;Sprache!$E$73&amp;Y98,"")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SSV Wildbach</v>
      </c>
      <c r="W99" s="13" t="str">
        <f ca="1">Planung!$N41</f>
        <v>FC Grönlingen</v>
      </c>
      <c r="X99" s="13" t="str">
        <f ca="1">IF(AND(Vorrunde!$I47&lt;&gt;"",Vorrunde!$K47&lt;&gt;"",Vorrunde!$F47&lt;&gt;Vorrunde!$H47,$V99&lt;&gt;"",$W99&lt;&gt;""),Vorrunde!$I47,"")</f>
        <v/>
      </c>
      <c r="Y99" s="36" t="str">
        <f ca="1">IF(AND(Vorrunde!$I47&lt;&gt;"",Vorrunde!$K47&lt;&gt;"",Vorrunde!$F47&lt;&gt;Vorrunde!$H47,$V99&lt;&gt;"",$W99&lt;&gt;""),Vorrunde!$K47,"")</f>
        <v/>
      </c>
      <c r="Z99" s="35" t="str">
        <f t="shared" ca="1" si="82"/>
        <v>SSV WildbachFC Grönlingen</v>
      </c>
      <c r="AA99" s="13">
        <f t="shared" ca="1" si="83"/>
        <v>0</v>
      </c>
      <c r="AB99" s="13" t="str">
        <f ca="1">IF(AA99&gt;0,X99&amp;Sprache!$E$73&amp;Y99,"")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Fun Kickers Oes</v>
      </c>
      <c r="W100" s="13" t="str">
        <f ca="1">Planung!$N42</f>
        <v>FC Barcelona</v>
      </c>
      <c r="X100" s="13" t="str">
        <f ca="1">IF(AND(Vorrunde!$I48&lt;&gt;"",Vorrunde!$K48&lt;&gt;"",Vorrunde!$F48&lt;&gt;Vorrunde!$H48,$V100&lt;&gt;"",$W100&lt;&gt;""),Vorrunde!$I48,"")</f>
        <v/>
      </c>
      <c r="Y100" s="36" t="str">
        <f ca="1">IF(AND(Vorrunde!$I48&lt;&gt;"",Vorrunde!$K48&lt;&gt;"",Vorrunde!$F48&lt;&gt;Vorrunde!$H48,$V100&lt;&gt;"",$W100&lt;&gt;""),Vorrunde!$K48,"")</f>
        <v/>
      </c>
      <c r="Z100" s="35" t="str">
        <f t="shared" ca="1" si="82"/>
        <v>Fun Kickers OesFC Barcelona</v>
      </c>
      <c r="AA100" s="13">
        <f t="shared" ca="1" si="83"/>
        <v>0</v>
      </c>
      <c r="AB100" s="13" t="str">
        <f ca="1">IF(AA100&gt;0,X100&amp;Sprache!$E$73&amp;Y100,"")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AC Roma</v>
      </c>
      <c r="W101" s="13" t="str">
        <f ca="1">Planung!$N43</f>
        <v>Inter Mailand</v>
      </c>
      <c r="X101" s="13" t="str">
        <f ca="1">IF(AND(Vorrunde!$I49&lt;&gt;"",Vorrunde!$K49&lt;&gt;"",Vorrunde!$F49&lt;&gt;Vorrunde!$H49,$V101&lt;&gt;"",$W101&lt;&gt;""),Vorrunde!$I49,"")</f>
        <v/>
      </c>
      <c r="Y101" s="36" t="str">
        <f ca="1">IF(AND(Vorrunde!$I49&lt;&gt;"",Vorrunde!$K49&lt;&gt;"",Vorrunde!$F49&lt;&gt;Vorrunde!$H49,$V101&lt;&gt;"",$W101&lt;&gt;""),Vorrunde!$K49,"")</f>
        <v/>
      </c>
      <c r="Z101" s="35" t="str">
        <f t="shared" ca="1" si="82"/>
        <v>AC RomaInter Mailand</v>
      </c>
      <c r="AA101" s="13">
        <f t="shared" ca="1" si="83"/>
        <v>0</v>
      </c>
      <c r="AB101" s="13" t="str">
        <f ca="1">IF(AA101&gt;0,X101&amp;Sprache!$E$73&amp;Y101,"")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Knock Out Rangers</v>
      </c>
      <c r="W102" s="13" t="str">
        <f ca="1">Planung!$N44</f>
        <v>Raslo Winners</v>
      </c>
      <c r="X102" s="13" t="str">
        <f ca="1">IF(AND(Vorrunde!$I50&lt;&gt;"",Vorrunde!$K50&lt;&gt;"",Vorrunde!$F50&lt;&gt;Vorrunde!$H50,$V102&lt;&gt;"",$W102&lt;&gt;""),Vorrunde!$I50,"")</f>
        <v/>
      </c>
      <c r="Y102" s="36" t="str">
        <f ca="1">IF(AND(Vorrunde!$I50&lt;&gt;"",Vorrunde!$K50&lt;&gt;"",Vorrunde!$F50&lt;&gt;Vorrunde!$H50,$V102&lt;&gt;"",$W102&lt;&gt;""),Vorrunde!$K50,"")</f>
        <v/>
      </c>
      <c r="Z102" s="35" t="str">
        <f t="shared" ca="1" si="82"/>
        <v>Knock Out RangersRaslo Winners</v>
      </c>
      <c r="AA102" s="13">
        <f t="shared" ca="1" si="83"/>
        <v>0</v>
      </c>
      <c r="AB102" s="13" t="str">
        <f ca="1">IF(AA102&gt;0,X102&amp;Sprache!$E$73&amp;Y102,"")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Borussia Heine</v>
      </c>
      <c r="W103" s="13" t="str">
        <f ca="1">Planung!$N45</f>
        <v>VFL Ronsdorf</v>
      </c>
      <c r="X103" s="13" t="str">
        <f ca="1">IF(AND(Vorrunde!$I51&lt;&gt;"",Vorrunde!$K51&lt;&gt;"",Vorrunde!$F51&lt;&gt;Vorrunde!$H51,$V103&lt;&gt;"",$W103&lt;&gt;""),Vorrunde!$I51,"")</f>
        <v/>
      </c>
      <c r="Y103" s="36" t="str">
        <f ca="1">IF(AND(Vorrunde!$I51&lt;&gt;"",Vorrunde!$K51&lt;&gt;"",Vorrunde!$F51&lt;&gt;Vorrunde!$H51,$V103&lt;&gt;"",$W103&lt;&gt;""),Vorrunde!$K51,"")</f>
        <v/>
      </c>
      <c r="Z103" s="35" t="str">
        <f t="shared" ca="1" si="82"/>
        <v>Borussia HeineVFL Ronsdorf</v>
      </c>
      <c r="AA103" s="13">
        <f t="shared" ca="1" si="83"/>
        <v>0</v>
      </c>
      <c r="AB103" s="13" t="str">
        <f ca="1">IF(AA103&gt;0,X103&amp;Sprache!$E$73&amp;Y103,"")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Eintracht Frankfurt</v>
      </c>
      <c r="W104" s="13" t="str">
        <f ca="1">Planung!$N46</f>
        <v>1. FC Riedwald</v>
      </c>
      <c r="X104" s="13" t="str">
        <f ca="1">IF(AND(Vorrunde!$I52&lt;&gt;"",Vorrunde!$K52&lt;&gt;"",Vorrunde!$F52&lt;&gt;Vorrunde!$H52,$V104&lt;&gt;"",$W104&lt;&gt;""),Vorrunde!$I52,"")</f>
        <v/>
      </c>
      <c r="Y104" s="36" t="str">
        <f ca="1">IF(AND(Vorrunde!$I52&lt;&gt;"",Vorrunde!$K52&lt;&gt;"",Vorrunde!$F52&lt;&gt;Vorrunde!$H52,$V104&lt;&gt;"",$W104&lt;&gt;""),Vorrunde!$K52,"")</f>
        <v/>
      </c>
      <c r="Z104" s="35" t="str">
        <f t="shared" ca="1" si="82"/>
        <v>Eintracht Frankfurt1. FC Riedwald</v>
      </c>
      <c r="AA104" s="13">
        <f t="shared" ca="1" si="83"/>
        <v>0</v>
      </c>
      <c r="AB104" s="13" t="str">
        <f ca="1">IF(AA104&gt;0,X104&amp;Sprache!$E$73&amp;Y104,"")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SSV Wildbach</v>
      </c>
      <c r="W105" s="13" t="str">
        <f ca="1">Planung!$N47</f>
        <v>Mainz 05</v>
      </c>
      <c r="X105" s="13" t="str">
        <f ca="1">IF(AND(Vorrunde!$I53&lt;&gt;"",Vorrunde!$K53&lt;&gt;"",Vorrunde!$F53&lt;&gt;Vorrunde!$H53,$V105&lt;&gt;"",$W105&lt;&gt;""),Vorrunde!$I53,"")</f>
        <v/>
      </c>
      <c r="Y105" s="36" t="str">
        <f ca="1">IF(AND(Vorrunde!$I53&lt;&gt;"",Vorrunde!$K53&lt;&gt;"",Vorrunde!$F53&lt;&gt;Vorrunde!$H53,$V105&lt;&gt;"",$W105&lt;&gt;""),Vorrunde!$K53,"")</f>
        <v/>
      </c>
      <c r="Z105" s="35" t="str">
        <f t="shared" ca="1" si="82"/>
        <v>SSV WildbachMainz 05</v>
      </c>
      <c r="AA105" s="13">
        <f t="shared" ca="1" si="83"/>
        <v>0</v>
      </c>
      <c r="AB105" s="13" t="str">
        <f ca="1">IF(AA105&gt;0,X105&amp;Sprache!$E$73&amp;Y105,"")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FC Barcelona</v>
      </c>
      <c r="W106" s="13" t="str">
        <f ca="1">Planung!$N48</f>
        <v>Maibach 1822 eV</v>
      </c>
      <c r="X106" s="13" t="str">
        <f ca="1">IF(AND(Vorrunde!$I54&lt;&gt;"",Vorrunde!$K54&lt;&gt;"",Vorrunde!$F54&lt;&gt;Vorrunde!$H54,$V106&lt;&gt;"",$W106&lt;&gt;""),Vorrunde!$I54,"")</f>
        <v/>
      </c>
      <c r="Y106" s="36" t="str">
        <f ca="1">IF(AND(Vorrunde!$I54&lt;&gt;"",Vorrunde!$K54&lt;&gt;"",Vorrunde!$F54&lt;&gt;Vorrunde!$H54,$V106&lt;&gt;"",$W106&lt;&gt;""),Vorrunde!$K54,"")</f>
        <v/>
      </c>
      <c r="Z106" s="35" t="str">
        <f t="shared" ca="1" si="82"/>
        <v>FC BarcelonaMaibach 1822 eV</v>
      </c>
      <c r="AA106" s="13">
        <f t="shared" ca="1" si="83"/>
        <v>0</v>
      </c>
      <c r="AB106" s="13" t="str">
        <f ca="1">IF(AA106&gt;0,X106&amp;Sprache!$E$73&amp;Y106,"")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Inter Mailand</v>
      </c>
      <c r="W107" s="13" t="str">
        <f ca="1">Planung!$N49</f>
        <v>Manchester City</v>
      </c>
      <c r="X107" s="13" t="str">
        <f ca="1">IF(AND(Vorrunde!$I55&lt;&gt;"",Vorrunde!$K55&lt;&gt;"",Vorrunde!$F55&lt;&gt;Vorrunde!$H55,$V107&lt;&gt;"",$W107&lt;&gt;""),Vorrunde!$I55,"")</f>
        <v/>
      </c>
      <c r="Y107" s="36" t="str">
        <f ca="1">IF(AND(Vorrunde!$I55&lt;&gt;"",Vorrunde!$K55&lt;&gt;"",Vorrunde!$F55&lt;&gt;Vorrunde!$H55,$V107&lt;&gt;"",$W107&lt;&gt;""),Vorrunde!$K55,"")</f>
        <v/>
      </c>
      <c r="Z107" s="35" t="str">
        <f t="shared" ca="1" si="82"/>
        <v>Inter MailandManchester City</v>
      </c>
      <c r="AA107" s="13">
        <f t="shared" ca="1" si="83"/>
        <v>0</v>
      </c>
      <c r="AB107" s="13" t="str">
        <f ca="1">IF(AA107&gt;0,X107&amp;Sprache!$E$73&amp;Y107,"")</f>
        <v/>
      </c>
      <c r="AD107" s="145"/>
      <c r="AE107" s="150" t="str">
        <f ca="1">IF($AA107=0,"",IF($X107&gt;$Y107,Einstellungen!$C$4,IF($X107=$Y107,1,0)))</f>
        <v/>
      </c>
      <c r="AF107" s="145" t="str">
        <f ca="1">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 ca="1">Planung!$L50</f>
        <v>VFB Essenheim</v>
      </c>
      <c r="W108" s="13" t="str">
        <f ca="1">Planung!$N50</f>
        <v>Knock Out Rangers</v>
      </c>
      <c r="X108" s="13" t="str">
        <f ca="1">IF(AND(Vorrunde!$I56&lt;&gt;"",Vorrunde!$K56&lt;&gt;"",Vorrunde!$F56&lt;&gt;Vorrunde!$H56,$V108&lt;&gt;"",$W108&lt;&gt;""),Vorrunde!$I56,"")</f>
        <v/>
      </c>
      <c r="Y108" s="36" t="str">
        <f ca="1">IF(AND(Vorrunde!$I56&lt;&gt;"",Vorrunde!$K56&lt;&gt;"",Vorrunde!$F56&lt;&gt;Vorrunde!$H56,$V108&lt;&gt;"",$W108&lt;&gt;""),Vorrunde!$K56,"")</f>
        <v/>
      </c>
      <c r="Z108" s="35" t="str">
        <f t="shared" ca="1" si="82"/>
        <v>VFB EssenheimKnock Out Rangers</v>
      </c>
      <c r="AA108" s="13">
        <f t="shared" ca="1" si="83"/>
        <v>0</v>
      </c>
      <c r="AB108" s="13" t="str">
        <f ca="1">IF(AA108&gt;0,X108&amp;Sprache!$E$73&amp;Y108,"")</f>
        <v/>
      </c>
      <c r="AD108" s="145"/>
      <c r="AE108" s="150" t="str">
        <f ca="1">IF($AA108=0,"",IF($X108&gt;$Y108,Einstellungen!$C$4,IF($X108=$Y108,1,0)))</f>
        <v/>
      </c>
      <c r="AF108" s="145" t="str">
        <f ca="1">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 ca="1">Planung!$L51</f>
        <v>FC Grönlingen</v>
      </c>
      <c r="W109" s="13" t="str">
        <f ca="1">Planung!$N51</f>
        <v>Borussia Heine</v>
      </c>
      <c r="X109" s="13" t="str">
        <f ca="1">IF(AND(Vorrunde!$I57&lt;&gt;"",Vorrunde!$K57&lt;&gt;"",Vorrunde!$F57&lt;&gt;Vorrunde!$H57,$V109&lt;&gt;"",$W109&lt;&gt;""),Vorrunde!$I57,"")</f>
        <v/>
      </c>
      <c r="Y109" s="36" t="str">
        <f ca="1">IF(AND(Vorrunde!$I57&lt;&gt;"",Vorrunde!$K57&lt;&gt;"",Vorrunde!$F57&lt;&gt;Vorrunde!$H57,$V109&lt;&gt;"",$W109&lt;&gt;""),Vorrunde!$K57,"")</f>
        <v/>
      </c>
      <c r="Z109" s="35" t="str">
        <f t="shared" ca="1" si="82"/>
        <v>FC GrönlingenBorussia Heine</v>
      </c>
      <c r="AA109" s="13">
        <f t="shared" ca="1" si="83"/>
        <v>0</v>
      </c>
      <c r="AB109" s="13" t="str">
        <f ca="1">IF(AA109&gt;0,X109&amp;Sprache!$E$73&amp;Y109,"")</f>
        <v/>
      </c>
      <c r="AD109" s="145"/>
      <c r="AE109" s="150" t="str">
        <f ca="1">IF($AA109=0,"",IF($X109&gt;$Y109,Einstellungen!$C$4,IF($X109=$Y109,1,0)))</f>
        <v/>
      </c>
      <c r="AF109" s="145" t="str">
        <f ca="1">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 ca="1">Planung!$L52</f>
        <v>Raslo Winners</v>
      </c>
      <c r="W110" s="13" t="str">
        <f ca="1">Planung!$N52</f>
        <v>Fun Kickers Oes</v>
      </c>
      <c r="X110" s="13" t="str">
        <f ca="1">IF(AND(Vorrunde!$I58&lt;&gt;"",Vorrunde!$K58&lt;&gt;"",Vorrunde!$F58&lt;&gt;Vorrunde!$H58,$V110&lt;&gt;"",$W110&lt;&gt;""),Vorrunde!$I58,"")</f>
        <v/>
      </c>
      <c r="Y110" s="36" t="str">
        <f ca="1">IF(AND(Vorrunde!$I58&lt;&gt;"",Vorrunde!$K58&lt;&gt;"",Vorrunde!$F58&lt;&gt;Vorrunde!$H58,$V110&lt;&gt;"",$W110&lt;&gt;""),Vorrunde!$K58,"")</f>
        <v/>
      </c>
      <c r="Z110" s="35" t="str">
        <f t="shared" ca="1" si="82"/>
        <v>Raslo WinnersFun Kickers Oes</v>
      </c>
      <c r="AA110" s="13">
        <f t="shared" ca="1" si="83"/>
        <v>0</v>
      </c>
      <c r="AB110" s="13" t="str">
        <f ca="1">IF(AA110&gt;0,X110&amp;Sprache!$E$73&amp;Y110,"")</f>
        <v/>
      </c>
      <c r="AD110" s="145"/>
      <c r="AE110" s="150" t="str">
        <f ca="1">IF($AA110=0,"",IF($X110&gt;$Y110,Einstellungen!$C$4,IF($X110=$Y110,1,0)))</f>
        <v/>
      </c>
      <c r="AF110" s="145" t="str">
        <f ca="1">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 ca="1">Planung!$L53</f>
        <v>VFL Ronsdorf</v>
      </c>
      <c r="W111" s="13" t="str">
        <f ca="1">Planung!$N53</f>
        <v>AC Roma</v>
      </c>
      <c r="X111" s="13" t="str">
        <f ca="1">IF(AND(Vorrunde!$I59&lt;&gt;"",Vorrunde!$K59&lt;&gt;"",Vorrunde!$F59&lt;&gt;Vorrunde!$H59,$V111&lt;&gt;"",$W111&lt;&gt;""),Vorrunde!$I59,"")</f>
        <v/>
      </c>
      <c r="Y111" s="36" t="str">
        <f ca="1">IF(AND(Vorrunde!$I59&lt;&gt;"",Vorrunde!$K59&lt;&gt;"",Vorrunde!$F59&lt;&gt;Vorrunde!$H59,$V111&lt;&gt;"",$W111&lt;&gt;""),Vorrunde!$K59,"")</f>
        <v/>
      </c>
      <c r="Z111" s="35" t="str">
        <f t="shared" ca="1" si="82"/>
        <v>VFL RonsdorfAC Roma</v>
      </c>
      <c r="AA111" s="13">
        <f t="shared" ca="1" si="83"/>
        <v>0</v>
      </c>
      <c r="AB111" s="13" t="str">
        <f ca="1">IF(AA111&gt;0,X111&amp;Sprache!$E$73&amp;Y111,"")</f>
        <v/>
      </c>
      <c r="AD111" s="145"/>
      <c r="AE111" s="150" t="str">
        <f ca="1">IF($AA111=0,"",IF($X111&gt;$Y111,Einstellungen!$C$4,IF($X111=$Y111,1,0)))</f>
        <v/>
      </c>
      <c r="AF111" s="145" t="str">
        <f ca="1">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 ca="1">Planung!$L54</f>
        <v>1. FC Riedwald</v>
      </c>
      <c r="W112" s="13" t="str">
        <f ca="1">Planung!$N54</f>
        <v>FC Barcelona</v>
      </c>
      <c r="X112" s="13" t="str">
        <f ca="1">IF(AND(Vorrunde!$I60&lt;&gt;"",Vorrunde!$K60&lt;&gt;"",Vorrunde!$F60&lt;&gt;Vorrunde!$H60,$V112&lt;&gt;"",$W112&lt;&gt;""),Vorrunde!$I60,"")</f>
        <v/>
      </c>
      <c r="Y112" s="36" t="str">
        <f ca="1">IF(AND(Vorrunde!$I60&lt;&gt;"",Vorrunde!$K60&lt;&gt;"",Vorrunde!$F60&lt;&gt;Vorrunde!$H60,$V112&lt;&gt;"",$W112&lt;&gt;""),Vorrunde!$K60,"")</f>
        <v/>
      </c>
      <c r="Z112" s="35" t="str">
        <f t="shared" ca="1" si="82"/>
        <v>1. FC RiedwaldFC Barcelona</v>
      </c>
      <c r="AA112" s="13">
        <f t="shared" ca="1" si="83"/>
        <v>0</v>
      </c>
      <c r="AB112" s="13" t="str">
        <f ca="1">IF(AA112&gt;0,X112&amp;Sprache!$E$73&amp;Y112,"")</f>
        <v/>
      </c>
      <c r="AD112" s="145"/>
      <c r="AE112" s="150" t="str">
        <f ca="1">IF($AA112=0,"",IF($X112&gt;$Y112,Einstellungen!$C$4,IF($X112=$Y112,1,0)))</f>
        <v/>
      </c>
      <c r="AF112" s="145" t="str">
        <f ca="1">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 ca="1">Planung!$L55</f>
        <v>Mainz 05</v>
      </c>
      <c r="W113" s="13" t="str">
        <f ca="1">Planung!$N55</f>
        <v>Inter Mailand</v>
      </c>
      <c r="X113" s="13" t="str">
        <f ca="1">IF(AND(Vorrunde!$I61&lt;&gt;"",Vorrunde!$K61&lt;&gt;"",Vorrunde!$F61&lt;&gt;Vorrunde!$H61,$V113&lt;&gt;"",$W113&lt;&gt;""),Vorrunde!$I61,"")</f>
        <v/>
      </c>
      <c r="Y113" s="36" t="str">
        <f ca="1">IF(AND(Vorrunde!$I61&lt;&gt;"",Vorrunde!$K61&lt;&gt;"",Vorrunde!$F61&lt;&gt;Vorrunde!$H61,$V113&lt;&gt;"",$W113&lt;&gt;""),Vorrunde!$K61,"")</f>
        <v/>
      </c>
      <c r="Z113" s="35" t="str">
        <f t="shared" ca="1" si="82"/>
        <v>Mainz 05Inter Mailand</v>
      </c>
      <c r="AA113" s="13">
        <f t="shared" ca="1" si="83"/>
        <v>0</v>
      </c>
      <c r="AB113" s="13" t="str">
        <f ca="1">IF(AA113&gt;0,X113&amp;Sprache!$E$73&amp;Y113,"")</f>
        <v/>
      </c>
      <c r="AD113" s="145"/>
      <c r="AE113" s="150" t="str">
        <f ca="1">IF($AA113=0,"",IF($X113&gt;$Y113,Einstellungen!$C$4,IF($X113=$Y113,1,0)))</f>
        <v/>
      </c>
      <c r="AF113" s="145" t="str">
        <f ca="1">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 ca="1">Planung!$L56</f>
        <v>Knock Out Rangers</v>
      </c>
      <c r="W114" s="13" t="str">
        <f ca="1">Planung!$N56</f>
        <v>Eintracht Frankfurt</v>
      </c>
      <c r="X114" s="13" t="str">
        <f ca="1">IF(AND(Vorrunde!$I62&lt;&gt;"",Vorrunde!$K62&lt;&gt;"",Vorrunde!$F62&lt;&gt;Vorrunde!$H62,$V114&lt;&gt;"",$W114&lt;&gt;""),Vorrunde!$I62,"")</f>
        <v/>
      </c>
      <c r="Y114" s="36" t="str">
        <f ca="1">IF(AND(Vorrunde!$I62&lt;&gt;"",Vorrunde!$K62&lt;&gt;"",Vorrunde!$F62&lt;&gt;Vorrunde!$H62,$V114&lt;&gt;"",$W114&lt;&gt;""),Vorrunde!$K62,"")</f>
        <v/>
      </c>
      <c r="Z114" s="35" t="str">
        <f t="shared" ca="1" si="82"/>
        <v>Knock Out RangersEintracht Frankfurt</v>
      </c>
      <c r="AA114" s="13">
        <f t="shared" ca="1" si="83"/>
        <v>0</v>
      </c>
      <c r="AB114" s="13" t="str">
        <f ca="1">IF(AA114&gt;0,X114&amp;Sprache!$E$73&amp;Y114,"")</f>
        <v/>
      </c>
      <c r="AD114" s="145"/>
      <c r="AE114" s="150" t="str">
        <f ca="1">IF($AA114=0,"",IF($X114&gt;$Y114,Einstellungen!$C$4,IF($X114=$Y114,1,0)))</f>
        <v/>
      </c>
      <c r="AF114" s="145" t="str">
        <f ca="1">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 ca="1">Planung!$L57</f>
        <v>Borussia Heine</v>
      </c>
      <c r="W115" s="13" t="str">
        <f ca="1">Planung!$N57</f>
        <v>SSV Wildbach</v>
      </c>
      <c r="X115" s="13" t="str">
        <f ca="1">IF(AND(Vorrunde!$I63&lt;&gt;"",Vorrunde!$K63&lt;&gt;"",Vorrunde!$F63&lt;&gt;Vorrunde!$H63,$V115&lt;&gt;"",$W115&lt;&gt;""),Vorrunde!$I63,"")</f>
        <v/>
      </c>
      <c r="Y115" s="36" t="str">
        <f ca="1">IF(AND(Vorrunde!$I63&lt;&gt;"",Vorrunde!$K63&lt;&gt;"",Vorrunde!$F63&lt;&gt;Vorrunde!$H63,$V115&lt;&gt;"",$W115&lt;&gt;""),Vorrunde!$K63,"")</f>
        <v/>
      </c>
      <c r="Z115" s="35" t="str">
        <f t="shared" ca="1" si="82"/>
        <v>Borussia HeineSSV Wildbach</v>
      </c>
      <c r="AA115" s="13">
        <f t="shared" ca="1" si="83"/>
        <v>0</v>
      </c>
      <c r="AB115" s="13" t="str">
        <f ca="1">IF(AA115&gt;0,X115&amp;Sprache!$E$73&amp;Y115,"")</f>
        <v/>
      </c>
      <c r="AD115" s="145"/>
      <c r="AE115" s="150" t="str">
        <f ca="1">IF($AA115=0,"",IF($X115&gt;$Y115,Einstellungen!$C$4,IF($X115=$Y115,1,0)))</f>
        <v/>
      </c>
      <c r="AF115" s="145" t="str">
        <f ca="1">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 ca="1">Planung!$L58</f>
        <v>Maibach 1822 eV</v>
      </c>
      <c r="W116" s="13" t="str">
        <f ca="1">Planung!$N58</f>
        <v>Raslo Winners</v>
      </c>
      <c r="X116" s="13" t="str">
        <f ca="1">IF(AND(Vorrunde!$I64&lt;&gt;"",Vorrunde!$K64&lt;&gt;"",Vorrunde!$F64&lt;&gt;Vorrunde!$H64,$V116&lt;&gt;"",$W116&lt;&gt;""),Vorrunde!$I64,"")</f>
        <v/>
      </c>
      <c r="Y116" s="36" t="str">
        <f ca="1">IF(AND(Vorrunde!$I64&lt;&gt;"",Vorrunde!$K64&lt;&gt;"",Vorrunde!$F64&lt;&gt;Vorrunde!$H64,$V116&lt;&gt;"",$W116&lt;&gt;""),Vorrunde!$K64,"")</f>
        <v/>
      </c>
      <c r="Z116" s="35" t="str">
        <f t="shared" ca="1" si="82"/>
        <v>Maibach 1822 eVRaslo Winners</v>
      </c>
      <c r="AA116" s="13">
        <f t="shared" ca="1" si="83"/>
        <v>0</v>
      </c>
      <c r="AB116" s="13" t="str">
        <f ca="1">IF(AA116&gt;0,X116&amp;Sprache!$E$73&amp;Y116,"")</f>
        <v/>
      </c>
      <c r="AD116" s="145"/>
      <c r="AE116" s="150" t="str">
        <f ca="1">IF($AA116=0,"",IF($X116&gt;$Y116,Einstellungen!$C$4,IF($X116=$Y116,1,0)))</f>
        <v/>
      </c>
      <c r="AF116" s="145" t="str">
        <f ca="1">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 ca="1">Planung!$L59</f>
        <v>Manchester City</v>
      </c>
      <c r="W117" s="13" t="str">
        <f ca="1">Planung!$N59</f>
        <v>VFL Ronsdorf</v>
      </c>
      <c r="X117" s="13" t="str">
        <f ca="1">IF(AND(Vorrunde!$I65&lt;&gt;"",Vorrunde!$K65&lt;&gt;"",Vorrunde!$F65&lt;&gt;Vorrunde!$H65,$V117&lt;&gt;"",$W117&lt;&gt;""),Vorrunde!$I65,"")</f>
        <v/>
      </c>
      <c r="Y117" s="36" t="str">
        <f ca="1">IF(AND(Vorrunde!$I65&lt;&gt;"",Vorrunde!$K65&lt;&gt;"",Vorrunde!$F65&lt;&gt;Vorrunde!$H65,$V117&lt;&gt;"",$W117&lt;&gt;""),Vorrunde!$K65,"")</f>
        <v/>
      </c>
      <c r="Z117" s="35" t="str">
        <f t="shared" ca="1" si="82"/>
        <v>Manchester CityVFL Ronsdorf</v>
      </c>
      <c r="AA117" s="13">
        <f t="shared" ca="1" si="83"/>
        <v>0</v>
      </c>
      <c r="AB117" s="13" t="str">
        <f ca="1">IF(AA117&gt;0,X117&amp;Sprache!$E$73&amp;Y117,"")</f>
        <v/>
      </c>
      <c r="AD117" s="145"/>
      <c r="AE117" s="150" t="str">
        <f ca="1">IF($AA117=0,"",IF($X117&gt;$Y117,Einstellungen!$C$4,IF($X117=$Y117,1,0)))</f>
        <v/>
      </c>
      <c r="AF117" s="145" t="str">
        <f ca="1">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 ca="1">Planung!$L60</f>
        <v>Fun Kickers Oes</v>
      </c>
      <c r="W118" s="13" t="str">
        <f ca="1">Planung!$N60</f>
        <v>VFB Essenheim</v>
      </c>
      <c r="X118" s="13" t="str">
        <f ca="1">IF(AND(Vorrunde!$I66&lt;&gt;"",Vorrunde!$K66&lt;&gt;"",Vorrunde!$F66&lt;&gt;Vorrunde!$H66,$V118&lt;&gt;"",$W118&lt;&gt;""),Vorrunde!$I66,"")</f>
        <v/>
      </c>
      <c r="Y118" s="36" t="str">
        <f ca="1">IF(AND(Vorrunde!$I66&lt;&gt;"",Vorrunde!$K66&lt;&gt;"",Vorrunde!$F66&lt;&gt;Vorrunde!$H66,$V118&lt;&gt;"",$W118&lt;&gt;""),Vorrunde!$K66,"")</f>
        <v/>
      </c>
      <c r="Z118" s="35" t="str">
        <f t="shared" ca="1" si="82"/>
        <v>Fun Kickers OesVFB Essenheim</v>
      </c>
      <c r="AA118" s="13">
        <f t="shared" ca="1" si="83"/>
        <v>0</v>
      </c>
      <c r="AB118" s="13" t="str">
        <f ca="1">IF(AA118&gt;0,X118&amp;Sprache!$E$73&amp;Y118,"")</f>
        <v/>
      </c>
      <c r="AD118" s="145"/>
      <c r="AE118" s="150" t="str">
        <f ca="1">IF($AA118=0,"",IF($X118&gt;$Y118,Einstellungen!$C$4,IF($X118=$Y118,1,0)))</f>
        <v/>
      </c>
      <c r="AF118" s="145" t="str">
        <f ca="1">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 ca="1">Planung!$L61</f>
        <v>AC Roma</v>
      </c>
      <c r="W119" s="13" t="str">
        <f ca="1">Planung!$N61</f>
        <v>FC Grönlingen</v>
      </c>
      <c r="X119" s="13" t="str">
        <f ca="1">IF(AND(Vorrunde!$I67&lt;&gt;"",Vorrunde!$K67&lt;&gt;"",Vorrunde!$F67&lt;&gt;Vorrunde!$H67,$V119&lt;&gt;"",$W119&lt;&gt;""),Vorrunde!$I67,"")</f>
        <v/>
      </c>
      <c r="Y119" s="36" t="str">
        <f ca="1">IF(AND(Vorrunde!$I67&lt;&gt;"",Vorrunde!$K67&lt;&gt;"",Vorrunde!$F67&lt;&gt;Vorrunde!$H67,$V119&lt;&gt;"",$W119&lt;&gt;""),Vorrunde!$K67,"")</f>
        <v/>
      </c>
      <c r="Z119" s="35" t="str">
        <f t="shared" ca="1" si="82"/>
        <v>AC RomaFC Grönlingen</v>
      </c>
      <c r="AA119" s="13">
        <f t="shared" ca="1" si="83"/>
        <v>0</v>
      </c>
      <c r="AB119" s="13" t="str">
        <f ca="1">IF(AA119&gt;0,X119&amp;Sprache!$E$73&amp;Y119,"")</f>
        <v/>
      </c>
      <c r="AD119" s="145"/>
      <c r="AE119" s="150" t="str">
        <f ca="1">IF($AA119=0,"",IF($X119&gt;$Y119,Einstellungen!$C$4,IF($X119=$Y119,1,0)))</f>
        <v/>
      </c>
      <c r="AF119" s="145" t="str">
        <f ca="1">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 ca="1">Planung!$L62</f>
        <v/>
      </c>
      <c r="W120" s="13" t="str">
        <f ca="1">Planung!$N62</f>
        <v/>
      </c>
      <c r="X120" s="13" t="str">
        <f ca="1">IF(AND(Vorrunde!$I68&lt;&gt;"",Vorrunde!$K68&lt;&gt;"",Vorrunde!$F68&lt;&gt;Vorrunde!$H68,$V120&lt;&gt;"",$W120&lt;&gt;""),Vorrunde!$I68,"")</f>
        <v/>
      </c>
      <c r="Y120" s="36" t="str">
        <f ca="1">IF(AND(Vorrunde!$I68&lt;&gt;"",Vorrunde!$K68&lt;&gt;"",Vorrunde!$F68&lt;&gt;Vorrunde!$H68,$V120&lt;&gt;"",$W120&lt;&gt;""),Vorrunde!$K68,"")</f>
        <v/>
      </c>
      <c r="Z120" s="35" t="str">
        <f t="shared" ca="1" si="82"/>
        <v/>
      </c>
      <c r="AA120" s="13">
        <f t="shared" ca="1" si="83"/>
        <v>0</v>
      </c>
      <c r="AB120" s="13" t="str">
        <f ca="1">IF(AA120&gt;0,X120&amp;Sprache!$E$73&amp;Y120,"")</f>
        <v/>
      </c>
      <c r="AD120" s="145"/>
      <c r="AE120" s="150" t="str">
        <f ca="1">IF($AA120=0,"",IF($X120&gt;$Y120,Einstellungen!$C$4,IF($X120=$Y120,1,0)))</f>
        <v/>
      </c>
      <c r="AF120" s="145" t="str">
        <f ca="1">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 ca="1">Planung!$L63</f>
        <v/>
      </c>
      <c r="W121" s="13" t="str">
        <f ca="1">Planung!$N63</f>
        <v/>
      </c>
      <c r="X121" s="13" t="str">
        <f ca="1">IF(AND(Vorrunde!$I69&lt;&gt;"",Vorrunde!$K69&lt;&gt;"",Vorrunde!$F69&lt;&gt;Vorrunde!$H69,$V121&lt;&gt;"",$W121&lt;&gt;""),Vorrunde!$I69,"")</f>
        <v/>
      </c>
      <c r="Y121" s="36" t="str">
        <f ca="1">IF(AND(Vorrunde!$I69&lt;&gt;"",Vorrunde!$K69&lt;&gt;"",Vorrunde!$F69&lt;&gt;Vorrunde!$H69,$V121&lt;&gt;"",$W121&lt;&gt;""),Vorrunde!$K69,"")</f>
        <v/>
      </c>
      <c r="Z121" s="35" t="str">
        <f t="shared" ca="1" si="82"/>
        <v/>
      </c>
      <c r="AA121" s="13">
        <f t="shared" ca="1" si="83"/>
        <v>0</v>
      </c>
      <c r="AB121" s="13" t="str">
        <f ca="1">IF(AA121&gt;0,X121&amp;Sprache!$E$73&amp;Y121,"")</f>
        <v/>
      </c>
      <c r="AD121" s="145"/>
      <c r="AE121" s="150" t="str">
        <f ca="1">IF($AA121=0,"",IF($X121&gt;$Y121,Einstellungen!$C$4,IF($X121=$Y121,1,0)))</f>
        <v/>
      </c>
      <c r="AF121" s="145" t="str">
        <f ca="1">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 ca="1">Planung!$L64</f>
        <v/>
      </c>
      <c r="W122" s="13" t="str">
        <f ca="1">Planung!$N64</f>
        <v/>
      </c>
      <c r="X122" s="13" t="str">
        <f ca="1">IF(AND(Vorrunde!$I70&lt;&gt;"",Vorrunde!$K70&lt;&gt;"",Vorrunde!$F70&lt;&gt;Vorrunde!$H70,$V122&lt;&gt;"",$W122&lt;&gt;""),Vorrunde!$I70,"")</f>
        <v/>
      </c>
      <c r="Y122" s="36" t="str">
        <f ca="1">IF(AND(Vorrunde!$I70&lt;&gt;"",Vorrunde!$K70&lt;&gt;"",Vorrunde!$F70&lt;&gt;Vorrunde!$H70,$V122&lt;&gt;"",$W122&lt;&gt;""),Vorrunde!$K70,"")</f>
        <v/>
      </c>
      <c r="Z122" s="35" t="str">
        <f t="shared" ca="1" si="82"/>
        <v/>
      </c>
      <c r="AA122" s="13">
        <f t="shared" ca="1" si="83"/>
        <v>0</v>
      </c>
      <c r="AB122" s="13" t="str">
        <f ca="1">IF(AA122&gt;0,X122&amp;Sprache!$E$73&amp;Y122,"")</f>
        <v/>
      </c>
      <c r="AD122" s="145"/>
      <c r="AE122" s="150" t="str">
        <f ca="1">IF($AA122=0,"",IF($X122&gt;$Y122,Einstellungen!$C$4,IF($X122=$Y122,1,0)))</f>
        <v/>
      </c>
      <c r="AF122" s="145" t="str">
        <f ca="1">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 ca="1">Planung!$L65</f>
        <v/>
      </c>
      <c r="W123" s="13" t="str">
        <f ca="1">Planung!$N65</f>
        <v/>
      </c>
      <c r="X123" s="13" t="str">
        <f ca="1">IF(AND(Vorrunde!$I71&lt;&gt;"",Vorrunde!$K71&lt;&gt;"",Vorrunde!$F71&lt;&gt;Vorrunde!$H71,$V123&lt;&gt;"",$W123&lt;&gt;""),Vorrunde!$I71,"")</f>
        <v/>
      </c>
      <c r="Y123" s="36" t="str">
        <f ca="1">IF(AND(Vorrunde!$I71&lt;&gt;"",Vorrunde!$K71&lt;&gt;"",Vorrunde!$F71&lt;&gt;Vorrunde!$H71,$V123&lt;&gt;"",$W123&lt;&gt;""),Vorrunde!$K71,"")</f>
        <v/>
      </c>
      <c r="Z123" s="35" t="str">
        <f t="shared" ca="1" si="82"/>
        <v/>
      </c>
      <c r="AA123" s="13">
        <f t="shared" ca="1" si="83"/>
        <v>0</v>
      </c>
      <c r="AB123" s="13" t="str">
        <f ca="1">IF(AA123&gt;0,X123&amp;Sprache!$E$73&amp;Y123,"")</f>
        <v/>
      </c>
      <c r="AD123" s="145"/>
      <c r="AE123" s="150" t="str">
        <f ca="1">IF($AA123=0,"",IF($X123&gt;$Y123,Einstellungen!$C$4,IF($X123=$Y123,1,0)))</f>
        <v/>
      </c>
      <c r="AF123" s="145" t="str">
        <f ca="1">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 ca="1">Planung!$L66</f>
        <v/>
      </c>
      <c r="W124" s="13" t="str">
        <f ca="1">Planung!$N66</f>
        <v/>
      </c>
      <c r="X124" s="13" t="str">
        <f ca="1">IF(AND(Vorrunde!$I72&lt;&gt;"",Vorrunde!$K72&lt;&gt;"",Vorrunde!$F72&lt;&gt;Vorrunde!$H72,$V124&lt;&gt;"",$W124&lt;&gt;""),Vorrunde!$I72,"")</f>
        <v/>
      </c>
      <c r="Y124" s="36" t="str">
        <f ca="1">IF(AND(Vorrunde!$I72&lt;&gt;"",Vorrunde!$K72&lt;&gt;"",Vorrunde!$F72&lt;&gt;Vorrunde!$H72,$V124&lt;&gt;"",$W124&lt;&gt;""),Vorrunde!$K72,"")</f>
        <v/>
      </c>
      <c r="Z124" s="35" t="str">
        <f t="shared" ca="1" si="82"/>
        <v/>
      </c>
      <c r="AA124" s="13">
        <f t="shared" ca="1" si="83"/>
        <v>0</v>
      </c>
      <c r="AB124" s="13" t="str">
        <f ca="1">IF(AA124&gt;0,X124&amp;Sprache!$E$73&amp;Y124,"")</f>
        <v/>
      </c>
      <c r="AD124" s="145"/>
      <c r="AE124" s="150" t="str">
        <f ca="1">IF($AA124=0,"",IF($X124&gt;$Y124,Einstellungen!$C$4,IF($X124=$Y124,1,0)))</f>
        <v/>
      </c>
      <c r="AF124" s="145" t="str">
        <f ca="1">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 ca="1">Planung!$L67</f>
        <v/>
      </c>
      <c r="W125" s="13" t="str">
        <f ca="1">Planung!$N67</f>
        <v/>
      </c>
      <c r="X125" s="13" t="str">
        <f ca="1">IF(AND(Vorrunde!$I73&lt;&gt;"",Vorrunde!$K73&lt;&gt;"",Vorrunde!$F73&lt;&gt;Vorrunde!$H73,$V125&lt;&gt;"",$W125&lt;&gt;""),Vorrunde!$I73,"")</f>
        <v/>
      </c>
      <c r="Y125" s="36" t="str">
        <f ca="1">IF(AND(Vorrunde!$I73&lt;&gt;"",Vorrunde!$K73&lt;&gt;"",Vorrunde!$F73&lt;&gt;Vorrunde!$H73,$V125&lt;&gt;"",$W125&lt;&gt;""),Vorrunde!$K73,"")</f>
        <v/>
      </c>
      <c r="Z125" s="35" t="str">
        <f t="shared" ca="1" si="82"/>
        <v/>
      </c>
      <c r="AA125" s="13">
        <f t="shared" ca="1" si="83"/>
        <v>0</v>
      </c>
      <c r="AB125" s="13" t="str">
        <f ca="1">IF(AA125&gt;0,X125&amp;Sprache!$E$73&amp;Y125,"")</f>
        <v/>
      </c>
      <c r="AD125" s="145"/>
      <c r="AE125" s="150" t="str">
        <f ca="1">IF($AA125=0,"",IF($X125&gt;$Y125,Einstellungen!$C$4,IF($X125=$Y125,1,0)))</f>
        <v/>
      </c>
      <c r="AF125" s="145" t="str">
        <f ca="1">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 ca="1">Planung!$L68</f>
        <v/>
      </c>
      <c r="W126" s="13" t="str">
        <f ca="1">Planung!$N68</f>
        <v/>
      </c>
      <c r="X126" s="13" t="str">
        <f ca="1">IF(AND(Vorrunde!$I74&lt;&gt;"",Vorrunde!$K74&lt;&gt;"",Vorrunde!$F74&lt;&gt;Vorrunde!$H74,$V126&lt;&gt;"",$W126&lt;&gt;""),Vorrunde!$I74,"")</f>
        <v/>
      </c>
      <c r="Y126" s="36" t="str">
        <f ca="1">IF(AND(Vorrunde!$I74&lt;&gt;"",Vorrunde!$K74&lt;&gt;"",Vorrunde!$F74&lt;&gt;Vorrunde!$H74,$V126&lt;&gt;"",$W126&lt;&gt;""),Vorrunde!$K74,"")</f>
        <v/>
      </c>
      <c r="Z126" s="35" t="str">
        <f t="shared" ca="1" si="82"/>
        <v/>
      </c>
      <c r="AA126" s="13">
        <f t="shared" ca="1" si="83"/>
        <v>0</v>
      </c>
      <c r="AB126" s="13" t="str">
        <f ca="1">IF(AA126&gt;0,X126&amp;Sprache!$E$73&amp;Y126,"")</f>
        <v/>
      </c>
      <c r="AD126" s="145"/>
      <c r="AE126" s="150" t="str">
        <f ca="1">IF($AA126=0,"",IF($X126&gt;$Y126,Einstellungen!$C$4,IF($X126=$Y126,1,0)))</f>
        <v/>
      </c>
      <c r="AF126" s="145" t="str">
        <f ca="1">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 ca="1">Planung!$L69</f>
        <v/>
      </c>
      <c r="W127" s="13" t="str">
        <f ca="1">Planung!$N69</f>
        <v/>
      </c>
      <c r="X127" s="13" t="str">
        <f ca="1">IF(AND(Vorrunde!$I75&lt;&gt;"",Vorrunde!$K75&lt;&gt;"",Vorrunde!$F75&lt;&gt;Vorrunde!$H75,$V127&lt;&gt;"",$W127&lt;&gt;""),Vorrunde!$I75,"")</f>
        <v/>
      </c>
      <c r="Y127" s="36" t="str">
        <f ca="1">IF(AND(Vorrunde!$I75&lt;&gt;"",Vorrunde!$K75&lt;&gt;"",Vorrunde!$F75&lt;&gt;Vorrunde!$H75,$V127&lt;&gt;"",$W127&lt;&gt;""),Vorrunde!$K75,"")</f>
        <v/>
      </c>
      <c r="Z127" s="35" t="str">
        <f t="shared" ca="1" si="82"/>
        <v/>
      </c>
      <c r="AA127" s="13">
        <f t="shared" ca="1" si="83"/>
        <v>0</v>
      </c>
      <c r="AB127" s="13" t="str">
        <f ca="1">IF(AA127&gt;0,X127&amp;Sprache!$E$73&amp;Y127,"")</f>
        <v/>
      </c>
      <c r="AD127" s="145"/>
      <c r="AE127" s="150" t="str">
        <f ca="1">IF($AA127=0,"",IF($X127&gt;$Y127,Einstellungen!$C$4,IF($X127=$Y127,1,0)))</f>
        <v/>
      </c>
      <c r="AF127" s="145" t="str">
        <f ca="1">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 ca="1">Planung!$L70</f>
        <v/>
      </c>
      <c r="W128" s="13" t="str">
        <f ca="1">Planung!$N70</f>
        <v/>
      </c>
      <c r="X128" s="13" t="str">
        <f ca="1">IF(AND(Vorrunde!$I76&lt;&gt;"",Vorrunde!$K76&lt;&gt;"",Vorrunde!$F76&lt;&gt;Vorrunde!$H76,$V128&lt;&gt;"",$W128&lt;&gt;""),Vorrunde!$I76,"")</f>
        <v/>
      </c>
      <c r="Y128" s="36" t="str">
        <f ca="1">IF(AND(Vorrunde!$I76&lt;&gt;"",Vorrunde!$K76&lt;&gt;"",Vorrunde!$F76&lt;&gt;Vorrunde!$H76,$V128&lt;&gt;"",$W128&lt;&gt;""),Vorrunde!$K76,"")</f>
        <v/>
      </c>
      <c r="Z128" s="35" t="str">
        <f t="shared" ca="1" si="82"/>
        <v/>
      </c>
      <c r="AA128" s="13">
        <f t="shared" ca="1" si="83"/>
        <v>0</v>
      </c>
      <c r="AB128" s="13" t="str">
        <f ca="1">IF(AA128&gt;0,X128&amp;Sprache!$E$73&amp;Y128,"")</f>
        <v/>
      </c>
      <c r="AD128" s="145"/>
      <c r="AE128" s="150" t="str">
        <f ca="1">IF($AA128=0,"",IF($X128&gt;$Y128,Einstellungen!$C$4,IF($X128=$Y128,1,0)))</f>
        <v/>
      </c>
      <c r="AF128" s="145" t="str">
        <f ca="1">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 ca="1">Planung!$L71</f>
        <v/>
      </c>
      <c r="W129" s="13" t="str">
        <f ca="1">Planung!$N71</f>
        <v/>
      </c>
      <c r="X129" s="13" t="str">
        <f ca="1">IF(AND(Vorrunde!$I77&lt;&gt;"",Vorrunde!$K77&lt;&gt;"",Vorrunde!$F77&lt;&gt;Vorrunde!$H77,$V129&lt;&gt;"",$W129&lt;&gt;""),Vorrunde!$I77,"")</f>
        <v/>
      </c>
      <c r="Y129" s="36" t="str">
        <f ca="1">IF(AND(Vorrunde!$I77&lt;&gt;"",Vorrunde!$K77&lt;&gt;"",Vorrunde!$F77&lt;&gt;Vorrunde!$H77,$V129&lt;&gt;"",$W129&lt;&gt;""),Vorrunde!$K77,"")</f>
        <v/>
      </c>
      <c r="Z129" s="35" t="str">
        <f t="shared" ca="1" si="82"/>
        <v/>
      </c>
      <c r="AA129" s="13">
        <f t="shared" ca="1" si="83"/>
        <v>0</v>
      </c>
      <c r="AB129" s="13" t="str">
        <f ca="1">IF(AA129&gt;0,X129&amp;Sprache!$E$73&amp;Y129,"")</f>
        <v/>
      </c>
      <c r="AC129" s="4"/>
      <c r="AD129" s="145"/>
      <c r="AE129" s="150" t="str">
        <f ca="1">IF($AA129=0,"",IF($X129&gt;$Y129,Einstellungen!$C$4,IF($X129=$Y129,1,0)))</f>
        <v/>
      </c>
      <c r="AF129" s="145" t="str">
        <f ca="1">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 ca="1">Planung!$L72</f>
        <v/>
      </c>
      <c r="W130" s="13" t="str">
        <f ca="1">Planung!$N72</f>
        <v/>
      </c>
      <c r="X130" s="13" t="str">
        <f ca="1">IF(AND(Vorrunde!$I78&lt;&gt;"",Vorrunde!$K78&lt;&gt;"",Vorrunde!$F78&lt;&gt;Vorrunde!$H78,$V130&lt;&gt;"",$W130&lt;&gt;""),Vorrunde!$I78,"")</f>
        <v/>
      </c>
      <c r="Y130" s="36" t="str">
        <f ca="1">IF(AND(Vorrunde!$I78&lt;&gt;"",Vorrunde!$K78&lt;&gt;"",Vorrunde!$F78&lt;&gt;Vorrunde!$H78,$V130&lt;&gt;"",$W130&lt;&gt;""),Vorrunde!$K78,"")</f>
        <v/>
      </c>
      <c r="Z130" s="35" t="str">
        <f t="shared" ca="1" si="82"/>
        <v/>
      </c>
      <c r="AA130" s="13">
        <f t="shared" ca="1" si="83"/>
        <v>0</v>
      </c>
      <c r="AB130" s="13" t="str">
        <f ca="1">IF(AA130&gt;0,X130&amp;Sprache!$E$73&amp;Y130,"")</f>
        <v/>
      </c>
      <c r="AC130" s="4"/>
      <c r="AD130" s="145"/>
      <c r="AE130" s="150" t="str">
        <f ca="1">IF($AA130=0,"",IF($X130&gt;$Y130,Einstellungen!$C$4,IF($X130=$Y130,1,0)))</f>
        <v/>
      </c>
      <c r="AF130" s="145" t="str">
        <f ca="1">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 ca="1">Planung!$L73</f>
        <v/>
      </c>
      <c r="W131" s="13" t="str">
        <f ca="1">Planung!$N73</f>
        <v/>
      </c>
      <c r="X131" s="13" t="str">
        <f ca="1">IF(AND(Vorrunde!$I79&lt;&gt;"",Vorrunde!$K79&lt;&gt;"",Vorrunde!$F79&lt;&gt;Vorrunde!$H79,$V131&lt;&gt;"",$W131&lt;&gt;""),Vorrunde!$I79,"")</f>
        <v/>
      </c>
      <c r="Y131" s="36" t="str">
        <f ca="1">IF(AND(Vorrunde!$I79&lt;&gt;"",Vorrunde!$K79&lt;&gt;"",Vorrunde!$F79&lt;&gt;Vorrunde!$H79,$V131&lt;&gt;"",$W131&lt;&gt;""),Vorrunde!$K79,"")</f>
        <v/>
      </c>
      <c r="Z131" s="35" t="str">
        <f t="shared" ca="1" si="82"/>
        <v/>
      </c>
      <c r="AA131" s="13">
        <f t="shared" ca="1" si="83"/>
        <v>0</v>
      </c>
      <c r="AB131" s="13" t="str">
        <f ca="1">IF(AA131&gt;0,X131&amp;Sprache!$E$73&amp;Y131,"")</f>
        <v/>
      </c>
      <c r="AC131" s="4"/>
      <c r="AD131" s="145"/>
      <c r="AE131" s="150" t="str">
        <f ca="1">IF($AA131=0,"",IF($X131&gt;$Y131,Einstellungen!$C$4,IF($X131=$Y131,1,0)))</f>
        <v/>
      </c>
      <c r="AF131" s="145" t="str">
        <f ca="1">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 ca="1">Planung!$L74</f>
        <v/>
      </c>
      <c r="W132" s="13" t="str">
        <f ca="1">Planung!$N74</f>
        <v/>
      </c>
      <c r="X132" s="13" t="str">
        <f ca="1">IF(AND(Vorrunde!$I80&lt;&gt;"",Vorrunde!$K80&lt;&gt;"",Vorrunde!$F80&lt;&gt;Vorrunde!$H80,$V132&lt;&gt;"",$W132&lt;&gt;""),Vorrunde!$I80,"")</f>
        <v/>
      </c>
      <c r="Y132" s="36" t="str">
        <f ca="1">IF(AND(Vorrunde!$I80&lt;&gt;"",Vorrunde!$K80&lt;&gt;"",Vorrunde!$F80&lt;&gt;Vorrunde!$H80,$V132&lt;&gt;"",$W132&lt;&gt;""),Vorrunde!$K80,"")</f>
        <v/>
      </c>
      <c r="Z132" s="35" t="str">
        <f t="shared" ca="1" si="82"/>
        <v/>
      </c>
      <c r="AA132" s="13">
        <f t="shared" ca="1" si="83"/>
        <v>0</v>
      </c>
      <c r="AB132" s="13" t="str">
        <f ca="1">IF(AA132&gt;0,X132&amp;Sprache!$E$73&amp;Y132,"")</f>
        <v/>
      </c>
      <c r="AC132" s="4"/>
      <c r="AD132" s="145"/>
      <c r="AE132" s="150" t="str">
        <f ca="1">IF($AA132=0,"",IF($X132&gt;$Y132,Einstellungen!$C$4,IF($X132=$Y132,1,0)))</f>
        <v/>
      </c>
      <c r="AF132" s="145" t="str">
        <f ca="1">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 ca="1">Planung!$L75</f>
        <v/>
      </c>
      <c r="W133" s="13" t="str">
        <f ca="1">Planung!$N75</f>
        <v/>
      </c>
      <c r="X133" s="13" t="str">
        <f ca="1">IF(AND(Vorrunde!$I81&lt;&gt;"",Vorrunde!$K81&lt;&gt;"",Vorrunde!$F81&lt;&gt;Vorrunde!$H81,$V133&lt;&gt;"",$W133&lt;&gt;""),Vorrunde!$I81,"")</f>
        <v/>
      </c>
      <c r="Y133" s="36" t="str">
        <f ca="1">IF(AND(Vorrunde!$I81&lt;&gt;"",Vorrunde!$K81&lt;&gt;"",Vorrunde!$F81&lt;&gt;Vorrunde!$H81,$V133&lt;&gt;"",$W133&lt;&gt;""),Vorrunde!$K81,"")</f>
        <v/>
      </c>
      <c r="Z133" s="35" t="str">
        <f t="shared" ca="1" si="82"/>
        <v/>
      </c>
      <c r="AA133" s="13">
        <f t="shared" ca="1" si="83"/>
        <v>0</v>
      </c>
      <c r="AB133" s="13" t="str">
        <f ca="1">IF(AA133&gt;0,X133&amp;Sprache!$E$73&amp;Y133,"")</f>
        <v/>
      </c>
      <c r="AC133" s="4"/>
      <c r="AD133" s="145"/>
      <c r="AE133" s="150" t="str">
        <f ca="1">IF($AA133=0,"",IF($X133&gt;$Y133,Einstellungen!$C$4,IF($X133=$Y133,1,0)))</f>
        <v/>
      </c>
      <c r="AF133" s="145" t="str">
        <f ca="1">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 ca="1">Planung!$L76</f>
        <v/>
      </c>
      <c r="W134" s="13" t="str">
        <f ca="1">Planung!$N76</f>
        <v/>
      </c>
      <c r="X134" s="13" t="str">
        <f ca="1">IF(AND(Vorrunde!$I82&lt;&gt;"",Vorrunde!$K82&lt;&gt;"",Vorrunde!$F82&lt;&gt;Vorrunde!$H82,$V134&lt;&gt;"",$W134&lt;&gt;""),Vorrunde!$I82,"")</f>
        <v/>
      </c>
      <c r="Y134" s="36" t="str">
        <f ca="1">IF(AND(Vorrunde!$I82&lt;&gt;"",Vorrunde!$K82&lt;&gt;"",Vorrunde!$F82&lt;&gt;Vorrunde!$H82,$V134&lt;&gt;"",$W134&lt;&gt;""),Vorrunde!$K82,"")</f>
        <v/>
      </c>
      <c r="Z134" s="35" t="str">
        <f t="shared" ca="1" si="82"/>
        <v/>
      </c>
      <c r="AA134" s="13">
        <f t="shared" ca="1" si="83"/>
        <v>0</v>
      </c>
      <c r="AB134" s="13" t="str">
        <f ca="1">IF(AA134&gt;0,X134&amp;Sprache!$E$73&amp;Y134,"")</f>
        <v/>
      </c>
      <c r="AC134" s="4"/>
      <c r="AD134" s="145"/>
      <c r="AE134" s="150" t="str">
        <f ca="1">IF($AA134=0,"",IF($X134&gt;$Y134,Einstellungen!$C$4,IF($X134=$Y134,1,0)))</f>
        <v/>
      </c>
      <c r="AF134" s="145" t="str">
        <f ca="1">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 ca="1">Planung!$L77</f>
        <v/>
      </c>
      <c r="W135" s="38" t="str">
        <f ca="1">Planung!$N77</f>
        <v/>
      </c>
      <c r="X135" s="38" t="str">
        <f ca="1">IF(AND(Vorrunde!$I83&lt;&gt;"",Vorrunde!$K83&lt;&gt;"",Vorrunde!$F83&lt;&gt;Vorrunde!$H83,$V135&lt;&gt;"",$W135&lt;&gt;""),Vorrunde!$I83,"")</f>
        <v/>
      </c>
      <c r="Y135" s="39" t="str">
        <f ca="1">IF(AND(Vorrunde!$I83&lt;&gt;"",Vorrunde!$K83&lt;&gt;"",Vorrunde!$F83&lt;&gt;Vorrunde!$H83,$V135&lt;&gt;"",$W135&lt;&gt;""),Vorrunde!$K83,"")</f>
        <v/>
      </c>
      <c r="Z135" s="37" t="str">
        <f t="shared" ca="1" si="82"/>
        <v/>
      </c>
      <c r="AA135" s="38">
        <f t="shared" ca="1" si="83"/>
        <v>0</v>
      </c>
      <c r="AB135" s="38" t="str">
        <f ca="1">IF(AA135&gt;0,X135&amp;Sprache!$E$73&amp;Y135,"")</f>
        <v/>
      </c>
      <c r="AC135" s="559"/>
      <c r="AD135" s="560"/>
      <c r="AE135" s="151" t="str">
        <f ca="1">IF($AA135=0,"",IF($X135&gt;$Y135,Einstellungen!$C$4,IF($X135=$Y135,1,0)))</f>
        <v/>
      </c>
      <c r="AF135" s="147" t="str">
        <f ca="1">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5" t="str">
        <f ca="1">W64&amp;V64</f>
        <v>Knock Out Rangers1. FC Riedwald</v>
      </c>
      <c r="AA136" s="13">
        <f ca="1">AA64</f>
        <v>1</v>
      </c>
      <c r="AB136" s="13" t="str">
        <f ca="1">IF(AA136&gt;0,Y64&amp;Sprache!$E$73&amp;X64,"")</f>
        <v>6:2</v>
      </c>
      <c r="AD136" s="145"/>
    </row>
    <row r="137" spans="2:32" x14ac:dyDescent="0.2">
      <c r="Y137" s="68" t="s">
        <v>8</v>
      </c>
      <c r="Z137" s="35" t="str">
        <f ca="1">W65&amp;V65</f>
        <v>Borussia HeineMainz 05</v>
      </c>
      <c r="AA137" s="13">
        <f t="shared" ref="AA137:AA200" ca="1" si="84">AA65</f>
        <v>1</v>
      </c>
      <c r="AB137" s="13" t="str">
        <f ca="1">IF(AA137&gt;0,Y65&amp;Sprache!$E$73&amp;X65,"")</f>
        <v>4:2</v>
      </c>
      <c r="AC137" s="2"/>
      <c r="AD137" s="145"/>
    </row>
    <row r="138" spans="2:32" x14ac:dyDescent="0.2">
      <c r="Y138" s="68" t="s">
        <v>9</v>
      </c>
      <c r="Z138" s="35" t="str">
        <f t="shared" ref="Z138:Z201" ca="1" si="85">W66&amp;V66</f>
        <v>FC BarcelonaRaslo Winners</v>
      </c>
      <c r="AA138" s="13">
        <f t="shared" ca="1" si="84"/>
        <v>1</v>
      </c>
      <c r="AB138" s="13" t="str">
        <f ca="1">IF(AA138&gt;0,Y66&amp;Sprache!$E$73&amp;X66,"")</f>
        <v>4:1</v>
      </c>
      <c r="AC138" s="2"/>
      <c r="AD138" s="145"/>
    </row>
    <row r="139" spans="2:32" x14ac:dyDescent="0.2">
      <c r="Y139" s="68" t="s">
        <v>10</v>
      </c>
      <c r="Z139" s="35" t="str">
        <f t="shared" ca="1" si="85"/>
        <v>Inter MailandVFL Ronsdorf</v>
      </c>
      <c r="AA139" s="13">
        <f t="shared" ca="1" si="84"/>
        <v>1</v>
      </c>
      <c r="AB139" s="13" t="str">
        <f ca="1">IF(AA139&gt;0,Y67&amp;Sprache!$E$73&amp;X67,"")</f>
        <v>5:2</v>
      </c>
      <c r="AC139" s="2"/>
      <c r="AD139" s="145"/>
    </row>
    <row r="140" spans="2:32" x14ac:dyDescent="0.2">
      <c r="Y140" s="68" t="s">
        <v>11</v>
      </c>
      <c r="Z140" s="35" t="str">
        <f t="shared" ca="1" si="85"/>
        <v>Fun Kickers OesEintracht Frankfurt</v>
      </c>
      <c r="AA140" s="13">
        <f t="shared" ca="1" si="84"/>
        <v>1</v>
      </c>
      <c r="AB140" s="13" t="str">
        <f ca="1">IF(AA140&gt;0,Y68&amp;Sprache!$E$73&amp;X68,"")</f>
        <v>2:4</v>
      </c>
      <c r="AC140" s="2"/>
      <c r="AD140" s="145"/>
    </row>
    <row r="141" spans="2:32" x14ac:dyDescent="0.2">
      <c r="Y141" s="68" t="s">
        <v>12</v>
      </c>
      <c r="Z141" s="35" t="str">
        <f t="shared" ca="1" si="85"/>
        <v>AC RomaSSV Wildbach</v>
      </c>
      <c r="AA141" s="13">
        <f t="shared" ca="1" si="84"/>
        <v>1</v>
      </c>
      <c r="AB141" s="13" t="str">
        <f ca="1">IF(AA141&gt;0,Y69&amp;Sprache!$E$73&amp;X69,"")</f>
        <v>5:0</v>
      </c>
      <c r="AC141" s="2"/>
      <c r="AD141" s="145"/>
    </row>
    <row r="142" spans="2:32" x14ac:dyDescent="0.2">
      <c r="Y142" s="68" t="s">
        <v>17</v>
      </c>
      <c r="Z142" s="35" t="str">
        <f t="shared" ca="1" si="85"/>
        <v>Maibach 1822 eVVFB Essenheim</v>
      </c>
      <c r="AA142" s="13">
        <f t="shared" ca="1" si="84"/>
        <v>1</v>
      </c>
      <c r="AB142" s="13" t="str">
        <f ca="1">IF(AA142&gt;0,Y70&amp;Sprache!$E$73&amp;X70,"")</f>
        <v>2:2</v>
      </c>
      <c r="AC142" s="2"/>
      <c r="AD142" s="145"/>
    </row>
    <row r="143" spans="2:32" x14ac:dyDescent="0.2">
      <c r="Y143" s="68" t="s">
        <v>18</v>
      </c>
      <c r="Z143" s="35" t="str">
        <f t="shared" ca="1" si="85"/>
        <v>Manchester CityFC Grönlingen</v>
      </c>
      <c r="AA143" s="13">
        <f t="shared" ca="1" si="84"/>
        <v>1</v>
      </c>
      <c r="AB143" s="13" t="str">
        <f ca="1">IF(AA143&gt;0,Y71&amp;Sprache!$E$73&amp;X71,"")</f>
        <v>5:2</v>
      </c>
      <c r="AC143" s="2"/>
      <c r="AD143" s="145"/>
    </row>
    <row r="144" spans="2:32" x14ac:dyDescent="0.2">
      <c r="Y144" s="68" t="s">
        <v>19</v>
      </c>
      <c r="Z144" s="35" t="str">
        <f t="shared" ca="1" si="85"/>
        <v>1. FC RiedwaldRaslo Winners</v>
      </c>
      <c r="AA144" s="13">
        <f t="shared" ca="1" si="84"/>
        <v>1</v>
      </c>
      <c r="AB144" s="13" t="str">
        <f ca="1">IF(AA144&gt;0,Y72&amp;Sprache!$E$73&amp;X72,"")</f>
        <v>0:2</v>
      </c>
      <c r="AC144" s="2"/>
      <c r="AD144" s="145"/>
    </row>
    <row r="145" spans="25:30" x14ac:dyDescent="0.2">
      <c r="Y145" s="68" t="s">
        <v>25</v>
      </c>
      <c r="Z145" s="35" t="str">
        <f t="shared" ca="1" si="85"/>
        <v>Mainz 05VFL Ronsdorf</v>
      </c>
      <c r="AA145" s="13">
        <f t="shared" ca="1" si="84"/>
        <v>1</v>
      </c>
      <c r="AB145" s="13" t="str">
        <f ca="1">IF(AA145&gt;0,Y73&amp;Sprache!$E$73&amp;X73,"")</f>
        <v>6:2</v>
      </c>
      <c r="AC145" s="2"/>
      <c r="AD145" s="145"/>
    </row>
    <row r="146" spans="25:30" x14ac:dyDescent="0.2">
      <c r="Y146" s="68" t="s">
        <v>26</v>
      </c>
      <c r="Z146" s="35" t="str">
        <f t="shared" ca="1" si="85"/>
        <v>Knock Out RangersFun Kickers Oes</v>
      </c>
      <c r="AA146" s="13">
        <f t="shared" ca="1" si="84"/>
        <v>1</v>
      </c>
      <c r="AB146" s="13" t="str">
        <f ca="1">IF(AA146&gt;0,Y74&amp;Sprache!$E$73&amp;X74,"")</f>
        <v>2:3</v>
      </c>
      <c r="AC146" s="2"/>
      <c r="AD146" s="145"/>
    </row>
    <row r="147" spans="25:30" x14ac:dyDescent="0.2">
      <c r="Y147" s="68" t="s">
        <v>27</v>
      </c>
      <c r="Z147" s="35" t="str">
        <f t="shared" ca="1" si="85"/>
        <v>Borussia HeineAC Roma</v>
      </c>
      <c r="AA147" s="13">
        <f t="shared" ca="1" si="84"/>
        <v>1</v>
      </c>
      <c r="AB147" s="13" t="str">
        <f ca="1">IF(AA147&gt;0,Y75&amp;Sprache!$E$73&amp;X75,"")</f>
        <v>1:2</v>
      </c>
      <c r="AC147" s="2"/>
      <c r="AD147" s="145"/>
    </row>
    <row r="148" spans="25:30" x14ac:dyDescent="0.2">
      <c r="Y148" s="68" t="s">
        <v>28</v>
      </c>
      <c r="Z148" s="35" t="str">
        <f t="shared" ca="1" si="85"/>
        <v>VFB EssenheimFC Barcelona</v>
      </c>
      <c r="AA148" s="13">
        <f t="shared" ca="1" si="84"/>
        <v>1</v>
      </c>
      <c r="AB148" s="13" t="str">
        <f ca="1">IF(AA148&gt;0,Y76&amp;Sprache!$E$73&amp;X76,"")</f>
        <v>0:6</v>
      </c>
      <c r="AC148" s="2"/>
      <c r="AD148" s="145"/>
    </row>
    <row r="149" spans="25:30" x14ac:dyDescent="0.2">
      <c r="Y149" s="68" t="s">
        <v>29</v>
      </c>
      <c r="Z149" s="35" t="str">
        <f t="shared" ca="1" si="85"/>
        <v>FC GrönlingenInter Mailand</v>
      </c>
      <c r="AA149" s="13">
        <f t="shared" ca="1" si="84"/>
        <v>1</v>
      </c>
      <c r="AB149" s="13" t="str">
        <f ca="1">IF(AA149&gt;0,Y77&amp;Sprache!$E$73&amp;X77,"")</f>
        <v>0:2</v>
      </c>
      <c r="AC149" s="2"/>
      <c r="AD149" s="145"/>
    </row>
    <row r="150" spans="25:30" x14ac:dyDescent="0.2">
      <c r="Y150" s="68" t="s">
        <v>30</v>
      </c>
      <c r="Z150" s="35" t="str">
        <f t="shared" ca="1" si="85"/>
        <v>Eintracht FrankfurtMaibach 1822 eV</v>
      </c>
      <c r="AA150" s="13">
        <f t="shared" ca="1" si="84"/>
        <v>1</v>
      </c>
      <c r="AB150" s="13" t="str">
        <f ca="1">IF(AA150&gt;0,Y78&amp;Sprache!$E$73&amp;X78,"")</f>
        <v>3:1</v>
      </c>
      <c r="AC150" s="2"/>
      <c r="AD150" s="145"/>
    </row>
    <row r="151" spans="25:30" x14ac:dyDescent="0.2">
      <c r="Y151" s="68" t="s">
        <v>31</v>
      </c>
      <c r="Z151" s="35" t="str">
        <f t="shared" ca="1" si="85"/>
        <v>SSV WildbachManchester City</v>
      </c>
      <c r="AA151" s="13">
        <f t="shared" ca="1" si="84"/>
        <v>1</v>
      </c>
      <c r="AB151" s="13" t="str">
        <f ca="1">IF(AA151&gt;0,Y79&amp;Sprache!$E$73&amp;X79,"")</f>
        <v>2:7</v>
      </c>
      <c r="AC151" s="2"/>
      <c r="AD151" s="145"/>
    </row>
    <row r="152" spans="25:30" x14ac:dyDescent="0.2">
      <c r="Y152" s="68" t="s">
        <v>32</v>
      </c>
      <c r="Z152" s="35" t="str">
        <f t="shared" ca="1" si="85"/>
        <v>Fun Kickers Oes1. FC Riedwald</v>
      </c>
      <c r="AA152" s="13">
        <f t="shared" ca="1" si="84"/>
        <v>1</v>
      </c>
      <c r="AB152" s="13" t="str">
        <f ca="1">IF(AA152&gt;0,Y80&amp;Sprache!$E$73&amp;X80,"")</f>
        <v>4:2</v>
      </c>
      <c r="AC152" s="2"/>
      <c r="AD152" s="145"/>
    </row>
    <row r="153" spans="25:30" x14ac:dyDescent="0.2">
      <c r="Y153" s="68" t="s">
        <v>33</v>
      </c>
      <c r="Z153" s="35" t="str">
        <f t="shared" ca="1" si="85"/>
        <v>AC RomaMainz 05</v>
      </c>
      <c r="AA153" s="13">
        <f t="shared" ca="1" si="84"/>
        <v>1</v>
      </c>
      <c r="AB153" s="13" t="str">
        <f ca="1">IF(AA153&gt;0,Y81&amp;Sprache!$E$73&amp;X81,"")</f>
        <v>5:1</v>
      </c>
      <c r="AC153" s="2"/>
      <c r="AD153" s="145"/>
    </row>
    <row r="154" spans="25:30" x14ac:dyDescent="0.2">
      <c r="Y154" s="68" t="s">
        <v>34</v>
      </c>
      <c r="Z154" s="35" t="str">
        <f t="shared" ca="1" si="85"/>
        <v>Raslo WinnersVFB Essenheim</v>
      </c>
      <c r="AA154" s="13">
        <f t="shared" ca="1" si="84"/>
        <v>1</v>
      </c>
      <c r="AB154" s="13" t="str">
        <f ca="1">IF(AA154&gt;0,Y82&amp;Sprache!$E$73&amp;X82,"")</f>
        <v>3:0</v>
      </c>
      <c r="AC154" s="2"/>
      <c r="AD154" s="145"/>
    </row>
    <row r="155" spans="25:30" x14ac:dyDescent="0.2">
      <c r="Y155" s="68" t="s">
        <v>35</v>
      </c>
      <c r="Z155" s="35" t="str">
        <f t="shared" ca="1" si="85"/>
        <v>VFL RonsdorfFC Grönlingen</v>
      </c>
      <c r="AA155" s="13">
        <f t="shared" ca="1" si="84"/>
        <v>1</v>
      </c>
      <c r="AB155" s="13" t="str">
        <f ca="1">IF(AA155&gt;0,Y83&amp;Sprache!$E$73&amp;X83,"")</f>
        <v>1:1</v>
      </c>
      <c r="AC155" s="2"/>
      <c r="AD155" s="145"/>
    </row>
    <row r="156" spans="25:30" x14ac:dyDescent="0.2">
      <c r="Y156" s="68" t="s">
        <v>36</v>
      </c>
      <c r="Z156" s="35" t="str">
        <f t="shared" ca="1" si="85"/>
        <v>Maibach 1822 eVKnock Out Rangers</v>
      </c>
      <c r="AA156" s="13">
        <f t="shared" ca="1" si="84"/>
        <v>1</v>
      </c>
      <c r="AB156" s="13" t="str">
        <f ca="1">IF(AA156&gt;0,Y84&amp;Sprache!$E$73&amp;X84,"")</f>
        <v>1:1</v>
      </c>
      <c r="AC156" s="2"/>
      <c r="AD156" s="145"/>
    </row>
    <row r="157" spans="25:30" x14ac:dyDescent="0.2">
      <c r="Y157" s="68" t="s">
        <v>37</v>
      </c>
      <c r="Z157" s="35" t="str">
        <f t="shared" ca="1" si="85"/>
        <v>Manchester CityBorussia Heine</v>
      </c>
      <c r="AA157" s="13">
        <f t="shared" ca="1" si="84"/>
        <v>1</v>
      </c>
      <c r="AB157" s="13" t="str">
        <f ca="1">IF(AA157&gt;0,Y85&amp;Sprache!$E$73&amp;X85,"")</f>
        <v>4:1</v>
      </c>
      <c r="AC157" s="2"/>
      <c r="AD157" s="145"/>
    </row>
    <row r="158" spans="25:30" x14ac:dyDescent="0.2">
      <c r="Y158" s="68" t="s">
        <v>38</v>
      </c>
      <c r="Z158" s="35" t="str">
        <f t="shared" ca="1" si="85"/>
        <v>FC BarcelonaEintracht Frankfurt</v>
      </c>
      <c r="AA158" s="13">
        <f t="shared" ca="1" si="84"/>
        <v>0</v>
      </c>
      <c r="AB158" s="13" t="str">
        <f ca="1">IF(AA158&gt;0,Y86&amp;Sprache!$E$73&amp;X86,"")</f>
        <v/>
      </c>
      <c r="AC158" s="2"/>
      <c r="AD158" s="145"/>
    </row>
    <row r="159" spans="25:30" x14ac:dyDescent="0.2">
      <c r="Y159" s="68" t="s">
        <v>39</v>
      </c>
      <c r="Z159" s="35" t="str">
        <f t="shared" ca="1" si="85"/>
        <v>Inter MailandSSV Wildbach</v>
      </c>
      <c r="AA159" s="13">
        <f t="shared" ca="1" si="84"/>
        <v>0</v>
      </c>
      <c r="AB159" s="13" t="str">
        <f ca="1">IF(AA159&gt;0,Y87&amp;Sprache!$E$73&amp;X87,"")</f>
        <v/>
      </c>
      <c r="AC159" s="2"/>
      <c r="AD159" s="145"/>
    </row>
    <row r="160" spans="25:30" x14ac:dyDescent="0.2">
      <c r="Y160" s="68" t="s">
        <v>40</v>
      </c>
      <c r="Z160" s="35" t="str">
        <f t="shared" ca="1" si="85"/>
        <v>1. FC RiedwaldVFB Essenheim</v>
      </c>
      <c r="AA160" s="13">
        <f t="shared" ca="1" si="84"/>
        <v>0</v>
      </c>
      <c r="AB160" s="13" t="str">
        <f ca="1">IF(AA160&gt;0,Y88&amp;Sprache!$E$73&amp;X88,"")</f>
        <v/>
      </c>
      <c r="AC160" s="2"/>
      <c r="AD160" s="145"/>
    </row>
    <row r="161" spans="25:30" x14ac:dyDescent="0.2">
      <c r="Y161" s="68" t="s">
        <v>41</v>
      </c>
      <c r="Z161" s="35" t="str">
        <f t="shared" ca="1" si="85"/>
        <v>Mainz 05FC Grönlingen</v>
      </c>
      <c r="AA161" s="13">
        <f t="shared" ca="1" si="84"/>
        <v>0</v>
      </c>
      <c r="AB161" s="13" t="str">
        <f ca="1">IF(AA161&gt;0,Y89&amp;Sprache!$E$73&amp;X89,"")</f>
        <v/>
      </c>
      <c r="AC161" s="2"/>
      <c r="AD161" s="145"/>
    </row>
    <row r="162" spans="25:30" x14ac:dyDescent="0.2">
      <c r="Y162" s="68" t="s">
        <v>42</v>
      </c>
      <c r="Z162" s="35" t="str">
        <f t="shared" ca="1" si="85"/>
        <v>Fun Kickers OesMaibach 1822 eV</v>
      </c>
      <c r="AA162" s="13">
        <f t="shared" ca="1" si="84"/>
        <v>0</v>
      </c>
      <c r="AB162" s="13" t="str">
        <f ca="1">IF(AA162&gt;0,Y90&amp;Sprache!$E$73&amp;X90,"")</f>
        <v/>
      </c>
      <c r="AC162" s="2"/>
      <c r="AD162" s="145"/>
    </row>
    <row r="163" spans="25:30" x14ac:dyDescent="0.2">
      <c r="Y163" s="68" t="s">
        <v>43</v>
      </c>
      <c r="Z163" s="35" t="str">
        <f t="shared" ca="1" si="85"/>
        <v>AC RomaManchester City</v>
      </c>
      <c r="AA163" s="13">
        <f t="shared" ca="1" si="84"/>
        <v>0</v>
      </c>
      <c r="AB163" s="13" t="str">
        <f ca="1">IF(AA163&gt;0,Y91&amp;Sprache!$E$73&amp;X91,"")</f>
        <v/>
      </c>
      <c r="AC163" s="2"/>
      <c r="AD163" s="145"/>
    </row>
    <row r="164" spans="25:30" x14ac:dyDescent="0.2">
      <c r="Y164" s="68" t="s">
        <v>44</v>
      </c>
      <c r="Z164" s="35" t="str">
        <f t="shared" ca="1" si="85"/>
        <v>Eintracht FrankfurtRaslo Winners</v>
      </c>
      <c r="AA164" s="13">
        <f t="shared" ca="1" si="84"/>
        <v>0</v>
      </c>
      <c r="AB164" s="13" t="str">
        <f ca="1">IF(AA164&gt;0,Y92&amp;Sprache!$E$73&amp;X92,"")</f>
        <v/>
      </c>
      <c r="AC164" s="2"/>
      <c r="AD164" s="145"/>
    </row>
    <row r="165" spans="25:30" x14ac:dyDescent="0.2">
      <c r="Y165" s="68" t="s">
        <v>45</v>
      </c>
      <c r="Z165" s="35" t="str">
        <f t="shared" ca="1" si="85"/>
        <v>SSV WildbachVFL Ronsdorf</v>
      </c>
      <c r="AA165" s="13">
        <f t="shared" ca="1" si="84"/>
        <v>0</v>
      </c>
      <c r="AB165" s="13" t="str">
        <f ca="1">IF(AA165&gt;0,Y93&amp;Sprache!$E$73&amp;X93,"")</f>
        <v/>
      </c>
      <c r="AC165" s="2"/>
      <c r="AD165" s="145"/>
    </row>
    <row r="166" spans="25:30" x14ac:dyDescent="0.2">
      <c r="Y166" s="68" t="s">
        <v>46</v>
      </c>
      <c r="Z166" s="35" t="str">
        <f t="shared" ca="1" si="85"/>
        <v>Knock Out RangersFC Barcelona</v>
      </c>
      <c r="AA166" s="13">
        <f t="shared" ca="1" si="84"/>
        <v>0</v>
      </c>
      <c r="AB166" s="13" t="str">
        <f ca="1">IF(AA166&gt;0,Y94&amp;Sprache!$E$73&amp;X94,"")</f>
        <v/>
      </c>
      <c r="AC166" s="2"/>
      <c r="AD166" s="145"/>
    </row>
    <row r="167" spans="25:30" x14ac:dyDescent="0.2">
      <c r="Y167" s="68" t="s">
        <v>47</v>
      </c>
      <c r="Z167" s="35" t="str">
        <f t="shared" ca="1" si="85"/>
        <v>Borussia HeineInter Mailand</v>
      </c>
      <c r="AA167" s="13">
        <f t="shared" ca="1" si="84"/>
        <v>0</v>
      </c>
      <c r="AB167" s="13" t="str">
        <f ca="1">IF(AA167&gt;0,Y95&amp;Sprache!$E$73&amp;X95,"")</f>
        <v/>
      </c>
      <c r="AC167" s="2"/>
      <c r="AD167" s="145"/>
    </row>
    <row r="168" spans="25:30" x14ac:dyDescent="0.2">
      <c r="Y168" s="68" t="s">
        <v>48</v>
      </c>
      <c r="Z168" s="35" t="str">
        <f t="shared" ca="1" si="85"/>
        <v>Maibach 1822 eV1. FC Riedwald</v>
      </c>
      <c r="AA168" s="13">
        <f t="shared" ca="1" si="84"/>
        <v>0</v>
      </c>
      <c r="AB168" s="13" t="str">
        <f ca="1">IF(AA168&gt;0,Y96&amp;Sprache!$E$73&amp;X96,"")</f>
        <v/>
      </c>
      <c r="AC168" s="2"/>
      <c r="AD168" s="145"/>
    </row>
    <row r="169" spans="25:30" x14ac:dyDescent="0.2">
      <c r="Y169" s="68" t="s">
        <v>49</v>
      </c>
      <c r="Z169" s="35" t="str">
        <f t="shared" ca="1" si="85"/>
        <v>Manchester CityMainz 05</v>
      </c>
      <c r="AA169" s="13">
        <f t="shared" ca="1" si="84"/>
        <v>0</v>
      </c>
      <c r="AB169" s="13" t="str">
        <f ca="1">IF(AA169&gt;0,Y97&amp;Sprache!$E$73&amp;X97,"")</f>
        <v/>
      </c>
      <c r="AC169" s="2"/>
      <c r="AD169" s="145"/>
    </row>
    <row r="170" spans="25:30" x14ac:dyDescent="0.2">
      <c r="Y170" s="68" t="s">
        <v>50</v>
      </c>
      <c r="Z170" s="35" t="str">
        <f t="shared" ca="1" si="85"/>
        <v>VFB EssenheimEintracht Frankfurt</v>
      </c>
      <c r="AA170" s="13">
        <f t="shared" ca="1" si="84"/>
        <v>0</v>
      </c>
      <c r="AB170" s="13" t="str">
        <f ca="1">IF(AA170&gt;0,Y98&amp;Sprache!$E$73&amp;X98,"")</f>
        <v/>
      </c>
      <c r="AC170" s="2"/>
      <c r="AD170" s="145"/>
    </row>
    <row r="171" spans="25:30" x14ac:dyDescent="0.2">
      <c r="Y171" s="68" t="s">
        <v>51</v>
      </c>
      <c r="Z171" s="35" t="str">
        <f t="shared" ca="1" si="85"/>
        <v>FC GrönlingenSSV Wildbach</v>
      </c>
      <c r="AA171" s="13">
        <f t="shared" ca="1" si="84"/>
        <v>0</v>
      </c>
      <c r="AB171" s="13" t="str">
        <f ca="1">IF(AA171&gt;0,Y99&amp;Sprache!$E$73&amp;X99,"")</f>
        <v/>
      </c>
      <c r="AC171" s="2"/>
      <c r="AD171" s="145"/>
    </row>
    <row r="172" spans="25:30" x14ac:dyDescent="0.2">
      <c r="Y172" s="68" t="s">
        <v>60</v>
      </c>
      <c r="Z172" s="35" t="str">
        <f t="shared" ca="1" si="85"/>
        <v>FC BarcelonaFun Kickers Oes</v>
      </c>
      <c r="AA172" s="13">
        <f t="shared" ca="1" si="84"/>
        <v>0</v>
      </c>
      <c r="AB172" s="13" t="str">
        <f ca="1">IF(AA172&gt;0,Y100&amp;Sprache!$E$73&amp;X100,"")</f>
        <v/>
      </c>
      <c r="AC172" s="2"/>
      <c r="AD172" s="145"/>
    </row>
    <row r="173" spans="25:30" x14ac:dyDescent="0.2">
      <c r="Y173" s="68" t="s">
        <v>61</v>
      </c>
      <c r="Z173" s="35" t="str">
        <f t="shared" ca="1" si="85"/>
        <v>Inter MailandAC Roma</v>
      </c>
      <c r="AA173" s="13">
        <f t="shared" ca="1" si="84"/>
        <v>0</v>
      </c>
      <c r="AB173" s="13" t="str">
        <f ca="1">IF(AA173&gt;0,Y101&amp;Sprache!$E$73&amp;X101,"")</f>
        <v/>
      </c>
      <c r="AC173" s="2"/>
      <c r="AD173" s="145"/>
    </row>
    <row r="174" spans="25:30" x14ac:dyDescent="0.2">
      <c r="Y174" s="68" t="s">
        <v>62</v>
      </c>
      <c r="Z174" s="35" t="str">
        <f t="shared" ca="1" si="85"/>
        <v>Raslo WinnersKnock Out Rangers</v>
      </c>
      <c r="AA174" s="13">
        <f t="shared" ca="1" si="84"/>
        <v>0</v>
      </c>
      <c r="AB174" s="13" t="str">
        <f ca="1">IF(AA174&gt;0,Y102&amp;Sprache!$E$73&amp;X102,"")</f>
        <v/>
      </c>
      <c r="AC174" s="2"/>
      <c r="AD174" s="145"/>
    </row>
    <row r="175" spans="25:30" x14ac:dyDescent="0.2">
      <c r="Y175" s="68" t="s">
        <v>63</v>
      </c>
      <c r="Z175" s="35" t="str">
        <f t="shared" ca="1" si="85"/>
        <v>VFL RonsdorfBorussia Heine</v>
      </c>
      <c r="AA175" s="13">
        <f t="shared" ca="1" si="84"/>
        <v>0</v>
      </c>
      <c r="AB175" s="13" t="str">
        <f ca="1">IF(AA175&gt;0,Y103&amp;Sprache!$E$73&amp;X103,"")</f>
        <v/>
      </c>
      <c r="AC175" s="2"/>
      <c r="AD175" s="145"/>
    </row>
    <row r="176" spans="25:30" x14ac:dyDescent="0.2">
      <c r="Y176" s="68" t="s">
        <v>64</v>
      </c>
      <c r="Z176" s="35" t="str">
        <f t="shared" ca="1" si="85"/>
        <v>1. FC RiedwaldEintracht Frankfurt</v>
      </c>
      <c r="AA176" s="13">
        <f t="shared" ca="1" si="84"/>
        <v>0</v>
      </c>
      <c r="AB176" s="13" t="str">
        <f ca="1">IF(AA176&gt;0,Y104&amp;Sprache!$E$73&amp;X104,"")</f>
        <v/>
      </c>
      <c r="AC176" s="2"/>
      <c r="AD176" s="145"/>
    </row>
    <row r="177" spans="25:30" x14ac:dyDescent="0.2">
      <c r="Y177" s="68" t="s">
        <v>65</v>
      </c>
      <c r="Z177" s="35" t="str">
        <f t="shared" ca="1" si="85"/>
        <v>Mainz 05SSV Wildbach</v>
      </c>
      <c r="AA177" s="13">
        <f t="shared" ca="1" si="84"/>
        <v>0</v>
      </c>
      <c r="AB177" s="13" t="str">
        <f ca="1">IF(AA177&gt;0,Y105&amp;Sprache!$E$73&amp;X105,"")</f>
        <v/>
      </c>
      <c r="AC177" s="2"/>
      <c r="AD177" s="145"/>
    </row>
    <row r="178" spans="25:30" x14ac:dyDescent="0.2">
      <c r="Y178" s="68" t="s">
        <v>66</v>
      </c>
      <c r="Z178" s="35" t="str">
        <f t="shared" ca="1" si="85"/>
        <v>Maibach 1822 eVFC Barcelona</v>
      </c>
      <c r="AA178" s="13">
        <f t="shared" ca="1" si="84"/>
        <v>0</v>
      </c>
      <c r="AB178" s="13" t="str">
        <f ca="1">IF(AA178&gt;0,Y106&amp;Sprache!$E$73&amp;X106,"")</f>
        <v/>
      </c>
      <c r="AC178" s="2"/>
      <c r="AD178" s="145"/>
    </row>
    <row r="179" spans="25:30" x14ac:dyDescent="0.2">
      <c r="Y179" s="68" t="s">
        <v>67</v>
      </c>
      <c r="Z179" s="35" t="str">
        <f t="shared" ca="1" si="85"/>
        <v>Manchester CityInter Mailand</v>
      </c>
      <c r="AA179" s="13">
        <f t="shared" ca="1" si="84"/>
        <v>0</v>
      </c>
      <c r="AB179" s="13" t="str">
        <f ca="1">IF(AA179&gt;0,Y107&amp;Sprache!$E$73&amp;X107,"")</f>
        <v/>
      </c>
      <c r="AC179" s="2"/>
      <c r="AD179" s="145"/>
    </row>
    <row r="180" spans="25:30" x14ac:dyDescent="0.2">
      <c r="Y180" s="68" t="s">
        <v>68</v>
      </c>
      <c r="Z180" s="35" t="str">
        <f t="shared" ca="1" si="85"/>
        <v>Knock Out RangersVFB Essenheim</v>
      </c>
      <c r="AA180" s="13">
        <f t="shared" ca="1" si="84"/>
        <v>0</v>
      </c>
      <c r="AB180" s="13" t="str">
        <f ca="1">IF(AA180&gt;0,Y108&amp;Sprache!$E$73&amp;X108,"")</f>
        <v/>
      </c>
      <c r="AC180" s="2"/>
      <c r="AD180" s="145"/>
    </row>
    <row r="181" spans="25:30" x14ac:dyDescent="0.2">
      <c r="Y181" s="68" t="s">
        <v>69</v>
      </c>
      <c r="Z181" s="35" t="str">
        <f t="shared" ca="1" si="85"/>
        <v>Borussia HeineFC Grönlingen</v>
      </c>
      <c r="AA181" s="13">
        <f t="shared" ca="1" si="84"/>
        <v>0</v>
      </c>
      <c r="AB181" s="13" t="str">
        <f ca="1">IF(AA181&gt;0,Y109&amp;Sprache!$E$73&amp;X109,"")</f>
        <v/>
      </c>
      <c r="AC181" s="2"/>
      <c r="AD181" s="145"/>
    </row>
    <row r="182" spans="25:30" x14ac:dyDescent="0.2">
      <c r="Y182" s="68" t="s">
        <v>70</v>
      </c>
      <c r="Z182" s="35" t="str">
        <f t="shared" ca="1" si="85"/>
        <v>Fun Kickers OesRaslo Winners</v>
      </c>
      <c r="AA182" s="13">
        <f t="shared" ca="1" si="84"/>
        <v>0</v>
      </c>
      <c r="AB182" s="13" t="str">
        <f ca="1">IF(AA182&gt;0,Y110&amp;Sprache!$E$73&amp;X110,"")</f>
        <v/>
      </c>
      <c r="AC182" s="2"/>
      <c r="AD182" s="145"/>
    </row>
    <row r="183" spans="25:30" x14ac:dyDescent="0.2">
      <c r="Y183" s="68" t="s">
        <v>71</v>
      </c>
      <c r="Z183" s="35" t="str">
        <f t="shared" ca="1" si="85"/>
        <v>AC RomaVFL Ronsdorf</v>
      </c>
      <c r="AA183" s="13">
        <f t="shared" ca="1" si="84"/>
        <v>0</v>
      </c>
      <c r="AB183" s="13" t="str">
        <f ca="1">IF(AA183&gt;0,Y111&amp;Sprache!$E$73&amp;X111,"")</f>
        <v/>
      </c>
      <c r="AC183" s="2"/>
      <c r="AD183" s="145"/>
    </row>
    <row r="184" spans="25:30" x14ac:dyDescent="0.2">
      <c r="Y184" s="68" t="s">
        <v>72</v>
      </c>
      <c r="Z184" s="35" t="str">
        <f t="shared" ca="1" si="85"/>
        <v>FC Barcelona1. FC Riedwald</v>
      </c>
      <c r="AA184" s="13">
        <f t="shared" ca="1" si="84"/>
        <v>0</v>
      </c>
      <c r="AB184" s="13" t="str">
        <f ca="1">IF(AA184&gt;0,Y112&amp;Sprache!$E$73&amp;X112,"")</f>
        <v/>
      </c>
      <c r="AC184" s="2"/>
      <c r="AD184" s="145"/>
    </row>
    <row r="185" spans="25:30" x14ac:dyDescent="0.2">
      <c r="Y185" s="68" t="s">
        <v>73</v>
      </c>
      <c r="Z185" s="35" t="str">
        <f t="shared" ca="1" si="85"/>
        <v>Inter MailandMainz 05</v>
      </c>
      <c r="AA185" s="13">
        <f t="shared" ca="1" si="84"/>
        <v>0</v>
      </c>
      <c r="AB185" s="13" t="str">
        <f ca="1">IF(AA185&gt;0,Y113&amp;Sprache!$E$73&amp;X113,"")</f>
        <v/>
      </c>
      <c r="AC185" s="2"/>
      <c r="AD185" s="145"/>
    </row>
    <row r="186" spans="25:30" x14ac:dyDescent="0.2">
      <c r="Y186" s="68" t="s">
        <v>74</v>
      </c>
      <c r="Z186" s="35" t="str">
        <f t="shared" ca="1" si="85"/>
        <v>Eintracht FrankfurtKnock Out Rangers</v>
      </c>
      <c r="AA186" s="13">
        <f t="shared" ca="1" si="84"/>
        <v>0</v>
      </c>
      <c r="AB186" s="13" t="str">
        <f ca="1">IF(AA186&gt;0,Y114&amp;Sprache!$E$73&amp;X114,"")</f>
        <v/>
      </c>
      <c r="AC186" s="2"/>
      <c r="AD186" s="145"/>
    </row>
    <row r="187" spans="25:30" x14ac:dyDescent="0.2">
      <c r="Y187" s="68" t="s">
        <v>75</v>
      </c>
      <c r="Z187" s="35" t="str">
        <f t="shared" ca="1" si="85"/>
        <v>SSV WildbachBorussia Heine</v>
      </c>
      <c r="AA187" s="13">
        <f t="shared" ca="1" si="84"/>
        <v>0</v>
      </c>
      <c r="AB187" s="13" t="str">
        <f ca="1">IF(AA187&gt;0,Y115&amp;Sprache!$E$73&amp;X115,"")</f>
        <v/>
      </c>
      <c r="AC187" s="2"/>
      <c r="AD187" s="145"/>
    </row>
    <row r="188" spans="25:30" x14ac:dyDescent="0.2">
      <c r="Y188" s="68" t="s">
        <v>76</v>
      </c>
      <c r="Z188" s="35" t="str">
        <f t="shared" ca="1" si="85"/>
        <v>Raslo WinnersMaibach 1822 eV</v>
      </c>
      <c r="AA188" s="13">
        <f t="shared" ca="1" si="84"/>
        <v>0</v>
      </c>
      <c r="AB188" s="13" t="str">
        <f ca="1">IF(AA188&gt;0,Y116&amp;Sprache!$E$73&amp;X116,"")</f>
        <v/>
      </c>
      <c r="AC188" s="2"/>
      <c r="AD188" s="145"/>
    </row>
    <row r="189" spans="25:30" x14ac:dyDescent="0.2">
      <c r="Y189" s="68" t="s">
        <v>77</v>
      </c>
      <c r="Z189" s="35" t="str">
        <f t="shared" ca="1" si="85"/>
        <v>VFL RonsdorfManchester City</v>
      </c>
      <c r="AA189" s="13">
        <f t="shared" ca="1" si="84"/>
        <v>0</v>
      </c>
      <c r="AB189" s="13" t="str">
        <f ca="1">IF(AA189&gt;0,Y117&amp;Sprache!$E$73&amp;X117,"")</f>
        <v/>
      </c>
      <c r="AC189" s="2"/>
      <c r="AD189" s="145"/>
    </row>
    <row r="190" spans="25:30" x14ac:dyDescent="0.2">
      <c r="Y190" s="68" t="s">
        <v>78</v>
      </c>
      <c r="Z190" s="35" t="str">
        <f t="shared" ca="1" si="85"/>
        <v>VFB EssenheimFun Kickers Oes</v>
      </c>
      <c r="AA190" s="13">
        <f t="shared" ca="1" si="84"/>
        <v>0</v>
      </c>
      <c r="AB190" s="13" t="str">
        <f ca="1">IF(AA190&gt;0,Y118&amp;Sprache!$E$73&amp;X118,"")</f>
        <v/>
      </c>
      <c r="AC190" s="2"/>
      <c r="AD190" s="145"/>
    </row>
    <row r="191" spans="25:30" x14ac:dyDescent="0.2">
      <c r="Y191" s="68" t="s">
        <v>79</v>
      </c>
      <c r="Z191" s="35" t="str">
        <f t="shared" ca="1" si="85"/>
        <v>FC GrönlingenAC Roma</v>
      </c>
      <c r="AA191" s="13">
        <f t="shared" ca="1" si="84"/>
        <v>0</v>
      </c>
      <c r="AB191" s="13" t="str">
        <f ca="1">IF(AA191&gt;0,Y119&amp;Sprache!$E$73&amp;X119,"")</f>
        <v/>
      </c>
      <c r="AC191" s="2"/>
      <c r="AD191" s="145"/>
    </row>
    <row r="192" spans="25:30" x14ac:dyDescent="0.2">
      <c r="Y192" s="68" t="s">
        <v>80</v>
      </c>
      <c r="Z192" s="35" t="str">
        <f t="shared" ca="1" si="85"/>
        <v/>
      </c>
      <c r="AA192" s="13">
        <f t="shared" ca="1" si="84"/>
        <v>0</v>
      </c>
      <c r="AB192" s="13" t="str">
        <f ca="1">IF(AA192&gt;0,Y120&amp;Sprache!$E$73&amp;X120,"")</f>
        <v/>
      </c>
      <c r="AC192" s="2"/>
      <c r="AD192" s="145"/>
    </row>
    <row r="193" spans="25:30" x14ac:dyDescent="0.2">
      <c r="Y193" s="68" t="s">
        <v>81</v>
      </c>
      <c r="Z193" s="35" t="str">
        <f t="shared" ca="1" si="85"/>
        <v/>
      </c>
      <c r="AA193" s="13">
        <f t="shared" ca="1" si="84"/>
        <v>0</v>
      </c>
      <c r="AB193" s="13" t="str">
        <f ca="1">IF(AA193&gt;0,Y121&amp;Sprache!$E$73&amp;X121,"")</f>
        <v/>
      </c>
      <c r="AC193" s="2"/>
      <c r="AD193" s="145"/>
    </row>
    <row r="194" spans="25:30" x14ac:dyDescent="0.2">
      <c r="Y194" s="68" t="s">
        <v>82</v>
      </c>
      <c r="Z194" s="35" t="str">
        <f t="shared" ca="1" si="85"/>
        <v/>
      </c>
      <c r="AA194" s="13">
        <f t="shared" ca="1" si="84"/>
        <v>0</v>
      </c>
      <c r="AB194" s="13" t="str">
        <f ca="1">IF(AA194&gt;0,Y122&amp;Sprache!$E$73&amp;X122,"")</f>
        <v/>
      </c>
      <c r="AC194" s="2"/>
      <c r="AD194" s="145"/>
    </row>
    <row r="195" spans="25:30" x14ac:dyDescent="0.2">
      <c r="Y195" s="68" t="s">
        <v>83</v>
      </c>
      <c r="Z195" s="35" t="str">
        <f t="shared" ca="1" si="85"/>
        <v/>
      </c>
      <c r="AA195" s="13">
        <f t="shared" ca="1" si="84"/>
        <v>0</v>
      </c>
      <c r="AB195" s="13" t="str">
        <f ca="1">IF(AA195&gt;0,Y123&amp;Sprache!$E$73&amp;X123,"")</f>
        <v/>
      </c>
      <c r="AC195" s="2"/>
      <c r="AD195" s="145"/>
    </row>
    <row r="196" spans="25:30" x14ac:dyDescent="0.2">
      <c r="Y196" s="68" t="s">
        <v>84</v>
      </c>
      <c r="Z196" s="35" t="str">
        <f t="shared" ca="1" si="85"/>
        <v/>
      </c>
      <c r="AA196" s="13">
        <f t="shared" ca="1" si="84"/>
        <v>0</v>
      </c>
      <c r="AB196" s="13" t="str">
        <f ca="1">IF(AA196&gt;0,Y124&amp;Sprache!$E$73&amp;X124,"")</f>
        <v/>
      </c>
      <c r="AC196" s="2"/>
      <c r="AD196" s="145"/>
    </row>
    <row r="197" spans="25:30" x14ac:dyDescent="0.2">
      <c r="Y197" s="68" t="s">
        <v>85</v>
      </c>
      <c r="Z197" s="35" t="str">
        <f t="shared" ca="1" si="85"/>
        <v/>
      </c>
      <c r="AA197" s="13">
        <f t="shared" ca="1" si="84"/>
        <v>0</v>
      </c>
      <c r="AB197" s="13" t="str">
        <f ca="1">IF(AA197&gt;0,Y125&amp;Sprache!$E$73&amp;X125,"")</f>
        <v/>
      </c>
      <c r="AC197" s="2"/>
      <c r="AD197" s="145"/>
    </row>
    <row r="198" spans="25:30" x14ac:dyDescent="0.2">
      <c r="Y198" s="68" t="s">
        <v>86</v>
      </c>
      <c r="Z198" s="35" t="str">
        <f t="shared" ca="1" si="85"/>
        <v/>
      </c>
      <c r="AA198" s="13">
        <f t="shared" ca="1" si="84"/>
        <v>0</v>
      </c>
      <c r="AB198" s="13" t="str">
        <f ca="1">IF(AA198&gt;0,Y126&amp;Sprache!$E$73&amp;X126,"")</f>
        <v/>
      </c>
      <c r="AC198" s="2"/>
      <c r="AD198" s="145"/>
    </row>
    <row r="199" spans="25:30" x14ac:dyDescent="0.2">
      <c r="Y199" s="68" t="s">
        <v>87</v>
      </c>
      <c r="Z199" s="35" t="str">
        <f t="shared" ca="1" si="85"/>
        <v/>
      </c>
      <c r="AA199" s="13">
        <f t="shared" ca="1" si="84"/>
        <v>0</v>
      </c>
      <c r="AB199" s="13" t="str">
        <f ca="1">IF(AA199&gt;0,Y127&amp;Sprache!$E$73&amp;X127,"")</f>
        <v/>
      </c>
      <c r="AC199" s="2"/>
      <c r="AD199" s="145"/>
    </row>
    <row r="200" spans="25:30" x14ac:dyDescent="0.2">
      <c r="Y200" s="68" t="s">
        <v>88</v>
      </c>
      <c r="Z200" s="35" t="str">
        <f t="shared" ca="1" si="85"/>
        <v/>
      </c>
      <c r="AA200" s="13">
        <f t="shared" ca="1" si="84"/>
        <v>0</v>
      </c>
      <c r="AB200" s="13" t="str">
        <f ca="1">IF(AA200&gt;0,Y128&amp;Sprache!$E$73&amp;X128,"")</f>
        <v/>
      </c>
      <c r="AC200" s="2"/>
      <c r="AD200" s="145"/>
    </row>
    <row r="201" spans="25:30" x14ac:dyDescent="0.2">
      <c r="Y201" s="68" t="s">
        <v>89</v>
      </c>
      <c r="Z201" s="35" t="str">
        <f t="shared" ca="1" si="85"/>
        <v/>
      </c>
      <c r="AA201" s="13">
        <f t="shared" ref="AA201:AA207" ca="1" si="86">AA129</f>
        <v>0</v>
      </c>
      <c r="AB201" s="13" t="str">
        <f ca="1">IF(AA201&gt;0,Y129&amp;Sprache!$E$73&amp;X129,"")</f>
        <v/>
      </c>
      <c r="AC201" s="2"/>
      <c r="AD201" s="145"/>
    </row>
    <row r="202" spans="25:30" x14ac:dyDescent="0.2">
      <c r="Y202" s="68" t="s">
        <v>90</v>
      </c>
      <c r="Z202" s="35" t="str">
        <f t="shared" ref="Z202:Z206" ca="1" si="87">W130&amp;V130</f>
        <v/>
      </c>
      <c r="AA202" s="13">
        <f t="shared" ca="1" si="86"/>
        <v>0</v>
      </c>
      <c r="AB202" s="13" t="str">
        <f ca="1">IF(AA202&gt;0,Y130&amp;Sprache!$E$73&amp;X130,"")</f>
        <v/>
      </c>
      <c r="AC202" s="2"/>
      <c r="AD202" s="145"/>
    </row>
    <row r="203" spans="25:30" x14ac:dyDescent="0.2">
      <c r="Y203" s="68" t="s">
        <v>91</v>
      </c>
      <c r="Z203" s="35" t="str">
        <f t="shared" ca="1" si="87"/>
        <v/>
      </c>
      <c r="AA203" s="13">
        <f t="shared" ca="1" si="86"/>
        <v>0</v>
      </c>
      <c r="AB203" s="13" t="str">
        <f ca="1">IF(AA203&gt;0,Y131&amp;Sprache!$E$73&amp;X131,"")</f>
        <v/>
      </c>
      <c r="AC203" s="2"/>
      <c r="AD203" s="145"/>
    </row>
    <row r="204" spans="25:30" x14ac:dyDescent="0.2">
      <c r="Y204" s="68" t="s">
        <v>92</v>
      </c>
      <c r="Z204" s="35" t="str">
        <f t="shared" ca="1" si="87"/>
        <v/>
      </c>
      <c r="AA204" s="13">
        <f t="shared" ca="1" si="86"/>
        <v>0</v>
      </c>
      <c r="AB204" s="13" t="str">
        <f ca="1">IF(AA204&gt;0,Y132&amp;Sprache!$E$73&amp;X132,"")</f>
        <v/>
      </c>
      <c r="AC204" s="2"/>
      <c r="AD204" s="145"/>
    </row>
    <row r="205" spans="25:30" x14ac:dyDescent="0.2">
      <c r="Y205" s="68" t="s">
        <v>93</v>
      </c>
      <c r="Z205" s="35" t="str">
        <f t="shared" ca="1" si="87"/>
        <v/>
      </c>
      <c r="AA205" s="13">
        <f t="shared" ca="1" si="86"/>
        <v>0</v>
      </c>
      <c r="AB205" s="13" t="str">
        <f ca="1">IF(AA205&gt;0,Y133&amp;Sprache!$E$73&amp;X133,"")</f>
        <v/>
      </c>
      <c r="AC205" s="2"/>
      <c r="AD205" s="145"/>
    </row>
    <row r="206" spans="25:30" x14ac:dyDescent="0.2">
      <c r="Y206" s="68" t="s">
        <v>94</v>
      </c>
      <c r="Z206" s="35" t="str">
        <f t="shared" ca="1" si="87"/>
        <v/>
      </c>
      <c r="AA206" s="13">
        <f t="shared" ca="1" si="86"/>
        <v>0</v>
      </c>
      <c r="AB206" s="13" t="str">
        <f ca="1">IF(AA206&gt;0,Y134&amp;Sprache!$E$73&amp;X134,"")</f>
        <v/>
      </c>
      <c r="AC206" s="2"/>
      <c r="AD206" s="145"/>
    </row>
    <row r="207" spans="25:30" ht="12.75" thickBot="1" x14ac:dyDescent="0.25">
      <c r="Y207" s="69" t="s">
        <v>95</v>
      </c>
      <c r="Z207" s="37" t="str">
        <f ca="1">W135&amp;V135</f>
        <v/>
      </c>
      <c r="AA207" s="38">
        <f t="shared" ca="1" si="86"/>
        <v>0</v>
      </c>
      <c r="AB207" s="146" t="str">
        <f ca="1">IF(AA207&gt;0,Y135&amp;Sprache!$E$73&amp;X135,"")</f>
        <v/>
      </c>
      <c r="AC207" s="148"/>
      <c r="AD207" s="147"/>
    </row>
    <row r="208" spans="25:30" ht="12.75" thickTop="1" x14ac:dyDescent="0.2"/>
  </sheetData>
  <mergeCells count="14">
    <mergeCell ref="AE63:AF63"/>
    <mergeCell ref="W3:AA3"/>
    <mergeCell ref="AB3:AF3"/>
    <mergeCell ref="AG3:AK3"/>
    <mergeCell ref="AL3:AP3"/>
    <mergeCell ref="AD15:AH15"/>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65">
        <f ca="1">IF($O$4&lt;10,$O$4,0)</f>
        <v>0</v>
      </c>
      <c r="X3" s="766"/>
      <c r="Y3" s="766"/>
      <c r="Z3" s="766"/>
      <c r="AA3" s="766"/>
      <c r="AB3" s="765">
        <f ca="1">IF($P$4&lt;10,$P$4,0)</f>
        <v>0</v>
      </c>
      <c r="AC3" s="766"/>
      <c r="AD3" s="766"/>
      <c r="AE3" s="766"/>
      <c r="AF3" s="766"/>
      <c r="AG3" s="765">
        <f ca="1">IF($Q$4&lt;10,$Q$4,0)</f>
        <v>0</v>
      </c>
      <c r="AH3" s="766"/>
      <c r="AI3" s="766"/>
      <c r="AJ3" s="766"/>
      <c r="AK3" s="766"/>
      <c r="AL3" s="765">
        <f ca="1">IF($R$4&lt;10,$R$4,0)</f>
        <v>0</v>
      </c>
      <c r="AM3" s="766"/>
      <c r="AN3" s="766"/>
      <c r="AO3" s="766"/>
      <c r="AP3" s="766"/>
    </row>
    <row r="4" spans="1:42" s="2" customFormat="1" ht="12.75" thickTop="1" x14ac:dyDescent="0.2">
      <c r="A4" s="239"/>
      <c r="B4" s="1">
        <v>1</v>
      </c>
      <c r="C4" s="21">
        <f ca="1">RANK(D4,$D$4:$D$12,1)</f>
        <v>4</v>
      </c>
      <c r="D4" s="13">
        <f ca="1">E4+ROW()/1000+(F4="")*10</f>
        <v>4.0039999999999996</v>
      </c>
      <c r="E4" s="250">
        <f ca="1">IF($AI$15,RANK(AH17,AH$17:AH$25,1),RANK(X17,X$17:X$25,1))</f>
        <v>4</v>
      </c>
      <c r="F4" s="1" t="str">
        <f>$Q64</f>
        <v>Mainz 05</v>
      </c>
      <c r="G4" s="1">
        <f t="shared" ref="G4:G12" ca="1" si="1">SUMIFS($X$64:$X$135,$V$64:$V$135,$F4)+SUMIFS($Y$64:$Y$135,$W$64:$W$135,$F4)</f>
        <v>9</v>
      </c>
      <c r="H4" s="1">
        <f t="shared" ref="H4:H12" ca="1" si="2">SUMIFS($Y$64:$Y$135,$V$64:$V$135,$F4)+SUMIFS($X$64:$X$135,$W$64:$W$135,$F4)</f>
        <v>11</v>
      </c>
      <c r="I4" s="13">
        <f t="shared" ref="I4:I12" ca="1" si="3">G4-H4</f>
        <v>-2</v>
      </c>
      <c r="J4" s="1">
        <f ca="1">SUMIF($V$64:$V$135,F4,$AE$64:$AE$135)+SUMIF($W$64:$W$135,F4,$AF$64:$AF$135)</f>
        <v>3</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8">
        <f ca="1">RANK(Y4,Y$4:Y$12,1)+IFERROR(INDEX($E$4:$E$12,MATCH(W4,$F$4:$F$12,0)),0)/100+ROW()/10000</f>
        <v>1.0904</v>
      </c>
      <c r="AA4" s="540">
        <f ca="1">RANK($Z4,$Z$4:$Z$12,1)</f>
        <v>1</v>
      </c>
      <c r="AB4" s="536" t="str">
        <f t="shared" ref="AB4:AB12" ca="1" si="8">IFERROR(INDEX($O$17:$V$25,ROW(A1),$AB$3),"")</f>
        <v/>
      </c>
      <c r="AC4" s="537" t="str">
        <f ca="1">INDEX($AB$4:$AB$12,MATCH(ROW(A1),$AF$4:$AF$12,0))</f>
        <v/>
      </c>
      <c r="AD4" s="561">
        <f ca="1">IF($AB4="",99999,VLOOKUP($AB4,$C$17:$Z$25,24,0))</f>
        <v>99999</v>
      </c>
      <c r="AE4" s="538">
        <f ca="1">RANK(AD4,AD$4:AD$12,1)+IFERROR(INDEX($E$4:$E$12,MATCH(AB4,$F$4:$F$12,0)),0)/100+ROW()/10000</f>
        <v>1.0904</v>
      </c>
      <c r="AF4" s="538">
        <f ca="1">RANK($AE4,$AE$4:$AE$12,1)</f>
        <v>1</v>
      </c>
      <c r="AG4" s="536" t="str">
        <f t="shared" ref="AG4:AG12" ca="1" si="9">IFERROR(INDEX($O$17:$V$25,ROW(C1),$AG$3),"")</f>
        <v/>
      </c>
      <c r="AH4" s="537" t="str">
        <f ca="1">INDEX($AG$4:$AG$12,MATCH(ROW(A1),$AK$4:$AK$12,0))</f>
        <v/>
      </c>
      <c r="AI4" s="561">
        <f ca="1">IF($AG4="",99999,VLOOKUP($AG4,$C$17:$Z$25,24,0))</f>
        <v>99999</v>
      </c>
      <c r="AJ4" s="538">
        <f ca="1">RANK(AI4,AI$4:AI$12,1)+IFERROR(INDEX($E$4:$E$12,MATCH(AG4,$F$4:$F$12,0)),0)/100+ROW()/10000</f>
        <v>1.0904</v>
      </c>
      <c r="AK4" s="540">
        <f ca="1">RANK($AJ4,$AJ$4:$AJ$12,1)</f>
        <v>1</v>
      </c>
      <c r="AL4" s="537" t="str">
        <f t="shared" ref="AL4:AL12" ca="1" si="10">IFERROR(INDEX($O$17:$V$25,ROW(E1),$AL$3),"")</f>
        <v/>
      </c>
      <c r="AM4" s="537" t="str">
        <f ca="1">INDEX($AL$4:$AL$12,MATCH(ROW(A1),$AP$4:$AP$12,0))</f>
        <v/>
      </c>
      <c r="AN4" s="561">
        <f ca="1">IF($AL4="",99999,VLOOKUP($AL4,$C$17:$Z$25,24,0))</f>
        <v>99999</v>
      </c>
      <c r="AO4" s="538">
        <f ca="1">RANK(AN4,AN$4:AN$12,1)+IFERROR(INDEX($E$4:$E$12,MATCH(AL4,$F$4:$F$12,0)),0)/100+ROW()/10000</f>
        <v>1.0904</v>
      </c>
      <c r="AP4" s="540">
        <f ca="1">RANK($AO4,$AO$4:$AO$12,1)</f>
        <v>1</v>
      </c>
    </row>
    <row r="5" spans="1:42" s="2" customFormat="1" x14ac:dyDescent="0.2">
      <c r="A5" s="239"/>
      <c r="B5" s="1">
        <v>2</v>
      </c>
      <c r="C5" s="22">
        <f t="shared" ref="C5:C12" ca="1" si="11">RANK(D5,$D$4:$D$12,1)</f>
        <v>3</v>
      </c>
      <c r="D5" s="13">
        <f t="shared" ref="D5:D12" ca="1" si="12">E5+ROW()/1000+(F5="")*10</f>
        <v>3.0049999999999999</v>
      </c>
      <c r="E5" s="250">
        <f t="shared" ref="E5:E12" ca="1" si="13">IF($AI$15,RANK(AH18,AH$17:AH$25,1),RANK(X18,X$17:X$25,1))</f>
        <v>3</v>
      </c>
      <c r="F5" s="1" t="str">
        <f t="shared" ref="F5:F12" si="14">$Q65</f>
        <v>Inter Mailand</v>
      </c>
      <c r="G5" s="1">
        <f t="shared" ca="1" si="1"/>
        <v>7</v>
      </c>
      <c r="H5" s="1">
        <f t="shared" ca="1" si="2"/>
        <v>2</v>
      </c>
      <c r="I5" s="13">
        <f t="shared" ca="1" si="3"/>
        <v>5</v>
      </c>
      <c r="J5" s="1">
        <f t="shared" ref="J5:J12" ca="1" si="15">SUMIF($V$64:$V$135,F5,$AE$64:$AE$135)+SUMIF($W$64:$W$135,F5,$AF$64:$AF$135)</f>
        <v>6</v>
      </c>
      <c r="K5" s="1">
        <f t="shared" ca="1" si="4"/>
        <v>2</v>
      </c>
      <c r="L5" s="1">
        <f t="shared" ca="1" si="5"/>
        <v>2</v>
      </c>
      <c r="M5" s="1">
        <f t="shared" ca="1" si="6"/>
        <v>0</v>
      </c>
      <c r="N5" s="1">
        <f t="shared" ca="1" si="7"/>
        <v>0</v>
      </c>
      <c r="O5" s="24"/>
      <c r="P5" s="25"/>
      <c r="V5" s="1"/>
      <c r="W5" s="541" t="str">
        <f t="shared" ref="W5:W12" ca="1" si="16">IFERROR(INDEX($O$17:$V$25,ROW(A2),$W$3),"")</f>
        <v/>
      </c>
      <c r="X5" s="542" t="str">
        <f t="shared" ref="X5:X12" ca="1" si="17">INDEX($W$4:$W$12,MATCH(ROW(A2),$AA$4:$AA$12,0))</f>
        <v/>
      </c>
      <c r="Y5" s="539">
        <f t="shared" ref="Y5:Y12" ca="1" si="18">IF($W5="",99999,VLOOKUP($W5,$C$17:$Z$25,24,0))</f>
        <v>99999</v>
      </c>
      <c r="Z5" s="539">
        <f t="shared" ref="Z5:Z12" ca="1" si="19">RANK(Y5,Y$4:Y$12,1)+IFERROR(INDEX($E$4:$E$12,MATCH(W5,$F$4:$F$12,0)),0)/100+ROW()/10000</f>
        <v>1.0905</v>
      </c>
      <c r="AA5" s="544">
        <f t="shared" ref="AA5:AA12" ca="1" si="20">RANK($Z5,$Z$4:$Z$12,1)</f>
        <v>2</v>
      </c>
      <c r="AB5" s="541" t="str">
        <f t="shared" ca="1" si="8"/>
        <v/>
      </c>
      <c r="AC5" s="542" t="str">
        <f t="shared" ref="AC5:AC12" ca="1" si="21">INDEX($AB$4:$AB$12,MATCH(ROW(A2),$AF$4:$AF$12,0))</f>
        <v/>
      </c>
      <c r="AD5" s="543">
        <f t="shared" ref="AD5:AD12" ca="1" si="22">IF($AB5="",99999,VLOOKUP($AB5,$C$17:$Z$25,24,0))</f>
        <v>99999</v>
      </c>
      <c r="AE5" s="539">
        <f t="shared" ref="AE5:AE12" ca="1" si="23">RANK(AD5,AD$4:AD$12,1)+IFERROR(INDEX($E$4:$E$12,MATCH(AB5,$F$4:$F$12,0)),0)/100+ROW()/10000</f>
        <v>1.0905</v>
      </c>
      <c r="AF5" s="539">
        <f t="shared" ref="AF5:AF12" ca="1" si="24">RANK($AE5,$AE$4:$AE$12,1)</f>
        <v>2</v>
      </c>
      <c r="AG5" s="541" t="str">
        <f t="shared" ca="1" si="9"/>
        <v/>
      </c>
      <c r="AH5" s="542" t="str">
        <f t="shared" ref="AH5:AH12" ca="1" si="25">INDEX($AG$4:$AG$12,MATCH(ROW(A2),$AK$4:$AK$12,0))</f>
        <v/>
      </c>
      <c r="AI5" s="543">
        <f t="shared" ref="AI5:AI12" ca="1" si="26">IF($AG5="",99999,VLOOKUP($AG5,$C$17:$Z$25,24,0))</f>
        <v>99999</v>
      </c>
      <c r="AJ5" s="539">
        <f t="shared" ref="AJ5:AJ12" ca="1" si="27">RANK(AI5,AI$4:AI$12,1)+IFERROR(INDEX($E$4:$E$12,MATCH(AG5,$F$4:$F$12,0)),0)/100+ROW()/10000</f>
        <v>1.0905</v>
      </c>
      <c r="AK5" s="544">
        <f t="shared" ref="AK5:AK12" ca="1" si="28">RANK($AJ5,$AJ$4:$AJ$12,1)</f>
        <v>2</v>
      </c>
      <c r="AL5" s="542" t="str">
        <f t="shared" ca="1" si="10"/>
        <v/>
      </c>
      <c r="AM5" s="542" t="str">
        <f t="shared" ref="AM5:AM12" ca="1" si="29">INDEX($AL$4:$AL$12,MATCH(ROW(A2),$AP$4:$AP$12,0))</f>
        <v/>
      </c>
      <c r="AN5" s="543">
        <f t="shared" ref="AN5:AN12" ca="1" si="30">IF($AL5="",99999,VLOOKUP($AL5,$C$17:$Z$25,24,0))</f>
        <v>99999</v>
      </c>
      <c r="AO5" s="539">
        <f t="shared" ref="AO5:AO12" ca="1" si="31">RANK(AN5,AN$4:AN$12,1)+IFERROR(INDEX($E$4:$E$12,MATCH(AL5,$F$4:$F$12,0)),0)/100+ROW()/10000</f>
        <v>1.0905</v>
      </c>
      <c r="AP5" s="544">
        <f t="shared" ref="AP5:AP12" ca="1" si="32">RANK($AO5,$AO$4:$AO$12,1)</f>
        <v>2</v>
      </c>
    </row>
    <row r="6" spans="1:42" s="2" customFormat="1" x14ac:dyDescent="0.2">
      <c r="A6" s="239"/>
      <c r="B6" s="1">
        <v>3</v>
      </c>
      <c r="C6" s="22">
        <f t="shared" ca="1" si="11"/>
        <v>8</v>
      </c>
      <c r="D6" s="13">
        <f t="shared" ca="1" si="12"/>
        <v>8.0060000000000002</v>
      </c>
      <c r="E6" s="250">
        <f t="shared" ca="1" si="13"/>
        <v>8</v>
      </c>
      <c r="F6" s="1" t="str">
        <f t="shared" si="14"/>
        <v>SSV Wildbach</v>
      </c>
      <c r="G6" s="1">
        <f t="shared" ca="1" si="1"/>
        <v>2</v>
      </c>
      <c r="H6" s="1">
        <f t="shared" ca="1" si="2"/>
        <v>12</v>
      </c>
      <c r="I6" s="13">
        <f t="shared" ca="1" si="3"/>
        <v>-10</v>
      </c>
      <c r="J6" s="1">
        <f t="shared" ca="1" si="15"/>
        <v>0</v>
      </c>
      <c r="K6" s="1">
        <f t="shared" ca="1" si="4"/>
        <v>2</v>
      </c>
      <c r="L6" s="1">
        <f t="shared" ca="1" si="5"/>
        <v>0</v>
      </c>
      <c r="M6" s="1">
        <f t="shared" ca="1" si="6"/>
        <v>0</v>
      </c>
      <c r="N6" s="1">
        <f t="shared" ca="1" si="7"/>
        <v>2</v>
      </c>
      <c r="O6" s="24"/>
      <c r="P6" s="25"/>
      <c r="V6" s="1"/>
      <c r="W6" s="541" t="str">
        <f t="shared" ca="1" si="16"/>
        <v/>
      </c>
      <c r="X6" s="542" t="str">
        <f t="shared" ca="1" si="17"/>
        <v/>
      </c>
      <c r="Y6" s="539">
        <f t="shared" ca="1" si="18"/>
        <v>99999</v>
      </c>
      <c r="Z6" s="539">
        <f t="shared" ca="1" si="19"/>
        <v>1.0906</v>
      </c>
      <c r="AA6" s="544">
        <f t="shared" ca="1" si="20"/>
        <v>3</v>
      </c>
      <c r="AB6" s="541" t="str">
        <f t="shared" ca="1" si="8"/>
        <v/>
      </c>
      <c r="AC6" s="542" t="str">
        <f t="shared" ca="1" si="21"/>
        <v/>
      </c>
      <c r="AD6" s="543">
        <f t="shared" ca="1" si="22"/>
        <v>99999</v>
      </c>
      <c r="AE6" s="539">
        <f t="shared" ca="1" si="23"/>
        <v>1.0906</v>
      </c>
      <c r="AF6" s="539">
        <f t="shared" ca="1" si="24"/>
        <v>3</v>
      </c>
      <c r="AG6" s="541" t="str">
        <f t="shared" ca="1" si="9"/>
        <v/>
      </c>
      <c r="AH6" s="542" t="str">
        <f t="shared" ca="1" si="25"/>
        <v/>
      </c>
      <c r="AI6" s="543">
        <f t="shared" ca="1" si="26"/>
        <v>99999</v>
      </c>
      <c r="AJ6" s="539">
        <f t="shared" ca="1" si="27"/>
        <v>1.0906</v>
      </c>
      <c r="AK6" s="544">
        <f t="shared" ca="1" si="28"/>
        <v>3</v>
      </c>
      <c r="AL6" s="542" t="str">
        <f t="shared" ca="1" si="10"/>
        <v/>
      </c>
      <c r="AM6" s="542" t="str">
        <f t="shared" ca="1" si="29"/>
        <v/>
      </c>
      <c r="AN6" s="543">
        <f t="shared" ca="1" si="30"/>
        <v>99999</v>
      </c>
      <c r="AO6" s="539">
        <f t="shared" ca="1" si="31"/>
        <v>1.0906</v>
      </c>
      <c r="AP6" s="544">
        <f t="shared" ca="1" si="32"/>
        <v>3</v>
      </c>
    </row>
    <row r="7" spans="1:42" s="2" customFormat="1" x14ac:dyDescent="0.2">
      <c r="A7" s="239"/>
      <c r="B7" s="1">
        <v>4</v>
      </c>
      <c r="C7" s="22">
        <f t="shared" ca="1" si="11"/>
        <v>1</v>
      </c>
      <c r="D7" s="13">
        <f t="shared" ca="1" si="12"/>
        <v>1.0069999999999999</v>
      </c>
      <c r="E7" s="250">
        <f t="shared" ca="1" si="13"/>
        <v>1</v>
      </c>
      <c r="F7" s="1" t="str">
        <f t="shared" si="14"/>
        <v>Manchester City</v>
      </c>
      <c r="G7" s="1">
        <f t="shared" ca="1" si="1"/>
        <v>16</v>
      </c>
      <c r="H7" s="1">
        <f t="shared" ca="1" si="2"/>
        <v>5</v>
      </c>
      <c r="I7" s="13">
        <f t="shared" ca="1" si="3"/>
        <v>11</v>
      </c>
      <c r="J7" s="1">
        <f t="shared" ca="1" si="15"/>
        <v>9</v>
      </c>
      <c r="K7" s="1">
        <f t="shared" ca="1" si="4"/>
        <v>3</v>
      </c>
      <c r="L7" s="1">
        <f t="shared" ca="1" si="5"/>
        <v>3</v>
      </c>
      <c r="M7" s="1">
        <f t="shared" ca="1" si="6"/>
        <v>0</v>
      </c>
      <c r="N7" s="1">
        <f t="shared" ca="1" si="7"/>
        <v>0</v>
      </c>
      <c r="O7" s="24"/>
      <c r="P7" s="25"/>
      <c r="V7" s="1"/>
      <c r="W7" s="541" t="str">
        <f t="shared" ca="1" si="16"/>
        <v/>
      </c>
      <c r="X7" s="542" t="str">
        <f t="shared" ca="1" si="17"/>
        <v/>
      </c>
      <c r="Y7" s="539">
        <f t="shared" ca="1" si="18"/>
        <v>99999</v>
      </c>
      <c r="Z7" s="539">
        <f t="shared" ca="1" si="19"/>
        <v>1.0907</v>
      </c>
      <c r="AA7" s="544">
        <f t="shared" ca="1" si="20"/>
        <v>4</v>
      </c>
      <c r="AB7" s="541" t="str">
        <f t="shared" ca="1" si="8"/>
        <v/>
      </c>
      <c r="AC7" s="542" t="str">
        <f t="shared" ca="1" si="21"/>
        <v/>
      </c>
      <c r="AD7" s="543">
        <f t="shared" ca="1" si="22"/>
        <v>99999</v>
      </c>
      <c r="AE7" s="539">
        <f t="shared" ca="1" si="23"/>
        <v>1.0907</v>
      </c>
      <c r="AF7" s="539">
        <f t="shared" ca="1" si="24"/>
        <v>4</v>
      </c>
      <c r="AG7" s="541" t="str">
        <f t="shared" ca="1" si="9"/>
        <v/>
      </c>
      <c r="AH7" s="542" t="str">
        <f t="shared" ca="1" si="25"/>
        <v/>
      </c>
      <c r="AI7" s="543">
        <f t="shared" ca="1" si="26"/>
        <v>99999</v>
      </c>
      <c r="AJ7" s="539">
        <f t="shared" ca="1" si="27"/>
        <v>1.0907</v>
      </c>
      <c r="AK7" s="544">
        <f t="shared" ca="1" si="28"/>
        <v>4</v>
      </c>
      <c r="AL7" s="542" t="str">
        <f t="shared" ca="1" si="10"/>
        <v/>
      </c>
      <c r="AM7" s="542" t="str">
        <f t="shared" ca="1" si="29"/>
        <v/>
      </c>
      <c r="AN7" s="543">
        <f t="shared" ca="1" si="30"/>
        <v>99999</v>
      </c>
      <c r="AO7" s="539">
        <f t="shared" ca="1" si="31"/>
        <v>1.0907</v>
      </c>
      <c r="AP7" s="544">
        <f t="shared" ca="1" si="32"/>
        <v>4</v>
      </c>
    </row>
    <row r="8" spans="1:42" s="2" customFormat="1" x14ac:dyDescent="0.2">
      <c r="A8" s="239"/>
      <c r="B8" s="1">
        <v>5</v>
      </c>
      <c r="C8" s="22">
        <f t="shared" ca="1" si="11"/>
        <v>6</v>
      </c>
      <c r="D8" s="13">
        <f t="shared" ca="1" si="12"/>
        <v>6.008</v>
      </c>
      <c r="E8" s="250">
        <f t="shared" ca="1" si="13"/>
        <v>6</v>
      </c>
      <c r="F8" s="1" t="str">
        <f t="shared" si="14"/>
        <v>FC Grönlingen</v>
      </c>
      <c r="G8" s="1">
        <f t="shared" ca="1" si="1"/>
        <v>3</v>
      </c>
      <c r="H8" s="1">
        <f t="shared" ca="1" si="2"/>
        <v>8</v>
      </c>
      <c r="I8" s="13">
        <f t="shared" ca="1" si="3"/>
        <v>-5</v>
      </c>
      <c r="J8" s="1">
        <f t="shared" ca="1" si="15"/>
        <v>1</v>
      </c>
      <c r="K8" s="1">
        <f t="shared" ca="1" si="4"/>
        <v>3</v>
      </c>
      <c r="L8" s="1">
        <f t="shared" ca="1" si="5"/>
        <v>0</v>
      </c>
      <c r="M8" s="1">
        <f t="shared" ca="1" si="6"/>
        <v>1</v>
      </c>
      <c r="N8" s="1">
        <f t="shared" ca="1" si="7"/>
        <v>2</v>
      </c>
      <c r="P8" s="25"/>
      <c r="W8" s="541" t="str">
        <f t="shared" ca="1" si="16"/>
        <v/>
      </c>
      <c r="X8" s="542" t="str">
        <f t="shared" ca="1" si="17"/>
        <v/>
      </c>
      <c r="Y8" s="539">
        <f t="shared" ca="1" si="18"/>
        <v>99999</v>
      </c>
      <c r="Z8" s="539">
        <f t="shared" ca="1" si="19"/>
        <v>1.0908</v>
      </c>
      <c r="AA8" s="544">
        <f t="shared" ca="1" si="20"/>
        <v>5</v>
      </c>
      <c r="AB8" s="541" t="str">
        <f t="shared" ca="1" si="8"/>
        <v/>
      </c>
      <c r="AC8" s="542" t="str">
        <f t="shared" ca="1" si="21"/>
        <v/>
      </c>
      <c r="AD8" s="543">
        <f t="shared" ca="1" si="22"/>
        <v>99999</v>
      </c>
      <c r="AE8" s="539">
        <f t="shared" ca="1" si="23"/>
        <v>1.0908</v>
      </c>
      <c r="AF8" s="539">
        <f t="shared" ca="1" si="24"/>
        <v>5</v>
      </c>
      <c r="AG8" s="541" t="str">
        <f t="shared" ca="1" si="9"/>
        <v/>
      </c>
      <c r="AH8" s="542" t="str">
        <f t="shared" ca="1" si="25"/>
        <v/>
      </c>
      <c r="AI8" s="543">
        <f t="shared" ca="1" si="26"/>
        <v>99999</v>
      </c>
      <c r="AJ8" s="539">
        <f t="shared" ca="1" si="27"/>
        <v>1.0908</v>
      </c>
      <c r="AK8" s="544">
        <f t="shared" ca="1" si="28"/>
        <v>5</v>
      </c>
      <c r="AL8" s="542" t="str">
        <f t="shared" ca="1" si="10"/>
        <v/>
      </c>
      <c r="AM8" s="542" t="str">
        <f t="shared" ca="1" si="29"/>
        <v/>
      </c>
      <c r="AN8" s="543">
        <f t="shared" ca="1" si="30"/>
        <v>99999</v>
      </c>
      <c r="AO8" s="539">
        <f t="shared" ca="1" si="31"/>
        <v>1.0908</v>
      </c>
      <c r="AP8" s="544">
        <f t="shared" ca="1" si="32"/>
        <v>5</v>
      </c>
    </row>
    <row r="9" spans="1:42" s="2" customFormat="1" x14ac:dyDescent="0.2">
      <c r="A9" s="239"/>
      <c r="B9" s="1">
        <v>6</v>
      </c>
      <c r="C9" s="22">
        <f t="shared" ca="1" si="11"/>
        <v>2</v>
      </c>
      <c r="D9" s="13">
        <f t="shared" ca="1" si="12"/>
        <v>2.0089999999999999</v>
      </c>
      <c r="E9" s="250">
        <f t="shared" ca="1" si="13"/>
        <v>2</v>
      </c>
      <c r="F9" s="1" t="str">
        <f t="shared" si="14"/>
        <v>AC Roma</v>
      </c>
      <c r="G9" s="1">
        <f t="shared" ca="1" si="1"/>
        <v>12</v>
      </c>
      <c r="H9" s="1">
        <f t="shared" ca="1" si="2"/>
        <v>2</v>
      </c>
      <c r="I9" s="13">
        <f t="shared" ca="1" si="3"/>
        <v>10</v>
      </c>
      <c r="J9" s="1">
        <f t="shared" ca="1" si="15"/>
        <v>9</v>
      </c>
      <c r="K9" s="1">
        <f t="shared" ca="1" si="4"/>
        <v>3</v>
      </c>
      <c r="L9" s="1">
        <f t="shared" ca="1" si="5"/>
        <v>3</v>
      </c>
      <c r="M9" s="1">
        <f t="shared" ca="1" si="6"/>
        <v>0</v>
      </c>
      <c r="N9" s="1">
        <f t="shared" ca="1" si="7"/>
        <v>0</v>
      </c>
      <c r="P9" s="25"/>
      <c r="W9" s="541" t="str">
        <f t="shared" ca="1" si="16"/>
        <v/>
      </c>
      <c r="X9" s="542" t="str">
        <f t="shared" ca="1" si="17"/>
        <v/>
      </c>
      <c r="Y9" s="539">
        <f t="shared" ca="1" si="18"/>
        <v>99999</v>
      </c>
      <c r="Z9" s="539">
        <f t="shared" ca="1" si="19"/>
        <v>1.0909</v>
      </c>
      <c r="AA9" s="544">
        <f t="shared" ca="1" si="20"/>
        <v>6</v>
      </c>
      <c r="AB9" s="541" t="str">
        <f t="shared" ca="1" si="8"/>
        <v/>
      </c>
      <c r="AC9" s="542" t="str">
        <f t="shared" ca="1" si="21"/>
        <v/>
      </c>
      <c r="AD9" s="543">
        <f t="shared" ca="1" si="22"/>
        <v>99999</v>
      </c>
      <c r="AE9" s="539">
        <f t="shared" ca="1" si="23"/>
        <v>1.0909</v>
      </c>
      <c r="AF9" s="539">
        <f t="shared" ca="1" si="24"/>
        <v>6</v>
      </c>
      <c r="AG9" s="541" t="str">
        <f t="shared" ca="1" si="9"/>
        <v/>
      </c>
      <c r="AH9" s="542" t="str">
        <f t="shared" ca="1" si="25"/>
        <v/>
      </c>
      <c r="AI9" s="543">
        <f t="shared" ca="1" si="26"/>
        <v>99999</v>
      </c>
      <c r="AJ9" s="539">
        <f t="shared" ca="1" si="27"/>
        <v>1.0909</v>
      </c>
      <c r="AK9" s="544">
        <f t="shared" ca="1" si="28"/>
        <v>6</v>
      </c>
      <c r="AL9" s="542" t="str">
        <f t="shared" ca="1" si="10"/>
        <v/>
      </c>
      <c r="AM9" s="542" t="str">
        <f t="shared" ca="1" si="29"/>
        <v/>
      </c>
      <c r="AN9" s="543">
        <f t="shared" ca="1" si="30"/>
        <v>99999</v>
      </c>
      <c r="AO9" s="539">
        <f t="shared" ca="1" si="31"/>
        <v>1.0909</v>
      </c>
      <c r="AP9" s="544">
        <f t="shared" ca="1" si="32"/>
        <v>6</v>
      </c>
    </row>
    <row r="10" spans="1:42" s="2" customFormat="1" x14ac:dyDescent="0.2">
      <c r="A10" s="239"/>
      <c r="B10" s="1">
        <v>7</v>
      </c>
      <c r="C10" s="22">
        <f t="shared" ca="1" si="11"/>
        <v>7</v>
      </c>
      <c r="D10" s="13">
        <f t="shared" ca="1" si="12"/>
        <v>7.01</v>
      </c>
      <c r="E10" s="250">
        <f t="shared" ca="1" si="13"/>
        <v>7</v>
      </c>
      <c r="F10" s="1" t="str">
        <f t="shared" si="14"/>
        <v>VFL Ronsdorf</v>
      </c>
      <c r="G10" s="1">
        <f t="shared" ca="1" si="1"/>
        <v>5</v>
      </c>
      <c r="H10" s="1">
        <f t="shared" ca="1" si="2"/>
        <v>12</v>
      </c>
      <c r="I10" s="13">
        <f t="shared" ca="1" si="3"/>
        <v>-7</v>
      </c>
      <c r="J10" s="1">
        <f t="shared" ca="1" si="15"/>
        <v>1</v>
      </c>
      <c r="K10" s="1">
        <f t="shared" ca="1" si="4"/>
        <v>3</v>
      </c>
      <c r="L10" s="1">
        <f t="shared" ca="1" si="5"/>
        <v>0</v>
      </c>
      <c r="M10" s="1">
        <f t="shared" ca="1" si="6"/>
        <v>1</v>
      </c>
      <c r="N10" s="1">
        <f t="shared" ca="1" si="7"/>
        <v>2</v>
      </c>
      <c r="P10" s="25"/>
      <c r="W10" s="541" t="str">
        <f t="shared" ca="1" si="16"/>
        <v/>
      </c>
      <c r="X10" s="542" t="str">
        <f t="shared" ca="1" si="17"/>
        <v/>
      </c>
      <c r="Y10" s="539">
        <f t="shared" ca="1" si="18"/>
        <v>99999</v>
      </c>
      <c r="Z10" s="539">
        <f t="shared" ca="1" si="19"/>
        <v>1.091</v>
      </c>
      <c r="AA10" s="544">
        <f t="shared" ca="1" si="20"/>
        <v>7</v>
      </c>
      <c r="AB10" s="541" t="str">
        <f t="shared" ca="1" si="8"/>
        <v/>
      </c>
      <c r="AC10" s="542" t="str">
        <f t="shared" ca="1" si="21"/>
        <v/>
      </c>
      <c r="AD10" s="543">
        <f t="shared" ca="1" si="22"/>
        <v>99999</v>
      </c>
      <c r="AE10" s="539">
        <f t="shared" ca="1" si="23"/>
        <v>1.091</v>
      </c>
      <c r="AF10" s="539">
        <f t="shared" ca="1" si="24"/>
        <v>7</v>
      </c>
      <c r="AG10" s="541" t="str">
        <f t="shared" ca="1" si="9"/>
        <v/>
      </c>
      <c r="AH10" s="542" t="str">
        <f t="shared" ca="1" si="25"/>
        <v/>
      </c>
      <c r="AI10" s="543">
        <f t="shared" ca="1" si="26"/>
        <v>99999</v>
      </c>
      <c r="AJ10" s="539">
        <f t="shared" ca="1" si="27"/>
        <v>1.091</v>
      </c>
      <c r="AK10" s="544">
        <f t="shared" ca="1" si="28"/>
        <v>7</v>
      </c>
      <c r="AL10" s="542" t="str">
        <f t="shared" ca="1" si="10"/>
        <v/>
      </c>
      <c r="AM10" s="542" t="str">
        <f t="shared" ca="1" si="29"/>
        <v/>
      </c>
      <c r="AN10" s="543">
        <f t="shared" ca="1" si="30"/>
        <v>99999</v>
      </c>
      <c r="AO10" s="539">
        <f t="shared" ca="1" si="31"/>
        <v>1.091</v>
      </c>
      <c r="AP10" s="544">
        <f t="shared" ca="1" si="32"/>
        <v>7</v>
      </c>
    </row>
    <row r="11" spans="1:42" s="2" customFormat="1" x14ac:dyDescent="0.2">
      <c r="A11" s="239"/>
      <c r="B11" s="1">
        <v>8</v>
      </c>
      <c r="C11" s="22">
        <f t="shared" ca="1" si="11"/>
        <v>5</v>
      </c>
      <c r="D11" s="13">
        <f t="shared" ca="1" si="12"/>
        <v>5.0110000000000001</v>
      </c>
      <c r="E11" s="250">
        <f t="shared" ca="1" si="13"/>
        <v>5</v>
      </c>
      <c r="F11" s="1" t="str">
        <f t="shared" si="14"/>
        <v>Borussia Heine</v>
      </c>
      <c r="G11" s="1">
        <f t="shared" ca="1" si="1"/>
        <v>6</v>
      </c>
      <c r="H11" s="1">
        <f t="shared" ca="1" si="2"/>
        <v>8</v>
      </c>
      <c r="I11" s="13">
        <f t="shared" ca="1" si="3"/>
        <v>-2</v>
      </c>
      <c r="J11" s="1">
        <f t="shared" ca="1" si="15"/>
        <v>3</v>
      </c>
      <c r="K11" s="1">
        <f t="shared" ca="1" si="4"/>
        <v>3</v>
      </c>
      <c r="L11" s="1">
        <f t="shared" ca="1" si="5"/>
        <v>1</v>
      </c>
      <c r="M11" s="1">
        <f t="shared" ca="1" si="6"/>
        <v>0</v>
      </c>
      <c r="N11" s="1">
        <f t="shared" ca="1" si="7"/>
        <v>2</v>
      </c>
      <c r="O11" s="13"/>
      <c r="P11" s="13"/>
      <c r="Q11" s="13"/>
      <c r="R11" s="13"/>
      <c r="S11" s="13"/>
      <c r="T11" s="13"/>
      <c r="U11" s="13"/>
      <c r="V11" s="13"/>
      <c r="W11" s="541" t="str">
        <f t="shared" ca="1" si="16"/>
        <v/>
      </c>
      <c r="X11" s="542" t="str">
        <f t="shared" ca="1" si="17"/>
        <v/>
      </c>
      <c r="Y11" s="539">
        <f t="shared" ca="1" si="18"/>
        <v>99999</v>
      </c>
      <c r="Z11" s="539">
        <f t="shared" ca="1" si="19"/>
        <v>1.0911000000000002</v>
      </c>
      <c r="AA11" s="544">
        <f t="shared" ca="1" si="20"/>
        <v>8</v>
      </c>
      <c r="AB11" s="541" t="str">
        <f t="shared" ca="1" si="8"/>
        <v/>
      </c>
      <c r="AC11" s="542" t="str">
        <f t="shared" ca="1" si="21"/>
        <v/>
      </c>
      <c r="AD11" s="543">
        <f t="shared" ca="1" si="22"/>
        <v>99999</v>
      </c>
      <c r="AE11" s="539">
        <f t="shared" ca="1" si="23"/>
        <v>1.0911000000000002</v>
      </c>
      <c r="AF11" s="539">
        <f t="shared" ca="1" si="24"/>
        <v>8</v>
      </c>
      <c r="AG11" s="541" t="str">
        <f t="shared" ca="1" si="9"/>
        <v/>
      </c>
      <c r="AH11" s="542" t="str">
        <f t="shared" ca="1" si="25"/>
        <v/>
      </c>
      <c r="AI11" s="543">
        <f t="shared" ca="1" si="26"/>
        <v>99999</v>
      </c>
      <c r="AJ11" s="539">
        <f t="shared" ca="1" si="27"/>
        <v>1.0911000000000002</v>
      </c>
      <c r="AK11" s="544">
        <f t="shared" ca="1" si="28"/>
        <v>8</v>
      </c>
      <c r="AL11" s="542" t="str">
        <f t="shared" ca="1" si="10"/>
        <v/>
      </c>
      <c r="AM11" s="542" t="str">
        <f t="shared" ca="1" si="29"/>
        <v/>
      </c>
      <c r="AN11" s="543">
        <f t="shared" ca="1" si="30"/>
        <v>99999</v>
      </c>
      <c r="AO11" s="539">
        <f t="shared" ca="1" si="31"/>
        <v>1.0911000000000002</v>
      </c>
      <c r="AP11" s="544">
        <f t="shared" ca="1" si="32"/>
        <v>8</v>
      </c>
    </row>
    <row r="12" spans="1:42" s="2" customFormat="1" ht="12.75" thickBot="1" x14ac:dyDescent="0.25">
      <c r="A12" s="239"/>
      <c r="B12" s="1">
        <v>9</v>
      </c>
      <c r="C12" s="23">
        <f t="shared" ca="1" si="11"/>
        <v>9</v>
      </c>
      <c r="D12" s="13">
        <f t="shared" ca="1" si="12"/>
        <v>19.012</v>
      </c>
      <c r="E12" s="250">
        <f t="shared" ca="1" si="13"/>
        <v>9</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19"/>
        <v>1.0912000000000002</v>
      </c>
      <c r="AA12" s="548">
        <f t="shared" ca="1" si="20"/>
        <v>9</v>
      </c>
      <c r="AB12" s="545" t="str">
        <f t="shared" ca="1" si="8"/>
        <v/>
      </c>
      <c r="AC12" s="546" t="str">
        <f t="shared" ca="1" si="21"/>
        <v/>
      </c>
      <c r="AD12" s="549">
        <f t="shared" ca="1" si="22"/>
        <v>99999</v>
      </c>
      <c r="AE12" s="547">
        <f t="shared" ca="1" si="23"/>
        <v>1.0912000000000002</v>
      </c>
      <c r="AF12" s="547">
        <f t="shared" ca="1" si="24"/>
        <v>9</v>
      </c>
      <c r="AG12" s="545" t="str">
        <f t="shared" ca="1" si="9"/>
        <v/>
      </c>
      <c r="AH12" s="546" t="str">
        <f t="shared" ca="1" si="25"/>
        <v/>
      </c>
      <c r="AI12" s="549">
        <f t="shared" ca="1" si="26"/>
        <v>99999</v>
      </c>
      <c r="AJ12" s="547">
        <f t="shared" ca="1" si="27"/>
        <v>1.0912000000000002</v>
      </c>
      <c r="AK12" s="548">
        <f t="shared" ca="1" si="28"/>
        <v>9</v>
      </c>
      <c r="AL12" s="546" t="str">
        <f t="shared" ca="1" si="10"/>
        <v/>
      </c>
      <c r="AM12" s="546" t="str">
        <f t="shared" ca="1" si="29"/>
        <v/>
      </c>
      <c r="AN12" s="549">
        <f t="shared" ca="1" si="30"/>
        <v>99999</v>
      </c>
      <c r="AO12" s="547">
        <f t="shared" ca="1" si="31"/>
        <v>1.0912000000000002</v>
      </c>
      <c r="AP12" s="548">
        <f t="shared" ca="1" si="32"/>
        <v>9</v>
      </c>
    </row>
    <row r="13" spans="1:42" s="2" customFormat="1" ht="12.75" thickTop="1" x14ac:dyDescent="0.2">
      <c r="B13" s="13">
        <f>$F$13*($F$13-1)</f>
        <v>56</v>
      </c>
      <c r="C13" s="13"/>
      <c r="D13" s="13"/>
      <c r="E13" s="13"/>
      <c r="F13" s="13">
        <f>9-COUNTBLANK($F$4:$F$12)</f>
        <v>8</v>
      </c>
      <c r="G13" s="13"/>
      <c r="H13" s="13"/>
      <c r="I13" s="13"/>
      <c r="J13" s="13"/>
      <c r="K13" s="28">
        <f ca="1">QUOTIENT(SUM(K4:K12),2)</f>
        <v>11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7" t="s">
        <v>190</v>
      </c>
      <c r="AE15" s="768"/>
      <c r="AF15" s="768"/>
      <c r="AG15" s="768"/>
      <c r="AH15" s="769"/>
      <c r="AI15" s="2" t="b">
        <f>(Einstellungen!$B$9=Sprache!$E$78)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$Q64</f>
        <v>Mainz 05</v>
      </c>
      <c r="D17" s="1">
        <f t="shared" ref="D17:G25" ca="1" si="33">K4</f>
        <v>3</v>
      </c>
      <c r="E17" s="1">
        <f t="shared" ca="1" si="33"/>
        <v>1</v>
      </c>
      <c r="F17" s="1">
        <f t="shared" ca="1" si="33"/>
        <v>0</v>
      </c>
      <c r="G17" s="1">
        <f t="shared" ca="1" si="33"/>
        <v>2</v>
      </c>
      <c r="H17" s="1">
        <f t="shared" ref="H17:K25" ca="1" si="34">G4</f>
        <v>9</v>
      </c>
      <c r="I17" s="1">
        <f t="shared" ca="1" si="34"/>
        <v>11</v>
      </c>
      <c r="J17" s="13">
        <f t="shared" ca="1" si="34"/>
        <v>-2</v>
      </c>
      <c r="K17" s="1">
        <f t="shared" ca="1" si="34"/>
        <v>3</v>
      </c>
      <c r="L17" s="30">
        <f t="shared" ref="L17:L25" ca="1" si="35">K17*$F$64+(J17+$H$65)*$F$65+H17*$F$66</f>
        <v>3498009</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5" ca="1" si="44">AA17*$F$64+(AB17+$H$65)*$F$65+AC17*$F$66</f>
        <v>500000</v>
      </c>
      <c r="X17" s="21">
        <f ca="1">RANK($L17,$L$17:$L$25)+RANK($W17,$W$17:$W$25)/100+(9-$Y17)/10000+($C17="")*100</f>
        <v>4.0108999999999995</v>
      </c>
      <c r="Y17" s="13">
        <f>Vorrunde!$AL25</f>
        <v>0</v>
      </c>
      <c r="Z17" s="1">
        <f ca="1">RANK($W17,$W$17:$W$25)+(9-$Y17)/10</f>
        <v>1.9</v>
      </c>
      <c r="AA17" s="1">
        <f ca="1">SUM(E30:BP30)</f>
        <v>0</v>
      </c>
      <c r="AB17" s="1">
        <f ca="1">SUM(E41:BP41)</f>
        <v>0</v>
      </c>
      <c r="AC17" s="1">
        <f ca="1">SUM(E52:BP52)</f>
        <v>0</v>
      </c>
      <c r="AD17" s="244">
        <f ca="1">RANK($K17,$K$17:$K$25)</f>
        <v>4</v>
      </c>
      <c r="AE17" s="30">
        <f t="shared" ref="AE17:AE25" ca="1" si="45">(J17+$H$65)*$F$65+H17*$F$66</f>
        <v>498009</v>
      </c>
      <c r="AF17" s="1">
        <f ca="1">RANK($AE17,$AE$17:$AE$25)</f>
        <v>5</v>
      </c>
      <c r="AG17" s="1">
        <f ca="1">RANK($W17,$W$17:$W$25)</f>
        <v>1</v>
      </c>
      <c r="AH17" s="246">
        <f ca="1">AD17+AG17/100+AF17/10000+(10-Y17)/1000000+($C17="")*100</f>
        <v>4.0105099999999991</v>
      </c>
      <c r="AI17" s="1"/>
    </row>
    <row r="18" spans="2:80" s="2" customFormat="1" x14ac:dyDescent="0.2">
      <c r="C18" s="2" t="str">
        <f t="shared" ref="C18:C25" si="46">$Q65</f>
        <v>Inter Mailand</v>
      </c>
      <c r="D18" s="1">
        <f t="shared" ca="1" si="33"/>
        <v>2</v>
      </c>
      <c r="E18" s="1">
        <f t="shared" ca="1" si="33"/>
        <v>2</v>
      </c>
      <c r="F18" s="1">
        <f t="shared" ca="1" si="33"/>
        <v>0</v>
      </c>
      <c r="G18" s="1">
        <f t="shared" ca="1" si="33"/>
        <v>0</v>
      </c>
      <c r="H18" s="1">
        <f t="shared" ca="1" si="34"/>
        <v>7</v>
      </c>
      <c r="I18" s="1">
        <f t="shared" ca="1" si="34"/>
        <v>2</v>
      </c>
      <c r="J18" s="13">
        <f t="shared" ca="1" si="34"/>
        <v>5</v>
      </c>
      <c r="K18" s="1">
        <f t="shared" ca="1" si="34"/>
        <v>6</v>
      </c>
      <c r="L18" s="30">
        <f t="shared" ca="1" si="35"/>
        <v>6505007</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ca="1">RANK($L18,$L$17:$L$25)+RANK($W18,$W$17:$W$25)/100+(9-$Y18)/10000+($C18="")*100</f>
        <v>3.0108999999999999</v>
      </c>
      <c r="Y18" s="13">
        <f>Vorrunde!$AL26</f>
        <v>0</v>
      </c>
      <c r="Z18" s="1">
        <f t="shared" ref="Z18:Z25" ca="1" si="48">RANK($W18,$W$17:$W$25)+(9-$Y18)/10</f>
        <v>1.9</v>
      </c>
      <c r="AA18" s="1">
        <f t="shared" ref="AA18:AA25" ca="1" si="49">SUM(E31:BP31)</f>
        <v>0</v>
      </c>
      <c r="AB18" s="1">
        <f t="shared" ref="AB18:AB25" ca="1" si="50">SUM(E42:BP42)</f>
        <v>0</v>
      </c>
      <c r="AC18" s="1">
        <f t="shared" ref="AC18:AC25" ca="1" si="51">SUM(E53:BP53)</f>
        <v>0</v>
      </c>
      <c r="AD18" s="244">
        <f t="shared" ref="AD18:AD25" ca="1" si="52">RANK($K18,$K$17:$K$25)</f>
        <v>3</v>
      </c>
      <c r="AE18" s="30">
        <f t="shared" ca="1" si="45"/>
        <v>505007</v>
      </c>
      <c r="AF18" s="1">
        <f t="shared" ref="AF18:AF25" ca="1" si="53">RANK($AE18,$AE$17:$AE$25)</f>
        <v>3</v>
      </c>
      <c r="AG18" s="1">
        <f t="shared" ref="AG18:AG25" ca="1" si="54">RANK($W18,$W$17:$W$25)</f>
        <v>1</v>
      </c>
      <c r="AH18" s="247">
        <f ca="1">AD18+AG18/100+AF18/10000+(10-Y18)/1000000+($C18="")*100</f>
        <v>3.01031</v>
      </c>
      <c r="AI18" s="1"/>
    </row>
    <row r="19" spans="2:80" s="2" customFormat="1" x14ac:dyDescent="0.2">
      <c r="C19" s="2" t="str">
        <f t="shared" si="46"/>
        <v>SSV Wildbach</v>
      </c>
      <c r="D19" s="1">
        <f t="shared" ca="1" si="33"/>
        <v>2</v>
      </c>
      <c r="E19" s="1">
        <f t="shared" ca="1" si="33"/>
        <v>0</v>
      </c>
      <c r="F19" s="1">
        <f t="shared" ca="1" si="33"/>
        <v>0</v>
      </c>
      <c r="G19" s="1">
        <f t="shared" ca="1" si="33"/>
        <v>2</v>
      </c>
      <c r="H19" s="1">
        <f t="shared" ca="1" si="34"/>
        <v>2</v>
      </c>
      <c r="I19" s="1">
        <f t="shared" ca="1" si="34"/>
        <v>12</v>
      </c>
      <c r="J19" s="13">
        <f t="shared" ca="1" si="34"/>
        <v>-10</v>
      </c>
      <c r="K19" s="1">
        <f t="shared" ca="1" si="34"/>
        <v>0</v>
      </c>
      <c r="L19" s="30">
        <f t="shared" ca="1" si="35"/>
        <v>490002</v>
      </c>
      <c r="M19" s="14">
        <f t="shared" ca="1" si="47"/>
        <v>1</v>
      </c>
      <c r="N19" s="14">
        <f t="array" aca="1" ref="N19" ca="1">IF($AI$15,SUM(($K$17:$K$25&gt;=K19)/COUNTIF($K$17:$K$25,$K$17:$K$25)),SUM(($L$17:$L$25&gt;=L19)/COUNTIF($L$17:$L$25,$L$17:$L$25)))</f>
        <v>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ref="X19:X25" ca="1" si="55">RANK($L19,$L$17:$L$25)+RANK($W19,$W$17:$W$25)/100+(9-$Y19)/10000+($C19="")*100</f>
        <v>9.0108999999999995</v>
      </c>
      <c r="Y19" s="13">
        <f>Vorrunde!$AL27</f>
        <v>0</v>
      </c>
      <c r="Z19" s="1">
        <f t="shared" ca="1" si="48"/>
        <v>1.9</v>
      </c>
      <c r="AA19" s="1">
        <f t="shared" ca="1" si="49"/>
        <v>0</v>
      </c>
      <c r="AB19" s="1">
        <f t="shared" ca="1" si="50"/>
        <v>0</v>
      </c>
      <c r="AC19" s="1">
        <f t="shared" ca="1" si="51"/>
        <v>0</v>
      </c>
      <c r="AD19" s="244">
        <f t="shared" ca="1" si="52"/>
        <v>8</v>
      </c>
      <c r="AE19" s="30">
        <f t="shared" ca="1" si="45"/>
        <v>490002</v>
      </c>
      <c r="AF19" s="1">
        <f t="shared" ca="1" si="53"/>
        <v>9</v>
      </c>
      <c r="AG19" s="1">
        <f t="shared" ca="1" si="54"/>
        <v>1</v>
      </c>
      <c r="AH19" s="247">
        <f t="shared" ref="AH19:AH25" ca="1" si="56">AD19+AG19/100+AF19/10000+(10-Y19)/1000000+($C19="")*100</f>
        <v>8.0109099999999991</v>
      </c>
      <c r="AI19" s="1"/>
    </row>
    <row r="20" spans="2:80" s="2" customFormat="1" x14ac:dyDescent="0.2">
      <c r="C20" s="2" t="str">
        <f t="shared" si="46"/>
        <v>Manchester City</v>
      </c>
      <c r="D20" s="1">
        <f t="shared" ca="1" si="33"/>
        <v>3</v>
      </c>
      <c r="E20" s="1">
        <f t="shared" ca="1" si="33"/>
        <v>3</v>
      </c>
      <c r="F20" s="1">
        <f t="shared" ca="1" si="33"/>
        <v>0</v>
      </c>
      <c r="G20" s="1">
        <f t="shared" ca="1" si="33"/>
        <v>0</v>
      </c>
      <c r="H20" s="1">
        <f t="shared" ca="1" si="34"/>
        <v>16</v>
      </c>
      <c r="I20" s="1">
        <f t="shared" ca="1" si="34"/>
        <v>5</v>
      </c>
      <c r="J20" s="13">
        <f t="shared" ca="1" si="34"/>
        <v>11</v>
      </c>
      <c r="K20" s="1">
        <f t="shared" ca="1" si="34"/>
        <v>9</v>
      </c>
      <c r="L20" s="30">
        <f t="shared" ca="1" si="35"/>
        <v>9511016</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55"/>
        <v>1.0108999999999999</v>
      </c>
      <c r="Y20" s="13">
        <f>Vorrunde!$AL28</f>
        <v>0</v>
      </c>
      <c r="Z20" s="1">
        <f t="shared" ca="1" si="48"/>
        <v>1.9</v>
      </c>
      <c r="AA20" s="1">
        <f t="shared" ca="1" si="49"/>
        <v>0</v>
      </c>
      <c r="AB20" s="1">
        <f t="shared" ca="1" si="50"/>
        <v>0</v>
      </c>
      <c r="AC20" s="1">
        <f t="shared" ca="1" si="51"/>
        <v>0</v>
      </c>
      <c r="AD20" s="244">
        <f t="shared" ca="1" si="52"/>
        <v>1</v>
      </c>
      <c r="AE20" s="30">
        <f t="shared" ca="1" si="45"/>
        <v>511016</v>
      </c>
      <c r="AF20" s="1">
        <f t="shared" ca="1" si="53"/>
        <v>1</v>
      </c>
      <c r="AG20" s="1">
        <f t="shared" ca="1" si="54"/>
        <v>1</v>
      </c>
      <c r="AH20" s="247">
        <f t="shared" ca="1" si="56"/>
        <v>1.0101100000000001</v>
      </c>
      <c r="AI20" s="1"/>
    </row>
    <row r="21" spans="2:80" s="2" customFormat="1" x14ac:dyDescent="0.2">
      <c r="C21" s="2" t="str">
        <f t="shared" si="46"/>
        <v>FC Grönlingen</v>
      </c>
      <c r="D21" s="1">
        <f t="shared" ca="1" si="33"/>
        <v>3</v>
      </c>
      <c r="E21" s="1">
        <f t="shared" ca="1" si="33"/>
        <v>0</v>
      </c>
      <c r="F21" s="1">
        <f t="shared" ca="1" si="33"/>
        <v>1</v>
      </c>
      <c r="G21" s="1">
        <f t="shared" ca="1" si="33"/>
        <v>2</v>
      </c>
      <c r="H21" s="1">
        <f t="shared" ca="1" si="34"/>
        <v>3</v>
      </c>
      <c r="I21" s="1">
        <f t="shared" ca="1" si="34"/>
        <v>8</v>
      </c>
      <c r="J21" s="13">
        <f t="shared" ca="1" si="34"/>
        <v>-5</v>
      </c>
      <c r="K21" s="1">
        <f t="shared" ca="1" si="34"/>
        <v>1</v>
      </c>
      <c r="L21" s="30">
        <f t="shared" ca="1" si="35"/>
        <v>1495003</v>
      </c>
      <c r="M21" s="14">
        <f t="shared" ca="1" si="47"/>
        <v>1</v>
      </c>
      <c r="N21" s="14">
        <f t="array" aca="1" ref="N21" ca="1">IF($AI$15,SUM(($K$17:$K$25&gt;=K21)/COUNTIF($K$17:$K$25,$K$17:$K$25)),SUM(($L$17:$L$25&gt;=L21)/COUNTIF($L$17:$L$25,$L$17:$L$25)))</f>
        <v>6</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55"/>
        <v>6.0108999999999995</v>
      </c>
      <c r="Y21" s="13">
        <f>Vorrunde!$AL29</f>
        <v>0</v>
      </c>
      <c r="Z21" s="1">
        <f t="shared" ca="1" si="48"/>
        <v>1.9</v>
      </c>
      <c r="AA21" s="1">
        <f t="shared" ca="1" si="49"/>
        <v>0</v>
      </c>
      <c r="AB21" s="1">
        <f t="shared" ca="1" si="50"/>
        <v>0</v>
      </c>
      <c r="AC21" s="1">
        <f t="shared" ca="1" si="51"/>
        <v>0</v>
      </c>
      <c r="AD21" s="244">
        <f t="shared" ca="1" si="52"/>
        <v>6</v>
      </c>
      <c r="AE21" s="30">
        <f t="shared" ca="1" si="45"/>
        <v>495003</v>
      </c>
      <c r="AF21" s="1">
        <f t="shared" ca="1" si="53"/>
        <v>7</v>
      </c>
      <c r="AG21" s="1">
        <f t="shared" ca="1" si="54"/>
        <v>1</v>
      </c>
      <c r="AH21" s="247">
        <f t="shared" ca="1" si="56"/>
        <v>6.0107099999999996</v>
      </c>
      <c r="AI21" s="1"/>
    </row>
    <row r="22" spans="2:80" s="2" customFormat="1" x14ac:dyDescent="0.2">
      <c r="C22" s="2" t="str">
        <f t="shared" si="46"/>
        <v>AC Roma</v>
      </c>
      <c r="D22" s="1">
        <f t="shared" ca="1" si="33"/>
        <v>3</v>
      </c>
      <c r="E22" s="1">
        <f t="shared" ca="1" si="33"/>
        <v>3</v>
      </c>
      <c r="F22" s="1">
        <f t="shared" ca="1" si="33"/>
        <v>0</v>
      </c>
      <c r="G22" s="1">
        <f t="shared" ca="1" si="33"/>
        <v>0</v>
      </c>
      <c r="H22" s="1">
        <f t="shared" ca="1" si="34"/>
        <v>12</v>
      </c>
      <c r="I22" s="1">
        <f t="shared" ca="1" si="34"/>
        <v>2</v>
      </c>
      <c r="J22" s="13">
        <f t="shared" ca="1" si="34"/>
        <v>10</v>
      </c>
      <c r="K22" s="1">
        <f t="shared" ca="1" si="34"/>
        <v>9</v>
      </c>
      <c r="L22" s="30">
        <f t="shared" ca="1" si="35"/>
        <v>9510012</v>
      </c>
      <c r="M22" s="14">
        <f t="shared" ca="1" si="47"/>
        <v>1</v>
      </c>
      <c r="N22" s="14">
        <f t="array" aca="1" ref="N22" ca="1">IF($AI$15,SUM(($K$17:$K$25&gt;=K22)/COUNTIF($K$17:$K$25,$K$17:$K$25)),SUM(($L$17:$L$25&gt;=L22)/COUNTIF($L$17:$L$25,$L$17:$L$25)))</f>
        <v>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55"/>
        <v>2.0108999999999999</v>
      </c>
      <c r="Y22" s="13">
        <f>Vorrunde!$AL30</f>
        <v>0</v>
      </c>
      <c r="Z22" s="1">
        <f t="shared" ca="1" si="48"/>
        <v>1.9</v>
      </c>
      <c r="AA22" s="1">
        <f t="shared" ca="1" si="49"/>
        <v>0</v>
      </c>
      <c r="AB22" s="1">
        <f t="shared" ca="1" si="50"/>
        <v>0</v>
      </c>
      <c r="AC22" s="1">
        <f t="shared" ca="1" si="51"/>
        <v>0</v>
      </c>
      <c r="AD22" s="244">
        <f t="shared" ca="1" si="52"/>
        <v>1</v>
      </c>
      <c r="AE22" s="30">
        <f t="shared" ca="1" si="45"/>
        <v>510012</v>
      </c>
      <c r="AF22" s="1">
        <f t="shared" ca="1" si="53"/>
        <v>2</v>
      </c>
      <c r="AG22" s="1">
        <f t="shared" ca="1" si="54"/>
        <v>1</v>
      </c>
      <c r="AH22" s="247">
        <f t="shared" ca="1" si="56"/>
        <v>1.0102100000000001</v>
      </c>
      <c r="AI22" s="1"/>
    </row>
    <row r="23" spans="2:80" s="2" customFormat="1" x14ac:dyDescent="0.2">
      <c r="C23" s="2" t="str">
        <f t="shared" si="46"/>
        <v>VFL Ronsdorf</v>
      </c>
      <c r="D23" s="1">
        <f t="shared" ca="1" si="33"/>
        <v>3</v>
      </c>
      <c r="E23" s="1">
        <f t="shared" ca="1" si="33"/>
        <v>0</v>
      </c>
      <c r="F23" s="1">
        <f t="shared" ca="1" si="33"/>
        <v>1</v>
      </c>
      <c r="G23" s="1">
        <f t="shared" ca="1" si="33"/>
        <v>2</v>
      </c>
      <c r="H23" s="1">
        <f t="shared" ca="1" si="34"/>
        <v>5</v>
      </c>
      <c r="I23" s="1">
        <f t="shared" ca="1" si="34"/>
        <v>12</v>
      </c>
      <c r="J23" s="13">
        <f t="shared" ca="1" si="34"/>
        <v>-7</v>
      </c>
      <c r="K23" s="1">
        <f t="shared" ca="1" si="34"/>
        <v>1</v>
      </c>
      <c r="L23" s="30">
        <f t="shared" ca="1" si="35"/>
        <v>1493005</v>
      </c>
      <c r="M23" s="14">
        <f t="shared" ca="1" si="47"/>
        <v>1</v>
      </c>
      <c r="N23" s="14">
        <f t="array" aca="1" ref="N23" ca="1">IF($AI$15,SUM(($K$17:$K$25&gt;=K23)/COUNTIF($K$17:$K$25,$K$17:$K$25)),SUM(($L$17:$L$25&gt;=L23)/COUNTIF($L$17:$L$25,$L$17:$L$25)))</f>
        <v>7</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f t="shared" ca="1" si="44"/>
        <v>500000</v>
      </c>
      <c r="X23" s="22">
        <f t="shared" ca="1" si="55"/>
        <v>7.0108999999999995</v>
      </c>
      <c r="Y23" s="13">
        <f>Vorrunde!$AL31</f>
        <v>0</v>
      </c>
      <c r="Z23" s="1">
        <f t="shared" ca="1" si="48"/>
        <v>1.9</v>
      </c>
      <c r="AA23" s="1">
        <f t="shared" ca="1" si="49"/>
        <v>0</v>
      </c>
      <c r="AB23" s="1">
        <f t="shared" ca="1" si="50"/>
        <v>0</v>
      </c>
      <c r="AC23" s="1">
        <f t="shared" ca="1" si="51"/>
        <v>0</v>
      </c>
      <c r="AD23" s="244">
        <f t="shared" ca="1" si="52"/>
        <v>6</v>
      </c>
      <c r="AE23" s="30">
        <f t="shared" ca="1" si="45"/>
        <v>493005</v>
      </c>
      <c r="AF23" s="1">
        <f t="shared" ca="1" si="53"/>
        <v>8</v>
      </c>
      <c r="AG23" s="1">
        <f t="shared" ca="1" si="54"/>
        <v>1</v>
      </c>
      <c r="AH23" s="247">
        <f t="shared" ca="1" si="56"/>
        <v>6.0108099999999993</v>
      </c>
      <c r="AI23" s="1"/>
    </row>
    <row r="24" spans="2:80" s="2" customFormat="1" x14ac:dyDescent="0.2">
      <c r="C24" s="2" t="str">
        <f t="shared" si="46"/>
        <v>Borussia Heine</v>
      </c>
      <c r="D24" s="1">
        <f t="shared" ca="1" si="33"/>
        <v>3</v>
      </c>
      <c r="E24" s="1">
        <f t="shared" ca="1" si="33"/>
        <v>1</v>
      </c>
      <c r="F24" s="1">
        <f t="shared" ca="1" si="33"/>
        <v>0</v>
      </c>
      <c r="G24" s="1">
        <f t="shared" ca="1" si="33"/>
        <v>2</v>
      </c>
      <c r="H24" s="1">
        <f t="shared" ca="1" si="34"/>
        <v>6</v>
      </c>
      <c r="I24" s="1">
        <f t="shared" ca="1" si="34"/>
        <v>8</v>
      </c>
      <c r="J24" s="13">
        <f t="shared" ca="1" si="34"/>
        <v>-2</v>
      </c>
      <c r="K24" s="1">
        <f t="shared" ca="1" si="34"/>
        <v>3</v>
      </c>
      <c r="L24" s="30">
        <f t="shared" ca="1" si="35"/>
        <v>3498006</v>
      </c>
      <c r="M24" s="14">
        <f t="shared" ca="1" si="47"/>
        <v>1</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f t="shared" ca="1" si="44"/>
        <v>500000</v>
      </c>
      <c r="X24" s="22">
        <f t="shared" ca="1" si="55"/>
        <v>5.0108999999999995</v>
      </c>
      <c r="Y24" s="13">
        <f>Vorrunde!$AL32</f>
        <v>0</v>
      </c>
      <c r="Z24" s="1">
        <f t="shared" ca="1" si="48"/>
        <v>1.9</v>
      </c>
      <c r="AA24" s="1">
        <f t="shared" ca="1" si="49"/>
        <v>0</v>
      </c>
      <c r="AB24" s="1">
        <f t="shared" ca="1" si="50"/>
        <v>0</v>
      </c>
      <c r="AC24" s="1">
        <f t="shared" ca="1" si="51"/>
        <v>0</v>
      </c>
      <c r="AD24" s="244">
        <f t="shared" ca="1" si="52"/>
        <v>4</v>
      </c>
      <c r="AE24" s="30">
        <f t="shared" ca="1" si="45"/>
        <v>498006</v>
      </c>
      <c r="AF24" s="1">
        <f t="shared" ca="1" si="53"/>
        <v>6</v>
      </c>
      <c r="AG24" s="1">
        <f t="shared" ca="1" si="54"/>
        <v>1</v>
      </c>
      <c r="AH24" s="247">
        <f t="shared" ca="1" si="56"/>
        <v>4.0106099999999998</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1</v>
      </c>
      <c r="N25" s="14">
        <f t="array" aca="1" ref="N25" ca="1">IF($AI$15,SUM(($K$17:$K$25&gt;=K25)/COUNTIF($K$17:$K$25,$K$17:$K$25)),SUM(($L$17:$L$25&gt;=L25)/COUNTIF($L$17:$L$25,$L$17:$L$25)))</f>
        <v>8</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f t="shared" ca="1" si="44"/>
        <v>500000</v>
      </c>
      <c r="X25" s="23">
        <f t="shared" ca="1" si="55"/>
        <v>108.01089999999999</v>
      </c>
      <c r="Y25" s="13">
        <f>Vorrunde!$AL33</f>
        <v>0</v>
      </c>
      <c r="Z25" s="1">
        <f t="shared" ca="1" si="48"/>
        <v>1.9</v>
      </c>
      <c r="AA25" s="1">
        <f t="shared" ca="1" si="49"/>
        <v>0</v>
      </c>
      <c r="AB25" s="1">
        <f t="shared" ca="1" si="50"/>
        <v>0</v>
      </c>
      <c r="AC25" s="1">
        <f t="shared" ca="1" si="51"/>
        <v>0</v>
      </c>
      <c r="AD25" s="244">
        <f t="shared" ca="1" si="52"/>
        <v>8</v>
      </c>
      <c r="AE25" s="30">
        <f t="shared" ca="1" si="45"/>
        <v>500000</v>
      </c>
      <c r="AF25" s="1">
        <f t="shared" ca="1" si="53"/>
        <v>4</v>
      </c>
      <c r="AG25" s="1">
        <f t="shared" ca="1" si="54"/>
        <v>1</v>
      </c>
      <c r="AH25" s="248">
        <f t="shared" ca="1" si="56"/>
        <v>108.01041000000001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$F$4</f>
        <v>Mainz 05</v>
      </c>
      <c r="BT29" s="2" t="str">
        <f>$F$5</f>
        <v>Inter Mailand</v>
      </c>
      <c r="BU29" s="2" t="str">
        <f>$F$6</f>
        <v>SSV Wildbach</v>
      </c>
      <c r="BV29" s="2" t="str">
        <f>$F$7</f>
        <v>Manchester City</v>
      </c>
      <c r="BW29" s="2" t="str">
        <f>$F$8</f>
        <v>FC Grönlingen</v>
      </c>
      <c r="BX29" s="2" t="str">
        <f>$F$9</f>
        <v>AC Roma</v>
      </c>
      <c r="BY29" s="2" t="str">
        <f>$F$10</f>
        <v>VFL Ronsdorf</v>
      </c>
      <c r="BZ29" s="2" t="str">
        <f>$F$11</f>
        <v>Borussia Heine</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0</v>
      </c>
      <c r="BU30" s="8">
        <f t="shared" ca="1" si="58"/>
        <v>0</v>
      </c>
      <c r="BV30" s="8">
        <f t="shared" ca="1" si="58"/>
        <v>0</v>
      </c>
      <c r="BW30" s="8">
        <f t="shared" ca="1" si="58"/>
        <v>0</v>
      </c>
      <c r="BX30" s="8">
        <f t="shared" ca="1" si="58"/>
        <v>1</v>
      </c>
      <c r="BY30" s="8">
        <f t="shared" ca="1" si="58"/>
        <v>6</v>
      </c>
      <c r="BZ30" s="8">
        <f t="shared" ca="1" si="58"/>
        <v>2</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0</v>
      </c>
      <c r="BT31" s="7"/>
      <c r="BU31" s="8">
        <f t="shared" ca="1" si="58"/>
        <v>0</v>
      </c>
      <c r="BV31" s="8">
        <f t="shared" ca="1" si="58"/>
        <v>0</v>
      </c>
      <c r="BW31" s="8">
        <f t="shared" ca="1" si="58"/>
        <v>2</v>
      </c>
      <c r="BX31" s="8">
        <f t="shared" ca="1" si="58"/>
        <v>0</v>
      </c>
      <c r="BY31" s="8">
        <f t="shared" ca="1" si="58"/>
        <v>5</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0</v>
      </c>
      <c r="BU32" s="7"/>
      <c r="BV32" s="8">
        <f t="shared" ca="1" si="58"/>
        <v>2</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0</v>
      </c>
      <c r="BT33" s="9">
        <f t="shared" ca="1" si="60"/>
        <v>0</v>
      </c>
      <c r="BU33" s="9">
        <f t="shared" ca="1" si="60"/>
        <v>7</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4</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0</v>
      </c>
      <c r="BU34" s="9">
        <f t="shared" ca="1" si="6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1</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AC Roma</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AC Roma</v>
      </c>
      <c r="BS35" s="9">
        <f t="shared" ca="1" si="60"/>
        <v>5</v>
      </c>
      <c r="BT35" s="9">
        <f t="shared" ca="1" si="60"/>
        <v>0</v>
      </c>
      <c r="BU35" s="9">
        <f t="shared" ca="1" si="60"/>
        <v>5</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2</v>
      </c>
      <c r="CA35" s="8">
        <f ca="1">SUMIFS($X$64:$X$135,$V$64:$V$135,$BR35,$W$64:$W$135,CA$29)+SUMIFS($Y$64:$Y$135,$W$64:$W$135,$BR35,$V$64:$V$135,CA$29)</f>
        <v>0</v>
      </c>
      <c r="CB35" s="4"/>
    </row>
    <row r="36" spans="2:80" s="2" customFormat="1" x14ac:dyDescent="0.2">
      <c r="C36" s="2" t="str">
        <f t="shared" si="59"/>
        <v>VFL Ronsdorf</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VFL Ronsdorf</v>
      </c>
      <c r="BS36" s="9">
        <f t="shared" ca="1" si="60"/>
        <v>2</v>
      </c>
      <c r="BT36" s="9">
        <f t="shared" ca="1" si="60"/>
        <v>2</v>
      </c>
      <c r="BU36" s="9">
        <f t="shared" ca="1" si="60"/>
        <v>0</v>
      </c>
      <c r="BV36" s="9">
        <f ca="1">SUMIFS($X$64:$X$135,$V$64:$V$135,$BR36,$W$64:$W$135,BV$29)+SUMIFS($Y$64:$Y$135,$W$64:$W$135,$BR36,$V$64:$V$135,BV$29)</f>
        <v>0</v>
      </c>
      <c r="BW36" s="9">
        <f ca="1">SUMIFS($X$64:$X$135,$V$64:$V$135,$BR36,$W$64:$W$135,BW$29)+SUMIFS($Y$64:$Y$135,$W$64:$W$135,$BR36,$V$64:$V$135,BW$29)</f>
        <v>1</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Borussia Heine</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Borussia Heine</v>
      </c>
      <c r="BS37" s="9">
        <f t="shared" ca="1" si="60"/>
        <v>4</v>
      </c>
      <c r="BT37" s="9">
        <f t="shared" ca="1" si="60"/>
        <v>0</v>
      </c>
      <c r="BU37" s="9">
        <f t="shared" ca="1" si="6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1</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AC Roma</v>
      </c>
      <c r="BY40" s="2" t="str">
        <f>$F$10</f>
        <v>VFL Ronsdorf</v>
      </c>
      <c r="BZ40" s="2" t="str">
        <f>$F$11</f>
        <v>Borussia Heine</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0</v>
      </c>
      <c r="BV41" s="8">
        <f ca="1">BV30-BS33</f>
        <v>0</v>
      </c>
      <c r="BW41" s="8">
        <f ca="1">BW30-BS34</f>
        <v>0</v>
      </c>
      <c r="BX41" s="8">
        <f ca="1">BX30-BS35</f>
        <v>-4</v>
      </c>
      <c r="BY41" s="8">
        <f ca="1">BY30-BS36</f>
        <v>4</v>
      </c>
      <c r="BZ41" s="8">
        <f ca="1">BZ30-BS37</f>
        <v>-2</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0</v>
      </c>
      <c r="BV42" s="8">
        <f ca="1">BV31-BT33</f>
        <v>0</v>
      </c>
      <c r="BW42" s="8">
        <f ca="1">BW31-BT34</f>
        <v>2</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0</v>
      </c>
      <c r="BU43" s="7"/>
      <c r="BV43" s="8">
        <f ca="1">BV32-BU33</f>
        <v>-5</v>
      </c>
      <c r="BW43" s="8">
        <f ca="1">BW32-BU34</f>
        <v>0</v>
      </c>
      <c r="BX43" s="8">
        <f ca="1">BX32-BU35</f>
        <v>-5</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0</v>
      </c>
      <c r="BT44" s="9">
        <f ca="1">IF(BV42="","",-1*BV42)</f>
        <v>0</v>
      </c>
      <c r="BU44" s="9">
        <f ca="1">IF(BV43="","",-1*BV43)</f>
        <v>5</v>
      </c>
      <c r="BV44" s="7"/>
      <c r="BW44" s="8">
        <f ca="1">BW33-BV34</f>
        <v>3</v>
      </c>
      <c r="BX44" s="8">
        <f ca="1">BX33-BV35</f>
        <v>0</v>
      </c>
      <c r="BY44" s="8">
        <f ca="1">BY33-BV36</f>
        <v>0</v>
      </c>
      <c r="BZ44" s="8">
        <f ca="1">BZ33-BV37</f>
        <v>3</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AC Roma</v>
      </c>
      <c r="BS46" s="9">
        <f ca="1">IF(BX41="","",-1*BX41)</f>
        <v>4</v>
      </c>
      <c r="BT46" s="9">
        <f ca="1">IF(BX42="","",-1*BX42)</f>
        <v>0</v>
      </c>
      <c r="BU46" s="9">
        <f ca="1">IF(BX43="","",-1*BX43)</f>
        <v>5</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VFL Ronsdorf</v>
      </c>
      <c r="BS47" s="9">
        <f ca="1">IF(BY41="","",-1*BY41)</f>
        <v>-4</v>
      </c>
      <c r="BT47" s="9">
        <f ca="1">IF(BY42="","",-1*BY42)</f>
        <v>-3</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Borussia Heine</v>
      </c>
      <c r="BS48" s="9">
        <f ca="1">IF(BZ41="","",-1*BZ41)</f>
        <v>2</v>
      </c>
      <c r="BT48" s="9">
        <f ca="1">IF(BZ42="","",-1*BZ42)</f>
        <v>0</v>
      </c>
      <c r="BU48" s="9">
        <f ca="1">IF(BZ43="","",-1*BZ43)</f>
        <v>0</v>
      </c>
      <c r="BV48" s="9">
        <f ca="1">IF(BZ44="","",-1*BZ44)</f>
        <v>-3</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AC Roma</v>
      </c>
      <c r="BY51" s="2" t="str">
        <f>$F$10</f>
        <v>VFL Ronsdorf</v>
      </c>
      <c r="BZ51" s="2" t="str">
        <f>$F$11</f>
        <v>Borussia Heine</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3</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0</v>
      </c>
      <c r="BT55" s="9">
        <f t="shared" ca="1" si="65"/>
        <v>0</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3</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1</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AC Roma</v>
      </c>
      <c r="BS57" s="9">
        <f t="shared" ca="1" si="65"/>
        <v>3</v>
      </c>
      <c r="BT57" s="9">
        <f t="shared" ca="1" si="65"/>
        <v>0</v>
      </c>
      <c r="BU57" s="9">
        <f t="shared" ca="1" si="65"/>
        <v>3</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3</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VFL Ronsdorf</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1</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Borussia Heine</v>
      </c>
      <c r="BS59" s="9">
        <f t="shared" ca="1" si="65"/>
        <v>3</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275" t="s">
        <v>163</v>
      </c>
      <c r="AD63" s="161" t="s">
        <v>161</v>
      </c>
      <c r="AE63" s="764" t="s">
        <v>112</v>
      </c>
      <c r="AF63" s="764"/>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IF(Planung!$C$31="","",Planung!$C$31)</f>
        <v>Mainz 05</v>
      </c>
      <c r="U64" s="67" t="s">
        <v>7</v>
      </c>
      <c r="V64" s="40" t="str">
        <f ca="1">Planung!$L6</f>
        <v>1. FC Riedwald</v>
      </c>
      <c r="W64" s="33" t="str">
        <f ca="1">Planung!$N6</f>
        <v>Knock Out Rangers</v>
      </c>
      <c r="X64" s="33">
        <f ca="1">IF(AND(Vorrunde!$I12&lt;&gt;"",Vorrunde!$K12&lt;&gt;"",Vorrunde!$F12&lt;&gt;Vorrunde!$H12,$V64&lt;&gt;"",$W64&lt;&gt;""),Vorrunde!$I12,"")</f>
        <v>2</v>
      </c>
      <c r="Y64" s="34">
        <f ca="1">IF(AND(Vorrunde!$I12&lt;&gt;"",Vorrunde!$K12&lt;&gt;"",Vorrunde!$F12&lt;&gt;Vorrunde!$H12,$V64&lt;&gt;"",$W64&lt;&gt;""),Vorrunde!$K12,"")</f>
        <v>6</v>
      </c>
      <c r="Z64" s="32" t="str">
        <f ca="1">V64&amp;W64</f>
        <v>1. FC RiedwaldKnock Out Rangers</v>
      </c>
      <c r="AA64" s="33">
        <f ca="1">IF(AND(V64&lt;&gt;"",W64&lt;&gt;"",V64&lt;&gt;W64,X64&lt;&gt;"",Y64&lt;&gt;""),1,0)</f>
        <v>1</v>
      </c>
      <c r="AB64" s="143" t="str">
        <f ca="1">IF(AA64&gt;0,X64&amp;Sprache!$E$73&amp;Y64,"")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316</v>
      </c>
      <c r="P65" s="47" t="s">
        <v>8</v>
      </c>
      <c r="Q65" s="62" t="str">
        <f>IF(Planung!$C$33="","",Planung!$C$33)</f>
        <v>Inter Mailand</v>
      </c>
      <c r="U65" s="68" t="s">
        <v>8</v>
      </c>
      <c r="V65" s="41" t="str">
        <f ca="1">Planung!$L7</f>
        <v>Mainz 05</v>
      </c>
      <c r="W65" s="13" t="str">
        <f ca="1">Planung!$N7</f>
        <v>Borussia Heine</v>
      </c>
      <c r="X65" s="13">
        <f ca="1">IF(AND(Vorrunde!$I13&lt;&gt;"",Vorrunde!$K13&lt;&gt;"",Vorrunde!$F13&lt;&gt;Vorrunde!$H13,$V65&lt;&gt;"",$W65&lt;&gt;""),Vorrunde!$I13,"")</f>
        <v>2</v>
      </c>
      <c r="Y65" s="36">
        <f ca="1">IF(AND(Vorrunde!$I13&lt;&gt;"",Vorrunde!$K13&lt;&gt;"",Vorrunde!$F13&lt;&gt;Vorrunde!$H13,$V65&lt;&gt;"",$W65&lt;&gt;""),Vorrunde!$K13,"")</f>
        <v>4</v>
      </c>
      <c r="Z65" s="35" t="str">
        <f t="shared" ref="Z65:Z73" ca="1" si="66">V65&amp;W65</f>
        <v>Mainz 05Borussia Heine</v>
      </c>
      <c r="AA65" s="13">
        <f t="shared" ref="AA65:AA93" ca="1" si="67">IF(AND(V65&lt;&gt;"",W65&lt;&gt;"",V65&lt;&gt;W65,X65&lt;&gt;"",Y65&lt;&gt;""),1,0)</f>
        <v>1</v>
      </c>
      <c r="AB65" s="13" t="str">
        <f ca="1">IF(AA65&gt;0,X65&amp;Sprache!$E$73&amp;Y65,"")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IF(Planung!$C$35="","",Planung!$C$35)</f>
        <v>SSV Wildbach</v>
      </c>
      <c r="U66" s="68" t="s">
        <v>9</v>
      </c>
      <c r="V66" s="41" t="str">
        <f ca="1">Planung!$L8</f>
        <v>Raslo Winners</v>
      </c>
      <c r="W66" s="13" t="str">
        <f ca="1">Planung!$N8</f>
        <v>FC Barcelona</v>
      </c>
      <c r="X66" s="13">
        <f ca="1">IF(AND(Vorrunde!$I14&lt;&gt;"",Vorrunde!$K14&lt;&gt;"",Vorrunde!$F14&lt;&gt;Vorrunde!$H14,$V66&lt;&gt;"",$W66&lt;&gt;""),Vorrunde!$I14,"")</f>
        <v>1</v>
      </c>
      <c r="Y66" s="36">
        <f ca="1">IF(AND(Vorrunde!$I14&lt;&gt;"",Vorrunde!$K14&lt;&gt;"",Vorrunde!$F14&lt;&gt;Vorrunde!$H14,$V66&lt;&gt;"",$W66&lt;&gt;""),Vorrunde!$K14,"")</f>
        <v>4</v>
      </c>
      <c r="Z66" s="35" t="str">
        <f t="shared" ca="1" si="66"/>
        <v>Raslo WinnersFC Barcelona</v>
      </c>
      <c r="AA66" s="13">
        <f t="shared" ca="1" si="67"/>
        <v>1</v>
      </c>
      <c r="AB66" s="13" t="str">
        <f ca="1">IF(AA66&gt;0,X66&amp;Sprache!$E$73&amp;Y66,"")</f>
        <v>1:4</v>
      </c>
      <c r="AD66" s="145"/>
      <c r="AE66" s="150">
        <f ca="1">IF($AA66=0,"",IF($X66&gt;$Y66,Einstellungen!$C$4,IF($X66=$Y66,1,0)))</f>
        <v>0</v>
      </c>
      <c r="AF66" s="145">
        <f ca="1">IF($AA66=0,"",IF($X66&lt;$Y66,Einstellungen!$C$4,IF($X66=$Y66,1,0)))</f>
        <v>3</v>
      </c>
      <c r="AH66" s="4"/>
      <c r="AI66" s="13"/>
      <c r="AJ66" s="4"/>
      <c r="AK66" s="13"/>
      <c r="AL66" s="13"/>
      <c r="AM66" s="13"/>
      <c r="AN66" s="13"/>
      <c r="AO66" s="13"/>
      <c r="AP66" s="13"/>
      <c r="AQ66" s="13"/>
    </row>
    <row r="67" spans="2:43" s="2" customFormat="1" x14ac:dyDescent="0.2">
      <c r="P67" s="47" t="s">
        <v>10</v>
      </c>
      <c r="Q67" s="62" t="str">
        <f>IF(Planung!$C$37="","",Planung!$C$37)</f>
        <v>Manchester City</v>
      </c>
      <c r="U67" s="68" t="s">
        <v>10</v>
      </c>
      <c r="V67" s="41" t="str">
        <f ca="1">Planung!$L9</f>
        <v>VFL Ronsdorf</v>
      </c>
      <c r="W67" s="13" t="str">
        <f ca="1">Planung!$N9</f>
        <v>Inter Mailand</v>
      </c>
      <c r="X67" s="13">
        <f ca="1">IF(AND(Vorrunde!$I15&lt;&gt;"",Vorrunde!$K15&lt;&gt;"",Vorrunde!$F15&lt;&gt;Vorrunde!$H15,$V67&lt;&gt;"",$W67&lt;&gt;""),Vorrunde!$I15,"")</f>
        <v>2</v>
      </c>
      <c r="Y67" s="36">
        <f ca="1">IF(AND(Vorrunde!$I15&lt;&gt;"",Vorrunde!$K15&lt;&gt;"",Vorrunde!$F15&lt;&gt;Vorrunde!$H15,$V67&lt;&gt;"",$W67&lt;&gt;""),Vorrunde!$K15,"")</f>
        <v>5</v>
      </c>
      <c r="Z67" s="35" t="str">
        <f t="shared" ca="1" si="66"/>
        <v>VFL RonsdorfInter Mailand</v>
      </c>
      <c r="AA67" s="13">
        <f t="shared" ca="1" si="67"/>
        <v>1</v>
      </c>
      <c r="AB67" s="13" t="str">
        <f ca="1">IF(AA67&gt;0,X67&amp;Sprache!$E$73&amp;Y67,"")</f>
        <v>2:5</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t="s">
        <v>11</v>
      </c>
      <c r="Q68" s="62" t="str">
        <f>IF(Planung!$C$39="","",Planung!$C$39)</f>
        <v>FC Grönlingen</v>
      </c>
      <c r="U68" s="68" t="s">
        <v>11</v>
      </c>
      <c r="V68" s="41" t="str">
        <f ca="1">Planung!$L10</f>
        <v>Eintracht Frankfurt</v>
      </c>
      <c r="W68" s="13" t="str">
        <f ca="1">Planung!$N10</f>
        <v>Fun Kickers Oes</v>
      </c>
      <c r="X68" s="13">
        <f ca="1">IF(AND(Vorrunde!$I16&lt;&gt;"",Vorrunde!$K16&lt;&gt;"",Vorrunde!$F16&lt;&gt;Vorrunde!$H16,$V68&lt;&gt;"",$W68&lt;&gt;""),Vorrunde!$I16,"")</f>
        <v>4</v>
      </c>
      <c r="Y68" s="36">
        <f ca="1">IF(AND(Vorrunde!$I16&lt;&gt;"",Vorrunde!$K16&lt;&gt;"",Vorrunde!$F16&lt;&gt;Vorrunde!$H16,$V68&lt;&gt;"",$W68&lt;&gt;""),Vorrunde!$K16,"")</f>
        <v>2</v>
      </c>
      <c r="Z68" s="35" t="str">
        <f t="shared" ca="1" si="66"/>
        <v>Eintracht FrankfurtFun Kickers Oes</v>
      </c>
      <c r="AA68" s="13">
        <f t="shared" ca="1" si="67"/>
        <v>1</v>
      </c>
      <c r="AB68" s="13" t="str">
        <f ca="1">IF(AA68&gt;0,X68&amp;Sprache!$E$73&amp;Y68,"")</f>
        <v>4:2</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t="s">
        <v>12</v>
      </c>
      <c r="Q69" s="62" t="str">
        <f>IF(Planung!$C$41="","",Planung!$C$41)</f>
        <v>AC Roma</v>
      </c>
      <c r="U69" s="68" t="s">
        <v>12</v>
      </c>
      <c r="V69" s="41" t="str">
        <f ca="1">Planung!$L11</f>
        <v>SSV Wildbach</v>
      </c>
      <c r="W69" s="13" t="str">
        <f ca="1">Planung!$N11</f>
        <v>AC Roma</v>
      </c>
      <c r="X69" s="13">
        <f ca="1">IF(AND(Vorrunde!$I17&lt;&gt;"",Vorrunde!$K17&lt;&gt;"",Vorrunde!$F17&lt;&gt;Vorrunde!$H17,$V69&lt;&gt;"",$W69&lt;&gt;""),Vorrunde!$I17,"")</f>
        <v>0</v>
      </c>
      <c r="Y69" s="36">
        <f ca="1">IF(AND(Vorrunde!$I17&lt;&gt;"",Vorrunde!$K17&lt;&gt;"",Vorrunde!$F17&lt;&gt;Vorrunde!$H17,$V69&lt;&gt;"",$W69&lt;&gt;""),Vorrunde!$K17,"")</f>
        <v>5</v>
      </c>
      <c r="Z69" s="35" t="str">
        <f t="shared" ca="1" si="66"/>
        <v>SSV WildbachAC Roma</v>
      </c>
      <c r="AA69" s="13">
        <f t="shared" ca="1" si="67"/>
        <v>1</v>
      </c>
      <c r="AB69" s="13" t="str">
        <f ca="1">IF(AA69&gt;0,X69&amp;Sprache!$E$73&amp;Y69,"")</f>
        <v>0:5</v>
      </c>
      <c r="AD69" s="145"/>
      <c r="AE69" s="150">
        <f ca="1">IF($AA69=0,"",IF($X69&gt;$Y69,Einstellungen!$C$4,IF($X69=$Y69,1,0)))</f>
        <v>0</v>
      </c>
      <c r="AF69" s="145">
        <f ca="1">IF($AA69=0,"",IF($X69&lt;$Y69,Einstellungen!$C$4,IF($X69=$Y69,1,0)))</f>
        <v>3</v>
      </c>
      <c r="AH69" s="4"/>
      <c r="AI69" s="13"/>
      <c r="AJ69" s="13"/>
      <c r="AK69" s="13"/>
      <c r="AL69" s="13"/>
      <c r="AM69" s="4"/>
      <c r="AN69" s="13"/>
      <c r="AO69" s="13"/>
      <c r="AP69" s="13"/>
      <c r="AQ69" s="13"/>
    </row>
    <row r="70" spans="2:43" s="2" customFormat="1" x14ac:dyDescent="0.2">
      <c r="P70" s="47" t="s">
        <v>17</v>
      </c>
      <c r="Q70" s="62" t="str">
        <f>IF(Planung!$C$43="","",Planung!$C$43)</f>
        <v>VFL Ronsdorf</v>
      </c>
      <c r="U70" s="68" t="s">
        <v>17</v>
      </c>
      <c r="V70" s="41" t="str">
        <f ca="1">Planung!$L12</f>
        <v>VFB Essenheim</v>
      </c>
      <c r="W70" s="13" t="str">
        <f ca="1">Planung!$N12</f>
        <v>Maibach 1822 eV</v>
      </c>
      <c r="X70" s="13">
        <f ca="1">IF(AND(Vorrunde!$I18&lt;&gt;"",Vorrunde!$K18&lt;&gt;"",Vorrunde!$F18&lt;&gt;Vorrunde!$H18,$V70&lt;&gt;"",$W70&lt;&gt;""),Vorrunde!$I18,"")</f>
        <v>2</v>
      </c>
      <c r="Y70" s="36">
        <f ca="1">IF(AND(Vorrunde!$I18&lt;&gt;"",Vorrunde!$K18&lt;&gt;"",Vorrunde!$F18&lt;&gt;Vorrunde!$H18,$V70&lt;&gt;"",$W70&lt;&gt;""),Vorrunde!$K18,"")</f>
        <v>2</v>
      </c>
      <c r="Z70" s="35" t="str">
        <f t="shared" ca="1" si="66"/>
        <v>VFB EssenheimMaibach 1822 eV</v>
      </c>
      <c r="AA70" s="13">
        <f t="shared" ca="1" si="67"/>
        <v>1</v>
      </c>
      <c r="AB70" s="13" t="str">
        <f ca="1">IF(AA70&gt;0,X70&amp;Sprache!$E$73&amp;Y70,"")</f>
        <v>2:2</v>
      </c>
      <c r="AD70" s="145"/>
      <c r="AE70" s="150">
        <f ca="1">IF($AA70=0,"",IF($X70&gt;$Y70,Einstellungen!$C$4,IF($X70=$Y70,1,0)))</f>
        <v>1</v>
      </c>
      <c r="AF70" s="145">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IF(Planung!$C$45="","",Planung!$C$45)</f>
        <v>Borussia Heine</v>
      </c>
      <c r="U71" s="68" t="s">
        <v>18</v>
      </c>
      <c r="V71" s="41" t="str">
        <f ca="1">Planung!$L13</f>
        <v>FC Grönlingen</v>
      </c>
      <c r="W71" s="13" t="str">
        <f ca="1">Planung!$N13</f>
        <v>Manchester City</v>
      </c>
      <c r="X71" s="13">
        <f ca="1">IF(AND(Vorrunde!$I19&lt;&gt;"",Vorrunde!$K19&lt;&gt;"",Vorrunde!$F19&lt;&gt;Vorrunde!$H19,$V71&lt;&gt;"",$W71&lt;&gt;""),Vorrunde!$I19,"")</f>
        <v>2</v>
      </c>
      <c r="Y71" s="36">
        <f ca="1">IF(AND(Vorrunde!$I19&lt;&gt;"",Vorrunde!$K19&lt;&gt;"",Vorrunde!$F19&lt;&gt;Vorrunde!$H19,$V71&lt;&gt;"",$W71&lt;&gt;""),Vorrunde!$K19,"")</f>
        <v>5</v>
      </c>
      <c r="Z71" s="35" t="str">
        <f t="shared" ca="1" si="66"/>
        <v>FC GrönlingenManchester City</v>
      </c>
      <c r="AA71" s="13">
        <f t="shared" ca="1" si="67"/>
        <v>1</v>
      </c>
      <c r="AB71" s="13" t="str">
        <f ca="1">IF(AA71&gt;0,X71&amp;Sprache!$E$73&amp;Y71,"")</f>
        <v>2:5</v>
      </c>
      <c r="AD71" s="145"/>
      <c r="AE71" s="150">
        <f ca="1">IF($AA71=0,"",IF($X71&gt;$Y71,Einstellungen!$C$4,IF($X71=$Y71,1,0)))</f>
        <v>0</v>
      </c>
      <c r="AF71" s="145">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IF(Planung!$C$47="","",Planung!$C$47)</f>
        <v/>
      </c>
      <c r="U72" s="68" t="s">
        <v>19</v>
      </c>
      <c r="V72" s="41" t="str">
        <f ca="1">Planung!$L14</f>
        <v>Raslo Winners</v>
      </c>
      <c r="W72" s="13" t="str">
        <f ca="1">Planung!$N14</f>
        <v>1. FC Riedwald</v>
      </c>
      <c r="X72" s="13">
        <f ca="1">IF(AND(Vorrunde!$I20&lt;&gt;"",Vorrunde!$K20&lt;&gt;"",Vorrunde!$F20&lt;&gt;Vorrunde!$H20,$V72&lt;&gt;"",$W72&lt;&gt;""),Vorrunde!$I20,"")</f>
        <v>2</v>
      </c>
      <c r="Y72" s="36">
        <f ca="1">IF(AND(Vorrunde!$I20&lt;&gt;"",Vorrunde!$K20&lt;&gt;"",Vorrunde!$F20&lt;&gt;Vorrunde!$H20,$V72&lt;&gt;"",$W72&lt;&gt;""),Vorrunde!$K20,"")</f>
        <v>0</v>
      </c>
      <c r="Z72" s="35" t="str">
        <f t="shared" ca="1" si="66"/>
        <v>Raslo Winners1. FC Riedwald</v>
      </c>
      <c r="AA72" s="13">
        <f t="shared" ca="1" si="67"/>
        <v>1</v>
      </c>
      <c r="AB72" s="13" t="str">
        <f ca="1">IF(AA72&gt;0,X72&amp;Sprache!$E$73&amp;Y72,"")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VFL Ronsdorf</v>
      </c>
      <c r="W73" s="13" t="str">
        <f ca="1">Planung!$N15</f>
        <v>Mainz 05</v>
      </c>
      <c r="X73" s="13">
        <f ca="1">IF(AND(Vorrunde!$I21&lt;&gt;"",Vorrunde!$K21&lt;&gt;"",Vorrunde!$F21&lt;&gt;Vorrunde!$H21,$V73&lt;&gt;"",$W73&lt;&gt;""),Vorrunde!$I21,"")</f>
        <v>2</v>
      </c>
      <c r="Y73" s="36">
        <f ca="1">IF(AND(Vorrunde!$I21&lt;&gt;"",Vorrunde!$K21&lt;&gt;"",Vorrunde!$F21&lt;&gt;Vorrunde!$H21,$V73&lt;&gt;"",$W73&lt;&gt;""),Vorrunde!$K21,"")</f>
        <v>6</v>
      </c>
      <c r="Z73" s="35" t="str">
        <f t="shared" ca="1" si="66"/>
        <v>VFL RonsdorfMainz 05</v>
      </c>
      <c r="AA73" s="13">
        <f t="shared" ca="1" si="67"/>
        <v>1</v>
      </c>
      <c r="AB73" s="13" t="str">
        <f ca="1">IF(AA73&gt;0,X73&amp;Sprache!$E$73&amp;Y73,"")</f>
        <v>2:6</v>
      </c>
      <c r="AD73" s="145"/>
      <c r="AE73" s="150">
        <f ca="1">IF($AA73=0,"",IF($X73&gt;$Y73,Einstellungen!$C$4,IF($X73=$Y73,1,0)))</f>
        <v>0</v>
      </c>
      <c r="AF73" s="145">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Fun Kickers Oes</v>
      </c>
      <c r="W74" s="13" t="str">
        <f ca="1">Planung!$N16</f>
        <v>Knock Out Rangers</v>
      </c>
      <c r="X74" s="13">
        <f ca="1">IF(AND(Vorrunde!$I22&lt;&gt;"",Vorrunde!$K22&lt;&gt;"",Vorrunde!$F22&lt;&gt;Vorrunde!$H22,$V74&lt;&gt;"",$W74&lt;&gt;""),Vorrunde!$I22,"")</f>
        <v>3</v>
      </c>
      <c r="Y74" s="36">
        <f ca="1">IF(AND(Vorrunde!$I22&lt;&gt;"",Vorrunde!$K22&lt;&gt;"",Vorrunde!$F22&lt;&gt;Vorrunde!$H22,$V74&lt;&gt;"",$W74&lt;&gt;""),Vorrunde!$K22,"")</f>
        <v>2</v>
      </c>
      <c r="Z74" s="35" t="str">
        <f ca="1">V74&amp;W74</f>
        <v>Fun Kickers OesKnock Out Rangers</v>
      </c>
      <c r="AA74" s="13">
        <f t="shared" ca="1" si="67"/>
        <v>1</v>
      </c>
      <c r="AB74" s="13" t="str">
        <f ca="1">IF(AA74&gt;0,X74&amp;Sprache!$E$73&amp;Y74,"")</f>
        <v>3:2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AC Roma</v>
      </c>
      <c r="W75" s="13" t="str">
        <f ca="1">Planung!$N17</f>
        <v>Borussia Heine</v>
      </c>
      <c r="X75" s="13">
        <f ca="1">IF(AND(Vorrunde!$I23&lt;&gt;"",Vorrunde!$K23&lt;&gt;"",Vorrunde!$F23&lt;&gt;Vorrunde!$H23,$V75&lt;&gt;"",$W75&lt;&gt;""),Vorrunde!$I23,"")</f>
        <v>2</v>
      </c>
      <c r="Y75" s="36">
        <f ca="1">IF(AND(Vorrunde!$I23&lt;&gt;"",Vorrunde!$K23&lt;&gt;"",Vorrunde!$F23&lt;&gt;Vorrunde!$H23,$V75&lt;&gt;"",$W75&lt;&gt;""),Vorrunde!$K23,"")</f>
        <v>1</v>
      </c>
      <c r="Z75" s="35" t="str">
        <f t="shared" ref="Z75:Z93" ca="1" si="68">V75&amp;W75</f>
        <v>AC RomaBorussia Heine</v>
      </c>
      <c r="AA75" s="13">
        <f t="shared" ca="1" si="67"/>
        <v>1</v>
      </c>
      <c r="AB75" s="13" t="str">
        <f ca="1">IF(AA75&gt;0,X75&amp;Sprache!$E$73&amp;Y75,"")</f>
        <v>2:1</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Planung!$L18</f>
        <v>FC Barcelona</v>
      </c>
      <c r="W76" s="13" t="str">
        <f ca="1">Planung!$N18</f>
        <v>VFB Essenheim</v>
      </c>
      <c r="X76" s="13">
        <f ca="1">IF(AND(Vorrunde!$I24&lt;&gt;"",Vorrunde!$K24&lt;&gt;"",Vorrunde!$F24&lt;&gt;Vorrunde!$H24,$V76&lt;&gt;"",$W76&lt;&gt;""),Vorrunde!$I24,"")</f>
        <v>6</v>
      </c>
      <c r="Y76" s="36">
        <f ca="1">IF(AND(Vorrunde!$I24&lt;&gt;"",Vorrunde!$K24&lt;&gt;"",Vorrunde!$F24&lt;&gt;Vorrunde!$H24,$V76&lt;&gt;"",$W76&lt;&gt;""),Vorrunde!$K24,"")</f>
        <v>0</v>
      </c>
      <c r="Z76" s="35" t="str">
        <f t="shared" ca="1" si="68"/>
        <v>FC BarcelonaVFB Essenheim</v>
      </c>
      <c r="AA76" s="13">
        <f t="shared" ca="1" si="67"/>
        <v>1</v>
      </c>
      <c r="AB76" s="13" t="str">
        <f ca="1">IF(AA76&gt;0,X76&amp;Sprache!$E$73&amp;Y76,"")</f>
        <v>6:0</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Inter Mailand</v>
      </c>
      <c r="W77" s="13" t="str">
        <f ca="1">Planung!$N19</f>
        <v>FC Grönlingen</v>
      </c>
      <c r="X77" s="13">
        <f ca="1">IF(AND(Vorrunde!$I25&lt;&gt;"",Vorrunde!$K25&lt;&gt;"",Vorrunde!$F25&lt;&gt;Vorrunde!$H25,$V77&lt;&gt;"",$W77&lt;&gt;""),Vorrunde!$I25,"")</f>
        <v>2</v>
      </c>
      <c r="Y77" s="36">
        <f ca="1">IF(AND(Vorrunde!$I25&lt;&gt;"",Vorrunde!$K25&lt;&gt;"",Vorrunde!$F25&lt;&gt;Vorrunde!$H25,$V77&lt;&gt;"",$W77&lt;&gt;""),Vorrunde!$K25,"")</f>
        <v>0</v>
      </c>
      <c r="Z77" s="35" t="str">
        <f t="shared" ca="1" si="68"/>
        <v>Inter MailandFC Grönlingen</v>
      </c>
      <c r="AA77" s="13">
        <f t="shared" ca="1" si="67"/>
        <v>1</v>
      </c>
      <c r="AB77" s="13" t="str">
        <f ca="1">IF(AA77&gt;0,X77&amp;Sprache!$E$73&amp;Y77,"")</f>
        <v>2:0</v>
      </c>
      <c r="AD77" s="145"/>
      <c r="AE77" s="150">
        <f ca="1">IF($AA77=0,"",IF($X77&gt;$Y77,Einstellungen!$C$4,IF($X77=$Y77,1,0)))</f>
        <v>3</v>
      </c>
      <c r="AF77" s="145">
        <f ca="1">IF($AA77=0,"",IF($X77&lt;$Y77,Einstellungen!$C$4,IF($X77=$Y77,1,0)))</f>
        <v>0</v>
      </c>
    </row>
    <row r="78" spans="2:43" s="2" customFormat="1" x14ac:dyDescent="0.2">
      <c r="B78" s="4"/>
      <c r="C78" s="4"/>
      <c r="D78" s="4"/>
      <c r="E78" s="4"/>
      <c r="F78" s="13"/>
      <c r="G78" s="13"/>
      <c r="H78" s="13"/>
      <c r="I78" s="13"/>
      <c r="J78" s="13"/>
      <c r="K78" s="13"/>
      <c r="L78" s="13"/>
      <c r="M78" s="13"/>
      <c r="U78" s="68" t="s">
        <v>30</v>
      </c>
      <c r="V78" s="41" t="str">
        <f ca="1">Planung!$L20</f>
        <v>Maibach 1822 eV</v>
      </c>
      <c r="W78" s="13" t="str">
        <f ca="1">Planung!$N20</f>
        <v>Eintracht Frankfurt</v>
      </c>
      <c r="X78" s="13">
        <f ca="1">IF(AND(Vorrunde!$I26&lt;&gt;"",Vorrunde!$K26&lt;&gt;"",Vorrunde!$F26&lt;&gt;Vorrunde!$H26,$V78&lt;&gt;"",$W78&lt;&gt;""),Vorrunde!$I26,"")</f>
        <v>1</v>
      </c>
      <c r="Y78" s="36">
        <f ca="1">IF(AND(Vorrunde!$I26&lt;&gt;"",Vorrunde!$K26&lt;&gt;"",Vorrunde!$F26&lt;&gt;Vorrunde!$H26,$V78&lt;&gt;"",$W78&lt;&gt;""),Vorrunde!$K26,"")</f>
        <v>3</v>
      </c>
      <c r="Z78" s="35" t="str">
        <f t="shared" ca="1" si="68"/>
        <v>Maibach 1822 eVEintracht Frankfurt</v>
      </c>
      <c r="AA78" s="13">
        <f t="shared" ca="1" si="67"/>
        <v>1</v>
      </c>
      <c r="AB78" s="13" t="str">
        <f ca="1">IF(AA78&gt;0,X78&amp;Sprache!$E$73&amp;Y78,"")</f>
        <v>1:3</v>
      </c>
      <c r="AD78" s="145"/>
      <c r="AE78" s="150">
        <f ca="1">IF($AA78=0,"",IF($X78&gt;$Y78,Einstellungen!$C$4,IF($X78=$Y78,1,0)))</f>
        <v>0</v>
      </c>
      <c r="AF78" s="145">
        <f ca="1">IF($AA78=0,"",IF($X78&lt;$Y78,Einstellungen!$C$4,IF($X78=$Y78,1,0)))</f>
        <v>3</v>
      </c>
    </row>
    <row r="79" spans="2:43" s="2" customFormat="1" x14ac:dyDescent="0.2">
      <c r="B79" s="4"/>
      <c r="C79" s="4"/>
      <c r="D79" s="4"/>
      <c r="E79" s="4"/>
      <c r="F79" s="13"/>
      <c r="G79" s="13"/>
      <c r="H79" s="13"/>
      <c r="I79" s="13"/>
      <c r="J79" s="13"/>
      <c r="K79" s="13"/>
      <c r="L79" s="13"/>
      <c r="M79" s="13"/>
      <c r="U79" s="68" t="s">
        <v>31</v>
      </c>
      <c r="V79" s="41" t="str">
        <f ca="1">Planung!$L21</f>
        <v>Manchester City</v>
      </c>
      <c r="W79" s="13" t="str">
        <f ca="1">Planung!$N21</f>
        <v>SSV Wildbach</v>
      </c>
      <c r="X79" s="13">
        <f ca="1">IF(AND(Vorrunde!$I27&lt;&gt;"",Vorrunde!$K27&lt;&gt;"",Vorrunde!$F27&lt;&gt;Vorrunde!$H27,$V79&lt;&gt;"",$W79&lt;&gt;""),Vorrunde!$I27,"")</f>
        <v>7</v>
      </c>
      <c r="Y79" s="36">
        <f ca="1">IF(AND(Vorrunde!$I27&lt;&gt;"",Vorrunde!$K27&lt;&gt;"",Vorrunde!$F27&lt;&gt;Vorrunde!$H27,$V79&lt;&gt;"",$W79&lt;&gt;""),Vorrunde!$K27,"")</f>
        <v>2</v>
      </c>
      <c r="Z79" s="35" t="str">
        <f t="shared" ca="1" si="68"/>
        <v>Manchester CitySSV Wildbach</v>
      </c>
      <c r="AA79" s="13">
        <f t="shared" ca="1" si="67"/>
        <v>1</v>
      </c>
      <c r="AB79" s="13" t="str">
        <f ca="1">IF(AA79&gt;0,X79&amp;Sprache!$E$73&amp;Y79,"")</f>
        <v>7:2</v>
      </c>
      <c r="AD79" s="145"/>
      <c r="AE79" s="150">
        <f ca="1">IF($AA79=0,"",IF($X79&gt;$Y79,Einstellungen!$C$4,IF($X79=$Y79,1,0)))</f>
        <v>3</v>
      </c>
      <c r="AF79" s="145">
        <f ca="1">IF($AA79=0,"",IF($X79&lt;$Y79,Einstellungen!$C$4,IF($X79=$Y79,1,0)))</f>
        <v>0</v>
      </c>
    </row>
    <row r="80" spans="2:43" s="2" customFormat="1" x14ac:dyDescent="0.2">
      <c r="B80" s="4"/>
      <c r="C80" s="4"/>
      <c r="D80" s="4"/>
      <c r="E80" s="4"/>
      <c r="F80" s="13"/>
      <c r="G80" s="13"/>
      <c r="H80" s="13"/>
      <c r="I80" s="13"/>
      <c r="J80" s="13"/>
      <c r="K80" s="13"/>
      <c r="L80" s="13"/>
      <c r="M80" s="13"/>
      <c r="U80" s="68" t="s">
        <v>32</v>
      </c>
      <c r="V80" s="41" t="str">
        <f ca="1">Planung!$L22</f>
        <v>1. FC Riedwald</v>
      </c>
      <c r="W80" s="13" t="str">
        <f ca="1">Planung!$N22</f>
        <v>Fun Kickers Oes</v>
      </c>
      <c r="X80" s="13">
        <f ca="1">IF(AND(Vorrunde!$I28&lt;&gt;"",Vorrunde!$K28&lt;&gt;"",Vorrunde!$F28&lt;&gt;Vorrunde!$H28,$V80&lt;&gt;"",$W80&lt;&gt;""),Vorrunde!$I28,"")</f>
        <v>2</v>
      </c>
      <c r="Y80" s="36">
        <f ca="1">IF(AND(Vorrunde!$I28&lt;&gt;"",Vorrunde!$K28&lt;&gt;"",Vorrunde!$F28&lt;&gt;Vorrunde!$H28,$V80&lt;&gt;"",$W80&lt;&gt;""),Vorrunde!$K28,"")</f>
        <v>4</v>
      </c>
      <c r="Z80" s="35" t="str">
        <f t="shared" ca="1" si="68"/>
        <v>1. FC RiedwaldFun Kickers Oes</v>
      </c>
      <c r="AA80" s="13">
        <f t="shared" ca="1" si="67"/>
        <v>1</v>
      </c>
      <c r="AB80" s="13" t="str">
        <f ca="1">IF(AA80&gt;0,X80&amp;Sprache!$E$73&amp;Y80,"")</f>
        <v>2:4</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Planung!$L23</f>
        <v>Mainz 05</v>
      </c>
      <c r="W81" s="13" t="str">
        <f ca="1">Planung!$N23</f>
        <v>AC Roma</v>
      </c>
      <c r="X81" s="13">
        <f ca="1">IF(AND(Vorrunde!$I29&lt;&gt;"",Vorrunde!$K29&lt;&gt;"",Vorrunde!$F29&lt;&gt;Vorrunde!$H29,$V81&lt;&gt;"",$W81&lt;&gt;""),Vorrunde!$I29,"")</f>
        <v>1</v>
      </c>
      <c r="Y81" s="36">
        <f ca="1">IF(AND(Vorrunde!$I29&lt;&gt;"",Vorrunde!$K29&lt;&gt;"",Vorrunde!$F29&lt;&gt;Vorrunde!$H29,$V81&lt;&gt;"",$W81&lt;&gt;""),Vorrunde!$K29,"")</f>
        <v>5</v>
      </c>
      <c r="Z81" s="35" t="str">
        <f t="shared" ca="1" si="68"/>
        <v>Mainz 05AC Roma</v>
      </c>
      <c r="AA81" s="13">
        <f t="shared" ca="1" si="67"/>
        <v>1</v>
      </c>
      <c r="AB81" s="13" t="str">
        <f ca="1">IF(AA81&gt;0,X81&amp;Sprache!$E$73&amp;Y81,"")</f>
        <v>1:5</v>
      </c>
      <c r="AD81" s="145"/>
      <c r="AE81" s="150">
        <f ca="1">IF($AA81=0,"",IF($X81&gt;$Y81,Einstellungen!$C$4,IF($X81=$Y81,1,0)))</f>
        <v>0</v>
      </c>
      <c r="AF81" s="145">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Planung!$L24</f>
        <v>VFB Essenheim</v>
      </c>
      <c r="W82" s="13" t="str">
        <f ca="1">Planung!$N24</f>
        <v>Raslo Winners</v>
      </c>
      <c r="X82" s="13">
        <f ca="1">IF(AND(Vorrunde!$I30&lt;&gt;"",Vorrunde!$K30&lt;&gt;"",Vorrunde!$F30&lt;&gt;Vorrunde!$H30,$V82&lt;&gt;"",$W82&lt;&gt;""),Vorrunde!$I30,"")</f>
        <v>0</v>
      </c>
      <c r="Y82" s="36">
        <f ca="1">IF(AND(Vorrunde!$I30&lt;&gt;"",Vorrunde!$K30&lt;&gt;"",Vorrunde!$F30&lt;&gt;Vorrunde!$H30,$V82&lt;&gt;"",$W82&lt;&gt;""),Vorrunde!$K30,"")</f>
        <v>3</v>
      </c>
      <c r="Z82" s="35" t="str">
        <f t="shared" ca="1" si="68"/>
        <v>VFB EssenheimRaslo Winners</v>
      </c>
      <c r="AA82" s="13">
        <f t="shared" ca="1" si="67"/>
        <v>1</v>
      </c>
      <c r="AB82" s="13" t="str">
        <f ca="1">IF(AA82&gt;0,X82&amp;Sprache!$E$73&amp;Y82,"")</f>
        <v>0:3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Planung!$L25</f>
        <v>FC Grönlingen</v>
      </c>
      <c r="W83" s="13" t="str">
        <f ca="1">Planung!$N25</f>
        <v>VFL Ronsdorf</v>
      </c>
      <c r="X83" s="13">
        <f ca="1">IF(AND(Vorrunde!$I31&lt;&gt;"",Vorrunde!$K31&lt;&gt;"",Vorrunde!$F31&lt;&gt;Vorrunde!$H31,$V83&lt;&gt;"",$W83&lt;&gt;""),Vorrunde!$I31,"")</f>
        <v>1</v>
      </c>
      <c r="Y83" s="36">
        <f ca="1">IF(AND(Vorrunde!$I31&lt;&gt;"",Vorrunde!$K31&lt;&gt;"",Vorrunde!$F31&lt;&gt;Vorrunde!$H31,$V83&lt;&gt;"",$W83&lt;&gt;""),Vorrunde!$K31,"")</f>
        <v>1</v>
      </c>
      <c r="Z83" s="35" t="str">
        <f t="shared" ca="1" si="68"/>
        <v>FC GrönlingenVFL Ronsdorf</v>
      </c>
      <c r="AA83" s="13">
        <f t="shared" ca="1" si="67"/>
        <v>1</v>
      </c>
      <c r="AB83" s="13" t="str">
        <f ca="1">IF(AA83&gt;0,X83&amp;Sprache!$E$73&amp;Y83,"")</f>
        <v>1:1</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Planung!$L26</f>
        <v>Knock Out Rangers</v>
      </c>
      <c r="W84" s="13" t="str">
        <f ca="1">Planung!$N26</f>
        <v>Maibach 1822 eV</v>
      </c>
      <c r="X84" s="13">
        <f ca="1">IF(AND(Vorrunde!$I32&lt;&gt;"",Vorrunde!$K32&lt;&gt;"",Vorrunde!$F32&lt;&gt;Vorrunde!$H32,$V84&lt;&gt;"",$W84&lt;&gt;""),Vorrunde!$I32,"")</f>
        <v>1</v>
      </c>
      <c r="Y84" s="36">
        <f ca="1">IF(AND(Vorrunde!$I32&lt;&gt;"",Vorrunde!$K32&lt;&gt;"",Vorrunde!$F32&lt;&gt;Vorrunde!$H32,$V84&lt;&gt;"",$W84&lt;&gt;""),Vorrunde!$K32,"")</f>
        <v>1</v>
      </c>
      <c r="Z84" s="35" t="str">
        <f t="shared" ca="1" si="68"/>
        <v>Knock Out RangersMaibach 1822 eV</v>
      </c>
      <c r="AA84" s="13">
        <f t="shared" ca="1" si="67"/>
        <v>1</v>
      </c>
      <c r="AB84" s="13" t="str">
        <f ca="1">IF(AA84&gt;0,X84&amp;Sprache!$E$73&amp;Y84,"")</f>
        <v>1:1</v>
      </c>
      <c r="AD84" s="145"/>
      <c r="AE84" s="150">
        <f ca="1">IF($AA84=0,"",IF($X84&gt;$Y84,Einstellungen!$C$4,IF($X84=$Y84,1,0)))</f>
        <v>1</v>
      </c>
      <c r="AF84" s="145">
        <f ca="1">IF($AA84=0,"",IF($X84&lt;$Y84,Einstellungen!$C$4,IF($X84=$Y84,1,0)))</f>
        <v>1</v>
      </c>
    </row>
    <row r="85" spans="2:32" s="2" customFormat="1" x14ac:dyDescent="0.2">
      <c r="B85" s="4"/>
      <c r="C85" s="4"/>
      <c r="D85" s="4"/>
      <c r="E85" s="4"/>
      <c r="F85" s="13"/>
      <c r="G85" s="13"/>
      <c r="H85" s="13"/>
      <c r="I85" s="13"/>
      <c r="J85" s="13"/>
      <c r="K85" s="13"/>
      <c r="L85" s="13"/>
      <c r="M85" s="13"/>
      <c r="U85" s="68" t="s">
        <v>37</v>
      </c>
      <c r="V85" s="41" t="str">
        <f ca="1">Planung!$L27</f>
        <v>Borussia Heine</v>
      </c>
      <c r="W85" s="13" t="str">
        <f ca="1">Planung!$N27</f>
        <v>Manchester City</v>
      </c>
      <c r="X85" s="13">
        <f ca="1">IF(AND(Vorrunde!$I33&lt;&gt;"",Vorrunde!$K33&lt;&gt;"",Vorrunde!$F33&lt;&gt;Vorrunde!$H33,$V85&lt;&gt;"",$W85&lt;&gt;""),Vorrunde!$I33,"")</f>
        <v>1</v>
      </c>
      <c r="Y85" s="36">
        <f ca="1">IF(AND(Vorrunde!$I33&lt;&gt;"",Vorrunde!$K33&lt;&gt;"",Vorrunde!$F33&lt;&gt;Vorrunde!$H33,$V85&lt;&gt;"",$W85&lt;&gt;""),Vorrunde!$K33,"")</f>
        <v>4</v>
      </c>
      <c r="Z85" s="35" t="str">
        <f t="shared" ca="1" si="68"/>
        <v>Borussia HeineManchester City</v>
      </c>
      <c r="AA85" s="13">
        <f t="shared" ca="1" si="67"/>
        <v>1</v>
      </c>
      <c r="AB85" s="13" t="str">
        <f ca="1">IF(AA85&gt;0,X85&amp;Sprache!$E$73&amp;Y85,"")</f>
        <v>1:4</v>
      </c>
      <c r="AD85" s="145"/>
      <c r="AE85" s="150">
        <f ca="1">IF($AA85=0,"",IF($X85&gt;$Y85,Einstellungen!$C$4,IF($X85=$Y85,1,0)))</f>
        <v>0</v>
      </c>
      <c r="AF85" s="145">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Planung!$L28</f>
        <v>Eintracht Frankfurt</v>
      </c>
      <c r="W86" s="13" t="str">
        <f ca="1">Planung!$N28</f>
        <v>FC Barcelona</v>
      </c>
      <c r="X86" s="13" t="str">
        <f ca="1">IF(AND(Vorrunde!$I34&lt;&gt;"",Vorrunde!$K34&lt;&gt;"",Vorrunde!$F34&lt;&gt;Vorrunde!$H34,$V86&lt;&gt;"",$W86&lt;&gt;""),Vorrunde!$I34,"")</f>
        <v/>
      </c>
      <c r="Y86" s="36" t="str">
        <f ca="1">IF(AND(Vorrunde!$I34&lt;&gt;"",Vorrunde!$K34&lt;&gt;"",Vorrunde!$F34&lt;&gt;Vorrunde!$H34,$V86&lt;&gt;"",$W86&lt;&gt;""),Vorrunde!$K34,"")</f>
        <v/>
      </c>
      <c r="Z86" s="35" t="str">
        <f t="shared" ca="1" si="68"/>
        <v>Eintracht FrankfurtFC Barcelona</v>
      </c>
      <c r="AA86" s="13">
        <f t="shared" ca="1" si="67"/>
        <v>0</v>
      </c>
      <c r="AB86" s="13" t="str">
        <f ca="1">IF(AA86&gt;0,X86&amp;Sprache!$E$73&amp;Y86,"")</f>
        <v/>
      </c>
      <c r="AD86" s="145"/>
      <c r="AE86" s="150" t="str">
        <f ca="1">IF($AA86=0,"",IF($X86&gt;$Y86,Einstellungen!$C$4,IF($X86=$Y86,1,0)))</f>
        <v/>
      </c>
      <c r="AF86" s="145" t="str">
        <f ca="1">IF($AA86=0,"",IF($X86&lt;$Y86,Einstellungen!$C$4,IF($X86=$Y86,1,0)))</f>
        <v/>
      </c>
    </row>
    <row r="87" spans="2:32" s="2" customFormat="1" x14ac:dyDescent="0.2">
      <c r="B87" s="4"/>
      <c r="C87" s="4"/>
      <c r="D87" s="4"/>
      <c r="E87" s="4"/>
      <c r="F87" s="13"/>
      <c r="G87" s="13"/>
      <c r="H87" s="13"/>
      <c r="I87" s="13"/>
      <c r="J87" s="13"/>
      <c r="K87" s="13"/>
      <c r="L87" s="13"/>
      <c r="M87" s="13"/>
      <c r="U87" s="68" t="s">
        <v>39</v>
      </c>
      <c r="V87" s="41" t="str">
        <f ca="1">Planung!$L29</f>
        <v>SSV Wildbach</v>
      </c>
      <c r="W87" s="13" t="str">
        <f ca="1">Planung!$N29</f>
        <v>Inter Mailand</v>
      </c>
      <c r="X87" s="13" t="str">
        <f ca="1">IF(AND(Vorrunde!$I35&lt;&gt;"",Vorrunde!$K35&lt;&gt;"",Vorrunde!$F35&lt;&gt;Vorrunde!$H35,$V87&lt;&gt;"",$W87&lt;&gt;""),Vorrunde!$I35,"")</f>
        <v/>
      </c>
      <c r="Y87" s="36" t="str">
        <f ca="1">IF(AND(Vorrunde!$I35&lt;&gt;"",Vorrunde!$K35&lt;&gt;"",Vorrunde!$F35&lt;&gt;Vorrunde!$H35,$V87&lt;&gt;"",$W87&lt;&gt;""),Vorrunde!$K35,"")</f>
        <v/>
      </c>
      <c r="Z87" s="35" t="str">
        <f t="shared" ca="1" si="68"/>
        <v>SSV WildbachInter Mailand</v>
      </c>
      <c r="AA87" s="13">
        <f t="shared" ca="1" si="67"/>
        <v>0</v>
      </c>
      <c r="AB87" s="13" t="str">
        <f ca="1">IF(AA87&gt;0,X87&amp;Sprache!$E$73&amp;Y87,"")</f>
        <v/>
      </c>
      <c r="AD87" s="145"/>
      <c r="AE87" s="150" t="str">
        <f ca="1">IF($AA87=0,"",IF($X87&gt;$Y87,Einstellungen!$C$4,IF($X87=$Y87,1,0)))</f>
        <v/>
      </c>
      <c r="AF87" s="145" t="str">
        <f ca="1">IF($AA87=0,"",IF($X87&lt;$Y87,Einstellungen!$C$4,IF($X87=$Y87,1,0)))</f>
        <v/>
      </c>
    </row>
    <row r="88" spans="2:32" s="2" customFormat="1" x14ac:dyDescent="0.2">
      <c r="B88" s="4"/>
      <c r="C88" s="4"/>
      <c r="D88" s="4"/>
      <c r="E88" s="4"/>
      <c r="F88" s="13"/>
      <c r="G88" s="13"/>
      <c r="H88" s="13"/>
      <c r="I88" s="13"/>
      <c r="J88" s="13"/>
      <c r="K88" s="13"/>
      <c r="L88" s="13"/>
      <c r="M88" s="13"/>
      <c r="U88" s="68" t="s">
        <v>40</v>
      </c>
      <c r="V88" s="41" t="str">
        <f ca="1">Planung!$L30</f>
        <v>VFB Essenheim</v>
      </c>
      <c r="W88" s="13" t="str">
        <f ca="1">Planung!$N30</f>
        <v>1. FC Riedwald</v>
      </c>
      <c r="X88" s="13" t="str">
        <f ca="1">IF(AND(Vorrunde!$I36&lt;&gt;"",Vorrunde!$K36&lt;&gt;"",Vorrunde!$F36&lt;&gt;Vorrunde!$H36,$V88&lt;&gt;"",$W88&lt;&gt;""),Vorrunde!$I36,"")</f>
        <v/>
      </c>
      <c r="Y88" s="36" t="str">
        <f ca="1">IF(AND(Vorrunde!$I36&lt;&gt;"",Vorrunde!$K36&lt;&gt;"",Vorrunde!$F36&lt;&gt;Vorrunde!$H36,$V88&lt;&gt;"",$W88&lt;&gt;""),Vorrunde!$K36,"")</f>
        <v/>
      </c>
      <c r="Z88" s="35" t="str">
        <f t="shared" ca="1" si="68"/>
        <v>VFB Essenheim1. FC Riedwald</v>
      </c>
      <c r="AA88" s="13">
        <f t="shared" ca="1" si="67"/>
        <v>0</v>
      </c>
      <c r="AB88" s="13" t="str">
        <f ca="1">IF(AA88&gt;0,X88&amp;Sprache!$E$73&amp;Y88,"")</f>
        <v/>
      </c>
      <c r="AD88" s="145"/>
      <c r="AE88" s="150" t="str">
        <f ca="1">IF($AA88=0,"",IF($X88&gt;$Y88,Einstellungen!$C$4,IF($X88=$Y88,1,0)))</f>
        <v/>
      </c>
      <c r="AF88" s="145"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Planung!$L31</f>
        <v>FC Grönlingen</v>
      </c>
      <c r="W89" s="13" t="str">
        <f ca="1">Planung!$N31</f>
        <v>Mainz 05</v>
      </c>
      <c r="X89" s="13" t="str">
        <f ca="1">IF(AND(Vorrunde!$I37&lt;&gt;"",Vorrunde!$K37&lt;&gt;"",Vorrunde!$F37&lt;&gt;Vorrunde!$H37,$V89&lt;&gt;"",$W89&lt;&gt;""),Vorrunde!$I37,"")</f>
        <v/>
      </c>
      <c r="Y89" s="36" t="str">
        <f ca="1">IF(AND(Vorrunde!$I37&lt;&gt;"",Vorrunde!$K37&lt;&gt;"",Vorrunde!$F37&lt;&gt;Vorrunde!$H37,$V89&lt;&gt;"",$W89&lt;&gt;""),Vorrunde!$K37,"")</f>
        <v/>
      </c>
      <c r="Z89" s="35" t="str">
        <f t="shared" ca="1" si="68"/>
        <v>FC GrönlingenMainz 05</v>
      </c>
      <c r="AA89" s="13">
        <f t="shared" ca="1" si="67"/>
        <v>0</v>
      </c>
      <c r="AB89" s="13" t="str">
        <f ca="1">IF(AA89&gt;0,X89&amp;Sprache!$E$73&amp;Y89,"")</f>
        <v/>
      </c>
      <c r="AD89" s="145"/>
      <c r="AE89" s="150" t="str">
        <f ca="1">IF($AA89=0,"",IF($X89&gt;$Y89,Einstellungen!$C$4,IF($X89=$Y89,1,0)))</f>
        <v/>
      </c>
      <c r="AF89" s="145" t="str">
        <f ca="1">IF($AA89=0,"",IF($X89&lt;$Y89,Einstellungen!$C$4,IF($X89=$Y89,1,0)))</f>
        <v/>
      </c>
    </row>
    <row r="90" spans="2:32" s="2" customFormat="1" x14ac:dyDescent="0.2">
      <c r="B90" s="4"/>
      <c r="C90" s="4"/>
      <c r="D90" s="4"/>
      <c r="E90" s="4"/>
      <c r="F90" s="13"/>
      <c r="G90" s="13"/>
      <c r="H90" s="13"/>
      <c r="I90" s="13"/>
      <c r="J90" s="13"/>
      <c r="K90" s="13"/>
      <c r="L90" s="13"/>
      <c r="M90" s="13"/>
      <c r="U90" s="68" t="s">
        <v>42</v>
      </c>
      <c r="V90" s="41" t="str">
        <f ca="1">Planung!$L32</f>
        <v>Maibach 1822 eV</v>
      </c>
      <c r="W90" s="13" t="str">
        <f ca="1">Planung!$N32</f>
        <v>Fun Kickers Oes</v>
      </c>
      <c r="X90" s="13" t="str">
        <f ca="1">IF(AND(Vorrunde!$I38&lt;&gt;"",Vorrunde!$K38&lt;&gt;"",Vorrunde!$F38&lt;&gt;Vorrunde!$H38,$V90&lt;&gt;"",$W90&lt;&gt;""),Vorrunde!$I38,"")</f>
        <v/>
      </c>
      <c r="Y90" s="36" t="str">
        <f ca="1">IF(AND(Vorrunde!$I38&lt;&gt;"",Vorrunde!$K38&lt;&gt;"",Vorrunde!$F38&lt;&gt;Vorrunde!$H38,$V90&lt;&gt;"",$W90&lt;&gt;""),Vorrunde!$K38,"")</f>
        <v/>
      </c>
      <c r="Z90" s="35" t="str">
        <f t="shared" ca="1" si="68"/>
        <v>Maibach 1822 eVFun Kickers Oes</v>
      </c>
      <c r="AA90" s="13">
        <f t="shared" ca="1" si="67"/>
        <v>0</v>
      </c>
      <c r="AB90" s="13" t="str">
        <f ca="1">IF(AA90&gt;0,X90&amp;Sprache!$E$73&amp;Y90,"")</f>
        <v/>
      </c>
      <c r="AD90" s="145"/>
      <c r="AE90" s="150" t="str">
        <f ca="1">IF($AA90=0,"",IF($X90&gt;$Y90,Einstellungen!$C$4,IF($X90=$Y90,1,0)))</f>
        <v/>
      </c>
      <c r="AF90" s="145" t="str">
        <f ca="1">IF($AA90=0,"",IF($X90&lt;$Y90,Einstellungen!$C$4,IF($X90=$Y90,1,0)))</f>
        <v/>
      </c>
    </row>
    <row r="91" spans="2:32" s="2" customFormat="1" x14ac:dyDescent="0.2">
      <c r="B91" s="4"/>
      <c r="C91" s="4"/>
      <c r="D91" s="4"/>
      <c r="E91" s="4"/>
      <c r="F91" s="13"/>
      <c r="G91" s="13"/>
      <c r="H91" s="13"/>
      <c r="I91" s="13"/>
      <c r="J91" s="13"/>
      <c r="K91" s="13"/>
      <c r="L91" s="13"/>
      <c r="M91" s="13"/>
      <c r="U91" s="68" t="s">
        <v>43</v>
      </c>
      <c r="V91" s="41" t="str">
        <f ca="1">Planung!$L33</f>
        <v>Manchester City</v>
      </c>
      <c r="W91" s="13" t="str">
        <f ca="1">Planung!$N33</f>
        <v>AC Roma</v>
      </c>
      <c r="X91" s="13" t="str">
        <f ca="1">IF(AND(Vorrunde!$I39&lt;&gt;"",Vorrunde!$K39&lt;&gt;"",Vorrunde!$F39&lt;&gt;Vorrunde!$H39,$V91&lt;&gt;"",$W91&lt;&gt;""),Vorrunde!$I39,"")</f>
        <v/>
      </c>
      <c r="Y91" s="36" t="str">
        <f ca="1">IF(AND(Vorrunde!$I39&lt;&gt;"",Vorrunde!$K39&lt;&gt;"",Vorrunde!$F39&lt;&gt;Vorrunde!$H39,$V91&lt;&gt;"",$W91&lt;&gt;""),Vorrunde!$K39,"")</f>
        <v/>
      </c>
      <c r="Z91" s="35" t="str">
        <f t="shared" ca="1" si="68"/>
        <v>Manchester CityAC Roma</v>
      </c>
      <c r="AA91" s="13">
        <f t="shared" ca="1" si="67"/>
        <v>0</v>
      </c>
      <c r="AB91" s="13" t="str">
        <f ca="1">IF(AA91&gt;0,X91&amp;Sprache!$E$73&amp;Y91,"")</f>
        <v/>
      </c>
      <c r="AD91" s="145"/>
      <c r="AE91" s="150" t="str">
        <f ca="1">IF($AA91=0,"",IF($X91&gt;$Y91,Einstellungen!$C$4,IF($X91=$Y91,1,0)))</f>
        <v/>
      </c>
      <c r="AF91" s="145" t="str">
        <f ca="1">IF($AA91=0,"",IF($X91&lt;$Y91,Einstellungen!$C$4,IF($X91=$Y91,1,0)))</f>
        <v/>
      </c>
    </row>
    <row r="92" spans="2:32" s="2" customFormat="1" x14ac:dyDescent="0.2">
      <c r="B92" s="4"/>
      <c r="C92" s="4"/>
      <c r="D92" s="4"/>
      <c r="E92" s="4"/>
      <c r="F92" s="13"/>
      <c r="G92" s="13"/>
      <c r="H92" s="13"/>
      <c r="I92" s="13"/>
      <c r="J92" s="13"/>
      <c r="K92" s="13"/>
      <c r="L92" s="13"/>
      <c r="M92" s="13"/>
      <c r="U92" s="68" t="s">
        <v>44</v>
      </c>
      <c r="V92" s="41" t="str">
        <f ca="1">Planung!$L34</f>
        <v>Raslo Winners</v>
      </c>
      <c r="W92" s="13" t="str">
        <f ca="1">Planung!$N34</f>
        <v>Eintracht Frankfurt</v>
      </c>
      <c r="X92" s="13" t="str">
        <f ca="1">IF(AND(Vorrunde!$I40&lt;&gt;"",Vorrunde!$K40&lt;&gt;"",Vorrunde!$F40&lt;&gt;Vorrunde!$H40,$V92&lt;&gt;"",$W92&lt;&gt;""),Vorrunde!$I40,"")</f>
        <v/>
      </c>
      <c r="Y92" s="36" t="str">
        <f ca="1">IF(AND(Vorrunde!$I40&lt;&gt;"",Vorrunde!$K40&lt;&gt;"",Vorrunde!$F40&lt;&gt;Vorrunde!$H40,$V92&lt;&gt;"",$W92&lt;&gt;""),Vorrunde!$K40,"")</f>
        <v/>
      </c>
      <c r="Z92" s="35" t="str">
        <f t="shared" ca="1" si="68"/>
        <v>Raslo WinnersEintracht Frankfurt</v>
      </c>
      <c r="AA92" s="13">
        <f t="shared" ca="1" si="67"/>
        <v>0</v>
      </c>
      <c r="AB92" s="13" t="str">
        <f ca="1">IF(AA92&gt;0,X92&amp;Sprache!$E$73&amp;Y92,"")</f>
        <v/>
      </c>
      <c r="AD92" s="145"/>
      <c r="AE92" s="150" t="str">
        <f ca="1">IF($AA92=0,"",IF($X92&gt;$Y92,Einstellungen!$C$4,IF($X92=$Y92,1,0)))</f>
        <v/>
      </c>
      <c r="AF92" s="145" t="str">
        <f ca="1">IF($AA92=0,"",IF($X92&lt;$Y92,Einstellungen!$C$4,IF($X92=$Y92,1,0)))</f>
        <v/>
      </c>
    </row>
    <row r="93" spans="2:32" s="2" customFormat="1" x14ac:dyDescent="0.2">
      <c r="B93" s="4"/>
      <c r="C93" s="4"/>
      <c r="D93" s="4"/>
      <c r="E93" s="4"/>
      <c r="F93" s="13"/>
      <c r="G93" s="13"/>
      <c r="H93" s="13"/>
      <c r="I93" s="13"/>
      <c r="J93" s="13"/>
      <c r="K93" s="13"/>
      <c r="L93" s="13"/>
      <c r="M93" s="13"/>
      <c r="U93" s="68" t="s">
        <v>45</v>
      </c>
      <c r="V93" s="41" t="str">
        <f ca="1">Planung!$L35</f>
        <v>VFL Ronsdorf</v>
      </c>
      <c r="W93" s="13" t="str">
        <f ca="1">Planung!$N35</f>
        <v>SSV Wildbach</v>
      </c>
      <c r="X93" s="13" t="str">
        <f ca="1">IF(AND(Vorrunde!$I41&lt;&gt;"",Vorrunde!$K41&lt;&gt;"",Vorrunde!$F41&lt;&gt;Vorrunde!$H41,$V93&lt;&gt;"",$W93&lt;&gt;""),Vorrunde!$I41,"")</f>
        <v/>
      </c>
      <c r="Y93" s="36" t="str">
        <f ca="1">IF(AND(Vorrunde!$I41&lt;&gt;"",Vorrunde!$K41&lt;&gt;"",Vorrunde!$F41&lt;&gt;Vorrunde!$H41,$V93&lt;&gt;"",$W93&lt;&gt;""),Vorrunde!$K41,"")</f>
        <v/>
      </c>
      <c r="Z93" s="35" t="str">
        <f t="shared" ca="1" si="68"/>
        <v>VFL RonsdorfSSV Wildbach</v>
      </c>
      <c r="AA93" s="13">
        <f t="shared" ca="1" si="67"/>
        <v>0</v>
      </c>
      <c r="AB93" s="13" t="str">
        <f ca="1">IF(AA93&gt;0,X93&amp;Sprache!$E$73&amp;Y93,"")</f>
        <v/>
      </c>
      <c r="AC93" s="4"/>
      <c r="AD93" s="145"/>
      <c r="AE93" s="150" t="str">
        <f ca="1">IF($AA93=0,"",IF($X93&gt;$Y93,Einstellungen!$C$4,IF($X93=$Y93,1,0)))</f>
        <v/>
      </c>
      <c r="AF93" s="145" t="str">
        <f ca="1">IF($AA93=0,"",IF($X93&lt;$Y93,Einstellungen!$C$4,IF($X93=$Y93,1,0)))</f>
        <v/>
      </c>
    </row>
    <row r="94" spans="2:32" s="2" customFormat="1" x14ac:dyDescent="0.2">
      <c r="B94" s="4"/>
      <c r="C94" s="4"/>
      <c r="D94" s="4"/>
      <c r="E94" s="4"/>
      <c r="F94" s="13"/>
      <c r="G94" s="13"/>
      <c r="H94" s="13"/>
      <c r="I94" s="13"/>
      <c r="J94" s="13"/>
      <c r="K94" s="13"/>
      <c r="L94" s="13"/>
      <c r="M94" s="13"/>
      <c r="U94" s="68" t="s">
        <v>46</v>
      </c>
      <c r="V94" s="41" t="str">
        <f ca="1">Planung!$L36</f>
        <v>FC Barcelona</v>
      </c>
      <c r="W94" s="13" t="str">
        <f ca="1">Planung!$N36</f>
        <v>Knock Out Rangers</v>
      </c>
      <c r="X94" s="13" t="str">
        <f ca="1">IF(AND(Vorrunde!$I42&lt;&gt;"",Vorrunde!$K42&lt;&gt;"",Vorrunde!$F42&lt;&gt;Vorrunde!$H42,$V94&lt;&gt;"",$W94&lt;&gt;""),Vorrunde!$I42,"")</f>
        <v/>
      </c>
      <c r="Y94" s="36" t="str">
        <f ca="1">IF(AND(Vorrunde!$I42&lt;&gt;"",Vorrunde!$K42&lt;&gt;"",Vorrunde!$F42&lt;&gt;Vorrunde!$H42,$V94&lt;&gt;"",$W94&lt;&gt;""),Vorrunde!$K42,"")</f>
        <v/>
      </c>
      <c r="Z94" s="35" t="str">
        <f t="shared" ref="Z94:Z135" ca="1" si="69">V94&amp;W94</f>
        <v>FC BarcelonaKnock Out Rangers</v>
      </c>
      <c r="AA94" s="13">
        <f t="shared" ref="AA94:AA135" ca="1" si="70">IF(AND(V94&lt;&gt;"",W94&lt;&gt;"",V94&lt;&gt;W94,X94&lt;&gt;"",Y94&lt;&gt;""),1,0)</f>
        <v>0</v>
      </c>
      <c r="AB94" s="13" t="str">
        <f ca="1">IF(AA94&gt;0,X94&amp;Sprache!$E$73&amp;Y94,"")</f>
        <v/>
      </c>
      <c r="AC94" s="4"/>
      <c r="AD94" s="145"/>
      <c r="AE94" s="150" t="str">
        <f ca="1">IF($AA94=0,"",IF($X94&gt;$Y94,Einstellungen!$C$4,IF($X94=$Y94,1,0)))</f>
        <v/>
      </c>
      <c r="AF94" s="145" t="str">
        <f ca="1">IF($AA94=0,"",IF($X94&lt;$Y94,Einstellungen!$C$4,IF($X94=$Y94,1,0)))</f>
        <v/>
      </c>
    </row>
    <row r="95" spans="2:32" s="2" customFormat="1" x14ac:dyDescent="0.2">
      <c r="B95" s="4"/>
      <c r="C95" s="4"/>
      <c r="D95" s="4"/>
      <c r="E95" s="4"/>
      <c r="F95" s="13"/>
      <c r="G95" s="13"/>
      <c r="H95" s="13"/>
      <c r="I95" s="13"/>
      <c r="J95" s="13"/>
      <c r="K95" s="13"/>
      <c r="L95" s="13"/>
      <c r="M95" s="13"/>
      <c r="U95" s="68" t="s">
        <v>47</v>
      </c>
      <c r="V95" s="41" t="str">
        <f ca="1">Planung!$L37</f>
        <v>Inter Mailand</v>
      </c>
      <c r="W95" s="13" t="str">
        <f ca="1">Planung!$N37</f>
        <v>Borussia Heine</v>
      </c>
      <c r="X95" s="13" t="str">
        <f ca="1">IF(AND(Vorrunde!$I43&lt;&gt;"",Vorrunde!$K43&lt;&gt;"",Vorrunde!$F43&lt;&gt;Vorrunde!$H43,$V95&lt;&gt;"",$W95&lt;&gt;""),Vorrunde!$I43,"")</f>
        <v/>
      </c>
      <c r="Y95" s="36" t="str">
        <f ca="1">IF(AND(Vorrunde!$I43&lt;&gt;"",Vorrunde!$K43&lt;&gt;"",Vorrunde!$F43&lt;&gt;Vorrunde!$H43,$V95&lt;&gt;"",$W95&lt;&gt;""),Vorrunde!$K43,"")</f>
        <v/>
      </c>
      <c r="Z95" s="35" t="str">
        <f t="shared" ca="1" si="69"/>
        <v>Inter MailandBorussia Heine</v>
      </c>
      <c r="AA95" s="13">
        <f t="shared" ca="1" si="70"/>
        <v>0</v>
      </c>
      <c r="AB95" s="13" t="str">
        <f ca="1">IF(AA95&gt;0,X95&amp;Sprache!$E$73&amp;Y95,"")</f>
        <v/>
      </c>
      <c r="AD95" s="145"/>
      <c r="AE95" s="150" t="str">
        <f ca="1">IF($AA95=0,"",IF($X95&gt;$Y95,Einstellungen!$C$4,IF($X95=$Y95,1,0)))</f>
        <v/>
      </c>
      <c r="AF95" s="145" t="str">
        <f ca="1">IF($AA95=0,"",IF($X95&lt;$Y95,Einstellungen!$C$4,IF($X95=$Y95,1,0)))</f>
        <v/>
      </c>
    </row>
    <row r="96" spans="2:32" s="2" customFormat="1" x14ac:dyDescent="0.2">
      <c r="B96" s="4"/>
      <c r="C96" s="4"/>
      <c r="D96" s="4"/>
      <c r="E96" s="4"/>
      <c r="F96" s="13"/>
      <c r="G96" s="13"/>
      <c r="H96" s="13"/>
      <c r="I96" s="13"/>
      <c r="J96" s="13"/>
      <c r="K96" s="13"/>
      <c r="L96" s="13"/>
      <c r="M96" s="13"/>
      <c r="U96" s="68" t="s">
        <v>48</v>
      </c>
      <c r="V96" s="41" t="str">
        <f ca="1">Planung!$L38</f>
        <v>1. FC Riedwald</v>
      </c>
      <c r="W96" s="13" t="str">
        <f ca="1">Planung!$N38</f>
        <v>Maibach 1822 eV</v>
      </c>
      <c r="X96" s="13" t="str">
        <f ca="1">IF(AND(Vorrunde!$I44&lt;&gt;"",Vorrunde!$K44&lt;&gt;"",Vorrunde!$F44&lt;&gt;Vorrunde!$H44,$V96&lt;&gt;"",$W96&lt;&gt;""),Vorrunde!$I44,"")</f>
        <v/>
      </c>
      <c r="Y96" s="36" t="str">
        <f ca="1">IF(AND(Vorrunde!$I44&lt;&gt;"",Vorrunde!$K44&lt;&gt;"",Vorrunde!$F44&lt;&gt;Vorrunde!$H44,$V96&lt;&gt;"",$W96&lt;&gt;""),Vorrunde!$K44,"")</f>
        <v/>
      </c>
      <c r="Z96" s="35" t="str">
        <f t="shared" ca="1" si="69"/>
        <v>1. FC RiedwaldMaibach 1822 eV</v>
      </c>
      <c r="AA96" s="13">
        <f t="shared" ca="1" si="70"/>
        <v>0</v>
      </c>
      <c r="AB96" s="13" t="str">
        <f ca="1">IF(AA96&gt;0,X96&amp;Sprache!$E$73&amp;Y96,"")</f>
        <v/>
      </c>
      <c r="AD96" s="145"/>
      <c r="AE96" s="150" t="str">
        <f ca="1">IF($AA96=0,"",IF($X96&gt;$Y96,Einstellungen!$C$4,IF($X96=$Y96,1,0)))</f>
        <v/>
      </c>
      <c r="AF96" s="145" t="str">
        <f ca="1">IF($AA96=0,"",IF($X96&lt;$Y96,Einstellungen!$C$4,IF($X96=$Y96,1,0)))</f>
        <v/>
      </c>
    </row>
    <row r="97" spans="2:32" s="2" customFormat="1" x14ac:dyDescent="0.2">
      <c r="B97" s="4"/>
      <c r="C97" s="4"/>
      <c r="D97" s="4"/>
      <c r="E97" s="4"/>
      <c r="F97" s="13"/>
      <c r="G97" s="13"/>
      <c r="H97" s="13"/>
      <c r="I97" s="13"/>
      <c r="J97" s="13"/>
      <c r="K97" s="13"/>
      <c r="L97" s="13"/>
      <c r="M97" s="13"/>
      <c r="U97" s="68" t="s">
        <v>49</v>
      </c>
      <c r="V97" s="41" t="str">
        <f ca="1">Planung!$L39</f>
        <v>Mainz 05</v>
      </c>
      <c r="W97" s="13" t="str">
        <f ca="1">Planung!$N39</f>
        <v>Manchester City</v>
      </c>
      <c r="X97" s="13" t="str">
        <f ca="1">IF(AND(Vorrunde!$I45&lt;&gt;"",Vorrunde!$K45&lt;&gt;"",Vorrunde!$F45&lt;&gt;Vorrunde!$H45,$V97&lt;&gt;"",$W97&lt;&gt;""),Vorrunde!$I45,"")</f>
        <v/>
      </c>
      <c r="Y97" s="36" t="str">
        <f ca="1">IF(AND(Vorrunde!$I45&lt;&gt;"",Vorrunde!$K45&lt;&gt;"",Vorrunde!$F45&lt;&gt;Vorrunde!$H45,$V97&lt;&gt;"",$W97&lt;&gt;""),Vorrunde!$K45,"")</f>
        <v/>
      </c>
      <c r="Z97" s="35" t="str">
        <f t="shared" ca="1" si="69"/>
        <v>Mainz 05Manchester City</v>
      </c>
      <c r="AA97" s="13">
        <f t="shared" ca="1" si="70"/>
        <v>0</v>
      </c>
      <c r="AB97" s="13" t="str">
        <f ca="1">IF(AA97&gt;0,X97&amp;Sprache!$E$73&amp;Y97,"")</f>
        <v/>
      </c>
      <c r="AD97" s="145"/>
      <c r="AE97" s="150" t="str">
        <f ca="1">IF($AA97=0,"",IF($X97&gt;$Y97,Einstellungen!$C$4,IF($X97=$Y97,1,0)))</f>
        <v/>
      </c>
      <c r="AF97" s="145" t="str">
        <f ca="1">IF($AA97=0,"",IF($X97&lt;$Y97,Einstellungen!$C$4,IF($X97=$Y97,1,0)))</f>
        <v/>
      </c>
    </row>
    <row r="98" spans="2:32" s="2" customFormat="1" x14ac:dyDescent="0.2">
      <c r="B98" s="4"/>
      <c r="C98" s="4"/>
      <c r="D98" s="4"/>
      <c r="E98" s="4"/>
      <c r="F98" s="13"/>
      <c r="G98" s="13"/>
      <c r="H98" s="13"/>
      <c r="I98" s="13"/>
      <c r="J98" s="13"/>
      <c r="K98" s="13"/>
      <c r="L98" s="13"/>
      <c r="M98" s="13"/>
      <c r="U98" s="68" t="s">
        <v>50</v>
      </c>
      <c r="V98" s="41" t="str">
        <f ca="1">Planung!$L40</f>
        <v>Eintracht Frankfurt</v>
      </c>
      <c r="W98" s="13" t="str">
        <f ca="1">Planung!$N40</f>
        <v>VFB Essenheim</v>
      </c>
      <c r="X98" s="13" t="str">
        <f ca="1">IF(AND(Vorrunde!$I46&lt;&gt;"",Vorrunde!$K46&lt;&gt;"",Vorrunde!$F46&lt;&gt;Vorrunde!$H46,$V98&lt;&gt;"",$W98&lt;&gt;""),Vorrunde!$I46,"")</f>
        <v/>
      </c>
      <c r="Y98" s="36" t="str">
        <f ca="1">IF(AND(Vorrunde!$I46&lt;&gt;"",Vorrunde!$K46&lt;&gt;"",Vorrunde!$F46&lt;&gt;Vorrunde!$H46,$V98&lt;&gt;"",$W98&lt;&gt;""),Vorrunde!$K46,"")</f>
        <v/>
      </c>
      <c r="Z98" s="35" t="str">
        <f t="shared" ca="1" si="69"/>
        <v>Eintracht FrankfurtVFB Essenheim</v>
      </c>
      <c r="AA98" s="13">
        <f t="shared" ca="1" si="70"/>
        <v>0</v>
      </c>
      <c r="AB98" s="13" t="str">
        <f ca="1">IF(AA98&gt;0,X98&amp;Sprache!$E$73&amp;Y98,"")</f>
        <v/>
      </c>
      <c r="AD98" s="145"/>
      <c r="AE98" s="150" t="str">
        <f ca="1">IF($AA98=0,"",IF($X98&gt;$Y98,Einstellungen!$C$4,IF($X98=$Y98,1,0)))</f>
        <v/>
      </c>
      <c r="AF98" s="145" t="str">
        <f ca="1">IF($AA98=0,"",IF($X98&lt;$Y98,Einstellungen!$C$4,IF($X98=$Y98,1,0)))</f>
        <v/>
      </c>
    </row>
    <row r="99" spans="2:32" s="2" customFormat="1" x14ac:dyDescent="0.2">
      <c r="B99" s="4"/>
      <c r="C99" s="4"/>
      <c r="D99" s="4"/>
      <c r="E99" s="4"/>
      <c r="F99" s="13"/>
      <c r="G99" s="13"/>
      <c r="H99" s="13"/>
      <c r="I99" s="13"/>
      <c r="J99" s="13"/>
      <c r="K99" s="13"/>
      <c r="L99" s="13"/>
      <c r="M99" s="13"/>
      <c r="U99" s="68" t="s">
        <v>51</v>
      </c>
      <c r="V99" s="41" t="str">
        <f ca="1">Planung!$L41</f>
        <v>SSV Wildbach</v>
      </c>
      <c r="W99" s="13" t="str">
        <f ca="1">Planung!$N41</f>
        <v>FC Grönlingen</v>
      </c>
      <c r="X99" s="13" t="str">
        <f ca="1">IF(AND(Vorrunde!$I47&lt;&gt;"",Vorrunde!$K47&lt;&gt;"",Vorrunde!$F47&lt;&gt;Vorrunde!$H47,$V99&lt;&gt;"",$W99&lt;&gt;""),Vorrunde!$I47,"")</f>
        <v/>
      </c>
      <c r="Y99" s="36" t="str">
        <f ca="1">IF(AND(Vorrunde!$I47&lt;&gt;"",Vorrunde!$K47&lt;&gt;"",Vorrunde!$F47&lt;&gt;Vorrunde!$H47,$V99&lt;&gt;"",$W99&lt;&gt;""),Vorrunde!$K47,"")</f>
        <v/>
      </c>
      <c r="Z99" s="35" t="str">
        <f t="shared" ca="1" si="69"/>
        <v>SSV WildbachFC Grönlingen</v>
      </c>
      <c r="AA99" s="13">
        <f t="shared" ca="1" si="70"/>
        <v>0</v>
      </c>
      <c r="AB99" s="13" t="str">
        <f ca="1">IF(AA99&gt;0,X99&amp;Sprache!$E$73&amp;Y99,"")</f>
        <v/>
      </c>
      <c r="AD99" s="145"/>
      <c r="AE99" s="150" t="str">
        <f ca="1">IF($AA99=0,"",IF($X99&gt;$Y99,Einstellungen!$C$4,IF($X99=$Y99,1,0)))</f>
        <v/>
      </c>
      <c r="AF99" s="145" t="str">
        <f ca="1">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 ca="1">Planung!$L42</f>
        <v>Fun Kickers Oes</v>
      </c>
      <c r="W100" s="13" t="str">
        <f ca="1">Planung!$N42</f>
        <v>FC Barcelona</v>
      </c>
      <c r="X100" s="13" t="str">
        <f ca="1">IF(AND(Vorrunde!$I48&lt;&gt;"",Vorrunde!$K48&lt;&gt;"",Vorrunde!$F48&lt;&gt;Vorrunde!$H48,$V100&lt;&gt;"",$W100&lt;&gt;""),Vorrunde!$I48,"")</f>
        <v/>
      </c>
      <c r="Y100" s="36" t="str">
        <f ca="1">IF(AND(Vorrunde!$I48&lt;&gt;"",Vorrunde!$K48&lt;&gt;"",Vorrunde!$F48&lt;&gt;Vorrunde!$H48,$V100&lt;&gt;"",$W100&lt;&gt;""),Vorrunde!$K48,"")</f>
        <v/>
      </c>
      <c r="Z100" s="35" t="str">
        <f t="shared" ca="1" si="69"/>
        <v>Fun Kickers OesFC Barcelona</v>
      </c>
      <c r="AA100" s="13">
        <f t="shared" ca="1" si="70"/>
        <v>0</v>
      </c>
      <c r="AB100" s="13" t="str">
        <f ca="1">IF(AA100&gt;0,X100&amp;Sprache!$E$73&amp;Y100,"")</f>
        <v/>
      </c>
      <c r="AD100" s="145"/>
      <c r="AE100" s="150" t="str">
        <f ca="1">IF($AA100=0,"",IF($X100&gt;$Y100,Einstellungen!$C$4,IF($X100=$Y100,1,0)))</f>
        <v/>
      </c>
      <c r="AF100" s="145" t="str">
        <f ca="1">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 ca="1">Planung!$L43</f>
        <v>AC Roma</v>
      </c>
      <c r="W101" s="13" t="str">
        <f ca="1">Planung!$N43</f>
        <v>Inter Mailand</v>
      </c>
      <c r="X101" s="13" t="str">
        <f ca="1">IF(AND(Vorrunde!$I49&lt;&gt;"",Vorrunde!$K49&lt;&gt;"",Vorrunde!$F49&lt;&gt;Vorrunde!$H49,$V101&lt;&gt;"",$W101&lt;&gt;""),Vorrunde!$I49,"")</f>
        <v/>
      </c>
      <c r="Y101" s="36" t="str">
        <f ca="1">IF(AND(Vorrunde!$I49&lt;&gt;"",Vorrunde!$K49&lt;&gt;"",Vorrunde!$F49&lt;&gt;Vorrunde!$H49,$V101&lt;&gt;"",$W101&lt;&gt;""),Vorrunde!$K49,"")</f>
        <v/>
      </c>
      <c r="Z101" s="35" t="str">
        <f t="shared" ca="1" si="69"/>
        <v>AC RomaInter Mailand</v>
      </c>
      <c r="AA101" s="13">
        <f t="shared" ca="1" si="70"/>
        <v>0</v>
      </c>
      <c r="AB101" s="13" t="str">
        <f ca="1">IF(AA101&gt;0,X101&amp;Sprache!$E$73&amp;Y101,"")</f>
        <v/>
      </c>
      <c r="AD101" s="145"/>
      <c r="AE101" s="150" t="str">
        <f ca="1">IF($AA101=0,"",IF($X101&gt;$Y101,Einstellungen!$C$4,IF($X101=$Y101,1,0)))</f>
        <v/>
      </c>
      <c r="AF101" s="145" t="str">
        <f ca="1">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 ca="1">Planung!$L44</f>
        <v>Knock Out Rangers</v>
      </c>
      <c r="W102" s="13" t="str">
        <f ca="1">Planung!$N44</f>
        <v>Raslo Winners</v>
      </c>
      <c r="X102" s="13" t="str">
        <f ca="1">IF(AND(Vorrunde!$I50&lt;&gt;"",Vorrunde!$K50&lt;&gt;"",Vorrunde!$F50&lt;&gt;Vorrunde!$H50,$V102&lt;&gt;"",$W102&lt;&gt;""),Vorrunde!$I50,"")</f>
        <v/>
      </c>
      <c r="Y102" s="36" t="str">
        <f ca="1">IF(AND(Vorrunde!$I50&lt;&gt;"",Vorrunde!$K50&lt;&gt;"",Vorrunde!$F50&lt;&gt;Vorrunde!$H50,$V102&lt;&gt;"",$W102&lt;&gt;""),Vorrunde!$K50,"")</f>
        <v/>
      </c>
      <c r="Z102" s="35" t="str">
        <f t="shared" ca="1" si="69"/>
        <v>Knock Out RangersRaslo Winners</v>
      </c>
      <c r="AA102" s="13">
        <f t="shared" ca="1" si="70"/>
        <v>0</v>
      </c>
      <c r="AB102" s="13" t="str">
        <f ca="1">IF(AA102&gt;0,X102&amp;Sprache!$E$73&amp;Y102,"")</f>
        <v/>
      </c>
      <c r="AD102" s="145"/>
      <c r="AE102" s="150" t="str">
        <f ca="1">IF($AA102=0,"",IF($X102&gt;$Y102,Einstellungen!$C$4,IF($X102=$Y102,1,0)))</f>
        <v/>
      </c>
      <c r="AF102" s="145" t="str">
        <f ca="1">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 ca="1">Planung!$L45</f>
        <v>Borussia Heine</v>
      </c>
      <c r="W103" s="13" t="str">
        <f ca="1">Planung!$N45</f>
        <v>VFL Ronsdorf</v>
      </c>
      <c r="X103" s="13" t="str">
        <f ca="1">IF(AND(Vorrunde!$I51&lt;&gt;"",Vorrunde!$K51&lt;&gt;"",Vorrunde!$F51&lt;&gt;Vorrunde!$H51,$V103&lt;&gt;"",$W103&lt;&gt;""),Vorrunde!$I51,"")</f>
        <v/>
      </c>
      <c r="Y103" s="36" t="str">
        <f ca="1">IF(AND(Vorrunde!$I51&lt;&gt;"",Vorrunde!$K51&lt;&gt;"",Vorrunde!$F51&lt;&gt;Vorrunde!$H51,$V103&lt;&gt;"",$W103&lt;&gt;""),Vorrunde!$K51,"")</f>
        <v/>
      </c>
      <c r="Z103" s="35" t="str">
        <f t="shared" ca="1" si="69"/>
        <v>Borussia HeineVFL Ronsdorf</v>
      </c>
      <c r="AA103" s="13">
        <f t="shared" ca="1" si="70"/>
        <v>0</v>
      </c>
      <c r="AB103" s="13" t="str">
        <f ca="1">IF(AA103&gt;0,X103&amp;Sprache!$E$73&amp;Y103,"")</f>
        <v/>
      </c>
      <c r="AD103" s="145"/>
      <c r="AE103" s="150" t="str">
        <f ca="1">IF($AA103=0,"",IF($X103&gt;$Y103,Einstellungen!$C$4,IF($X103=$Y103,1,0)))</f>
        <v/>
      </c>
      <c r="AF103" s="145" t="str">
        <f ca="1">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 ca="1">Planung!$L46</f>
        <v>Eintracht Frankfurt</v>
      </c>
      <c r="W104" s="13" t="str">
        <f ca="1">Planung!$N46</f>
        <v>1. FC Riedwald</v>
      </c>
      <c r="X104" s="13" t="str">
        <f ca="1">IF(AND(Vorrunde!$I52&lt;&gt;"",Vorrunde!$K52&lt;&gt;"",Vorrunde!$F52&lt;&gt;Vorrunde!$H52,$V104&lt;&gt;"",$W104&lt;&gt;""),Vorrunde!$I52,"")</f>
        <v/>
      </c>
      <c r="Y104" s="36" t="str">
        <f ca="1">IF(AND(Vorrunde!$I52&lt;&gt;"",Vorrunde!$K52&lt;&gt;"",Vorrunde!$F52&lt;&gt;Vorrunde!$H52,$V104&lt;&gt;"",$W104&lt;&gt;""),Vorrunde!$K52,"")</f>
        <v/>
      </c>
      <c r="Z104" s="35" t="str">
        <f t="shared" ca="1" si="69"/>
        <v>Eintracht Frankfurt1. FC Riedwald</v>
      </c>
      <c r="AA104" s="13">
        <f t="shared" ca="1" si="70"/>
        <v>0</v>
      </c>
      <c r="AB104" s="13" t="str">
        <f ca="1">IF(AA104&gt;0,X104&amp;Sprache!$E$73&amp;Y104,"")</f>
        <v/>
      </c>
      <c r="AD104" s="145"/>
      <c r="AE104" s="150" t="str">
        <f ca="1">IF($AA104=0,"",IF($X104&gt;$Y104,Einstellungen!$C$4,IF($X104=$Y104,1,0)))</f>
        <v/>
      </c>
      <c r="AF104" s="145" t="str">
        <f ca="1">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 ca="1">Planung!$L47</f>
        <v>SSV Wildbach</v>
      </c>
      <c r="W105" s="13" t="str">
        <f ca="1">Planung!$N47</f>
        <v>Mainz 05</v>
      </c>
      <c r="X105" s="13" t="str">
        <f ca="1">IF(AND(Vorrunde!$I53&lt;&gt;"",Vorrunde!$K53&lt;&gt;"",Vorrunde!$F53&lt;&gt;Vorrunde!$H53,$V105&lt;&gt;"",$W105&lt;&gt;""),Vorrunde!$I53,"")</f>
        <v/>
      </c>
      <c r="Y105" s="36" t="str">
        <f ca="1">IF(AND(Vorrunde!$I53&lt;&gt;"",Vorrunde!$K53&lt;&gt;"",Vorrunde!$F53&lt;&gt;Vorrunde!$H53,$V105&lt;&gt;"",$W105&lt;&gt;""),Vorrunde!$K53,"")</f>
        <v/>
      </c>
      <c r="Z105" s="35" t="str">
        <f t="shared" ca="1" si="69"/>
        <v>SSV WildbachMainz 05</v>
      </c>
      <c r="AA105" s="13">
        <f t="shared" ca="1" si="70"/>
        <v>0</v>
      </c>
      <c r="AB105" s="13" t="str">
        <f ca="1">IF(AA105&gt;0,X105&amp;Sprache!$E$73&amp;Y105,"")</f>
        <v/>
      </c>
      <c r="AD105" s="145"/>
      <c r="AE105" s="150" t="str">
        <f ca="1">IF($AA105=0,"",IF($X105&gt;$Y105,Einstellungen!$C$4,IF($X105=$Y105,1,0)))</f>
        <v/>
      </c>
      <c r="AF105" s="145" t="str">
        <f ca="1">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 ca="1">Planung!$L48</f>
        <v>FC Barcelona</v>
      </c>
      <c r="W106" s="13" t="str">
        <f ca="1">Planung!$N48</f>
        <v>Maibach 1822 eV</v>
      </c>
      <c r="X106" s="13" t="str">
        <f ca="1">IF(AND(Vorrunde!$I54&lt;&gt;"",Vorrunde!$K54&lt;&gt;"",Vorrunde!$F54&lt;&gt;Vorrunde!$H54,$V106&lt;&gt;"",$W106&lt;&gt;""),Vorrunde!$I54,"")</f>
        <v/>
      </c>
      <c r="Y106" s="36" t="str">
        <f ca="1">IF(AND(Vorrunde!$I54&lt;&gt;"",Vorrunde!$K54&lt;&gt;"",Vorrunde!$F54&lt;&gt;Vorrunde!$H54,$V106&lt;&gt;"",$W106&lt;&gt;""),Vorrunde!$K54,"")</f>
        <v/>
      </c>
      <c r="Z106" s="35" t="str">
        <f t="shared" ca="1" si="69"/>
        <v>FC BarcelonaMaibach 1822 eV</v>
      </c>
      <c r="AA106" s="13">
        <f t="shared" ca="1" si="70"/>
        <v>0</v>
      </c>
      <c r="AB106" s="13" t="str">
        <f ca="1">IF(AA106&gt;0,X106&amp;Sprache!$E$73&amp;Y106,"")</f>
        <v/>
      </c>
      <c r="AD106" s="145"/>
      <c r="AE106" s="150" t="str">
        <f ca="1">IF($AA106=0,"",IF($X106&gt;$Y106,Einstellungen!$C$4,IF($X106=$Y106,1,0)))</f>
        <v/>
      </c>
      <c r="AF106" s="145" t="str">
        <f ca="1">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 ca="1">Planung!$L49</f>
        <v>Inter Mailand</v>
      </c>
      <c r="W107" s="13" t="str">
        <f ca="1">Planung!$N49</f>
        <v>Manchester City</v>
      </c>
      <c r="X107" s="13" t="str">
        <f ca="1">IF(AND(Vorrunde!$I55&lt;&gt;"",Vorrunde!$K55&lt;&gt;"",Vorrunde!$F55&lt;&gt;Vorrunde!$H55,$V107&lt;&gt;"",$W107&lt;&gt;""),Vorrunde!$I55,"")</f>
        <v/>
      </c>
      <c r="Y107" s="36" t="str">
        <f ca="1">IF(AND(Vorrunde!$I55&lt;&gt;"",Vorrunde!$K55&lt;&gt;"",Vorrunde!$F55&lt;&gt;Vorrunde!$H55,$V107&lt;&gt;"",$W107&lt;&gt;""),Vorrunde!$K55,"")</f>
        <v/>
      </c>
      <c r="Z107" s="35" t="str">
        <f t="shared" ca="1" si="69"/>
        <v>Inter MailandManchester City</v>
      </c>
      <c r="AA107" s="13">
        <f t="shared" ca="1" si="70"/>
        <v>0</v>
      </c>
      <c r="AB107" s="13" t="str">
        <f ca="1">IF(AA107&gt;0,X107&amp;Sprache!$E$73&amp;Y107,"")</f>
        <v/>
      </c>
      <c r="AD107" s="145"/>
      <c r="AE107" s="150" t="str">
        <f ca="1">IF($AA107=0,"",IF($X107&gt;$Y107,Einstellungen!$C$4,IF($X107=$Y107,1,0)))</f>
        <v/>
      </c>
      <c r="AF107" s="145" t="str">
        <f ca="1">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 ca="1">Planung!$L50</f>
        <v>VFB Essenheim</v>
      </c>
      <c r="W108" s="13" t="str">
        <f ca="1">Planung!$N50</f>
        <v>Knock Out Rangers</v>
      </c>
      <c r="X108" s="13" t="str">
        <f ca="1">IF(AND(Vorrunde!$I56&lt;&gt;"",Vorrunde!$K56&lt;&gt;"",Vorrunde!$F56&lt;&gt;Vorrunde!$H56,$V108&lt;&gt;"",$W108&lt;&gt;""),Vorrunde!$I56,"")</f>
        <v/>
      </c>
      <c r="Y108" s="36" t="str">
        <f ca="1">IF(AND(Vorrunde!$I56&lt;&gt;"",Vorrunde!$K56&lt;&gt;"",Vorrunde!$F56&lt;&gt;Vorrunde!$H56,$V108&lt;&gt;"",$W108&lt;&gt;""),Vorrunde!$K56,"")</f>
        <v/>
      </c>
      <c r="Z108" s="35" t="str">
        <f t="shared" ca="1" si="69"/>
        <v>VFB EssenheimKnock Out Rangers</v>
      </c>
      <c r="AA108" s="13">
        <f t="shared" ca="1" si="70"/>
        <v>0</v>
      </c>
      <c r="AB108" s="13" t="str">
        <f ca="1">IF(AA108&gt;0,X108&amp;Sprache!$E$73&amp;Y108,"")</f>
        <v/>
      </c>
      <c r="AD108" s="145"/>
      <c r="AE108" s="150" t="str">
        <f ca="1">IF($AA108=0,"",IF($X108&gt;$Y108,Einstellungen!$C$4,IF($X108=$Y108,1,0)))</f>
        <v/>
      </c>
      <c r="AF108" s="145" t="str">
        <f ca="1">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 ca="1">Planung!$L51</f>
        <v>FC Grönlingen</v>
      </c>
      <c r="W109" s="13" t="str">
        <f ca="1">Planung!$N51</f>
        <v>Borussia Heine</v>
      </c>
      <c r="X109" s="13" t="str">
        <f ca="1">IF(AND(Vorrunde!$I57&lt;&gt;"",Vorrunde!$K57&lt;&gt;"",Vorrunde!$F57&lt;&gt;Vorrunde!$H57,$V109&lt;&gt;"",$W109&lt;&gt;""),Vorrunde!$I57,"")</f>
        <v/>
      </c>
      <c r="Y109" s="36" t="str">
        <f ca="1">IF(AND(Vorrunde!$I57&lt;&gt;"",Vorrunde!$K57&lt;&gt;"",Vorrunde!$F57&lt;&gt;Vorrunde!$H57,$V109&lt;&gt;"",$W109&lt;&gt;""),Vorrunde!$K57,"")</f>
        <v/>
      </c>
      <c r="Z109" s="35" t="str">
        <f t="shared" ca="1" si="69"/>
        <v>FC GrönlingenBorussia Heine</v>
      </c>
      <c r="AA109" s="13">
        <f t="shared" ca="1" si="70"/>
        <v>0</v>
      </c>
      <c r="AB109" s="13" t="str">
        <f ca="1">IF(AA109&gt;0,X109&amp;Sprache!$E$73&amp;Y109,"")</f>
        <v/>
      </c>
      <c r="AD109" s="145"/>
      <c r="AE109" s="150" t="str">
        <f ca="1">IF($AA109=0,"",IF($X109&gt;$Y109,Einstellungen!$C$4,IF($X109=$Y109,1,0)))</f>
        <v/>
      </c>
      <c r="AF109" s="145" t="str">
        <f ca="1">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 ca="1">Planung!$L52</f>
        <v>Raslo Winners</v>
      </c>
      <c r="W110" s="13" t="str">
        <f ca="1">Planung!$N52</f>
        <v>Fun Kickers Oes</v>
      </c>
      <c r="X110" s="13" t="str">
        <f ca="1">IF(AND(Vorrunde!$I58&lt;&gt;"",Vorrunde!$K58&lt;&gt;"",Vorrunde!$F58&lt;&gt;Vorrunde!$H58,$V110&lt;&gt;"",$W110&lt;&gt;""),Vorrunde!$I58,"")</f>
        <v/>
      </c>
      <c r="Y110" s="36" t="str">
        <f ca="1">IF(AND(Vorrunde!$I58&lt;&gt;"",Vorrunde!$K58&lt;&gt;"",Vorrunde!$F58&lt;&gt;Vorrunde!$H58,$V110&lt;&gt;"",$W110&lt;&gt;""),Vorrunde!$K58,"")</f>
        <v/>
      </c>
      <c r="Z110" s="35" t="str">
        <f t="shared" ca="1" si="69"/>
        <v>Raslo WinnersFun Kickers Oes</v>
      </c>
      <c r="AA110" s="13">
        <f t="shared" ca="1" si="70"/>
        <v>0</v>
      </c>
      <c r="AB110" s="13" t="str">
        <f ca="1">IF(AA110&gt;0,X110&amp;Sprache!$E$73&amp;Y110,"")</f>
        <v/>
      </c>
      <c r="AD110" s="145"/>
      <c r="AE110" s="150" t="str">
        <f ca="1">IF($AA110=0,"",IF($X110&gt;$Y110,Einstellungen!$C$4,IF($X110=$Y110,1,0)))</f>
        <v/>
      </c>
      <c r="AF110" s="145" t="str">
        <f ca="1">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 ca="1">Planung!$L53</f>
        <v>VFL Ronsdorf</v>
      </c>
      <c r="W111" s="13" t="str">
        <f ca="1">Planung!$N53</f>
        <v>AC Roma</v>
      </c>
      <c r="X111" s="13" t="str">
        <f ca="1">IF(AND(Vorrunde!$I59&lt;&gt;"",Vorrunde!$K59&lt;&gt;"",Vorrunde!$F59&lt;&gt;Vorrunde!$H59,$V111&lt;&gt;"",$W111&lt;&gt;""),Vorrunde!$I59,"")</f>
        <v/>
      </c>
      <c r="Y111" s="36" t="str">
        <f ca="1">IF(AND(Vorrunde!$I59&lt;&gt;"",Vorrunde!$K59&lt;&gt;"",Vorrunde!$F59&lt;&gt;Vorrunde!$H59,$V111&lt;&gt;"",$W111&lt;&gt;""),Vorrunde!$K59,"")</f>
        <v/>
      </c>
      <c r="Z111" s="35" t="str">
        <f t="shared" ca="1" si="69"/>
        <v>VFL RonsdorfAC Roma</v>
      </c>
      <c r="AA111" s="13">
        <f t="shared" ca="1" si="70"/>
        <v>0</v>
      </c>
      <c r="AB111" s="13" t="str">
        <f ca="1">IF(AA111&gt;0,X111&amp;Sprache!$E$73&amp;Y111,"")</f>
        <v/>
      </c>
      <c r="AD111" s="145"/>
      <c r="AE111" s="150" t="str">
        <f ca="1">IF($AA111=0,"",IF($X111&gt;$Y111,Einstellungen!$C$4,IF($X111=$Y111,1,0)))</f>
        <v/>
      </c>
      <c r="AF111" s="145" t="str">
        <f ca="1">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 ca="1">Planung!$L54</f>
        <v>1. FC Riedwald</v>
      </c>
      <c r="W112" s="13" t="str">
        <f ca="1">Planung!$N54</f>
        <v>FC Barcelona</v>
      </c>
      <c r="X112" s="13" t="str">
        <f ca="1">IF(AND(Vorrunde!$I60&lt;&gt;"",Vorrunde!$K60&lt;&gt;"",Vorrunde!$F60&lt;&gt;Vorrunde!$H60,$V112&lt;&gt;"",$W112&lt;&gt;""),Vorrunde!$I60,"")</f>
        <v/>
      </c>
      <c r="Y112" s="36" t="str">
        <f ca="1">IF(AND(Vorrunde!$I60&lt;&gt;"",Vorrunde!$K60&lt;&gt;"",Vorrunde!$F60&lt;&gt;Vorrunde!$H60,$V112&lt;&gt;"",$W112&lt;&gt;""),Vorrunde!$K60,"")</f>
        <v/>
      </c>
      <c r="Z112" s="35" t="str">
        <f t="shared" ca="1" si="69"/>
        <v>1. FC RiedwaldFC Barcelona</v>
      </c>
      <c r="AA112" s="13">
        <f t="shared" ca="1" si="70"/>
        <v>0</v>
      </c>
      <c r="AB112" s="13" t="str">
        <f ca="1">IF(AA112&gt;0,X112&amp;Sprache!$E$73&amp;Y112,"")</f>
        <v/>
      </c>
      <c r="AD112" s="145"/>
      <c r="AE112" s="150" t="str">
        <f ca="1">IF($AA112=0,"",IF($X112&gt;$Y112,Einstellungen!$C$4,IF($X112=$Y112,1,0)))</f>
        <v/>
      </c>
      <c r="AF112" s="145" t="str">
        <f ca="1">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 ca="1">Planung!$L55</f>
        <v>Mainz 05</v>
      </c>
      <c r="W113" s="13" t="str">
        <f ca="1">Planung!$N55</f>
        <v>Inter Mailand</v>
      </c>
      <c r="X113" s="13" t="str">
        <f ca="1">IF(AND(Vorrunde!$I61&lt;&gt;"",Vorrunde!$K61&lt;&gt;"",Vorrunde!$F61&lt;&gt;Vorrunde!$H61,$V113&lt;&gt;"",$W113&lt;&gt;""),Vorrunde!$I61,"")</f>
        <v/>
      </c>
      <c r="Y113" s="36" t="str">
        <f ca="1">IF(AND(Vorrunde!$I61&lt;&gt;"",Vorrunde!$K61&lt;&gt;"",Vorrunde!$F61&lt;&gt;Vorrunde!$H61,$V113&lt;&gt;"",$W113&lt;&gt;""),Vorrunde!$K61,"")</f>
        <v/>
      </c>
      <c r="Z113" s="35" t="str">
        <f t="shared" ca="1" si="69"/>
        <v>Mainz 05Inter Mailand</v>
      </c>
      <c r="AA113" s="13">
        <f t="shared" ca="1" si="70"/>
        <v>0</v>
      </c>
      <c r="AB113" s="13" t="str">
        <f ca="1">IF(AA113&gt;0,X113&amp;Sprache!$E$73&amp;Y113,"")</f>
        <v/>
      </c>
      <c r="AD113" s="145"/>
      <c r="AE113" s="150" t="str">
        <f ca="1">IF($AA113=0,"",IF($X113&gt;$Y113,Einstellungen!$C$4,IF($X113=$Y113,1,0)))</f>
        <v/>
      </c>
      <c r="AF113" s="145" t="str">
        <f ca="1">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 ca="1">Planung!$L56</f>
        <v>Knock Out Rangers</v>
      </c>
      <c r="W114" s="13" t="str">
        <f ca="1">Planung!$N56</f>
        <v>Eintracht Frankfurt</v>
      </c>
      <c r="X114" s="13" t="str">
        <f ca="1">IF(AND(Vorrunde!$I62&lt;&gt;"",Vorrunde!$K62&lt;&gt;"",Vorrunde!$F62&lt;&gt;Vorrunde!$H62,$V114&lt;&gt;"",$W114&lt;&gt;""),Vorrunde!$I62,"")</f>
        <v/>
      </c>
      <c r="Y114" s="36" t="str">
        <f ca="1">IF(AND(Vorrunde!$I62&lt;&gt;"",Vorrunde!$K62&lt;&gt;"",Vorrunde!$F62&lt;&gt;Vorrunde!$H62,$V114&lt;&gt;"",$W114&lt;&gt;""),Vorrunde!$K62,"")</f>
        <v/>
      </c>
      <c r="Z114" s="35" t="str">
        <f t="shared" ca="1" si="69"/>
        <v>Knock Out RangersEintracht Frankfurt</v>
      </c>
      <c r="AA114" s="13">
        <f t="shared" ca="1" si="70"/>
        <v>0</v>
      </c>
      <c r="AB114" s="13" t="str">
        <f ca="1">IF(AA114&gt;0,X114&amp;Sprache!$E$73&amp;Y114,"")</f>
        <v/>
      </c>
      <c r="AD114" s="145"/>
      <c r="AE114" s="150" t="str">
        <f ca="1">IF($AA114=0,"",IF($X114&gt;$Y114,Einstellungen!$C$4,IF($X114=$Y114,1,0)))</f>
        <v/>
      </c>
      <c r="AF114" s="145" t="str">
        <f ca="1">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 ca="1">Planung!$L57</f>
        <v>Borussia Heine</v>
      </c>
      <c r="W115" s="13" t="str">
        <f ca="1">Planung!$N57</f>
        <v>SSV Wildbach</v>
      </c>
      <c r="X115" s="13" t="str">
        <f ca="1">IF(AND(Vorrunde!$I63&lt;&gt;"",Vorrunde!$K63&lt;&gt;"",Vorrunde!$F63&lt;&gt;Vorrunde!$H63,$V115&lt;&gt;"",$W115&lt;&gt;""),Vorrunde!$I63,"")</f>
        <v/>
      </c>
      <c r="Y115" s="36" t="str">
        <f ca="1">IF(AND(Vorrunde!$I63&lt;&gt;"",Vorrunde!$K63&lt;&gt;"",Vorrunde!$F63&lt;&gt;Vorrunde!$H63,$V115&lt;&gt;"",$W115&lt;&gt;""),Vorrunde!$K63,"")</f>
        <v/>
      </c>
      <c r="Z115" s="35" t="str">
        <f t="shared" ca="1" si="69"/>
        <v>Borussia HeineSSV Wildbach</v>
      </c>
      <c r="AA115" s="13">
        <f t="shared" ca="1" si="70"/>
        <v>0</v>
      </c>
      <c r="AB115" s="13" t="str">
        <f ca="1">IF(AA115&gt;0,X115&amp;Sprache!$E$73&amp;Y115,"")</f>
        <v/>
      </c>
      <c r="AD115" s="145"/>
      <c r="AE115" s="150" t="str">
        <f ca="1">IF($AA115=0,"",IF($X115&gt;$Y115,Einstellungen!$C$4,IF($X115=$Y115,1,0)))</f>
        <v/>
      </c>
      <c r="AF115" s="145" t="str">
        <f ca="1">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 ca="1">Planung!$L58</f>
        <v>Maibach 1822 eV</v>
      </c>
      <c r="W116" s="13" t="str">
        <f ca="1">Planung!$N58</f>
        <v>Raslo Winners</v>
      </c>
      <c r="X116" s="13" t="str">
        <f ca="1">IF(AND(Vorrunde!$I64&lt;&gt;"",Vorrunde!$K64&lt;&gt;"",Vorrunde!$F64&lt;&gt;Vorrunde!$H64,$V116&lt;&gt;"",$W116&lt;&gt;""),Vorrunde!$I64,"")</f>
        <v/>
      </c>
      <c r="Y116" s="36" t="str">
        <f ca="1">IF(AND(Vorrunde!$I64&lt;&gt;"",Vorrunde!$K64&lt;&gt;"",Vorrunde!$F64&lt;&gt;Vorrunde!$H64,$V116&lt;&gt;"",$W116&lt;&gt;""),Vorrunde!$K64,"")</f>
        <v/>
      </c>
      <c r="Z116" s="35" t="str">
        <f t="shared" ca="1" si="69"/>
        <v>Maibach 1822 eVRaslo Winners</v>
      </c>
      <c r="AA116" s="13">
        <f t="shared" ca="1" si="70"/>
        <v>0</v>
      </c>
      <c r="AB116" s="13" t="str">
        <f ca="1">IF(AA116&gt;0,X116&amp;Sprache!$E$73&amp;Y116,"")</f>
        <v/>
      </c>
      <c r="AD116" s="145"/>
      <c r="AE116" s="150" t="str">
        <f ca="1">IF($AA116=0,"",IF($X116&gt;$Y116,Einstellungen!$C$4,IF($X116=$Y116,1,0)))</f>
        <v/>
      </c>
      <c r="AF116" s="145" t="str">
        <f ca="1">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 ca="1">Planung!$L59</f>
        <v>Manchester City</v>
      </c>
      <c r="W117" s="13" t="str">
        <f ca="1">Planung!$N59</f>
        <v>VFL Ronsdorf</v>
      </c>
      <c r="X117" s="13" t="str">
        <f ca="1">IF(AND(Vorrunde!$I65&lt;&gt;"",Vorrunde!$K65&lt;&gt;"",Vorrunde!$F65&lt;&gt;Vorrunde!$H65,$V117&lt;&gt;"",$W117&lt;&gt;""),Vorrunde!$I65,"")</f>
        <v/>
      </c>
      <c r="Y117" s="36" t="str">
        <f ca="1">IF(AND(Vorrunde!$I65&lt;&gt;"",Vorrunde!$K65&lt;&gt;"",Vorrunde!$F65&lt;&gt;Vorrunde!$H65,$V117&lt;&gt;"",$W117&lt;&gt;""),Vorrunde!$K65,"")</f>
        <v/>
      </c>
      <c r="Z117" s="35" t="str">
        <f t="shared" ca="1" si="69"/>
        <v>Manchester CityVFL Ronsdorf</v>
      </c>
      <c r="AA117" s="13">
        <f t="shared" ca="1" si="70"/>
        <v>0</v>
      </c>
      <c r="AB117" s="13" t="str">
        <f ca="1">IF(AA117&gt;0,X117&amp;Sprache!$E$73&amp;Y117,"")</f>
        <v/>
      </c>
      <c r="AD117" s="145"/>
      <c r="AE117" s="150" t="str">
        <f ca="1">IF($AA117=0,"",IF($X117&gt;$Y117,Einstellungen!$C$4,IF($X117=$Y117,1,0)))</f>
        <v/>
      </c>
      <c r="AF117" s="145" t="str">
        <f ca="1">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 ca="1">Planung!$L60</f>
        <v>Fun Kickers Oes</v>
      </c>
      <c r="W118" s="13" t="str">
        <f ca="1">Planung!$N60</f>
        <v>VFB Essenheim</v>
      </c>
      <c r="X118" s="13" t="str">
        <f ca="1">IF(AND(Vorrunde!$I66&lt;&gt;"",Vorrunde!$K66&lt;&gt;"",Vorrunde!$F66&lt;&gt;Vorrunde!$H66,$V118&lt;&gt;"",$W118&lt;&gt;""),Vorrunde!$I66,"")</f>
        <v/>
      </c>
      <c r="Y118" s="36" t="str">
        <f ca="1">IF(AND(Vorrunde!$I66&lt;&gt;"",Vorrunde!$K66&lt;&gt;"",Vorrunde!$F66&lt;&gt;Vorrunde!$H66,$V118&lt;&gt;"",$W118&lt;&gt;""),Vorrunde!$K66,"")</f>
        <v/>
      </c>
      <c r="Z118" s="35" t="str">
        <f t="shared" ca="1" si="69"/>
        <v>Fun Kickers OesVFB Essenheim</v>
      </c>
      <c r="AA118" s="13">
        <f t="shared" ca="1" si="70"/>
        <v>0</v>
      </c>
      <c r="AB118" s="13" t="str">
        <f ca="1">IF(AA118&gt;0,X118&amp;Sprache!$E$73&amp;Y118,"")</f>
        <v/>
      </c>
      <c r="AD118" s="145"/>
      <c r="AE118" s="150" t="str">
        <f ca="1">IF($AA118=0,"",IF($X118&gt;$Y118,Einstellungen!$C$4,IF($X118=$Y118,1,0)))</f>
        <v/>
      </c>
      <c r="AF118" s="145" t="str">
        <f ca="1">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 ca="1">Planung!$L61</f>
        <v>AC Roma</v>
      </c>
      <c r="W119" s="13" t="str">
        <f ca="1">Planung!$N61</f>
        <v>FC Grönlingen</v>
      </c>
      <c r="X119" s="13" t="str">
        <f ca="1">IF(AND(Vorrunde!$I67&lt;&gt;"",Vorrunde!$K67&lt;&gt;"",Vorrunde!$F67&lt;&gt;Vorrunde!$H67,$V119&lt;&gt;"",$W119&lt;&gt;""),Vorrunde!$I67,"")</f>
        <v/>
      </c>
      <c r="Y119" s="36" t="str">
        <f ca="1">IF(AND(Vorrunde!$I67&lt;&gt;"",Vorrunde!$K67&lt;&gt;"",Vorrunde!$F67&lt;&gt;Vorrunde!$H67,$V119&lt;&gt;"",$W119&lt;&gt;""),Vorrunde!$K67,"")</f>
        <v/>
      </c>
      <c r="Z119" s="35" t="str">
        <f t="shared" ca="1" si="69"/>
        <v>AC RomaFC Grönlingen</v>
      </c>
      <c r="AA119" s="13">
        <f t="shared" ca="1" si="70"/>
        <v>0</v>
      </c>
      <c r="AB119" s="13" t="str">
        <f ca="1">IF(AA119&gt;0,X119&amp;Sprache!$E$73&amp;Y119,"")</f>
        <v/>
      </c>
      <c r="AD119" s="145"/>
      <c r="AE119" s="150" t="str">
        <f ca="1">IF($AA119=0,"",IF($X119&gt;$Y119,Einstellungen!$C$4,IF($X119=$Y119,1,0)))</f>
        <v/>
      </c>
      <c r="AF119" s="145" t="str">
        <f ca="1">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 ca="1">Planung!$L62</f>
        <v/>
      </c>
      <c r="W120" s="13" t="str">
        <f ca="1">Planung!$N62</f>
        <v/>
      </c>
      <c r="X120" s="13" t="str">
        <f ca="1">IF(AND(Vorrunde!$I68&lt;&gt;"",Vorrunde!$K68&lt;&gt;"",Vorrunde!$F68&lt;&gt;Vorrunde!$H68,$V120&lt;&gt;"",$W120&lt;&gt;""),Vorrunde!$I68,"")</f>
        <v/>
      </c>
      <c r="Y120" s="36" t="str">
        <f ca="1">IF(AND(Vorrunde!$I68&lt;&gt;"",Vorrunde!$K68&lt;&gt;"",Vorrunde!$F68&lt;&gt;Vorrunde!$H68,$V120&lt;&gt;"",$W120&lt;&gt;""),Vorrunde!$K68,"")</f>
        <v/>
      </c>
      <c r="Z120" s="35" t="str">
        <f t="shared" ca="1" si="69"/>
        <v/>
      </c>
      <c r="AA120" s="13">
        <f t="shared" ca="1" si="70"/>
        <v>0</v>
      </c>
      <c r="AB120" s="13" t="str">
        <f ca="1">IF(AA120&gt;0,X120&amp;Sprache!$E$73&amp;Y120,"")</f>
        <v/>
      </c>
      <c r="AD120" s="145"/>
      <c r="AE120" s="150" t="str">
        <f ca="1">IF($AA120=0,"",IF($X120&gt;$Y120,Einstellungen!$C$4,IF($X120=$Y120,1,0)))</f>
        <v/>
      </c>
      <c r="AF120" s="145" t="str">
        <f ca="1">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 ca="1">Planung!$L63</f>
        <v/>
      </c>
      <c r="W121" s="13" t="str">
        <f ca="1">Planung!$N63</f>
        <v/>
      </c>
      <c r="X121" s="13" t="str">
        <f ca="1">IF(AND(Vorrunde!$I69&lt;&gt;"",Vorrunde!$K69&lt;&gt;"",Vorrunde!$F69&lt;&gt;Vorrunde!$H69,$V121&lt;&gt;"",$W121&lt;&gt;""),Vorrunde!$I69,"")</f>
        <v/>
      </c>
      <c r="Y121" s="36" t="str">
        <f ca="1">IF(AND(Vorrunde!$I69&lt;&gt;"",Vorrunde!$K69&lt;&gt;"",Vorrunde!$F69&lt;&gt;Vorrunde!$H69,$V121&lt;&gt;"",$W121&lt;&gt;""),Vorrunde!$K69,"")</f>
        <v/>
      </c>
      <c r="Z121" s="35" t="str">
        <f t="shared" ca="1" si="69"/>
        <v/>
      </c>
      <c r="AA121" s="13">
        <f t="shared" ca="1" si="70"/>
        <v>0</v>
      </c>
      <c r="AB121" s="13" t="str">
        <f ca="1">IF(AA121&gt;0,X121&amp;Sprache!$E$73&amp;Y121,"")</f>
        <v/>
      </c>
      <c r="AD121" s="145"/>
      <c r="AE121" s="150" t="str">
        <f ca="1">IF($AA121=0,"",IF($X121&gt;$Y121,Einstellungen!$C$4,IF($X121=$Y121,1,0)))</f>
        <v/>
      </c>
      <c r="AF121" s="145" t="str">
        <f ca="1">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 ca="1">Planung!$L64</f>
        <v/>
      </c>
      <c r="W122" s="13" t="str">
        <f ca="1">Planung!$N64</f>
        <v/>
      </c>
      <c r="X122" s="13" t="str">
        <f ca="1">IF(AND(Vorrunde!$I70&lt;&gt;"",Vorrunde!$K70&lt;&gt;"",Vorrunde!$F70&lt;&gt;Vorrunde!$H70,$V122&lt;&gt;"",$W122&lt;&gt;""),Vorrunde!$I70,"")</f>
        <v/>
      </c>
      <c r="Y122" s="36" t="str">
        <f ca="1">IF(AND(Vorrunde!$I70&lt;&gt;"",Vorrunde!$K70&lt;&gt;"",Vorrunde!$F70&lt;&gt;Vorrunde!$H70,$V122&lt;&gt;"",$W122&lt;&gt;""),Vorrunde!$K70,"")</f>
        <v/>
      </c>
      <c r="Z122" s="35" t="str">
        <f t="shared" ca="1" si="69"/>
        <v/>
      </c>
      <c r="AA122" s="13">
        <f t="shared" ca="1" si="70"/>
        <v>0</v>
      </c>
      <c r="AB122" s="13" t="str">
        <f ca="1">IF(AA122&gt;0,X122&amp;Sprache!$E$73&amp;Y122,"")</f>
        <v/>
      </c>
      <c r="AD122" s="145"/>
      <c r="AE122" s="150" t="str">
        <f ca="1">IF($AA122=0,"",IF($X122&gt;$Y122,Einstellungen!$C$4,IF($X122=$Y122,1,0)))</f>
        <v/>
      </c>
      <c r="AF122" s="145" t="str">
        <f ca="1">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 ca="1">Planung!$L65</f>
        <v/>
      </c>
      <c r="W123" s="13" t="str">
        <f ca="1">Planung!$N65</f>
        <v/>
      </c>
      <c r="X123" s="13" t="str">
        <f ca="1">IF(AND(Vorrunde!$I71&lt;&gt;"",Vorrunde!$K71&lt;&gt;"",Vorrunde!$F71&lt;&gt;Vorrunde!$H71,$V123&lt;&gt;"",$W123&lt;&gt;""),Vorrunde!$I71,"")</f>
        <v/>
      </c>
      <c r="Y123" s="36" t="str">
        <f ca="1">IF(AND(Vorrunde!$I71&lt;&gt;"",Vorrunde!$K71&lt;&gt;"",Vorrunde!$F71&lt;&gt;Vorrunde!$H71,$V123&lt;&gt;"",$W123&lt;&gt;""),Vorrunde!$K71,"")</f>
        <v/>
      </c>
      <c r="Z123" s="35" t="str">
        <f t="shared" ca="1" si="69"/>
        <v/>
      </c>
      <c r="AA123" s="13">
        <f t="shared" ca="1" si="70"/>
        <v>0</v>
      </c>
      <c r="AB123" s="13" t="str">
        <f ca="1">IF(AA123&gt;0,X123&amp;Sprache!$E$73&amp;Y123,"")</f>
        <v/>
      </c>
      <c r="AD123" s="145"/>
      <c r="AE123" s="150" t="str">
        <f ca="1">IF($AA123=0,"",IF($X123&gt;$Y123,Einstellungen!$C$4,IF($X123=$Y123,1,0)))</f>
        <v/>
      </c>
      <c r="AF123" s="145" t="str">
        <f ca="1">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 ca="1">Planung!$L66</f>
        <v/>
      </c>
      <c r="W124" s="13" t="str">
        <f ca="1">Planung!$N66</f>
        <v/>
      </c>
      <c r="X124" s="13" t="str">
        <f ca="1">IF(AND(Vorrunde!$I72&lt;&gt;"",Vorrunde!$K72&lt;&gt;"",Vorrunde!$F72&lt;&gt;Vorrunde!$H72,$V124&lt;&gt;"",$W124&lt;&gt;""),Vorrunde!$I72,"")</f>
        <v/>
      </c>
      <c r="Y124" s="36" t="str">
        <f ca="1">IF(AND(Vorrunde!$I72&lt;&gt;"",Vorrunde!$K72&lt;&gt;"",Vorrunde!$F72&lt;&gt;Vorrunde!$H72,$V124&lt;&gt;"",$W124&lt;&gt;""),Vorrunde!$K72,"")</f>
        <v/>
      </c>
      <c r="Z124" s="35" t="str">
        <f t="shared" ca="1" si="69"/>
        <v/>
      </c>
      <c r="AA124" s="13">
        <f t="shared" ca="1" si="70"/>
        <v>0</v>
      </c>
      <c r="AB124" s="13" t="str">
        <f ca="1">IF(AA124&gt;0,X124&amp;Sprache!$E$73&amp;Y124,"")</f>
        <v/>
      </c>
      <c r="AD124" s="145"/>
      <c r="AE124" s="150" t="str">
        <f ca="1">IF($AA124=0,"",IF($X124&gt;$Y124,Einstellungen!$C$4,IF($X124=$Y124,1,0)))</f>
        <v/>
      </c>
      <c r="AF124" s="145" t="str">
        <f ca="1">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 ca="1">Planung!$L67</f>
        <v/>
      </c>
      <c r="W125" s="13" t="str">
        <f ca="1">Planung!$N67</f>
        <v/>
      </c>
      <c r="X125" s="13" t="str">
        <f ca="1">IF(AND(Vorrunde!$I73&lt;&gt;"",Vorrunde!$K73&lt;&gt;"",Vorrunde!$F73&lt;&gt;Vorrunde!$H73,$V125&lt;&gt;"",$W125&lt;&gt;""),Vorrunde!$I73,"")</f>
        <v/>
      </c>
      <c r="Y125" s="36" t="str">
        <f ca="1">IF(AND(Vorrunde!$I73&lt;&gt;"",Vorrunde!$K73&lt;&gt;"",Vorrunde!$F73&lt;&gt;Vorrunde!$H73,$V125&lt;&gt;"",$W125&lt;&gt;""),Vorrunde!$K73,"")</f>
        <v/>
      </c>
      <c r="Z125" s="35" t="str">
        <f t="shared" ca="1" si="69"/>
        <v/>
      </c>
      <c r="AA125" s="13">
        <f t="shared" ca="1" si="70"/>
        <v>0</v>
      </c>
      <c r="AB125" s="13" t="str">
        <f ca="1">IF(AA125&gt;0,X125&amp;Sprache!$E$73&amp;Y125,"")</f>
        <v/>
      </c>
      <c r="AD125" s="145"/>
      <c r="AE125" s="150" t="str">
        <f ca="1">IF($AA125=0,"",IF($X125&gt;$Y125,Einstellungen!$C$4,IF($X125=$Y125,1,0)))</f>
        <v/>
      </c>
      <c r="AF125" s="145" t="str">
        <f ca="1">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 ca="1">Planung!$L68</f>
        <v/>
      </c>
      <c r="W126" s="13" t="str">
        <f ca="1">Planung!$N68</f>
        <v/>
      </c>
      <c r="X126" s="13" t="str">
        <f ca="1">IF(AND(Vorrunde!$I74&lt;&gt;"",Vorrunde!$K74&lt;&gt;"",Vorrunde!$F74&lt;&gt;Vorrunde!$H74,$V126&lt;&gt;"",$W126&lt;&gt;""),Vorrunde!$I74,"")</f>
        <v/>
      </c>
      <c r="Y126" s="36" t="str">
        <f ca="1">IF(AND(Vorrunde!$I74&lt;&gt;"",Vorrunde!$K74&lt;&gt;"",Vorrunde!$F74&lt;&gt;Vorrunde!$H74,$V126&lt;&gt;"",$W126&lt;&gt;""),Vorrunde!$K74,"")</f>
        <v/>
      </c>
      <c r="Z126" s="35" t="str">
        <f t="shared" ca="1" si="69"/>
        <v/>
      </c>
      <c r="AA126" s="13">
        <f t="shared" ca="1" si="70"/>
        <v>0</v>
      </c>
      <c r="AB126" s="13" t="str">
        <f ca="1">IF(AA126&gt;0,X126&amp;Sprache!$E$73&amp;Y126,"")</f>
        <v/>
      </c>
      <c r="AD126" s="145"/>
      <c r="AE126" s="150" t="str">
        <f ca="1">IF($AA126=0,"",IF($X126&gt;$Y126,Einstellungen!$C$4,IF($X126=$Y126,1,0)))</f>
        <v/>
      </c>
      <c r="AF126" s="145" t="str">
        <f ca="1">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 ca="1">Planung!$L69</f>
        <v/>
      </c>
      <c r="W127" s="13" t="str">
        <f ca="1">Planung!$N69</f>
        <v/>
      </c>
      <c r="X127" s="13" t="str">
        <f ca="1">IF(AND(Vorrunde!$I75&lt;&gt;"",Vorrunde!$K75&lt;&gt;"",Vorrunde!$F75&lt;&gt;Vorrunde!$H75,$V127&lt;&gt;"",$W127&lt;&gt;""),Vorrunde!$I75,"")</f>
        <v/>
      </c>
      <c r="Y127" s="36" t="str">
        <f ca="1">IF(AND(Vorrunde!$I75&lt;&gt;"",Vorrunde!$K75&lt;&gt;"",Vorrunde!$F75&lt;&gt;Vorrunde!$H75,$V127&lt;&gt;"",$W127&lt;&gt;""),Vorrunde!$K75,"")</f>
        <v/>
      </c>
      <c r="Z127" s="35" t="str">
        <f t="shared" ca="1" si="69"/>
        <v/>
      </c>
      <c r="AA127" s="13">
        <f t="shared" ca="1" si="70"/>
        <v>0</v>
      </c>
      <c r="AB127" s="13" t="str">
        <f ca="1">IF(AA127&gt;0,X127&amp;Sprache!$E$73&amp;Y127,"")</f>
        <v/>
      </c>
      <c r="AD127" s="145"/>
      <c r="AE127" s="150" t="str">
        <f ca="1">IF($AA127=0,"",IF($X127&gt;$Y127,Einstellungen!$C$4,IF($X127=$Y127,1,0)))</f>
        <v/>
      </c>
      <c r="AF127" s="145" t="str">
        <f ca="1">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 ca="1">Planung!$L70</f>
        <v/>
      </c>
      <c r="W128" s="13" t="str">
        <f ca="1">Planung!$N70</f>
        <v/>
      </c>
      <c r="X128" s="13" t="str">
        <f ca="1">IF(AND(Vorrunde!$I76&lt;&gt;"",Vorrunde!$K76&lt;&gt;"",Vorrunde!$F76&lt;&gt;Vorrunde!$H76,$V128&lt;&gt;"",$W128&lt;&gt;""),Vorrunde!$I76,"")</f>
        <v/>
      </c>
      <c r="Y128" s="36" t="str">
        <f ca="1">IF(AND(Vorrunde!$I76&lt;&gt;"",Vorrunde!$K76&lt;&gt;"",Vorrunde!$F76&lt;&gt;Vorrunde!$H76,$V128&lt;&gt;"",$W128&lt;&gt;""),Vorrunde!$K76,"")</f>
        <v/>
      </c>
      <c r="Z128" s="35" t="str">
        <f t="shared" ca="1" si="69"/>
        <v/>
      </c>
      <c r="AA128" s="13">
        <f t="shared" ca="1" si="70"/>
        <v>0</v>
      </c>
      <c r="AB128" s="13" t="str">
        <f ca="1">IF(AA128&gt;0,X128&amp;Sprache!$E$73&amp;Y128,"")</f>
        <v/>
      </c>
      <c r="AD128" s="145"/>
      <c r="AE128" s="150" t="str">
        <f ca="1">IF($AA128=0,"",IF($X128&gt;$Y128,Einstellungen!$C$4,IF($X128=$Y128,1,0)))</f>
        <v/>
      </c>
      <c r="AF128" s="145" t="str">
        <f ca="1">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 ca="1">Planung!$L71</f>
        <v/>
      </c>
      <c r="W129" s="13" t="str">
        <f ca="1">Planung!$N71</f>
        <v/>
      </c>
      <c r="X129" s="13" t="str">
        <f ca="1">IF(AND(Vorrunde!$I77&lt;&gt;"",Vorrunde!$K77&lt;&gt;"",Vorrunde!$F77&lt;&gt;Vorrunde!$H77,$V129&lt;&gt;"",$W129&lt;&gt;""),Vorrunde!$I77,"")</f>
        <v/>
      </c>
      <c r="Y129" s="36" t="str">
        <f ca="1">IF(AND(Vorrunde!$I77&lt;&gt;"",Vorrunde!$K77&lt;&gt;"",Vorrunde!$F77&lt;&gt;Vorrunde!$H77,$V129&lt;&gt;"",$W129&lt;&gt;""),Vorrunde!$K77,"")</f>
        <v/>
      </c>
      <c r="Z129" s="35" t="str">
        <f t="shared" ca="1" si="69"/>
        <v/>
      </c>
      <c r="AA129" s="13">
        <f t="shared" ca="1" si="70"/>
        <v>0</v>
      </c>
      <c r="AB129" s="13" t="str">
        <f ca="1">IF(AA129&gt;0,X129&amp;Sprache!$E$73&amp;Y129,"")</f>
        <v/>
      </c>
      <c r="AC129" s="4"/>
      <c r="AD129" s="145"/>
      <c r="AE129" s="150" t="str">
        <f ca="1">IF($AA129=0,"",IF($X129&gt;$Y129,Einstellungen!$C$4,IF($X129=$Y129,1,0)))</f>
        <v/>
      </c>
      <c r="AF129" s="145" t="str">
        <f ca="1">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 ca="1">Planung!$L72</f>
        <v/>
      </c>
      <c r="W130" s="13" t="str">
        <f ca="1">Planung!$N72</f>
        <v/>
      </c>
      <c r="X130" s="13" t="str">
        <f ca="1">IF(AND(Vorrunde!$I78&lt;&gt;"",Vorrunde!$K78&lt;&gt;"",Vorrunde!$F78&lt;&gt;Vorrunde!$H78,$V130&lt;&gt;"",$W130&lt;&gt;""),Vorrunde!$I78,"")</f>
        <v/>
      </c>
      <c r="Y130" s="36" t="str">
        <f ca="1">IF(AND(Vorrunde!$I78&lt;&gt;"",Vorrunde!$K78&lt;&gt;"",Vorrunde!$F78&lt;&gt;Vorrunde!$H78,$V130&lt;&gt;"",$W130&lt;&gt;""),Vorrunde!$K78,"")</f>
        <v/>
      </c>
      <c r="Z130" s="35" t="str">
        <f t="shared" ca="1" si="69"/>
        <v/>
      </c>
      <c r="AA130" s="13">
        <f t="shared" ca="1" si="70"/>
        <v>0</v>
      </c>
      <c r="AB130" s="13" t="str">
        <f ca="1">IF(AA130&gt;0,X130&amp;Sprache!$E$73&amp;Y130,"")</f>
        <v/>
      </c>
      <c r="AC130" s="4"/>
      <c r="AD130" s="145"/>
      <c r="AE130" s="150" t="str">
        <f ca="1">IF($AA130=0,"",IF($X130&gt;$Y130,Einstellungen!$C$4,IF($X130=$Y130,1,0)))</f>
        <v/>
      </c>
      <c r="AF130" s="145" t="str">
        <f ca="1">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 ca="1">Planung!$L73</f>
        <v/>
      </c>
      <c r="W131" s="13" t="str">
        <f ca="1">Planung!$N73</f>
        <v/>
      </c>
      <c r="X131" s="13" t="str">
        <f ca="1">IF(AND(Vorrunde!$I79&lt;&gt;"",Vorrunde!$K79&lt;&gt;"",Vorrunde!$F79&lt;&gt;Vorrunde!$H79,$V131&lt;&gt;"",$W131&lt;&gt;""),Vorrunde!$I79,"")</f>
        <v/>
      </c>
      <c r="Y131" s="36" t="str">
        <f ca="1">IF(AND(Vorrunde!$I79&lt;&gt;"",Vorrunde!$K79&lt;&gt;"",Vorrunde!$F79&lt;&gt;Vorrunde!$H79,$V131&lt;&gt;"",$W131&lt;&gt;""),Vorrunde!$K79,"")</f>
        <v/>
      </c>
      <c r="Z131" s="35" t="str">
        <f t="shared" ca="1" si="69"/>
        <v/>
      </c>
      <c r="AA131" s="13">
        <f t="shared" ca="1" si="70"/>
        <v>0</v>
      </c>
      <c r="AB131" s="13" t="str">
        <f ca="1">IF(AA131&gt;0,X131&amp;Sprache!$E$73&amp;Y131,"")</f>
        <v/>
      </c>
      <c r="AC131" s="4"/>
      <c r="AD131" s="145"/>
      <c r="AE131" s="150" t="str">
        <f ca="1">IF($AA131=0,"",IF($X131&gt;$Y131,Einstellungen!$C$4,IF($X131=$Y131,1,0)))</f>
        <v/>
      </c>
      <c r="AF131" s="145" t="str">
        <f ca="1">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 ca="1">Planung!$L74</f>
        <v/>
      </c>
      <c r="W132" s="13" t="str">
        <f ca="1">Planung!$N74</f>
        <v/>
      </c>
      <c r="X132" s="13" t="str">
        <f ca="1">IF(AND(Vorrunde!$I80&lt;&gt;"",Vorrunde!$K80&lt;&gt;"",Vorrunde!$F80&lt;&gt;Vorrunde!$H80,$V132&lt;&gt;"",$W132&lt;&gt;""),Vorrunde!$I80,"")</f>
        <v/>
      </c>
      <c r="Y132" s="36" t="str">
        <f ca="1">IF(AND(Vorrunde!$I80&lt;&gt;"",Vorrunde!$K80&lt;&gt;"",Vorrunde!$F80&lt;&gt;Vorrunde!$H80,$V132&lt;&gt;"",$W132&lt;&gt;""),Vorrunde!$K80,"")</f>
        <v/>
      </c>
      <c r="Z132" s="35" t="str">
        <f t="shared" ca="1" si="69"/>
        <v/>
      </c>
      <c r="AA132" s="13">
        <f t="shared" ca="1" si="70"/>
        <v>0</v>
      </c>
      <c r="AB132" s="13" t="str">
        <f ca="1">IF(AA132&gt;0,X132&amp;Sprache!$E$73&amp;Y132,"")</f>
        <v/>
      </c>
      <c r="AC132" s="4"/>
      <c r="AD132" s="145"/>
      <c r="AE132" s="150" t="str">
        <f ca="1">IF($AA132=0,"",IF($X132&gt;$Y132,Einstellungen!$C$4,IF($X132=$Y132,1,0)))</f>
        <v/>
      </c>
      <c r="AF132" s="145" t="str">
        <f ca="1">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 ca="1">Planung!$L75</f>
        <v/>
      </c>
      <c r="W133" s="13" t="str">
        <f ca="1">Planung!$N75</f>
        <v/>
      </c>
      <c r="X133" s="13" t="str">
        <f ca="1">IF(AND(Vorrunde!$I81&lt;&gt;"",Vorrunde!$K81&lt;&gt;"",Vorrunde!$F81&lt;&gt;Vorrunde!$H81,$V133&lt;&gt;"",$W133&lt;&gt;""),Vorrunde!$I81,"")</f>
        <v/>
      </c>
      <c r="Y133" s="36" t="str">
        <f ca="1">IF(AND(Vorrunde!$I81&lt;&gt;"",Vorrunde!$K81&lt;&gt;"",Vorrunde!$F81&lt;&gt;Vorrunde!$H81,$V133&lt;&gt;"",$W133&lt;&gt;""),Vorrunde!$K81,"")</f>
        <v/>
      </c>
      <c r="Z133" s="35" t="str">
        <f t="shared" ca="1" si="69"/>
        <v/>
      </c>
      <c r="AA133" s="13">
        <f t="shared" ca="1" si="70"/>
        <v>0</v>
      </c>
      <c r="AB133" s="13" t="str">
        <f ca="1">IF(AA133&gt;0,X133&amp;Sprache!$E$73&amp;Y133,"")</f>
        <v/>
      </c>
      <c r="AC133" s="4"/>
      <c r="AD133" s="145"/>
      <c r="AE133" s="150" t="str">
        <f ca="1">IF($AA133=0,"",IF($X133&gt;$Y133,Einstellungen!$C$4,IF($X133=$Y133,1,0)))</f>
        <v/>
      </c>
      <c r="AF133" s="145" t="str">
        <f ca="1">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 ca="1">Planung!$L76</f>
        <v/>
      </c>
      <c r="W134" s="13" t="str">
        <f ca="1">Planung!$N76</f>
        <v/>
      </c>
      <c r="X134" s="13" t="str">
        <f ca="1">IF(AND(Vorrunde!$I82&lt;&gt;"",Vorrunde!$K82&lt;&gt;"",Vorrunde!$F82&lt;&gt;Vorrunde!$H82,$V134&lt;&gt;"",$W134&lt;&gt;""),Vorrunde!$I82,"")</f>
        <v/>
      </c>
      <c r="Y134" s="36" t="str">
        <f ca="1">IF(AND(Vorrunde!$I82&lt;&gt;"",Vorrunde!$K82&lt;&gt;"",Vorrunde!$F82&lt;&gt;Vorrunde!$H82,$V134&lt;&gt;"",$W134&lt;&gt;""),Vorrunde!$K82,"")</f>
        <v/>
      </c>
      <c r="Z134" s="35" t="str">
        <f t="shared" ca="1" si="69"/>
        <v/>
      </c>
      <c r="AA134" s="13">
        <f t="shared" ca="1" si="70"/>
        <v>0</v>
      </c>
      <c r="AB134" s="13" t="str">
        <f ca="1">IF(AA134&gt;0,X134&amp;Sprache!$E$73&amp;Y134,"")</f>
        <v/>
      </c>
      <c r="AC134" s="4"/>
      <c r="AD134" s="145"/>
      <c r="AE134" s="150" t="str">
        <f ca="1">IF($AA134=0,"",IF($X134&gt;$Y134,Einstellungen!$C$4,IF($X134=$Y134,1,0)))</f>
        <v/>
      </c>
      <c r="AF134" s="145" t="str">
        <f ca="1">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 ca="1">Planung!$L77</f>
        <v/>
      </c>
      <c r="W135" s="38" t="str">
        <f ca="1">Planung!$N77</f>
        <v/>
      </c>
      <c r="X135" s="38" t="str">
        <f ca="1">IF(AND(Vorrunde!$I83&lt;&gt;"",Vorrunde!$K83&lt;&gt;"",Vorrunde!$F83&lt;&gt;Vorrunde!$H83,$V135&lt;&gt;"",$W135&lt;&gt;""),Vorrunde!$I83,"")</f>
        <v/>
      </c>
      <c r="Y135" s="39" t="str">
        <f ca="1">IF(AND(Vorrunde!$I83&lt;&gt;"",Vorrunde!$K83&lt;&gt;"",Vorrunde!$F83&lt;&gt;Vorrunde!$H83,$V135&lt;&gt;"",$W135&lt;&gt;""),Vorrunde!$K83,"")</f>
        <v/>
      </c>
      <c r="Z135" s="37" t="str">
        <f t="shared" ca="1" si="69"/>
        <v/>
      </c>
      <c r="AA135" s="38">
        <f t="shared" ca="1" si="70"/>
        <v>0</v>
      </c>
      <c r="AB135" s="38" t="str">
        <f ca="1">IF(AA135&gt;0,X135&amp;Sprache!$E$73&amp;Y135,"")</f>
        <v/>
      </c>
      <c r="AC135" s="559"/>
      <c r="AD135" s="560"/>
      <c r="AE135" s="151" t="str">
        <f ca="1">IF($AA135=0,"",IF($X135&gt;$Y135,Einstellungen!$C$4,IF($X135=$Y135,1,0)))</f>
        <v/>
      </c>
      <c r="AF135" s="147" t="str">
        <f ca="1">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5" t="str">
        <f ca="1">W64&amp;V64</f>
        <v>Knock Out Rangers1. FC Riedwald</v>
      </c>
      <c r="AA136" s="13">
        <f ca="1">AA64</f>
        <v>1</v>
      </c>
      <c r="AB136" s="13" t="str">
        <f ca="1">IF(AA136&gt;0,Y64&amp;Sprache!$E$73&amp;X64,"")</f>
        <v>6:2</v>
      </c>
      <c r="AD136" s="145"/>
    </row>
    <row r="137" spans="2:32" x14ac:dyDescent="0.2">
      <c r="Y137" s="68" t="s">
        <v>8</v>
      </c>
      <c r="Z137" s="35" t="str">
        <f ca="1">W65&amp;V65</f>
        <v>Borussia HeineMainz 05</v>
      </c>
      <c r="AA137" s="13">
        <f t="shared" ref="AA137:AA200" ca="1" si="71">AA65</f>
        <v>1</v>
      </c>
      <c r="AB137" s="13" t="str">
        <f ca="1">IF(AA137&gt;0,Y65&amp;Sprache!$E$73&amp;X65,"")</f>
        <v>4:2</v>
      </c>
      <c r="AC137" s="2"/>
      <c r="AD137" s="145"/>
    </row>
    <row r="138" spans="2:32" x14ac:dyDescent="0.2">
      <c r="Y138" s="68" t="s">
        <v>9</v>
      </c>
      <c r="Z138" s="35" t="str">
        <f t="shared" ref="Z138:Z201" ca="1" si="72">W66&amp;V66</f>
        <v>FC BarcelonaRaslo Winners</v>
      </c>
      <c r="AA138" s="13">
        <f t="shared" ca="1" si="71"/>
        <v>1</v>
      </c>
      <c r="AB138" s="13" t="str">
        <f ca="1">IF(AA138&gt;0,Y66&amp;Sprache!$E$73&amp;X66,"")</f>
        <v>4:1</v>
      </c>
      <c r="AC138" s="2"/>
      <c r="AD138" s="145"/>
    </row>
    <row r="139" spans="2:32" x14ac:dyDescent="0.2">
      <c r="Y139" s="68" t="s">
        <v>10</v>
      </c>
      <c r="Z139" s="35" t="str">
        <f t="shared" ca="1" si="72"/>
        <v>Inter MailandVFL Ronsdorf</v>
      </c>
      <c r="AA139" s="13">
        <f t="shared" ca="1" si="71"/>
        <v>1</v>
      </c>
      <c r="AB139" s="13" t="str">
        <f ca="1">IF(AA139&gt;0,Y67&amp;Sprache!$E$73&amp;X67,"")</f>
        <v>5:2</v>
      </c>
      <c r="AC139" s="2"/>
      <c r="AD139" s="145"/>
    </row>
    <row r="140" spans="2:32" x14ac:dyDescent="0.2">
      <c r="Y140" s="68" t="s">
        <v>11</v>
      </c>
      <c r="Z140" s="35" t="str">
        <f t="shared" ca="1" si="72"/>
        <v>Fun Kickers OesEintracht Frankfurt</v>
      </c>
      <c r="AA140" s="13">
        <f t="shared" ca="1" si="71"/>
        <v>1</v>
      </c>
      <c r="AB140" s="13" t="str">
        <f ca="1">IF(AA140&gt;0,Y68&amp;Sprache!$E$73&amp;X68,"")</f>
        <v>2:4</v>
      </c>
      <c r="AC140" s="2"/>
      <c r="AD140" s="145"/>
    </row>
    <row r="141" spans="2:32" x14ac:dyDescent="0.2">
      <c r="Y141" s="68" t="s">
        <v>12</v>
      </c>
      <c r="Z141" s="35" t="str">
        <f t="shared" ca="1" si="72"/>
        <v>AC RomaSSV Wildbach</v>
      </c>
      <c r="AA141" s="13">
        <f t="shared" ca="1" si="71"/>
        <v>1</v>
      </c>
      <c r="AB141" s="13" t="str">
        <f ca="1">IF(AA141&gt;0,Y69&amp;Sprache!$E$73&amp;X69,"")</f>
        <v>5:0</v>
      </c>
      <c r="AC141" s="2"/>
      <c r="AD141" s="145"/>
    </row>
    <row r="142" spans="2:32" x14ac:dyDescent="0.2">
      <c r="Y142" s="68" t="s">
        <v>17</v>
      </c>
      <c r="Z142" s="35" t="str">
        <f t="shared" ca="1" si="72"/>
        <v>Maibach 1822 eVVFB Essenheim</v>
      </c>
      <c r="AA142" s="13">
        <f t="shared" ca="1" si="71"/>
        <v>1</v>
      </c>
      <c r="AB142" s="13" t="str">
        <f ca="1">IF(AA142&gt;0,Y70&amp;Sprache!$E$73&amp;X70,"")</f>
        <v>2:2</v>
      </c>
      <c r="AC142" s="2"/>
      <c r="AD142" s="145"/>
    </row>
    <row r="143" spans="2:32" x14ac:dyDescent="0.2">
      <c r="Y143" s="68" t="s">
        <v>18</v>
      </c>
      <c r="Z143" s="35" t="str">
        <f t="shared" ca="1" si="72"/>
        <v>Manchester CityFC Grönlingen</v>
      </c>
      <c r="AA143" s="13">
        <f t="shared" ca="1" si="71"/>
        <v>1</v>
      </c>
      <c r="AB143" s="13" t="str">
        <f ca="1">IF(AA143&gt;0,Y71&amp;Sprache!$E$73&amp;X71,"")</f>
        <v>5:2</v>
      </c>
      <c r="AC143" s="2"/>
      <c r="AD143" s="145"/>
    </row>
    <row r="144" spans="2:32" x14ac:dyDescent="0.2">
      <c r="Y144" s="68" t="s">
        <v>19</v>
      </c>
      <c r="Z144" s="35" t="str">
        <f t="shared" ca="1" si="72"/>
        <v>1. FC RiedwaldRaslo Winners</v>
      </c>
      <c r="AA144" s="13">
        <f t="shared" ca="1" si="71"/>
        <v>1</v>
      </c>
      <c r="AB144" s="13" t="str">
        <f ca="1">IF(AA144&gt;0,Y72&amp;Sprache!$E$73&amp;X72,"")</f>
        <v>0:2</v>
      </c>
      <c r="AC144" s="2"/>
      <c r="AD144" s="145"/>
    </row>
    <row r="145" spans="25:30" x14ac:dyDescent="0.2">
      <c r="Y145" s="68" t="s">
        <v>25</v>
      </c>
      <c r="Z145" s="35" t="str">
        <f t="shared" ca="1" si="72"/>
        <v>Mainz 05VFL Ronsdorf</v>
      </c>
      <c r="AA145" s="13">
        <f t="shared" ca="1" si="71"/>
        <v>1</v>
      </c>
      <c r="AB145" s="13" t="str">
        <f ca="1">IF(AA145&gt;0,Y73&amp;Sprache!$E$73&amp;X73,"")</f>
        <v>6:2</v>
      </c>
      <c r="AC145" s="2"/>
      <c r="AD145" s="145"/>
    </row>
    <row r="146" spans="25:30" x14ac:dyDescent="0.2">
      <c r="Y146" s="68" t="s">
        <v>26</v>
      </c>
      <c r="Z146" s="35" t="str">
        <f t="shared" ca="1" si="72"/>
        <v>Knock Out RangersFun Kickers Oes</v>
      </c>
      <c r="AA146" s="13">
        <f t="shared" ca="1" si="71"/>
        <v>1</v>
      </c>
      <c r="AB146" s="13" t="str">
        <f ca="1">IF(AA146&gt;0,Y74&amp;Sprache!$E$73&amp;X74,"")</f>
        <v>2:3</v>
      </c>
      <c r="AC146" s="2"/>
      <c r="AD146" s="145"/>
    </row>
    <row r="147" spans="25:30" x14ac:dyDescent="0.2">
      <c r="Y147" s="68" t="s">
        <v>27</v>
      </c>
      <c r="Z147" s="35" t="str">
        <f t="shared" ca="1" si="72"/>
        <v>Borussia HeineAC Roma</v>
      </c>
      <c r="AA147" s="13">
        <f t="shared" ca="1" si="71"/>
        <v>1</v>
      </c>
      <c r="AB147" s="13" t="str">
        <f ca="1">IF(AA147&gt;0,Y75&amp;Sprache!$E$73&amp;X75,"")</f>
        <v>1:2</v>
      </c>
      <c r="AC147" s="2"/>
      <c r="AD147" s="145"/>
    </row>
    <row r="148" spans="25:30" x14ac:dyDescent="0.2">
      <c r="Y148" s="68" t="s">
        <v>28</v>
      </c>
      <c r="Z148" s="35" t="str">
        <f t="shared" ca="1" si="72"/>
        <v>VFB EssenheimFC Barcelona</v>
      </c>
      <c r="AA148" s="13">
        <f t="shared" ca="1" si="71"/>
        <v>1</v>
      </c>
      <c r="AB148" s="13" t="str">
        <f ca="1">IF(AA148&gt;0,Y76&amp;Sprache!$E$73&amp;X76,"")</f>
        <v>0:6</v>
      </c>
      <c r="AC148" s="2"/>
      <c r="AD148" s="145"/>
    </row>
    <row r="149" spans="25:30" x14ac:dyDescent="0.2">
      <c r="Y149" s="68" t="s">
        <v>29</v>
      </c>
      <c r="Z149" s="35" t="str">
        <f t="shared" ca="1" si="72"/>
        <v>FC GrönlingenInter Mailand</v>
      </c>
      <c r="AA149" s="13">
        <f t="shared" ca="1" si="71"/>
        <v>1</v>
      </c>
      <c r="AB149" s="13" t="str">
        <f ca="1">IF(AA149&gt;0,Y77&amp;Sprache!$E$73&amp;X77,"")</f>
        <v>0:2</v>
      </c>
      <c r="AC149" s="2"/>
      <c r="AD149" s="145"/>
    </row>
    <row r="150" spans="25:30" x14ac:dyDescent="0.2">
      <c r="Y150" s="68" t="s">
        <v>30</v>
      </c>
      <c r="Z150" s="35" t="str">
        <f t="shared" ca="1" si="72"/>
        <v>Eintracht FrankfurtMaibach 1822 eV</v>
      </c>
      <c r="AA150" s="13">
        <f t="shared" ca="1" si="71"/>
        <v>1</v>
      </c>
      <c r="AB150" s="13" t="str">
        <f ca="1">IF(AA150&gt;0,Y78&amp;Sprache!$E$73&amp;X78,"")</f>
        <v>3:1</v>
      </c>
      <c r="AC150" s="2"/>
      <c r="AD150" s="145"/>
    </row>
    <row r="151" spans="25:30" x14ac:dyDescent="0.2">
      <c r="Y151" s="68" t="s">
        <v>31</v>
      </c>
      <c r="Z151" s="35" t="str">
        <f t="shared" ca="1" si="72"/>
        <v>SSV WildbachManchester City</v>
      </c>
      <c r="AA151" s="13">
        <f t="shared" ca="1" si="71"/>
        <v>1</v>
      </c>
      <c r="AB151" s="13" t="str">
        <f ca="1">IF(AA151&gt;0,Y79&amp;Sprache!$E$73&amp;X79,"")</f>
        <v>2:7</v>
      </c>
      <c r="AC151" s="2"/>
      <c r="AD151" s="145"/>
    </row>
    <row r="152" spans="25:30" x14ac:dyDescent="0.2">
      <c r="Y152" s="68" t="s">
        <v>32</v>
      </c>
      <c r="Z152" s="35" t="str">
        <f t="shared" ca="1" si="72"/>
        <v>Fun Kickers Oes1. FC Riedwald</v>
      </c>
      <c r="AA152" s="13">
        <f t="shared" ca="1" si="71"/>
        <v>1</v>
      </c>
      <c r="AB152" s="13" t="str">
        <f ca="1">IF(AA152&gt;0,Y80&amp;Sprache!$E$73&amp;X80,"")</f>
        <v>4:2</v>
      </c>
      <c r="AC152" s="2"/>
      <c r="AD152" s="145"/>
    </row>
    <row r="153" spans="25:30" x14ac:dyDescent="0.2">
      <c r="Y153" s="68" t="s">
        <v>33</v>
      </c>
      <c r="Z153" s="35" t="str">
        <f t="shared" ca="1" si="72"/>
        <v>AC RomaMainz 05</v>
      </c>
      <c r="AA153" s="13">
        <f t="shared" ca="1" si="71"/>
        <v>1</v>
      </c>
      <c r="AB153" s="13" t="str">
        <f ca="1">IF(AA153&gt;0,Y81&amp;Sprache!$E$73&amp;X81,"")</f>
        <v>5:1</v>
      </c>
      <c r="AC153" s="2"/>
      <c r="AD153" s="145"/>
    </row>
    <row r="154" spans="25:30" x14ac:dyDescent="0.2">
      <c r="Y154" s="68" t="s">
        <v>34</v>
      </c>
      <c r="Z154" s="35" t="str">
        <f t="shared" ca="1" si="72"/>
        <v>Raslo WinnersVFB Essenheim</v>
      </c>
      <c r="AA154" s="13">
        <f t="shared" ca="1" si="71"/>
        <v>1</v>
      </c>
      <c r="AB154" s="13" t="str">
        <f ca="1">IF(AA154&gt;0,Y82&amp;Sprache!$E$73&amp;X82,"")</f>
        <v>3:0</v>
      </c>
      <c r="AC154" s="2"/>
      <c r="AD154" s="145"/>
    </row>
    <row r="155" spans="25:30" x14ac:dyDescent="0.2">
      <c r="Y155" s="68" t="s">
        <v>35</v>
      </c>
      <c r="Z155" s="35" t="str">
        <f t="shared" ca="1" si="72"/>
        <v>VFL RonsdorfFC Grönlingen</v>
      </c>
      <c r="AA155" s="13">
        <f t="shared" ca="1" si="71"/>
        <v>1</v>
      </c>
      <c r="AB155" s="13" t="str">
        <f ca="1">IF(AA155&gt;0,Y83&amp;Sprache!$E$73&amp;X83,"")</f>
        <v>1:1</v>
      </c>
      <c r="AC155" s="2"/>
      <c r="AD155" s="145"/>
    </row>
    <row r="156" spans="25:30" x14ac:dyDescent="0.2">
      <c r="Y156" s="68" t="s">
        <v>36</v>
      </c>
      <c r="Z156" s="35" t="str">
        <f t="shared" ca="1" si="72"/>
        <v>Maibach 1822 eVKnock Out Rangers</v>
      </c>
      <c r="AA156" s="13">
        <f t="shared" ca="1" si="71"/>
        <v>1</v>
      </c>
      <c r="AB156" s="13" t="str">
        <f ca="1">IF(AA156&gt;0,Y84&amp;Sprache!$E$73&amp;X84,"")</f>
        <v>1:1</v>
      </c>
      <c r="AC156" s="2"/>
      <c r="AD156" s="145"/>
    </row>
    <row r="157" spans="25:30" x14ac:dyDescent="0.2">
      <c r="Y157" s="68" t="s">
        <v>37</v>
      </c>
      <c r="Z157" s="35" t="str">
        <f t="shared" ca="1" si="72"/>
        <v>Manchester CityBorussia Heine</v>
      </c>
      <c r="AA157" s="13">
        <f t="shared" ca="1" si="71"/>
        <v>1</v>
      </c>
      <c r="AB157" s="13" t="str">
        <f ca="1">IF(AA157&gt;0,Y85&amp;Sprache!$E$73&amp;X85,"")</f>
        <v>4:1</v>
      </c>
      <c r="AC157" s="2"/>
      <c r="AD157" s="145"/>
    </row>
    <row r="158" spans="25:30" x14ac:dyDescent="0.2">
      <c r="Y158" s="68" t="s">
        <v>38</v>
      </c>
      <c r="Z158" s="35" t="str">
        <f t="shared" ca="1" si="72"/>
        <v>FC BarcelonaEintracht Frankfurt</v>
      </c>
      <c r="AA158" s="13">
        <f t="shared" ca="1" si="71"/>
        <v>0</v>
      </c>
      <c r="AB158" s="13" t="str">
        <f ca="1">IF(AA158&gt;0,Y86&amp;Sprache!$E$73&amp;X86,"")</f>
        <v/>
      </c>
      <c r="AC158" s="2"/>
      <c r="AD158" s="145"/>
    </row>
    <row r="159" spans="25:30" x14ac:dyDescent="0.2">
      <c r="Y159" s="68" t="s">
        <v>39</v>
      </c>
      <c r="Z159" s="35" t="str">
        <f t="shared" ca="1" si="72"/>
        <v>Inter MailandSSV Wildbach</v>
      </c>
      <c r="AA159" s="13">
        <f t="shared" ca="1" si="71"/>
        <v>0</v>
      </c>
      <c r="AB159" s="13" t="str">
        <f ca="1">IF(AA159&gt;0,Y87&amp;Sprache!$E$73&amp;X87,"")</f>
        <v/>
      </c>
      <c r="AC159" s="2"/>
      <c r="AD159" s="145"/>
    </row>
    <row r="160" spans="25:30" x14ac:dyDescent="0.2">
      <c r="Y160" s="68" t="s">
        <v>40</v>
      </c>
      <c r="Z160" s="35" t="str">
        <f t="shared" ca="1" si="72"/>
        <v>1. FC RiedwaldVFB Essenheim</v>
      </c>
      <c r="AA160" s="13">
        <f t="shared" ca="1" si="71"/>
        <v>0</v>
      </c>
      <c r="AB160" s="13" t="str">
        <f ca="1">IF(AA160&gt;0,Y88&amp;Sprache!$E$73&amp;X88,"")</f>
        <v/>
      </c>
      <c r="AC160" s="2"/>
      <c r="AD160" s="145"/>
    </row>
    <row r="161" spans="25:30" x14ac:dyDescent="0.2">
      <c r="Y161" s="68" t="s">
        <v>41</v>
      </c>
      <c r="Z161" s="35" t="str">
        <f t="shared" ca="1" si="72"/>
        <v>Mainz 05FC Grönlingen</v>
      </c>
      <c r="AA161" s="13">
        <f t="shared" ca="1" si="71"/>
        <v>0</v>
      </c>
      <c r="AB161" s="13" t="str">
        <f ca="1">IF(AA161&gt;0,Y89&amp;Sprache!$E$73&amp;X89,"")</f>
        <v/>
      </c>
      <c r="AC161" s="2"/>
      <c r="AD161" s="145"/>
    </row>
    <row r="162" spans="25:30" x14ac:dyDescent="0.2">
      <c r="Y162" s="68" t="s">
        <v>42</v>
      </c>
      <c r="Z162" s="35" t="str">
        <f t="shared" ca="1" si="72"/>
        <v>Fun Kickers OesMaibach 1822 eV</v>
      </c>
      <c r="AA162" s="13">
        <f t="shared" ca="1" si="71"/>
        <v>0</v>
      </c>
      <c r="AB162" s="13" t="str">
        <f ca="1">IF(AA162&gt;0,Y90&amp;Sprache!$E$73&amp;X90,"")</f>
        <v/>
      </c>
      <c r="AC162" s="2"/>
      <c r="AD162" s="145"/>
    </row>
    <row r="163" spans="25:30" x14ac:dyDescent="0.2">
      <c r="Y163" s="68" t="s">
        <v>43</v>
      </c>
      <c r="Z163" s="35" t="str">
        <f t="shared" ca="1" si="72"/>
        <v>AC RomaManchester City</v>
      </c>
      <c r="AA163" s="13">
        <f t="shared" ca="1" si="71"/>
        <v>0</v>
      </c>
      <c r="AB163" s="13" t="str">
        <f ca="1">IF(AA163&gt;0,Y91&amp;Sprache!$E$73&amp;X91,"")</f>
        <v/>
      </c>
      <c r="AC163" s="2"/>
      <c r="AD163" s="145"/>
    </row>
    <row r="164" spans="25:30" x14ac:dyDescent="0.2">
      <c r="Y164" s="68" t="s">
        <v>44</v>
      </c>
      <c r="Z164" s="35" t="str">
        <f t="shared" ca="1" si="72"/>
        <v>Eintracht FrankfurtRaslo Winners</v>
      </c>
      <c r="AA164" s="13">
        <f t="shared" ca="1" si="71"/>
        <v>0</v>
      </c>
      <c r="AB164" s="13" t="str">
        <f ca="1">IF(AA164&gt;0,Y92&amp;Sprache!$E$73&amp;X92,"")</f>
        <v/>
      </c>
      <c r="AC164" s="2"/>
      <c r="AD164" s="145"/>
    </row>
    <row r="165" spans="25:30" x14ac:dyDescent="0.2">
      <c r="Y165" s="68" t="s">
        <v>45</v>
      </c>
      <c r="Z165" s="35" t="str">
        <f t="shared" ca="1" si="72"/>
        <v>SSV WildbachVFL Ronsdorf</v>
      </c>
      <c r="AA165" s="13">
        <f t="shared" ca="1" si="71"/>
        <v>0</v>
      </c>
      <c r="AB165" s="13" t="str">
        <f ca="1">IF(AA165&gt;0,Y93&amp;Sprache!$E$73&amp;X93,"")</f>
        <v/>
      </c>
      <c r="AC165" s="2"/>
      <c r="AD165" s="145"/>
    </row>
    <row r="166" spans="25:30" x14ac:dyDescent="0.2">
      <c r="Y166" s="68" t="s">
        <v>46</v>
      </c>
      <c r="Z166" s="35" t="str">
        <f t="shared" ca="1" si="72"/>
        <v>Knock Out RangersFC Barcelona</v>
      </c>
      <c r="AA166" s="13">
        <f t="shared" ca="1" si="71"/>
        <v>0</v>
      </c>
      <c r="AB166" s="13" t="str">
        <f ca="1">IF(AA166&gt;0,Y94&amp;Sprache!$E$73&amp;X94,"")</f>
        <v/>
      </c>
      <c r="AC166" s="2"/>
      <c r="AD166" s="145"/>
    </row>
    <row r="167" spans="25:30" x14ac:dyDescent="0.2">
      <c r="Y167" s="68" t="s">
        <v>47</v>
      </c>
      <c r="Z167" s="35" t="str">
        <f t="shared" ca="1" si="72"/>
        <v>Borussia HeineInter Mailand</v>
      </c>
      <c r="AA167" s="13">
        <f t="shared" ca="1" si="71"/>
        <v>0</v>
      </c>
      <c r="AB167" s="13" t="str">
        <f ca="1">IF(AA167&gt;0,Y95&amp;Sprache!$E$73&amp;X95,"")</f>
        <v/>
      </c>
      <c r="AC167" s="2"/>
      <c r="AD167" s="145"/>
    </row>
    <row r="168" spans="25:30" x14ac:dyDescent="0.2">
      <c r="Y168" s="68" t="s">
        <v>48</v>
      </c>
      <c r="Z168" s="35" t="str">
        <f t="shared" ca="1" si="72"/>
        <v>Maibach 1822 eV1. FC Riedwald</v>
      </c>
      <c r="AA168" s="13">
        <f t="shared" ca="1" si="71"/>
        <v>0</v>
      </c>
      <c r="AB168" s="13" t="str">
        <f ca="1">IF(AA168&gt;0,Y96&amp;Sprache!$E$73&amp;X96,"")</f>
        <v/>
      </c>
      <c r="AC168" s="2"/>
      <c r="AD168" s="145"/>
    </row>
    <row r="169" spans="25:30" x14ac:dyDescent="0.2">
      <c r="Y169" s="68" t="s">
        <v>49</v>
      </c>
      <c r="Z169" s="35" t="str">
        <f t="shared" ca="1" si="72"/>
        <v>Manchester CityMainz 05</v>
      </c>
      <c r="AA169" s="13">
        <f t="shared" ca="1" si="71"/>
        <v>0</v>
      </c>
      <c r="AB169" s="13" t="str">
        <f ca="1">IF(AA169&gt;0,Y97&amp;Sprache!$E$73&amp;X97,"")</f>
        <v/>
      </c>
      <c r="AC169" s="2"/>
      <c r="AD169" s="145"/>
    </row>
    <row r="170" spans="25:30" x14ac:dyDescent="0.2">
      <c r="Y170" s="68" t="s">
        <v>50</v>
      </c>
      <c r="Z170" s="35" t="str">
        <f t="shared" ca="1" si="72"/>
        <v>VFB EssenheimEintracht Frankfurt</v>
      </c>
      <c r="AA170" s="13">
        <f t="shared" ca="1" si="71"/>
        <v>0</v>
      </c>
      <c r="AB170" s="13" t="str">
        <f ca="1">IF(AA170&gt;0,Y98&amp;Sprache!$E$73&amp;X98,"")</f>
        <v/>
      </c>
      <c r="AC170" s="2"/>
      <c r="AD170" s="145"/>
    </row>
    <row r="171" spans="25:30" x14ac:dyDescent="0.2">
      <c r="Y171" s="68" t="s">
        <v>51</v>
      </c>
      <c r="Z171" s="35" t="str">
        <f t="shared" ca="1" si="72"/>
        <v>FC GrönlingenSSV Wildbach</v>
      </c>
      <c r="AA171" s="13">
        <f t="shared" ca="1" si="71"/>
        <v>0</v>
      </c>
      <c r="AB171" s="13" t="str">
        <f ca="1">IF(AA171&gt;0,Y99&amp;Sprache!$E$73&amp;X99,"")</f>
        <v/>
      </c>
      <c r="AC171" s="2"/>
      <c r="AD171" s="145"/>
    </row>
    <row r="172" spans="25:30" x14ac:dyDescent="0.2">
      <c r="Y172" s="68" t="s">
        <v>60</v>
      </c>
      <c r="Z172" s="35" t="str">
        <f t="shared" ca="1" si="72"/>
        <v>FC BarcelonaFun Kickers Oes</v>
      </c>
      <c r="AA172" s="13">
        <f t="shared" ca="1" si="71"/>
        <v>0</v>
      </c>
      <c r="AB172" s="13" t="str">
        <f ca="1">IF(AA172&gt;0,Y100&amp;Sprache!$E$73&amp;X100,"")</f>
        <v/>
      </c>
      <c r="AC172" s="2"/>
      <c r="AD172" s="145"/>
    </row>
    <row r="173" spans="25:30" x14ac:dyDescent="0.2">
      <c r="Y173" s="68" t="s">
        <v>61</v>
      </c>
      <c r="Z173" s="35" t="str">
        <f t="shared" ca="1" si="72"/>
        <v>Inter MailandAC Roma</v>
      </c>
      <c r="AA173" s="13">
        <f t="shared" ca="1" si="71"/>
        <v>0</v>
      </c>
      <c r="AB173" s="13" t="str">
        <f ca="1">IF(AA173&gt;0,Y101&amp;Sprache!$E$73&amp;X101,"")</f>
        <v/>
      </c>
      <c r="AC173" s="2"/>
      <c r="AD173" s="145"/>
    </row>
    <row r="174" spans="25:30" x14ac:dyDescent="0.2">
      <c r="Y174" s="68" t="s">
        <v>62</v>
      </c>
      <c r="Z174" s="35" t="str">
        <f t="shared" ca="1" si="72"/>
        <v>Raslo WinnersKnock Out Rangers</v>
      </c>
      <c r="AA174" s="13">
        <f t="shared" ca="1" si="71"/>
        <v>0</v>
      </c>
      <c r="AB174" s="13" t="str">
        <f ca="1">IF(AA174&gt;0,Y102&amp;Sprache!$E$73&amp;X102,"")</f>
        <v/>
      </c>
      <c r="AC174" s="2"/>
      <c r="AD174" s="145"/>
    </row>
    <row r="175" spans="25:30" x14ac:dyDescent="0.2">
      <c r="Y175" s="68" t="s">
        <v>63</v>
      </c>
      <c r="Z175" s="35" t="str">
        <f t="shared" ca="1" si="72"/>
        <v>VFL RonsdorfBorussia Heine</v>
      </c>
      <c r="AA175" s="13">
        <f t="shared" ca="1" si="71"/>
        <v>0</v>
      </c>
      <c r="AB175" s="13" t="str">
        <f ca="1">IF(AA175&gt;0,Y103&amp;Sprache!$E$73&amp;X103,"")</f>
        <v/>
      </c>
      <c r="AC175" s="2"/>
      <c r="AD175" s="145"/>
    </row>
    <row r="176" spans="25:30" x14ac:dyDescent="0.2">
      <c r="Y176" s="68" t="s">
        <v>64</v>
      </c>
      <c r="Z176" s="35" t="str">
        <f t="shared" ca="1" si="72"/>
        <v>1. FC RiedwaldEintracht Frankfurt</v>
      </c>
      <c r="AA176" s="13">
        <f t="shared" ca="1" si="71"/>
        <v>0</v>
      </c>
      <c r="AB176" s="13" t="str">
        <f ca="1">IF(AA176&gt;0,Y104&amp;Sprache!$E$73&amp;X104,"")</f>
        <v/>
      </c>
      <c r="AC176" s="2"/>
      <c r="AD176" s="145"/>
    </row>
    <row r="177" spans="25:30" x14ac:dyDescent="0.2">
      <c r="Y177" s="68" t="s">
        <v>65</v>
      </c>
      <c r="Z177" s="35" t="str">
        <f t="shared" ca="1" si="72"/>
        <v>Mainz 05SSV Wildbach</v>
      </c>
      <c r="AA177" s="13">
        <f t="shared" ca="1" si="71"/>
        <v>0</v>
      </c>
      <c r="AB177" s="13" t="str">
        <f ca="1">IF(AA177&gt;0,Y105&amp;Sprache!$E$73&amp;X105,"")</f>
        <v/>
      </c>
      <c r="AC177" s="2"/>
      <c r="AD177" s="145"/>
    </row>
    <row r="178" spans="25:30" x14ac:dyDescent="0.2">
      <c r="Y178" s="68" t="s">
        <v>66</v>
      </c>
      <c r="Z178" s="35" t="str">
        <f t="shared" ca="1" si="72"/>
        <v>Maibach 1822 eVFC Barcelona</v>
      </c>
      <c r="AA178" s="13">
        <f t="shared" ca="1" si="71"/>
        <v>0</v>
      </c>
      <c r="AB178" s="13" t="str">
        <f ca="1">IF(AA178&gt;0,Y106&amp;Sprache!$E$73&amp;X106,"")</f>
        <v/>
      </c>
      <c r="AC178" s="2"/>
      <c r="AD178" s="145"/>
    </row>
    <row r="179" spans="25:30" x14ac:dyDescent="0.2">
      <c r="Y179" s="68" t="s">
        <v>67</v>
      </c>
      <c r="Z179" s="35" t="str">
        <f t="shared" ca="1" si="72"/>
        <v>Manchester CityInter Mailand</v>
      </c>
      <c r="AA179" s="13">
        <f t="shared" ca="1" si="71"/>
        <v>0</v>
      </c>
      <c r="AB179" s="13" t="str">
        <f ca="1">IF(AA179&gt;0,Y107&amp;Sprache!$E$73&amp;X107,"")</f>
        <v/>
      </c>
      <c r="AC179" s="2"/>
      <c r="AD179" s="145"/>
    </row>
    <row r="180" spans="25:30" x14ac:dyDescent="0.2">
      <c r="Y180" s="68" t="s">
        <v>68</v>
      </c>
      <c r="Z180" s="35" t="str">
        <f t="shared" ca="1" si="72"/>
        <v>Knock Out RangersVFB Essenheim</v>
      </c>
      <c r="AA180" s="13">
        <f t="shared" ca="1" si="71"/>
        <v>0</v>
      </c>
      <c r="AB180" s="13" t="str">
        <f ca="1">IF(AA180&gt;0,Y108&amp;Sprache!$E$73&amp;X108,"")</f>
        <v/>
      </c>
      <c r="AC180" s="2"/>
      <c r="AD180" s="145"/>
    </row>
    <row r="181" spans="25:30" x14ac:dyDescent="0.2">
      <c r="Y181" s="68" t="s">
        <v>69</v>
      </c>
      <c r="Z181" s="35" t="str">
        <f t="shared" ca="1" si="72"/>
        <v>Borussia HeineFC Grönlingen</v>
      </c>
      <c r="AA181" s="13">
        <f t="shared" ca="1" si="71"/>
        <v>0</v>
      </c>
      <c r="AB181" s="13" t="str">
        <f ca="1">IF(AA181&gt;0,Y109&amp;Sprache!$E$73&amp;X109,"")</f>
        <v/>
      </c>
      <c r="AC181" s="2"/>
      <c r="AD181" s="145"/>
    </row>
    <row r="182" spans="25:30" x14ac:dyDescent="0.2">
      <c r="Y182" s="68" t="s">
        <v>70</v>
      </c>
      <c r="Z182" s="35" t="str">
        <f t="shared" ca="1" si="72"/>
        <v>Fun Kickers OesRaslo Winners</v>
      </c>
      <c r="AA182" s="13">
        <f t="shared" ca="1" si="71"/>
        <v>0</v>
      </c>
      <c r="AB182" s="13" t="str">
        <f ca="1">IF(AA182&gt;0,Y110&amp;Sprache!$E$73&amp;X110,"")</f>
        <v/>
      </c>
      <c r="AC182" s="2"/>
      <c r="AD182" s="145"/>
    </row>
    <row r="183" spans="25:30" x14ac:dyDescent="0.2">
      <c r="Y183" s="68" t="s">
        <v>71</v>
      </c>
      <c r="Z183" s="35" t="str">
        <f t="shared" ca="1" si="72"/>
        <v>AC RomaVFL Ronsdorf</v>
      </c>
      <c r="AA183" s="13">
        <f t="shared" ca="1" si="71"/>
        <v>0</v>
      </c>
      <c r="AB183" s="13" t="str">
        <f ca="1">IF(AA183&gt;0,Y111&amp;Sprache!$E$73&amp;X111,"")</f>
        <v/>
      </c>
      <c r="AC183" s="2"/>
      <c r="AD183" s="145"/>
    </row>
    <row r="184" spans="25:30" x14ac:dyDescent="0.2">
      <c r="Y184" s="68" t="s">
        <v>72</v>
      </c>
      <c r="Z184" s="35" t="str">
        <f t="shared" ca="1" si="72"/>
        <v>FC Barcelona1. FC Riedwald</v>
      </c>
      <c r="AA184" s="13">
        <f t="shared" ca="1" si="71"/>
        <v>0</v>
      </c>
      <c r="AB184" s="13" t="str">
        <f ca="1">IF(AA184&gt;0,Y112&amp;Sprache!$E$73&amp;X112,"")</f>
        <v/>
      </c>
      <c r="AC184" s="2"/>
      <c r="AD184" s="145"/>
    </row>
    <row r="185" spans="25:30" x14ac:dyDescent="0.2">
      <c r="Y185" s="68" t="s">
        <v>73</v>
      </c>
      <c r="Z185" s="35" t="str">
        <f t="shared" ca="1" si="72"/>
        <v>Inter MailandMainz 05</v>
      </c>
      <c r="AA185" s="13">
        <f t="shared" ca="1" si="71"/>
        <v>0</v>
      </c>
      <c r="AB185" s="13" t="str">
        <f ca="1">IF(AA185&gt;0,Y113&amp;Sprache!$E$73&amp;X113,"")</f>
        <v/>
      </c>
      <c r="AC185" s="2"/>
      <c r="AD185" s="145"/>
    </row>
    <row r="186" spans="25:30" x14ac:dyDescent="0.2">
      <c r="Y186" s="68" t="s">
        <v>74</v>
      </c>
      <c r="Z186" s="35" t="str">
        <f t="shared" ca="1" si="72"/>
        <v>Eintracht FrankfurtKnock Out Rangers</v>
      </c>
      <c r="AA186" s="13">
        <f t="shared" ca="1" si="71"/>
        <v>0</v>
      </c>
      <c r="AB186" s="13" t="str">
        <f ca="1">IF(AA186&gt;0,Y114&amp;Sprache!$E$73&amp;X114,"")</f>
        <v/>
      </c>
      <c r="AC186" s="2"/>
      <c r="AD186" s="145"/>
    </row>
    <row r="187" spans="25:30" x14ac:dyDescent="0.2">
      <c r="Y187" s="68" t="s">
        <v>75</v>
      </c>
      <c r="Z187" s="35" t="str">
        <f t="shared" ca="1" si="72"/>
        <v>SSV WildbachBorussia Heine</v>
      </c>
      <c r="AA187" s="13">
        <f t="shared" ca="1" si="71"/>
        <v>0</v>
      </c>
      <c r="AB187" s="13" t="str">
        <f ca="1">IF(AA187&gt;0,Y115&amp;Sprache!$E$73&amp;X115,"")</f>
        <v/>
      </c>
      <c r="AC187" s="2"/>
      <c r="AD187" s="145"/>
    </row>
    <row r="188" spans="25:30" x14ac:dyDescent="0.2">
      <c r="Y188" s="68" t="s">
        <v>76</v>
      </c>
      <c r="Z188" s="35" t="str">
        <f t="shared" ca="1" si="72"/>
        <v>Raslo WinnersMaibach 1822 eV</v>
      </c>
      <c r="AA188" s="13">
        <f t="shared" ca="1" si="71"/>
        <v>0</v>
      </c>
      <c r="AB188" s="13" t="str">
        <f ca="1">IF(AA188&gt;0,Y116&amp;Sprache!$E$73&amp;X116,"")</f>
        <v/>
      </c>
      <c r="AC188" s="2"/>
      <c r="AD188" s="145"/>
    </row>
    <row r="189" spans="25:30" x14ac:dyDescent="0.2">
      <c r="Y189" s="68" t="s">
        <v>77</v>
      </c>
      <c r="Z189" s="35" t="str">
        <f t="shared" ca="1" si="72"/>
        <v>VFL RonsdorfManchester City</v>
      </c>
      <c r="AA189" s="13">
        <f t="shared" ca="1" si="71"/>
        <v>0</v>
      </c>
      <c r="AB189" s="13" t="str">
        <f ca="1">IF(AA189&gt;0,Y117&amp;Sprache!$E$73&amp;X117,"")</f>
        <v/>
      </c>
      <c r="AC189" s="2"/>
      <c r="AD189" s="145"/>
    </row>
    <row r="190" spans="25:30" x14ac:dyDescent="0.2">
      <c r="Y190" s="68" t="s">
        <v>78</v>
      </c>
      <c r="Z190" s="35" t="str">
        <f t="shared" ca="1" si="72"/>
        <v>VFB EssenheimFun Kickers Oes</v>
      </c>
      <c r="AA190" s="13">
        <f t="shared" ca="1" si="71"/>
        <v>0</v>
      </c>
      <c r="AB190" s="13" t="str">
        <f ca="1">IF(AA190&gt;0,Y118&amp;Sprache!$E$73&amp;X118,"")</f>
        <v/>
      </c>
      <c r="AC190" s="2"/>
      <c r="AD190" s="145"/>
    </row>
    <row r="191" spans="25:30" x14ac:dyDescent="0.2">
      <c r="Y191" s="68" t="s">
        <v>79</v>
      </c>
      <c r="Z191" s="35" t="str">
        <f t="shared" ca="1" si="72"/>
        <v>FC GrönlingenAC Roma</v>
      </c>
      <c r="AA191" s="13">
        <f t="shared" ca="1" si="71"/>
        <v>0</v>
      </c>
      <c r="AB191" s="13" t="str">
        <f ca="1">IF(AA191&gt;0,Y119&amp;Sprache!$E$73&amp;X119,"")</f>
        <v/>
      </c>
      <c r="AC191" s="2"/>
      <c r="AD191" s="145"/>
    </row>
    <row r="192" spans="25:30" x14ac:dyDescent="0.2">
      <c r="Y192" s="68" t="s">
        <v>80</v>
      </c>
      <c r="Z192" s="35" t="str">
        <f t="shared" ca="1" si="72"/>
        <v/>
      </c>
      <c r="AA192" s="13">
        <f t="shared" ca="1" si="71"/>
        <v>0</v>
      </c>
      <c r="AB192" s="13" t="str">
        <f ca="1">IF(AA192&gt;0,Y120&amp;Sprache!$E$73&amp;X120,"")</f>
        <v/>
      </c>
      <c r="AC192" s="2"/>
      <c r="AD192" s="145"/>
    </row>
    <row r="193" spans="25:30" x14ac:dyDescent="0.2">
      <c r="Y193" s="68" t="s">
        <v>81</v>
      </c>
      <c r="Z193" s="35" t="str">
        <f t="shared" ca="1" si="72"/>
        <v/>
      </c>
      <c r="AA193" s="13">
        <f t="shared" ca="1" si="71"/>
        <v>0</v>
      </c>
      <c r="AB193" s="13" t="str">
        <f ca="1">IF(AA193&gt;0,Y121&amp;Sprache!$E$73&amp;X121,"")</f>
        <v/>
      </c>
      <c r="AC193" s="2"/>
      <c r="AD193" s="145"/>
    </row>
    <row r="194" spans="25:30" x14ac:dyDescent="0.2">
      <c r="Y194" s="68" t="s">
        <v>82</v>
      </c>
      <c r="Z194" s="35" t="str">
        <f t="shared" ca="1" si="72"/>
        <v/>
      </c>
      <c r="AA194" s="13">
        <f t="shared" ca="1" si="71"/>
        <v>0</v>
      </c>
      <c r="AB194" s="13" t="str">
        <f ca="1">IF(AA194&gt;0,Y122&amp;Sprache!$E$73&amp;X122,"")</f>
        <v/>
      </c>
      <c r="AC194" s="2"/>
      <c r="AD194" s="145"/>
    </row>
    <row r="195" spans="25:30" x14ac:dyDescent="0.2">
      <c r="Y195" s="68" t="s">
        <v>83</v>
      </c>
      <c r="Z195" s="35" t="str">
        <f t="shared" ca="1" si="72"/>
        <v/>
      </c>
      <c r="AA195" s="13">
        <f t="shared" ca="1" si="71"/>
        <v>0</v>
      </c>
      <c r="AB195" s="13" t="str">
        <f ca="1">IF(AA195&gt;0,Y123&amp;Sprache!$E$73&amp;X123,"")</f>
        <v/>
      </c>
      <c r="AC195" s="2"/>
      <c r="AD195" s="145"/>
    </row>
    <row r="196" spans="25:30" x14ac:dyDescent="0.2">
      <c r="Y196" s="68" t="s">
        <v>84</v>
      </c>
      <c r="Z196" s="35" t="str">
        <f t="shared" ca="1" si="72"/>
        <v/>
      </c>
      <c r="AA196" s="13">
        <f t="shared" ca="1" si="71"/>
        <v>0</v>
      </c>
      <c r="AB196" s="13" t="str">
        <f ca="1">IF(AA196&gt;0,Y124&amp;Sprache!$E$73&amp;X124,"")</f>
        <v/>
      </c>
      <c r="AC196" s="2"/>
      <c r="AD196" s="145"/>
    </row>
    <row r="197" spans="25:30" x14ac:dyDescent="0.2">
      <c r="Y197" s="68" t="s">
        <v>85</v>
      </c>
      <c r="Z197" s="35" t="str">
        <f t="shared" ca="1" si="72"/>
        <v/>
      </c>
      <c r="AA197" s="13">
        <f t="shared" ca="1" si="71"/>
        <v>0</v>
      </c>
      <c r="AB197" s="13" t="str">
        <f ca="1">IF(AA197&gt;0,Y125&amp;Sprache!$E$73&amp;X125,"")</f>
        <v/>
      </c>
      <c r="AC197" s="2"/>
      <c r="AD197" s="145"/>
    </row>
    <row r="198" spans="25:30" x14ac:dyDescent="0.2">
      <c r="Y198" s="68" t="s">
        <v>86</v>
      </c>
      <c r="Z198" s="35" t="str">
        <f t="shared" ca="1" si="72"/>
        <v/>
      </c>
      <c r="AA198" s="13">
        <f t="shared" ca="1" si="71"/>
        <v>0</v>
      </c>
      <c r="AB198" s="13" t="str">
        <f ca="1">IF(AA198&gt;0,Y126&amp;Sprache!$E$73&amp;X126,"")</f>
        <v/>
      </c>
      <c r="AC198" s="2"/>
      <c r="AD198" s="145"/>
    </row>
    <row r="199" spans="25:30" x14ac:dyDescent="0.2">
      <c r="Y199" s="68" t="s">
        <v>87</v>
      </c>
      <c r="Z199" s="35" t="str">
        <f t="shared" ca="1" si="72"/>
        <v/>
      </c>
      <c r="AA199" s="13">
        <f t="shared" ca="1" si="71"/>
        <v>0</v>
      </c>
      <c r="AB199" s="13" t="str">
        <f ca="1">IF(AA199&gt;0,Y127&amp;Sprache!$E$73&amp;X127,"")</f>
        <v/>
      </c>
      <c r="AC199" s="2"/>
      <c r="AD199" s="145"/>
    </row>
    <row r="200" spans="25:30" x14ac:dyDescent="0.2">
      <c r="Y200" s="68" t="s">
        <v>88</v>
      </c>
      <c r="Z200" s="35" t="str">
        <f t="shared" ca="1" si="72"/>
        <v/>
      </c>
      <c r="AA200" s="13">
        <f t="shared" ca="1" si="71"/>
        <v>0</v>
      </c>
      <c r="AB200" s="13" t="str">
        <f ca="1">IF(AA200&gt;0,Y128&amp;Sprache!$E$73&amp;X128,"")</f>
        <v/>
      </c>
      <c r="AC200" s="2"/>
      <c r="AD200" s="145"/>
    </row>
    <row r="201" spans="25:30" x14ac:dyDescent="0.2">
      <c r="Y201" s="68" t="s">
        <v>89</v>
      </c>
      <c r="Z201" s="35" t="str">
        <f t="shared" ca="1" si="72"/>
        <v/>
      </c>
      <c r="AA201" s="13">
        <f t="shared" ref="AA201:AA207" ca="1" si="73">AA129</f>
        <v>0</v>
      </c>
      <c r="AB201" s="13" t="str">
        <f ca="1">IF(AA201&gt;0,Y129&amp;Sprache!$E$73&amp;X129,"")</f>
        <v/>
      </c>
      <c r="AC201" s="2"/>
      <c r="AD201" s="145"/>
    </row>
    <row r="202" spans="25:30" x14ac:dyDescent="0.2">
      <c r="Y202" s="68" t="s">
        <v>90</v>
      </c>
      <c r="Z202" s="35" t="str">
        <f t="shared" ref="Z202:Z206" ca="1" si="74">W130&amp;V130</f>
        <v/>
      </c>
      <c r="AA202" s="13">
        <f t="shared" ca="1" si="73"/>
        <v>0</v>
      </c>
      <c r="AB202" s="13" t="str">
        <f ca="1">IF(AA202&gt;0,Y130&amp;Sprache!$E$73&amp;X130,"")</f>
        <v/>
      </c>
      <c r="AC202" s="2"/>
      <c r="AD202" s="145"/>
    </row>
    <row r="203" spans="25:30" x14ac:dyDescent="0.2">
      <c r="Y203" s="68" t="s">
        <v>91</v>
      </c>
      <c r="Z203" s="35" t="str">
        <f t="shared" ca="1" si="74"/>
        <v/>
      </c>
      <c r="AA203" s="13">
        <f t="shared" ca="1" si="73"/>
        <v>0</v>
      </c>
      <c r="AB203" s="13" t="str">
        <f ca="1">IF(AA203&gt;0,Y131&amp;Sprache!$E$73&amp;X131,"")</f>
        <v/>
      </c>
      <c r="AC203" s="2"/>
      <c r="AD203" s="145"/>
    </row>
    <row r="204" spans="25:30" x14ac:dyDescent="0.2">
      <c r="Y204" s="68" t="s">
        <v>92</v>
      </c>
      <c r="Z204" s="35" t="str">
        <f t="shared" ca="1" si="74"/>
        <v/>
      </c>
      <c r="AA204" s="13">
        <f t="shared" ca="1" si="73"/>
        <v>0</v>
      </c>
      <c r="AB204" s="13" t="str">
        <f ca="1">IF(AA204&gt;0,Y132&amp;Sprache!$E$73&amp;X132,"")</f>
        <v/>
      </c>
      <c r="AC204" s="2"/>
      <c r="AD204" s="145"/>
    </row>
    <row r="205" spans="25:30" x14ac:dyDescent="0.2">
      <c r="Y205" s="68" t="s">
        <v>93</v>
      </c>
      <c r="Z205" s="35" t="str">
        <f t="shared" ca="1" si="74"/>
        <v/>
      </c>
      <c r="AA205" s="13">
        <f t="shared" ca="1" si="73"/>
        <v>0</v>
      </c>
      <c r="AB205" s="13" t="str">
        <f ca="1">IF(AA205&gt;0,Y133&amp;Sprache!$E$73&amp;X133,"")</f>
        <v/>
      </c>
      <c r="AC205" s="2"/>
      <c r="AD205" s="145"/>
    </row>
    <row r="206" spans="25:30" x14ac:dyDescent="0.2">
      <c r="Y206" s="68" t="s">
        <v>94</v>
      </c>
      <c r="Z206" s="35" t="str">
        <f t="shared" ca="1" si="74"/>
        <v/>
      </c>
      <c r="AA206" s="13">
        <f t="shared" ca="1" si="73"/>
        <v>0</v>
      </c>
      <c r="AB206" s="13" t="str">
        <f ca="1">IF(AA206&gt;0,Y134&amp;Sprache!$E$73&amp;X134,"")</f>
        <v/>
      </c>
      <c r="AC206" s="2"/>
      <c r="AD206" s="145"/>
    </row>
    <row r="207" spans="25:30" ht="12.75" thickBot="1" x14ac:dyDescent="0.25">
      <c r="Y207" s="69" t="s">
        <v>95</v>
      </c>
      <c r="Z207" s="37" t="str">
        <f ca="1">W135&amp;V135</f>
        <v/>
      </c>
      <c r="AA207" s="38">
        <f t="shared" ca="1" si="73"/>
        <v>0</v>
      </c>
      <c r="AB207" s="146" t="str">
        <f ca="1">IF(AA207&gt;0,Y135&amp;Sprache!$E$73&amp;X135,"")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65">
        <f ca="1">IF($O$4&lt;10,$O$4,0)</f>
        <v>0</v>
      </c>
      <c r="X3" s="766"/>
      <c r="Y3" s="766"/>
      <c r="Z3" s="766"/>
      <c r="AA3" s="766"/>
      <c r="AB3" s="765">
        <f ca="1">IF($P$4&lt;10,$P$4,0)</f>
        <v>0</v>
      </c>
      <c r="AC3" s="766"/>
      <c r="AD3" s="766"/>
      <c r="AE3" s="766"/>
      <c r="AF3" s="766"/>
      <c r="AG3" s="765">
        <f ca="1">IF($Q$4&lt;10,$Q$4,0)</f>
        <v>0</v>
      </c>
      <c r="AH3" s="766"/>
      <c r="AI3" s="766"/>
      <c r="AJ3" s="766"/>
      <c r="AK3" s="766"/>
      <c r="AL3" s="765">
        <f ca="1">IF($R$4&lt;10,$R$4,0)</f>
        <v>0</v>
      </c>
      <c r="AM3" s="766"/>
      <c r="AN3" s="766"/>
      <c r="AO3" s="766"/>
      <c r="AP3" s="766"/>
    </row>
    <row r="4" spans="1:42" s="2" customFormat="1" ht="12.75" thickTop="1" x14ac:dyDescent="0.2">
      <c r="A4" s="239"/>
      <c r="B4" s="1">
        <v>1</v>
      </c>
      <c r="C4" s="21">
        <f ca="1">RANK(D4,$D$4:$D$12,1)</f>
        <v>1</v>
      </c>
      <c r="D4" s="13">
        <f ca="1">E4+ROW()/1000+(F4="")*10</f>
        <v>1.004</v>
      </c>
      <c r="E4" s="250">
        <f ca="1">IF($AI$15,RANK(AH17,AH$17:AH$25,1),RANK(X17,X$17:X$25,1))</f>
        <v>1</v>
      </c>
      <c r="F4" s="1" t="str">
        <f ca="1">$Q64</f>
        <v>FC Barcelona</v>
      </c>
      <c r="G4" s="1">
        <f t="shared" ref="G4:G12" ca="1" si="1">SUMIFS($X$64:$X$135,$V$64:$V$135,$F4)+SUMIFS($Y$64:$Y$135,$W$64:$W$135,$F4)</f>
        <v>9</v>
      </c>
      <c r="H4" s="1">
        <f t="shared" ref="H4:H12" ca="1" si="2">SUMIFS($Y$64:$Y$135,$V$64:$V$135,$F4)+SUMIFS($X$64:$X$135,$W$64:$W$135,$F4)</f>
        <v>1</v>
      </c>
      <c r="I4" s="13">
        <f t="shared" ref="I4:I12" ca="1" si="3">G4-H4</f>
        <v>8</v>
      </c>
      <c r="J4" s="1">
        <f ca="1">SUMIF($V$64:$V$135,F4,$AE$64:$AE$135)+SUMIF($W$64:$W$135,F4,$AF$64:$AF$135)</f>
        <v>7</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1</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1.0504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1.0504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1.0504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1.0504</v>
      </c>
      <c r="AP4" s="544">
        <f ca="1">RANK($AO4,$AO$4:$AO$12,1)</f>
        <v>1</v>
      </c>
    </row>
    <row r="5" spans="1:42" s="2" customFormat="1" x14ac:dyDescent="0.2">
      <c r="A5" s="239"/>
      <c r="B5" s="1">
        <v>2</v>
      </c>
      <c r="C5" s="22">
        <f t="shared" ref="C5:C12" ca="1" si="11">RANK(D5,$D$4:$D$12,1)</f>
        <v>3</v>
      </c>
      <c r="D5" s="13">
        <f t="shared" ref="D5:D12" ca="1" si="12">E5+ROW()/1000+(F5="")*10</f>
        <v>3.0049999999999999</v>
      </c>
      <c r="E5" s="250">
        <f t="shared" ref="E5:E12" ca="1" si="13">IF($AI$15,RANK(AH18,AH$17:AH$25,1),RANK(X18,X$17:X$25,1))</f>
        <v>3</v>
      </c>
      <c r="F5" s="1" t="str">
        <f t="shared" ref="F5:F12" ca="1" si="14">$Q65</f>
        <v>Manchester City</v>
      </c>
      <c r="G5" s="1">
        <f t="shared" ca="1" si="1"/>
        <v>4</v>
      </c>
      <c r="H5" s="1">
        <f t="shared" ca="1" si="2"/>
        <v>13</v>
      </c>
      <c r="I5" s="13">
        <f t="shared" ca="1" si="3"/>
        <v>-9</v>
      </c>
      <c r="J5" s="1">
        <f t="shared" ref="J5:J12" ca="1" si="15">SUMIF($V$64:$V$135,F5,$AE$64:$AE$135)+SUMIF($W$64:$W$135,F5,$AF$64:$AF$135)</f>
        <v>3</v>
      </c>
      <c r="K5" s="1">
        <f t="shared" ca="1" si="4"/>
        <v>3</v>
      </c>
      <c r="L5" s="1">
        <f t="shared" ca="1" si="5"/>
        <v>1</v>
      </c>
      <c r="M5" s="1">
        <f t="shared" ca="1" si="6"/>
        <v>0</v>
      </c>
      <c r="N5" s="1">
        <f t="shared" ca="1" si="7"/>
        <v>2</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1.0505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1.0505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1.0505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1.0505</v>
      </c>
      <c r="AP5" s="544">
        <f t="shared" ref="AP5:AP12" ca="1" si="28">RANK($AO5,$AO$4:$AO$12,1)</f>
        <v>2</v>
      </c>
    </row>
    <row r="6" spans="1:42" s="2" customFormat="1" x14ac:dyDescent="0.2">
      <c r="A6" s="239"/>
      <c r="B6" s="1">
        <v>3</v>
      </c>
      <c r="C6" s="22">
        <f t="shared" ca="1" si="11"/>
        <v>4</v>
      </c>
      <c r="D6" s="13">
        <f t="shared" ca="1" si="12"/>
        <v>4.0060000000000002</v>
      </c>
      <c r="E6" s="250">
        <f t="shared" ca="1" si="13"/>
        <v>4</v>
      </c>
      <c r="F6" s="1" t="str">
        <f t="shared" ca="1" si="14"/>
        <v>Eintracht Frankfurt</v>
      </c>
      <c r="G6" s="1">
        <f t="shared" ca="1" si="1"/>
        <v>7</v>
      </c>
      <c r="H6" s="1">
        <f t="shared" ca="1" si="2"/>
        <v>14</v>
      </c>
      <c r="I6" s="13">
        <f t="shared" ca="1" si="3"/>
        <v>-7</v>
      </c>
      <c r="J6" s="1">
        <f t="shared" ca="1" si="15"/>
        <v>1</v>
      </c>
      <c r="K6" s="1">
        <f t="shared" ca="1" si="4"/>
        <v>3</v>
      </c>
      <c r="L6" s="1">
        <f t="shared" ca="1" si="5"/>
        <v>0</v>
      </c>
      <c r="M6" s="1">
        <f t="shared" ca="1" si="6"/>
        <v>1</v>
      </c>
      <c r="N6" s="1">
        <f t="shared" ca="1" si="7"/>
        <v>2</v>
      </c>
      <c r="O6" s="24"/>
      <c r="P6" s="25"/>
      <c r="V6" s="1"/>
      <c r="W6" s="541" t="str">
        <f t="shared" ca="1" si="16"/>
        <v/>
      </c>
      <c r="X6" s="542" t="str">
        <f t="shared" ca="1" si="17"/>
        <v/>
      </c>
      <c r="Y6" s="539">
        <f t="shared" ca="1" si="18"/>
        <v>99999</v>
      </c>
      <c r="Z6" s="539">
        <f ca="1">RANK(Y6,Y$4:Y$12,1)+INDEX($E$4:$E$12,MATCH(W6,$F$4:$F$12,0))/100+ROW()/10000</f>
        <v>1.0506</v>
      </c>
      <c r="AA6" s="544">
        <f t="shared" ca="1" si="19"/>
        <v>3</v>
      </c>
      <c r="AB6" s="541" t="str">
        <f t="shared" ca="1" si="8"/>
        <v/>
      </c>
      <c r="AC6" s="542" t="str">
        <f t="shared" ca="1" si="20"/>
        <v/>
      </c>
      <c r="AD6" s="543">
        <f t="shared" ca="1" si="21"/>
        <v>99999</v>
      </c>
      <c r="AE6" s="539">
        <f ca="1">RANK(AD6,AD$4:AD$12,1)+INDEX($E$4:$E$12,MATCH(AB6,$F$4:$F$12,0))/100+ROW()/10000</f>
        <v>1.0506</v>
      </c>
      <c r="AF6" s="539">
        <f t="shared" ca="1" si="22"/>
        <v>3</v>
      </c>
      <c r="AG6" s="541" t="str">
        <f t="shared" ca="1" si="9"/>
        <v/>
      </c>
      <c r="AH6" s="542" t="str">
        <f t="shared" ca="1" si="23"/>
        <v/>
      </c>
      <c r="AI6" s="543">
        <f t="shared" ca="1" si="24"/>
        <v>99999</v>
      </c>
      <c r="AJ6" s="539">
        <f ca="1">RANK(AI6,AI$4:AI$12,1)+INDEX($E$4:$E$12,MATCH(AG6,$F$4:$F$12,0))/100+ROW()/10000</f>
        <v>1.0506</v>
      </c>
      <c r="AK6" s="544">
        <f t="shared" ca="1" si="25"/>
        <v>3</v>
      </c>
      <c r="AL6" s="542" t="str">
        <f t="shared" ca="1" si="10"/>
        <v/>
      </c>
      <c r="AM6" s="542" t="str">
        <f t="shared" ca="1" si="26"/>
        <v/>
      </c>
      <c r="AN6" s="543">
        <f t="shared" ca="1" si="27"/>
        <v>99999</v>
      </c>
      <c r="AO6" s="539">
        <f ca="1">RANK(AN6,AN$4:AN$12,1)+INDEX($E$4:$E$12,MATCH(AL6,$F$4:$F$12,0))/100+ROW()/10000</f>
        <v>1.0506</v>
      </c>
      <c r="AP6" s="544">
        <f t="shared" ca="1" si="28"/>
        <v>3</v>
      </c>
    </row>
    <row r="7" spans="1:42" s="2" customFormat="1" x14ac:dyDescent="0.2">
      <c r="A7" s="239"/>
      <c r="B7" s="1">
        <v>4</v>
      </c>
      <c r="C7" s="22">
        <f t="shared" ca="1" si="11"/>
        <v>2</v>
      </c>
      <c r="D7" s="13">
        <f t="shared" ca="1" si="12"/>
        <v>2.0070000000000001</v>
      </c>
      <c r="E7" s="250">
        <f t="shared" ca="1" si="13"/>
        <v>2</v>
      </c>
      <c r="F7" s="1" t="str">
        <f t="shared" ca="1" si="14"/>
        <v>AC Roma</v>
      </c>
      <c r="G7" s="1">
        <f t="shared" ca="1" si="1"/>
        <v>21</v>
      </c>
      <c r="H7" s="1">
        <f t="shared" ca="1" si="2"/>
        <v>13</v>
      </c>
      <c r="I7" s="13">
        <f t="shared" ca="1" si="3"/>
        <v>8</v>
      </c>
      <c r="J7" s="1">
        <f t="shared" ca="1" si="15"/>
        <v>6</v>
      </c>
      <c r="K7" s="1">
        <f t="shared" ca="1" si="4"/>
        <v>3</v>
      </c>
      <c r="L7" s="1">
        <f t="shared" ca="1" si="5"/>
        <v>2</v>
      </c>
      <c r="M7" s="1">
        <f t="shared" ca="1" si="6"/>
        <v>0</v>
      </c>
      <c r="N7" s="1">
        <f t="shared" ca="1" si="7"/>
        <v>1</v>
      </c>
      <c r="O7" s="24"/>
      <c r="P7" s="25"/>
      <c r="V7" s="1"/>
      <c r="W7" s="541" t="str">
        <f t="shared" ca="1" si="16"/>
        <v/>
      </c>
      <c r="X7" s="542" t="str">
        <f t="shared" ca="1" si="17"/>
        <v/>
      </c>
      <c r="Y7" s="539">
        <f t="shared" ca="1" si="18"/>
        <v>99999</v>
      </c>
      <c r="Z7" s="539">
        <f ca="1">RANK(Y7,Y$4:Y$12,1)+INDEX($E$4:$E$12,MATCH(W7,$F$4:$F$12,0))/100+ROW()/10000</f>
        <v>1.0507</v>
      </c>
      <c r="AA7" s="544">
        <f t="shared" ca="1" si="19"/>
        <v>4</v>
      </c>
      <c r="AB7" s="541" t="str">
        <f t="shared" ca="1" si="8"/>
        <v/>
      </c>
      <c r="AC7" s="542" t="str">
        <f t="shared" ca="1" si="20"/>
        <v/>
      </c>
      <c r="AD7" s="543">
        <f t="shared" ca="1" si="21"/>
        <v>99999</v>
      </c>
      <c r="AE7" s="539">
        <f ca="1">RANK(AD7,AD$4:AD$12,1)+INDEX($E$4:$E$12,MATCH(AB7,$F$4:$F$12,0))/100+ROW()/10000</f>
        <v>1.0507</v>
      </c>
      <c r="AF7" s="539">
        <f t="shared" ca="1" si="22"/>
        <v>4</v>
      </c>
      <c r="AG7" s="541" t="str">
        <f t="shared" ca="1" si="9"/>
        <v/>
      </c>
      <c r="AH7" s="542" t="str">
        <f t="shared" ca="1" si="23"/>
        <v/>
      </c>
      <c r="AI7" s="543">
        <f t="shared" ca="1" si="24"/>
        <v>99999</v>
      </c>
      <c r="AJ7" s="539">
        <f ca="1">RANK(AI7,AI$4:AI$12,1)+INDEX($E$4:$E$12,MATCH(AG7,$F$4:$F$12,0))/100+ROW()/10000</f>
        <v>1.0507</v>
      </c>
      <c r="AK7" s="544">
        <f t="shared" ca="1" si="25"/>
        <v>4</v>
      </c>
      <c r="AL7" s="542" t="str">
        <f t="shared" ca="1" si="10"/>
        <v/>
      </c>
      <c r="AM7" s="542" t="str">
        <f t="shared" ca="1" si="26"/>
        <v/>
      </c>
      <c r="AN7" s="543">
        <f t="shared" ca="1" si="27"/>
        <v>99999</v>
      </c>
      <c r="AO7" s="539">
        <f ca="1">RANK(AN7,AN$4:AN$12,1)+INDEX($E$4:$E$12,MATCH(AL7,$F$4:$F$12,0))/100+ROW()/10000</f>
        <v>1.0507</v>
      </c>
      <c r="AP7" s="544">
        <f t="shared" ca="1" si="28"/>
        <v>4</v>
      </c>
    </row>
    <row r="8" spans="1:42" s="2" customFormat="1" x14ac:dyDescent="0.2">
      <c r="A8" s="239"/>
      <c r="B8" s="1">
        <v>5</v>
      </c>
      <c r="C8" s="22">
        <f t="shared" ca="1" si="11"/>
        <v>5</v>
      </c>
      <c r="D8" s="13">
        <f t="shared" ca="1" si="12"/>
        <v>15.007999999999999</v>
      </c>
      <c r="E8" s="250">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1.0508</v>
      </c>
      <c r="AA8" s="544">
        <f t="shared" ca="1" si="19"/>
        <v>5</v>
      </c>
      <c r="AB8" s="541" t="str">
        <f t="shared" ca="1" si="8"/>
        <v/>
      </c>
      <c r="AC8" s="542" t="str">
        <f t="shared" ca="1" si="20"/>
        <v/>
      </c>
      <c r="AD8" s="543">
        <f t="shared" ca="1" si="21"/>
        <v>99999</v>
      </c>
      <c r="AE8" s="539">
        <f t="shared" ref="AE8:AE12" ca="1" si="30">RANK(AD8,AD$4:AD$12,1)+INDEX($E$4:$E$12,MATCH(AB8,$F$4:$F$12,0))/100+ROW()/10000</f>
        <v>1.0508</v>
      </c>
      <c r="AF8" s="539">
        <f t="shared" ca="1" si="22"/>
        <v>5</v>
      </c>
      <c r="AG8" s="541" t="str">
        <f t="shared" ca="1" si="9"/>
        <v/>
      </c>
      <c r="AH8" s="542" t="str">
        <f t="shared" ca="1" si="23"/>
        <v/>
      </c>
      <c r="AI8" s="543">
        <f t="shared" ca="1" si="24"/>
        <v>99999</v>
      </c>
      <c r="AJ8" s="539">
        <f t="shared" ref="AJ8:AJ12" ca="1" si="31">RANK(AI8,AI$4:AI$12,1)+INDEX($E$4:$E$12,MATCH(AG8,$F$4:$F$12,0))/100+ROW()/10000</f>
        <v>1.0508</v>
      </c>
      <c r="AK8" s="544">
        <f t="shared" ca="1" si="25"/>
        <v>5</v>
      </c>
      <c r="AL8" s="542" t="str">
        <f t="shared" ca="1" si="10"/>
        <v/>
      </c>
      <c r="AM8" s="542" t="str">
        <f t="shared" ca="1" si="26"/>
        <v/>
      </c>
      <c r="AN8" s="543">
        <f t="shared" ca="1" si="27"/>
        <v>99999</v>
      </c>
      <c r="AO8" s="539">
        <f t="shared" ref="AO8:AO12" ca="1" si="32">RANK(AN8,AN$4:AN$12,1)+INDEX($E$4:$E$12,MATCH(AL8,$F$4:$F$12,0))/100+ROW()/10000</f>
        <v>1.0508</v>
      </c>
      <c r="AP8" s="544">
        <f t="shared" ca="1" si="28"/>
        <v>5</v>
      </c>
    </row>
    <row r="9" spans="1:42" s="2" customFormat="1" x14ac:dyDescent="0.2">
      <c r="A9" s="239"/>
      <c r="B9" s="1">
        <v>6</v>
      </c>
      <c r="C9" s="22">
        <f t="shared" ca="1" si="11"/>
        <v>6</v>
      </c>
      <c r="D9" s="13">
        <f t="shared" ca="1" si="12"/>
        <v>15.009</v>
      </c>
      <c r="E9" s="250">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1.0508999999999999</v>
      </c>
      <c r="AA9" s="544">
        <f t="shared" ca="1" si="19"/>
        <v>6</v>
      </c>
      <c r="AB9" s="541" t="str">
        <f t="shared" ca="1" si="8"/>
        <v/>
      </c>
      <c r="AC9" s="542" t="str">
        <f t="shared" ca="1" si="20"/>
        <v/>
      </c>
      <c r="AD9" s="543">
        <f t="shared" ca="1" si="21"/>
        <v>99999</v>
      </c>
      <c r="AE9" s="539">
        <f t="shared" ca="1" si="30"/>
        <v>1.0508999999999999</v>
      </c>
      <c r="AF9" s="539">
        <f t="shared" ca="1" si="22"/>
        <v>6</v>
      </c>
      <c r="AG9" s="541" t="str">
        <f t="shared" ca="1" si="9"/>
        <v/>
      </c>
      <c r="AH9" s="542" t="str">
        <f t="shared" ca="1" si="23"/>
        <v/>
      </c>
      <c r="AI9" s="543">
        <f t="shared" ca="1" si="24"/>
        <v>99999</v>
      </c>
      <c r="AJ9" s="539">
        <f t="shared" ca="1" si="31"/>
        <v>1.0508999999999999</v>
      </c>
      <c r="AK9" s="544">
        <f t="shared" ca="1" si="25"/>
        <v>6</v>
      </c>
      <c r="AL9" s="542" t="str">
        <f t="shared" ca="1" si="10"/>
        <v/>
      </c>
      <c r="AM9" s="542" t="str">
        <f t="shared" ca="1" si="26"/>
        <v/>
      </c>
      <c r="AN9" s="543">
        <f t="shared" ca="1" si="27"/>
        <v>99999</v>
      </c>
      <c r="AO9" s="539">
        <f t="shared" ca="1" si="32"/>
        <v>1.0508999999999999</v>
      </c>
      <c r="AP9" s="544">
        <f t="shared" ca="1" si="28"/>
        <v>6</v>
      </c>
    </row>
    <row r="10" spans="1:42" s="2" customFormat="1" x14ac:dyDescent="0.2">
      <c r="A10" s="239"/>
      <c r="B10" s="1">
        <v>7</v>
      </c>
      <c r="C10" s="22">
        <f t="shared" ca="1" si="11"/>
        <v>7</v>
      </c>
      <c r="D10" s="13">
        <f t="shared" ca="1" si="12"/>
        <v>15.01</v>
      </c>
      <c r="E10" s="250">
        <f t="shared" ca="1" si="13"/>
        <v>5</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1.0509999999999999</v>
      </c>
      <c r="AA10" s="544">
        <f t="shared" ca="1" si="19"/>
        <v>7</v>
      </c>
      <c r="AB10" s="541" t="str">
        <f t="shared" ca="1" si="8"/>
        <v/>
      </c>
      <c r="AC10" s="542" t="str">
        <f t="shared" ca="1" si="20"/>
        <v/>
      </c>
      <c r="AD10" s="543">
        <f t="shared" ca="1" si="21"/>
        <v>99999</v>
      </c>
      <c r="AE10" s="539">
        <f t="shared" ca="1" si="30"/>
        <v>1.0509999999999999</v>
      </c>
      <c r="AF10" s="539">
        <f t="shared" ca="1" si="22"/>
        <v>7</v>
      </c>
      <c r="AG10" s="541" t="str">
        <f t="shared" ca="1" si="9"/>
        <v/>
      </c>
      <c r="AH10" s="542" t="str">
        <f t="shared" ca="1" si="23"/>
        <v/>
      </c>
      <c r="AI10" s="543">
        <f t="shared" ca="1" si="24"/>
        <v>99999</v>
      </c>
      <c r="AJ10" s="539">
        <f t="shared" ca="1" si="31"/>
        <v>1.0509999999999999</v>
      </c>
      <c r="AK10" s="544">
        <f t="shared" ca="1" si="25"/>
        <v>7</v>
      </c>
      <c r="AL10" s="542" t="str">
        <f t="shared" ca="1" si="10"/>
        <v/>
      </c>
      <c r="AM10" s="542" t="str">
        <f t="shared" ca="1" si="26"/>
        <v/>
      </c>
      <c r="AN10" s="543">
        <f t="shared" ca="1" si="27"/>
        <v>99999</v>
      </c>
      <c r="AO10" s="539">
        <f t="shared" ca="1" si="32"/>
        <v>1.0509999999999999</v>
      </c>
      <c r="AP10" s="544">
        <f t="shared" ca="1" si="28"/>
        <v>7</v>
      </c>
    </row>
    <row r="11" spans="1:42" s="2" customFormat="1" x14ac:dyDescent="0.2">
      <c r="A11" s="239"/>
      <c r="B11" s="1">
        <v>8</v>
      </c>
      <c r="C11" s="22">
        <f t="shared" ca="1" si="11"/>
        <v>8</v>
      </c>
      <c r="D11" s="13">
        <f t="shared" ca="1" si="12"/>
        <v>15.010999999999999</v>
      </c>
      <c r="E11" s="250">
        <f t="shared" ca="1" si="13"/>
        <v>5</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1.0511000000000001</v>
      </c>
      <c r="AA11" s="544">
        <f t="shared" ca="1" si="19"/>
        <v>8</v>
      </c>
      <c r="AB11" s="541" t="str">
        <f t="shared" ca="1" si="8"/>
        <v/>
      </c>
      <c r="AC11" s="542" t="str">
        <f t="shared" ca="1" si="20"/>
        <v/>
      </c>
      <c r="AD11" s="543">
        <f t="shared" ca="1" si="21"/>
        <v>99999</v>
      </c>
      <c r="AE11" s="539">
        <f t="shared" ca="1" si="30"/>
        <v>1.0511000000000001</v>
      </c>
      <c r="AF11" s="539">
        <f t="shared" ca="1" si="22"/>
        <v>8</v>
      </c>
      <c r="AG11" s="541" t="str">
        <f t="shared" ca="1" si="9"/>
        <v/>
      </c>
      <c r="AH11" s="542" t="str">
        <f t="shared" ca="1" si="23"/>
        <v/>
      </c>
      <c r="AI11" s="543">
        <f t="shared" ca="1" si="24"/>
        <v>99999</v>
      </c>
      <c r="AJ11" s="539">
        <f t="shared" ca="1" si="31"/>
        <v>1.0511000000000001</v>
      </c>
      <c r="AK11" s="544">
        <f t="shared" ca="1" si="25"/>
        <v>8</v>
      </c>
      <c r="AL11" s="542" t="str">
        <f t="shared" ca="1" si="10"/>
        <v/>
      </c>
      <c r="AM11" s="542" t="str">
        <f t="shared" ca="1" si="26"/>
        <v/>
      </c>
      <c r="AN11" s="543">
        <f t="shared" ca="1" si="27"/>
        <v>99999</v>
      </c>
      <c r="AO11" s="539">
        <f t="shared" ca="1" si="32"/>
        <v>1.0511000000000001</v>
      </c>
      <c r="AP11" s="544">
        <f t="shared" ca="1" si="28"/>
        <v>8</v>
      </c>
    </row>
    <row r="12" spans="1:42" s="2" customFormat="1" ht="12.75" thickBot="1" x14ac:dyDescent="0.25">
      <c r="A12" s="239"/>
      <c r="B12" s="1">
        <v>9</v>
      </c>
      <c r="C12" s="23">
        <f t="shared" ca="1" si="11"/>
        <v>9</v>
      </c>
      <c r="D12" s="13">
        <f t="shared" ca="1" si="12"/>
        <v>15.012</v>
      </c>
      <c r="E12" s="250">
        <f t="shared" ca="1" si="13"/>
        <v>5</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1.0512000000000001</v>
      </c>
      <c r="AA12" s="548">
        <f t="shared" ca="1" si="19"/>
        <v>9</v>
      </c>
      <c r="AB12" s="545" t="str">
        <f t="shared" ca="1" si="8"/>
        <v/>
      </c>
      <c r="AC12" s="546" t="str">
        <f t="shared" ca="1" si="20"/>
        <v/>
      </c>
      <c r="AD12" s="549">
        <f t="shared" ca="1" si="21"/>
        <v>99999</v>
      </c>
      <c r="AE12" s="547">
        <f t="shared" ca="1" si="30"/>
        <v>1.0512000000000001</v>
      </c>
      <c r="AF12" s="547">
        <f t="shared" ca="1" si="22"/>
        <v>9</v>
      </c>
      <c r="AG12" s="545" t="str">
        <f t="shared" ca="1" si="9"/>
        <v/>
      </c>
      <c r="AH12" s="546" t="str">
        <f t="shared" ca="1" si="23"/>
        <v/>
      </c>
      <c r="AI12" s="549">
        <f t="shared" ca="1" si="24"/>
        <v>99999</v>
      </c>
      <c r="AJ12" s="547">
        <f t="shared" ca="1" si="31"/>
        <v>1.0512000000000001</v>
      </c>
      <c r="AK12" s="548">
        <f t="shared" ca="1" si="25"/>
        <v>9</v>
      </c>
      <c r="AL12" s="546" t="str">
        <f t="shared" ca="1" si="10"/>
        <v/>
      </c>
      <c r="AM12" s="546" t="str">
        <f t="shared" ca="1" si="26"/>
        <v/>
      </c>
      <c r="AN12" s="549">
        <f t="shared" ca="1" si="27"/>
        <v>99999</v>
      </c>
      <c r="AO12" s="547">
        <f t="shared" ca="1" si="32"/>
        <v>1.0512000000000001</v>
      </c>
      <c r="AP12" s="548">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7" t="s">
        <v>190</v>
      </c>
      <c r="AE15" s="768"/>
      <c r="AF15" s="768"/>
      <c r="AG15" s="768"/>
      <c r="AH15" s="769"/>
      <c r="AI15" s="2" t="b">
        <f>(Einstellungen!$B$9=Sprache!$E$78)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FC Barcelona</v>
      </c>
      <c r="D17" s="1">
        <f t="shared" ref="D17:G25" ca="1" si="33">K4</f>
        <v>3</v>
      </c>
      <c r="E17" s="1">
        <f t="shared" ca="1" si="33"/>
        <v>2</v>
      </c>
      <c r="F17" s="1">
        <f t="shared" ca="1" si="33"/>
        <v>1</v>
      </c>
      <c r="G17" s="1">
        <f t="shared" ca="1" si="33"/>
        <v>0</v>
      </c>
      <c r="H17" s="1">
        <f t="shared" ref="H17:K25" ca="1" si="34">G4</f>
        <v>9</v>
      </c>
      <c r="I17" s="1">
        <f t="shared" ca="1" si="34"/>
        <v>1</v>
      </c>
      <c r="J17" s="13">
        <f t="shared" ca="1" si="34"/>
        <v>8</v>
      </c>
      <c r="K17" s="1">
        <f t="shared" ca="1" si="34"/>
        <v>7</v>
      </c>
      <c r="L17" s="30">
        <f t="shared" ref="L17:L25" ca="1" si="35">K17*$F$64+(J17+$H$65)*$F$65+H17*$F$66</f>
        <v>7508009</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'Endrunde 4'!$AF12</f>
        <v>0</v>
      </c>
      <c r="Z17" s="1">
        <f ca="1">RANK($W17,$W$17:$W$25)+(9-$Y17)/10</f>
        <v>1.9</v>
      </c>
      <c r="AA17" s="1">
        <f ca="1">SUM(E30:BP30)</f>
        <v>0</v>
      </c>
      <c r="AB17" s="1">
        <f ca="1">SUM(E41:BP41)</f>
        <v>0</v>
      </c>
      <c r="AC17" s="1">
        <f ca="1">SUM(E52:BP52)</f>
        <v>0</v>
      </c>
      <c r="AD17" s="244">
        <f ca="1">RANK($K17,$K$17:$K$25)</f>
        <v>1</v>
      </c>
      <c r="AE17" s="30">
        <f ca="1">(J17+$H$65)*$F$65+H17*$F$66</f>
        <v>508009</v>
      </c>
      <c r="AF17" s="1">
        <f ca="1">RANK($AE17,$AE$17:$AE$25)</f>
        <v>2</v>
      </c>
      <c r="AG17" s="1">
        <f ca="1">RANK($W17,$W$17:$W$25)</f>
        <v>1</v>
      </c>
      <c r="AH17" s="246">
        <f ca="1">AD17+AG17/100+AF17/10000+(10-Y17)/1000000</f>
        <v>1.0102100000000001</v>
      </c>
      <c r="AI17" s="1"/>
    </row>
    <row r="18" spans="2:80" s="2" customFormat="1" x14ac:dyDescent="0.2">
      <c r="C18" s="2" t="str">
        <f t="shared" ref="C18:C25" ca="1" si="44">$Q65</f>
        <v>Manchester City</v>
      </c>
      <c r="D18" s="1">
        <f t="shared" ca="1" si="33"/>
        <v>3</v>
      </c>
      <c r="E18" s="1">
        <f t="shared" ca="1" si="33"/>
        <v>1</v>
      </c>
      <c r="F18" s="1">
        <f t="shared" ca="1" si="33"/>
        <v>0</v>
      </c>
      <c r="G18" s="1">
        <f t="shared" ca="1" si="33"/>
        <v>2</v>
      </c>
      <c r="H18" s="1">
        <f t="shared" ca="1" si="34"/>
        <v>4</v>
      </c>
      <c r="I18" s="1">
        <f t="shared" ca="1" si="34"/>
        <v>13</v>
      </c>
      <c r="J18" s="13">
        <f t="shared" ca="1" si="34"/>
        <v>-9</v>
      </c>
      <c r="K18" s="1">
        <f t="shared" ca="1" si="34"/>
        <v>3</v>
      </c>
      <c r="L18" s="30">
        <f t="shared" ca="1" si="35"/>
        <v>3491004</v>
      </c>
      <c r="M18" s="14">
        <f t="shared" ref="M18:M25" ca="1" si="45">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3.0108999999999999</v>
      </c>
      <c r="Y18" s="13">
        <f>'Endrunde 4'!$AF13</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3</v>
      </c>
      <c r="AE18" s="30">
        <f ca="1">(J18+$H$65)*$F$65+H18*$F$66</f>
        <v>491004</v>
      </c>
      <c r="AF18" s="1">
        <f t="shared" ref="AF18:AF25" ca="1" si="52">RANK($AE18,$AE$17:$AE$25)</f>
        <v>4</v>
      </c>
      <c r="AG18" s="1">
        <f t="shared" ref="AG18:AG25" ca="1" si="53">RANK($W18,$W$17:$W$25)</f>
        <v>1</v>
      </c>
      <c r="AH18" s="247">
        <f t="shared" ref="AH18:AH25" ca="1" si="54">AD18+AG18/100+AF18/10000+(10-Y18)/1000000</f>
        <v>3.0104099999999998</v>
      </c>
      <c r="AI18" s="1"/>
    </row>
    <row r="19" spans="2:80" s="2" customFormat="1" x14ac:dyDescent="0.2">
      <c r="C19" s="2" t="str">
        <f t="shared" ca="1" si="44"/>
        <v>Eintracht Frankfurt</v>
      </c>
      <c r="D19" s="1">
        <f t="shared" ca="1" si="33"/>
        <v>3</v>
      </c>
      <c r="E19" s="1">
        <f t="shared" ca="1" si="33"/>
        <v>0</v>
      </c>
      <c r="F19" s="1">
        <f t="shared" ca="1" si="33"/>
        <v>1</v>
      </c>
      <c r="G19" s="1">
        <f t="shared" ca="1" si="33"/>
        <v>2</v>
      </c>
      <c r="H19" s="1">
        <f t="shared" ca="1" si="34"/>
        <v>7</v>
      </c>
      <c r="I19" s="1">
        <f t="shared" ca="1" si="34"/>
        <v>14</v>
      </c>
      <c r="J19" s="13">
        <f t="shared" ca="1" si="34"/>
        <v>-7</v>
      </c>
      <c r="K19" s="1">
        <f t="shared" ca="1" si="34"/>
        <v>1</v>
      </c>
      <c r="L19" s="30">
        <f t="shared" ca="1" si="35"/>
        <v>1493007</v>
      </c>
      <c r="M19" s="14">
        <f t="shared" ca="1" si="45"/>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4.0108999999999995</v>
      </c>
      <c r="Y19" s="13">
        <f>'Endrunde 4'!$AF14</f>
        <v>0</v>
      </c>
      <c r="Z19" s="1">
        <f t="shared" ca="1" si="47"/>
        <v>1.9</v>
      </c>
      <c r="AA19" s="1">
        <f t="shared" ca="1" si="48"/>
        <v>0</v>
      </c>
      <c r="AB19" s="1">
        <f t="shared" ca="1" si="49"/>
        <v>0</v>
      </c>
      <c r="AC19" s="1">
        <f t="shared" ca="1" si="50"/>
        <v>0</v>
      </c>
      <c r="AD19" s="244">
        <f t="shared" ca="1" si="51"/>
        <v>4</v>
      </c>
      <c r="AE19" s="30">
        <f ca="1">(J19+$H$65)*$F$65+H19*$F$66</f>
        <v>493007</v>
      </c>
      <c r="AF19" s="1">
        <f t="shared" ca="1" si="52"/>
        <v>3</v>
      </c>
      <c r="AG19" s="1">
        <f t="shared" ca="1" si="53"/>
        <v>1</v>
      </c>
      <c r="AH19" s="247">
        <f t="shared" ca="1" si="54"/>
        <v>4.0103099999999996</v>
      </c>
      <c r="AI19" s="1"/>
    </row>
    <row r="20" spans="2:80" s="2" customFormat="1" x14ac:dyDescent="0.2">
      <c r="C20" s="2" t="str">
        <f t="shared" ca="1" si="44"/>
        <v>AC Roma</v>
      </c>
      <c r="D20" s="1">
        <f t="shared" ca="1" si="33"/>
        <v>3</v>
      </c>
      <c r="E20" s="1">
        <f t="shared" ca="1" si="33"/>
        <v>2</v>
      </c>
      <c r="F20" s="1">
        <f t="shared" ca="1" si="33"/>
        <v>0</v>
      </c>
      <c r="G20" s="1">
        <f t="shared" ca="1" si="33"/>
        <v>1</v>
      </c>
      <c r="H20" s="1">
        <f t="shared" ca="1" si="34"/>
        <v>21</v>
      </c>
      <c r="I20" s="1">
        <f t="shared" ca="1" si="34"/>
        <v>13</v>
      </c>
      <c r="J20" s="13">
        <f t="shared" ca="1" si="34"/>
        <v>8</v>
      </c>
      <c r="K20" s="1">
        <f t="shared" ca="1" si="34"/>
        <v>6</v>
      </c>
      <c r="L20" s="30">
        <f t="shared" ca="1" si="35"/>
        <v>6508021</v>
      </c>
      <c r="M20" s="14">
        <f t="shared" ca="1" si="45"/>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2.0108999999999999</v>
      </c>
      <c r="Y20" s="13">
        <f>'Endrunde 4'!$AF15</f>
        <v>0</v>
      </c>
      <c r="Z20" s="1">
        <f t="shared" ca="1" si="47"/>
        <v>1.9</v>
      </c>
      <c r="AA20" s="1">
        <f t="shared" ca="1" si="48"/>
        <v>0</v>
      </c>
      <c r="AB20" s="1">
        <f t="shared" ca="1" si="49"/>
        <v>0</v>
      </c>
      <c r="AC20" s="1">
        <f t="shared" ca="1" si="50"/>
        <v>0</v>
      </c>
      <c r="AD20" s="244">
        <f t="shared" ca="1" si="51"/>
        <v>2</v>
      </c>
      <c r="AE20" s="30">
        <f ca="1">(J20+$H$65)*$F$65+H20*$F$66</f>
        <v>508021</v>
      </c>
      <c r="AF20" s="1">
        <f t="shared" ca="1" si="52"/>
        <v>1</v>
      </c>
      <c r="AG20" s="1">
        <f t="shared" ca="1" si="53"/>
        <v>1</v>
      </c>
      <c r="AH20" s="247">
        <f t="shared" ca="1" si="54"/>
        <v>2.0101100000000001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5.0508999999999995</v>
      </c>
      <c r="Y21" s="13">
        <v>0</v>
      </c>
      <c r="Z21" s="1">
        <f t="shared" ca="1" si="47"/>
        <v>5.9</v>
      </c>
      <c r="AA21" s="1">
        <f t="shared" ca="1" si="48"/>
        <v>0</v>
      </c>
      <c r="AB21" s="1">
        <f t="shared" ca="1" si="49"/>
        <v>0</v>
      </c>
      <c r="AC21" s="1">
        <f t="shared" ca="1" si="50"/>
        <v>0</v>
      </c>
      <c r="AD21" s="244">
        <f t="shared" ca="1" si="51"/>
        <v>5</v>
      </c>
      <c r="AE21" s="30">
        <v>0</v>
      </c>
      <c r="AF21" s="1">
        <f t="shared" ca="1" si="52"/>
        <v>5</v>
      </c>
      <c r="AG21" s="1">
        <f t="shared" ca="1" si="53"/>
        <v>5</v>
      </c>
      <c r="AH21" s="247">
        <f t="shared" ca="1" si="54"/>
        <v>5.0505099999999992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5.0508999999999995</v>
      </c>
      <c r="Y22" s="13">
        <v>0</v>
      </c>
      <c r="Z22" s="1">
        <f t="shared" ca="1" si="47"/>
        <v>5.9</v>
      </c>
      <c r="AA22" s="1">
        <f t="shared" ca="1" si="48"/>
        <v>0</v>
      </c>
      <c r="AB22" s="1">
        <f t="shared" ca="1" si="49"/>
        <v>0</v>
      </c>
      <c r="AC22" s="1">
        <f t="shared" ca="1" si="50"/>
        <v>0</v>
      </c>
      <c r="AD22" s="244">
        <f t="shared" ca="1" si="51"/>
        <v>5</v>
      </c>
      <c r="AE22" s="30">
        <v>0</v>
      </c>
      <c r="AF22" s="1">
        <f t="shared" ca="1" si="52"/>
        <v>5</v>
      </c>
      <c r="AG22" s="1">
        <f t="shared" ca="1" si="53"/>
        <v>5</v>
      </c>
      <c r="AH22" s="247">
        <f t="shared" ca="1" si="54"/>
        <v>5.0505099999999992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5.0508999999999995</v>
      </c>
      <c r="Y23" s="13">
        <v>0</v>
      </c>
      <c r="Z23" s="1">
        <f t="shared" ca="1" si="47"/>
        <v>5.9</v>
      </c>
      <c r="AA23" s="1">
        <f t="shared" ca="1" si="48"/>
        <v>0</v>
      </c>
      <c r="AB23" s="1">
        <f t="shared" ca="1" si="49"/>
        <v>0</v>
      </c>
      <c r="AC23" s="1">
        <f t="shared" ca="1" si="50"/>
        <v>0</v>
      </c>
      <c r="AD23" s="244">
        <f t="shared" ca="1" si="51"/>
        <v>5</v>
      </c>
      <c r="AE23" s="30">
        <v>0</v>
      </c>
      <c r="AF23" s="1">
        <f t="shared" ca="1" si="52"/>
        <v>5</v>
      </c>
      <c r="AG23" s="1">
        <f t="shared" ca="1" si="53"/>
        <v>5</v>
      </c>
      <c r="AH23" s="247">
        <f t="shared" ca="1" si="54"/>
        <v>5.0505099999999992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5.0508999999999995</v>
      </c>
      <c r="Y24" s="13">
        <v>0</v>
      </c>
      <c r="Z24" s="1">
        <f t="shared" ca="1" si="47"/>
        <v>5.9</v>
      </c>
      <c r="AA24" s="1">
        <f t="shared" ca="1" si="48"/>
        <v>0</v>
      </c>
      <c r="AB24" s="1">
        <f t="shared" ca="1" si="49"/>
        <v>0</v>
      </c>
      <c r="AC24" s="1">
        <f t="shared" ca="1" si="50"/>
        <v>0</v>
      </c>
      <c r="AD24" s="244">
        <f t="shared" ca="1" si="51"/>
        <v>5</v>
      </c>
      <c r="AE24" s="30">
        <v>0</v>
      </c>
      <c r="AF24" s="1">
        <f t="shared" ca="1" si="52"/>
        <v>5</v>
      </c>
      <c r="AG24" s="1">
        <f t="shared" ca="1" si="53"/>
        <v>5</v>
      </c>
      <c r="AH24" s="247">
        <f t="shared" ca="1" si="54"/>
        <v>5.0505099999999992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5.0508999999999995</v>
      </c>
      <c r="Y25" s="13">
        <v>0</v>
      </c>
      <c r="Z25" s="1">
        <f t="shared" ca="1" si="47"/>
        <v>5.9</v>
      </c>
      <c r="AA25" s="1">
        <f t="shared" ca="1" si="48"/>
        <v>0</v>
      </c>
      <c r="AB25" s="1">
        <f t="shared" ca="1" si="49"/>
        <v>0</v>
      </c>
      <c r="AC25" s="1">
        <f t="shared" ca="1" si="50"/>
        <v>0</v>
      </c>
      <c r="AD25" s="244">
        <f t="shared" ca="1" si="51"/>
        <v>5</v>
      </c>
      <c r="AE25" s="30">
        <v>0</v>
      </c>
      <c r="AF25" s="1">
        <f t="shared" ca="1" si="52"/>
        <v>5</v>
      </c>
      <c r="AG25" s="1">
        <f t="shared" ca="1" si="53"/>
        <v>5</v>
      </c>
      <c r="AH25" s="248">
        <f t="shared" ca="1" si="5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FC Barcelona</v>
      </c>
      <c r="BT29" s="2" t="str">
        <f ca="1">$F$5</f>
        <v>Manchester City</v>
      </c>
      <c r="BU29" s="2" t="str">
        <f ca="1">$F$6</f>
        <v>Eintracht Frankfurt</v>
      </c>
      <c r="BV29" s="2" t="str">
        <f ca="1">$F$7</f>
        <v>AC Roma</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FC Barcelona</v>
      </c>
      <c r="BS30" s="7"/>
      <c r="BT30" s="8">
        <f t="shared" ref="BT30:CA32" ca="1" si="56">SUMIFS($X$64:$X$135,$V$64:$V$135,$BR30,$W$64:$W$135,BT$29)+SUMIFS($Y$64:$Y$135,$W$64:$W$135,$BR30,$V$64:$V$135,BT$29)</f>
        <v>4</v>
      </c>
      <c r="BU30" s="8">
        <f t="shared" ca="1" si="56"/>
        <v>0</v>
      </c>
      <c r="BV30" s="8">
        <f t="shared" ca="1" si="56"/>
        <v>5</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Manchester City</v>
      </c>
      <c r="BS31" s="9">
        <f t="shared" ref="BS31:BU38" ca="1" si="58">SUMIFS($X$64:$X$135,$V$64:$V$135,$BR31,$W$64:$W$135,BS$29)+SUMIFS($Y$64:$Y$135,$W$64:$W$135,$BR31,$V$64:$V$135,BS$29)</f>
        <v>0</v>
      </c>
      <c r="BT31" s="7"/>
      <c r="BU31" s="8">
        <f t="shared" ca="1" si="56"/>
        <v>2</v>
      </c>
      <c r="BV31" s="8">
        <f t="shared" ca="1" si="56"/>
        <v>2</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Eintracht Frankfurt</v>
      </c>
      <c r="BS32" s="9">
        <f t="shared" ca="1" si="58"/>
        <v>0</v>
      </c>
      <c r="BT32" s="9">
        <f t="shared" ca="1" si="58"/>
        <v>1</v>
      </c>
      <c r="BU32" s="7"/>
      <c r="BV32" s="8">
        <f t="shared" ca="1" si="56"/>
        <v>6</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AC Roma</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AC Roma</v>
      </c>
      <c r="BS33" s="9">
        <f t="shared" ca="1" si="58"/>
        <v>1</v>
      </c>
      <c r="BT33" s="9">
        <f t="shared" ca="1" si="58"/>
        <v>8</v>
      </c>
      <c r="BU33" s="9">
        <f t="shared" ca="1" si="58"/>
        <v>12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AC Roma</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FC Barcelona</v>
      </c>
      <c r="BS41" s="7"/>
      <c r="BT41" s="8">
        <f ca="1">BT30-BS31</f>
        <v>4</v>
      </c>
      <c r="BU41" s="8">
        <f ca="1">BU30-BS32</f>
        <v>0</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Manchester City</v>
      </c>
      <c r="BS42" s="9">
        <f ca="1">IF(BT41="","",-1*BT41)</f>
        <v>-4</v>
      </c>
      <c r="BT42" s="7"/>
      <c r="BU42" s="8">
        <f ca="1">BU31-BT32</f>
        <v>1</v>
      </c>
      <c r="BV42" s="8">
        <f ca="1">BV31-BT33</f>
        <v>-6</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Eintracht Frankfurt</v>
      </c>
      <c r="BS43" s="9">
        <f ca="1">IF(BU41="","",-1*BU41)</f>
        <v>0</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AC Roma</v>
      </c>
      <c r="BS44" s="9">
        <f ca="1">IF(BV41="","",-1*BV41)</f>
        <v>-4</v>
      </c>
      <c r="BT44" s="9">
        <f ca="1">IF(BV42="","",-1*BV42)</f>
        <v>6</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AC Roma</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FC Barcelona</v>
      </c>
      <c r="BS52" s="7"/>
      <c r="BT52" s="8">
        <f t="shared" ref="BT52:CA58" ca="1" si="62">SUMIFS($AE$64:$AE$135,$V$64:$V$135,$BR52,$W$64:$W$135,BT$51)+SUMIFS($AF$64:$AF$135,$W$64:$W$135,$BR52,$V$64:$V$135,BT$51)</f>
        <v>3</v>
      </c>
      <c r="BU52" s="8">
        <f t="shared" ca="1" si="62"/>
        <v>1</v>
      </c>
      <c r="BV52" s="8">
        <f t="shared" ca="1" si="62"/>
        <v>3</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Manchester City</v>
      </c>
      <c r="BS53" s="9">
        <f t="shared" ref="BS53:BU60" ca="1" si="63">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Eintracht Frankfurt</v>
      </c>
      <c r="BS54" s="9">
        <f t="shared" ca="1" si="63"/>
        <v>1</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AC Roma</v>
      </c>
      <c r="BS55" s="9">
        <f t="shared" ca="1" si="63"/>
        <v>0</v>
      </c>
      <c r="BT55" s="9">
        <f t="shared" ca="1" si="63"/>
        <v>3</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484" t="s">
        <v>163</v>
      </c>
      <c r="AD63" s="161" t="s">
        <v>161</v>
      </c>
      <c r="AE63" s="764" t="s">
        <v>112</v>
      </c>
      <c r="AF63" s="764"/>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IF('Endrunde 4'!$AE12="","",'Endrunde 4'!$AE12)</f>
        <v>FC Barcelona</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IF(AA64&gt;0,X64&amp;Sprache!$E$73&amp;Y64,"")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316</v>
      </c>
      <c r="P65" s="47" t="s">
        <v>8</v>
      </c>
      <c r="Q65" s="62" t="str">
        <f ca="1">IF('Endrunde 4'!$AE13="","",'Endrunde 4'!$AE13)</f>
        <v>Manchester City</v>
      </c>
      <c r="U65" s="68"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4">V65&amp;W65</f>
        <v>VFB EssenheimSSV Wildbach</v>
      </c>
      <c r="AA65" s="13">
        <f t="shared" ref="AA65:AA88" ca="1" si="65">IF(AND(V65&lt;&gt;"",W65&lt;&gt;"",V65&lt;&gt;W65,X65&lt;&gt;"",Y65&lt;&gt;""),1,0)</f>
        <v>1</v>
      </c>
      <c r="AB65" s="13" t="str">
        <f ca="1">IF(AA65&gt;0,X65&amp;Sprache!$E$73&amp;Y65,"")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IF('Endrunde 4'!$AE14="","",'Endrunde 4'!$AE14)</f>
        <v>Eintracht Frankfurt</v>
      </c>
      <c r="U66" s="68"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4"/>
        <v>Knock Out RangersFC Grönlingen</v>
      </c>
      <c r="AA66" s="13">
        <f t="shared" ca="1" si="65"/>
        <v>1</v>
      </c>
      <c r="AB66" s="13" t="str">
        <f ca="1">IF(AA66&gt;0,X66&amp;Sprache!$E$73&amp;Y66,"")</f>
        <v>2:1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4'!$AE15="","",'Endrunde 4'!$AE15)</f>
        <v>AC Roma</v>
      </c>
      <c r="U67" s="68"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64"/>
        <v>Raslo WinnersMainz 05</v>
      </c>
      <c r="AA67" s="13">
        <f t="shared" ca="1" si="65"/>
        <v>1</v>
      </c>
      <c r="AB67" s="13" t="str">
        <f ca="1">IF(AA67&gt;0,X67&amp;Sprache!$E$73&amp;Y67,"")</f>
        <v>1:1</v>
      </c>
      <c r="AD67" s="145"/>
      <c r="AE67" s="150">
        <f ca="1">IF($AA67=0,"",IF($X67&gt;$Y67,Einstellungen!$C$4,IF($X67=$Y67,1,0)))</f>
        <v>1</v>
      </c>
      <c r="AF67" s="145">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64"/>
        <v>FC BarcelonaAC Roma</v>
      </c>
      <c r="AA68" s="13">
        <f t="shared" ca="1" si="65"/>
        <v>1</v>
      </c>
      <c r="AB68" s="13" t="str">
        <f ca="1">IF(AA68&gt;0,X68&amp;Sprache!$E$73&amp;Y68,"")</f>
        <v>5:1</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64"/>
        <v>VFL Ronsdorf1. FC Riedwald</v>
      </c>
      <c r="AA69" s="13">
        <f t="shared" ca="1" si="65"/>
        <v>1</v>
      </c>
      <c r="AB69" s="13" t="str">
        <f ca="1">IF(AA69&gt;0,X69&amp;Sprache!$E$73&amp;Y69,"")</f>
        <v>2:0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64"/>
        <v>Borussia HeineMaibach 1822 eV</v>
      </c>
      <c r="AA70" s="13">
        <f t="shared" ca="1" si="65"/>
        <v>1</v>
      </c>
      <c r="AB70" s="13" t="str">
        <f ca="1">IF(AA70&gt;0,X70&amp;Sprache!$E$73&amp;Y70,"")</f>
        <v>1:2</v>
      </c>
      <c r="AD70" s="145"/>
      <c r="AE70" s="150">
        <f ca="1">IF($AA70=0,"",IF($X70&gt;$Y70,Einstellungen!$C$4,IF($X70=$Y70,1,0)))</f>
        <v>0</v>
      </c>
      <c r="AF70" s="145">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64"/>
        <v>Inter MailandFun Kickers Oes</v>
      </c>
      <c r="AA71" s="13">
        <f t="shared" ca="1" si="65"/>
        <v>1</v>
      </c>
      <c r="AB71" s="13" t="str">
        <f ca="1">IF(AA71&gt;0,X71&amp;Sprache!$E$73&amp;Y71,"")</f>
        <v>5:3</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64"/>
        <v>Manchester CityEintracht Frankfurt</v>
      </c>
      <c r="AA72" s="13">
        <f t="shared" ca="1" si="65"/>
        <v>1</v>
      </c>
      <c r="AB72" s="13" t="str">
        <f ca="1">IF(AA72&gt;0,X72&amp;Sprache!$E$73&amp;Y72,"")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64"/>
        <v>VFB Essenheim1. FC Riedwald</v>
      </c>
      <c r="AA73" s="13">
        <f t="shared" ca="1" si="65"/>
        <v>1</v>
      </c>
      <c r="AB73" s="13" t="str">
        <f ca="1">IF(AA73&gt;0,X73&amp;Sprache!$E$73&amp;Y73,"")</f>
        <v>2:2</v>
      </c>
      <c r="AD73" s="145"/>
      <c r="AE73" s="150">
        <f ca="1">IF($AA73=0,"",IF($X73&gt;$Y73,Einstellungen!$C$4,IF($X73=$Y73,1,0)))</f>
        <v>1</v>
      </c>
      <c r="AF73" s="145">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65"/>
        <v>1</v>
      </c>
      <c r="AB74" s="13" t="str">
        <f ca="1">IF(AA74&gt;0,X74&amp;Sprache!$E$73&amp;Y74,"")</f>
        <v>4:2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88" ca="1" si="66">V75&amp;W75</f>
        <v>Raslo WinnersFun Kickers Oes</v>
      </c>
      <c r="AA75" s="13">
        <f t="shared" ca="1" si="65"/>
        <v>1</v>
      </c>
      <c r="AB75" s="13" t="str">
        <f ca="1">IF(AA75&gt;0,X75&amp;Sprache!$E$73&amp;Y75,"")</f>
        <v>4:3</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66"/>
        <v>FC BarcelonaEintracht Frankfurt</v>
      </c>
      <c r="AA76" s="13">
        <f t="shared" ca="1" si="65"/>
        <v>1</v>
      </c>
      <c r="AB76" s="13" t="str">
        <f ca="1">IF(AA76&gt;0,X76&amp;Sprache!$E$73&amp;Y76,"")</f>
        <v>0:0</v>
      </c>
      <c r="AD76" s="145"/>
      <c r="AE76" s="150">
        <f ca="1">IF($AA76=0,"",IF($X76&gt;$Y76,Einstellungen!$C$4,IF($X76=$Y76,1,0)))</f>
        <v>1</v>
      </c>
      <c r="AF76" s="145">
        <f ca="1">IF($AA76=0,"",IF($X76&lt;$Y76,Einstellungen!$C$4,IF($X76=$Y76,1,0)))</f>
        <v>1</v>
      </c>
    </row>
    <row r="77" spans="2:43" s="2" customFormat="1" x14ac:dyDescent="0.2">
      <c r="B77" s="4"/>
      <c r="C77" s="4"/>
      <c r="D77" s="4"/>
      <c r="E77" s="4"/>
      <c r="F77" s="13"/>
      <c r="G77" s="13"/>
      <c r="H77" s="13"/>
      <c r="I77" s="13"/>
      <c r="J77" s="13"/>
      <c r="K77" s="13"/>
      <c r="L77" s="13"/>
      <c r="M77" s="13"/>
      <c r="U77" s="68"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66"/>
        <v>VFL RonsdorfSSV Wildbach</v>
      </c>
      <c r="AA77" s="13">
        <f t="shared" ca="1" si="65"/>
        <v>1</v>
      </c>
      <c r="AB77" s="13" t="str">
        <f ca="1">IF(AA77&gt;0,X77&amp;Sprache!$E$73&amp;Y77,"")</f>
        <v>1:5</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66"/>
        <v>Borussia HeineFC Grönlingen</v>
      </c>
      <c r="AA78" s="13">
        <f t="shared" ca="1" si="65"/>
        <v>1</v>
      </c>
      <c r="AB78" s="13" t="str">
        <f ca="1">IF(AA78&gt;0,X78&amp;Sprache!$E$73&amp;Y78,"")</f>
        <v>4:4</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66"/>
        <v>Inter MailandMainz 05</v>
      </c>
      <c r="AA79" s="13">
        <f t="shared" ca="1" si="65"/>
        <v>1</v>
      </c>
      <c r="AB79" s="13" t="str">
        <f ca="1">IF(AA79&gt;0,X79&amp;Sprache!$E$73&amp;Y79,"")</f>
        <v>0:7</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66"/>
        <v>Manchester CityAC Roma</v>
      </c>
      <c r="AA80" s="13">
        <f t="shared" ca="1" si="65"/>
        <v>1</v>
      </c>
      <c r="AB80" s="13" t="str">
        <f ca="1">IF(AA80&gt;0,X80&amp;Sprache!$E$73&amp;Y80,"")</f>
        <v>2:8</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66"/>
        <v>1. FC RiedwaldSSV Wildbach</v>
      </c>
      <c r="AA81" s="13">
        <f t="shared" ca="1" si="65"/>
        <v>1</v>
      </c>
      <c r="AB81" s="13" t="str">
        <f ca="1">IF(AA81&gt;0,X81&amp;Sprache!$E$73&amp;Y81,"")</f>
        <v>3:9</v>
      </c>
      <c r="AC81" s="4"/>
      <c r="AD81" s="145"/>
      <c r="AE81" s="150">
        <f ca="1">IF($AA81=0,"",IF($X81&gt;$Y81,Einstellungen!$C$4,IF($X81=$Y81,1,0)))</f>
        <v>0</v>
      </c>
      <c r="AF81" s="145">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66"/>
        <v>Maibach 1822 eVFC Grönlingen</v>
      </c>
      <c r="AA82" s="13">
        <f t="shared" ca="1" si="65"/>
        <v>1</v>
      </c>
      <c r="AB82" s="13" t="str">
        <f ca="1">IF(AA82&gt;0,X82&amp;Sprache!$E$73&amp;Y82,"")</f>
        <v>4:10</v>
      </c>
      <c r="AC82" s="4"/>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66"/>
        <v>Fun Kickers OesMainz 05</v>
      </c>
      <c r="AA83" s="13">
        <f t="shared" ca="1" si="65"/>
        <v>1</v>
      </c>
      <c r="AB83" s="13" t="str">
        <f ca="1">IF(AA83&gt;0,X83&amp;Sprache!$E$73&amp;Y83,"")</f>
        <v>5:11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66"/>
        <v>Eintracht FrankfurtAC Roma</v>
      </c>
      <c r="AA84" s="13">
        <f t="shared" ca="1" si="65"/>
        <v>1</v>
      </c>
      <c r="AB84" s="13" t="str">
        <f ca="1">IF(AA84&gt;0,X84&amp;Sprache!$E$73&amp;Y84,"")</f>
        <v>6:12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66"/>
        <v>VFB EssenheimVFL Ronsdorf</v>
      </c>
      <c r="AA85" s="13">
        <f t="shared" ca="1" si="65"/>
        <v>1</v>
      </c>
      <c r="AB85" s="13" t="str">
        <f ca="1">IF(AA85&gt;0,X85&amp;Sprache!$E$73&amp;Y85,"")</f>
        <v>7:13</v>
      </c>
      <c r="AD85" s="145"/>
      <c r="AE85" s="150">
        <f ca="1">IF($AA85=0,"",IF($X85&gt;$Y85,Einstellungen!$C$4,IF($X85=$Y85,1,0)))</f>
        <v>0</v>
      </c>
      <c r="AF85" s="145">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66"/>
        <v>Knock Out RangersBorussia Heine</v>
      </c>
      <c r="AA86" s="13">
        <f t="shared" ca="1" si="65"/>
        <v>1</v>
      </c>
      <c r="AB86" s="13" t="str">
        <f ca="1">IF(AA86&gt;0,X86&amp;Sprache!$E$73&amp;Y86,"")</f>
        <v>8:14</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66"/>
        <v>Raslo WinnersInter Mailand</v>
      </c>
      <c r="AA87" s="13">
        <f t="shared" ca="1" si="65"/>
        <v>1</v>
      </c>
      <c r="AB87" s="13" t="str">
        <f ca="1">IF(AA87&gt;0,X87&amp;Sprache!$E$73&amp;Y87,"")</f>
        <v>9:15</v>
      </c>
      <c r="AD87" s="145"/>
      <c r="AE87" s="150">
        <f ca="1">IF($AA87=0,"",IF($X87&gt;$Y87,Einstellungen!$C$4,IF($X87=$Y87,1,0)))</f>
        <v>0</v>
      </c>
      <c r="AF87" s="145">
        <f ca="1">IF($AA87=0,"",IF($X87&lt;$Y87,Einstellungen!$C$4,IF($X87=$Y87,1,0)))</f>
        <v>3</v>
      </c>
    </row>
    <row r="88" spans="2:32" s="2" customFormat="1" x14ac:dyDescent="0.2">
      <c r="B88" s="4"/>
      <c r="C88" s="4"/>
      <c r="D88" s="4"/>
      <c r="E88" s="4"/>
      <c r="F88" s="13"/>
      <c r="G88" s="13"/>
      <c r="H88" s="13"/>
      <c r="I88" s="13"/>
      <c r="J88" s="13"/>
      <c r="K88" s="13"/>
      <c r="L88" s="13"/>
      <c r="M88" s="13"/>
      <c r="U88" s="68"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66"/>
        <v>FC BarcelonaManchester City</v>
      </c>
      <c r="AA88" s="13">
        <f t="shared" ca="1" si="65"/>
        <v>1</v>
      </c>
      <c r="AB88" s="13" t="str">
        <f ca="1">IF(AA88&gt;0,X88&amp;Sprache!$E$73&amp;Y88,"")</f>
        <v>4:0</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ref="Z89:Z93" si="67">V89&amp;W89</f>
        <v/>
      </c>
      <c r="AA89" s="13">
        <f t="shared" ref="AA89:AA128" si="68">IF(AND(V89&lt;&gt;"",W89&lt;&gt;"",V89&lt;&gt;W89,X89&lt;&gt;"",Y89&lt;&gt;""),1,0)</f>
        <v>0</v>
      </c>
      <c r="AB89" s="13" t="str">
        <f>IF(AA89&gt;0,X89&amp;Sprache!$E$73&amp;Y89,"")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7"/>
        <v/>
      </c>
      <c r="AA90" s="13">
        <f t="shared" si="68"/>
        <v>0</v>
      </c>
      <c r="AB90" s="13" t="str">
        <f>IF(AA90&gt;0,X90&amp;Sprache!$E$73&amp;Y90,"")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7"/>
        <v/>
      </c>
      <c r="AA91" s="13">
        <f t="shared" si="68"/>
        <v>0</v>
      </c>
      <c r="AB91" s="13" t="str">
        <f>IF(AA91&gt;0,X91&amp;Sprache!$E$73&amp;Y91,"")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7"/>
        <v/>
      </c>
      <c r="AA92" s="13">
        <f t="shared" si="68"/>
        <v>0</v>
      </c>
      <c r="AB92" s="13" t="str">
        <f>IF(AA92&gt;0,X92&amp;Sprache!$E$73&amp;Y92,"")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7"/>
        <v/>
      </c>
      <c r="AA93" s="13">
        <f t="shared" si="68"/>
        <v>0</v>
      </c>
      <c r="AB93" s="13" t="str">
        <f>IF(AA93&gt;0,X93&amp;Sprache!$E$73&amp;Y93,"")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8"/>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8"/>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8"/>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8"/>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8"/>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8"/>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8"/>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8"/>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8"/>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8"/>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8"/>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8"/>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8"/>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8"/>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8"/>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8"/>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8"/>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8"/>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8"/>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8"/>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8"/>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8"/>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8"/>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8"/>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8"/>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8"/>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8"/>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8"/>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8"/>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8"/>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8"/>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8"/>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8"/>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8"/>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8"/>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IF(AA136&gt;0,Y64&amp;Sprache!$E$73&amp;X64,"")</f>
        <v/>
      </c>
      <c r="AD136" s="145"/>
    </row>
    <row r="137" spans="2:32" x14ac:dyDescent="0.2">
      <c r="Y137" s="68" t="s">
        <v>8</v>
      </c>
      <c r="Z137" s="35" t="str">
        <f ca="1">W65&amp;V65</f>
        <v>SSV WildbachVFB Essenheim</v>
      </c>
      <c r="AA137" s="13">
        <f t="shared" ref="AA137:AA200" ca="1" si="70">AA65</f>
        <v>1</v>
      </c>
      <c r="AB137" s="13" t="str">
        <f ca="1">IF(AA137&gt;0,Y65&amp;Sprache!$E$73&amp;X65,"")</f>
        <v>4:2</v>
      </c>
      <c r="AC137" s="2"/>
      <c r="AD137" s="145"/>
    </row>
    <row r="138" spans="2:32" x14ac:dyDescent="0.2">
      <c r="Y138" s="68" t="s">
        <v>9</v>
      </c>
      <c r="Z138" s="35" t="str">
        <f t="shared" ref="Z138:Z201" ca="1" si="71">W66&amp;V66</f>
        <v>FC GrönlingenKnock Out Rangers</v>
      </c>
      <c r="AA138" s="13">
        <f t="shared" ca="1" si="70"/>
        <v>1</v>
      </c>
      <c r="AB138" s="13" t="str">
        <f ca="1">IF(AA138&gt;0,Y66&amp;Sprache!$E$73&amp;X66,"")</f>
        <v>1:2</v>
      </c>
      <c r="AC138" s="2"/>
      <c r="AD138" s="145"/>
    </row>
    <row r="139" spans="2:32" x14ac:dyDescent="0.2">
      <c r="Y139" s="68" t="s">
        <v>10</v>
      </c>
      <c r="Z139" s="35" t="str">
        <f t="shared" ca="1" si="71"/>
        <v>Mainz 05Raslo Winners</v>
      </c>
      <c r="AA139" s="13">
        <f t="shared" ca="1" si="70"/>
        <v>1</v>
      </c>
      <c r="AB139" s="13" t="str">
        <f ca="1">IF(AA139&gt;0,Y67&amp;Sprache!$E$73&amp;X67,"")</f>
        <v>1:1</v>
      </c>
      <c r="AC139" s="2"/>
      <c r="AD139" s="145"/>
    </row>
    <row r="140" spans="2:32" x14ac:dyDescent="0.2">
      <c r="Y140" s="68" t="s">
        <v>11</v>
      </c>
      <c r="Z140" s="35" t="str">
        <f t="shared" ca="1" si="71"/>
        <v>AC RomaFC Barcelona</v>
      </c>
      <c r="AA140" s="13">
        <f t="shared" ca="1" si="70"/>
        <v>1</v>
      </c>
      <c r="AB140" s="13" t="str">
        <f ca="1">IF(AA140&gt;0,Y68&amp;Sprache!$E$73&amp;X68,"")</f>
        <v>1:5</v>
      </c>
      <c r="AC140" s="2"/>
      <c r="AD140" s="145"/>
    </row>
    <row r="141" spans="2:32" x14ac:dyDescent="0.2">
      <c r="Y141" s="68" t="s">
        <v>12</v>
      </c>
      <c r="Z141" s="35" t="str">
        <f t="shared" ca="1" si="71"/>
        <v>1. FC RiedwaldVFL Ronsdorf</v>
      </c>
      <c r="AA141" s="13">
        <f t="shared" ca="1" si="70"/>
        <v>1</v>
      </c>
      <c r="AB141" s="13" t="str">
        <f ca="1">IF(AA141&gt;0,Y69&amp;Sprache!$E$73&amp;X69,"")</f>
        <v>0:2</v>
      </c>
      <c r="AC141" s="2"/>
      <c r="AD141" s="145"/>
    </row>
    <row r="142" spans="2:32" x14ac:dyDescent="0.2">
      <c r="Y142" s="68" t="s">
        <v>17</v>
      </c>
      <c r="Z142" s="35" t="str">
        <f t="shared" ca="1" si="71"/>
        <v>Maibach 1822 eVBorussia Heine</v>
      </c>
      <c r="AA142" s="13">
        <f t="shared" ca="1" si="70"/>
        <v>1</v>
      </c>
      <c r="AB142" s="13" t="str">
        <f ca="1">IF(AA142&gt;0,Y70&amp;Sprache!$E$73&amp;X70,"")</f>
        <v>2:1</v>
      </c>
      <c r="AC142" s="2"/>
      <c r="AD142" s="145"/>
    </row>
    <row r="143" spans="2:32" x14ac:dyDescent="0.2">
      <c r="Y143" s="68" t="s">
        <v>18</v>
      </c>
      <c r="Z143" s="35" t="str">
        <f t="shared" ca="1" si="71"/>
        <v>Fun Kickers OesInter Mailand</v>
      </c>
      <c r="AA143" s="13">
        <f t="shared" ca="1" si="70"/>
        <v>1</v>
      </c>
      <c r="AB143" s="13" t="str">
        <f ca="1">IF(AA143&gt;0,Y71&amp;Sprache!$E$73&amp;X71,"")</f>
        <v>3:5</v>
      </c>
      <c r="AC143" s="2"/>
      <c r="AD143" s="145"/>
    </row>
    <row r="144" spans="2:32" x14ac:dyDescent="0.2">
      <c r="Y144" s="68" t="s">
        <v>19</v>
      </c>
      <c r="Z144" s="35" t="str">
        <f t="shared" ca="1" si="71"/>
        <v>Eintracht FrankfurtManchester City</v>
      </c>
      <c r="AA144" s="13">
        <f t="shared" ca="1" si="70"/>
        <v>1</v>
      </c>
      <c r="AB144" s="13" t="str">
        <f ca="1">IF(AA144&gt;0,Y72&amp;Sprache!$E$73&amp;X72,"")</f>
        <v>1:2</v>
      </c>
      <c r="AC144" s="2"/>
      <c r="AD144" s="145"/>
    </row>
    <row r="145" spans="25:30" x14ac:dyDescent="0.2">
      <c r="Y145" s="68" t="s">
        <v>25</v>
      </c>
      <c r="Z145" s="35" t="str">
        <f t="shared" ca="1" si="71"/>
        <v>1. FC RiedwaldVFB Essenheim</v>
      </c>
      <c r="AA145" s="13">
        <f t="shared" ca="1" si="70"/>
        <v>1</v>
      </c>
      <c r="AB145" s="13" t="str">
        <f ca="1">IF(AA145&gt;0,Y73&amp;Sprache!$E$73&amp;X73,"")</f>
        <v>2:2</v>
      </c>
      <c r="AC145" s="2"/>
      <c r="AD145" s="145"/>
    </row>
    <row r="146" spans="25:30" x14ac:dyDescent="0.2">
      <c r="Y146" s="68" t="s">
        <v>26</v>
      </c>
      <c r="Z146" s="35" t="str">
        <f t="shared" ca="1" si="71"/>
        <v>Maibach 1822 eVKnock Out Rangers</v>
      </c>
      <c r="AA146" s="13">
        <f t="shared" ca="1" si="70"/>
        <v>1</v>
      </c>
      <c r="AB146" s="13" t="str">
        <f ca="1">IF(AA146&gt;0,Y74&amp;Sprache!$E$73&amp;X74,"")</f>
        <v>2:4</v>
      </c>
      <c r="AC146" s="2"/>
      <c r="AD146" s="145"/>
    </row>
    <row r="147" spans="25:30" x14ac:dyDescent="0.2">
      <c r="Y147" s="68" t="s">
        <v>27</v>
      </c>
      <c r="Z147" s="35" t="str">
        <f t="shared" ca="1" si="71"/>
        <v>Fun Kickers OesRaslo Winners</v>
      </c>
      <c r="AA147" s="13">
        <f t="shared" ca="1" si="70"/>
        <v>1</v>
      </c>
      <c r="AB147" s="13" t="str">
        <f ca="1">IF(AA147&gt;0,Y75&amp;Sprache!$E$73&amp;X75,"")</f>
        <v>3:4</v>
      </c>
      <c r="AC147" s="2"/>
      <c r="AD147" s="145"/>
    </row>
    <row r="148" spans="25:30" x14ac:dyDescent="0.2">
      <c r="Y148" s="68" t="s">
        <v>28</v>
      </c>
      <c r="Z148" s="35" t="str">
        <f t="shared" ca="1" si="71"/>
        <v>Eintracht FrankfurtFC Barcelona</v>
      </c>
      <c r="AA148" s="13">
        <f t="shared" ca="1" si="70"/>
        <v>1</v>
      </c>
      <c r="AB148" s="13" t="str">
        <f ca="1">IF(AA148&gt;0,Y76&amp;Sprache!$E$73&amp;X76,"")</f>
        <v>0:0</v>
      </c>
      <c r="AC148" s="2"/>
      <c r="AD148" s="145"/>
    </row>
    <row r="149" spans="25:30" x14ac:dyDescent="0.2">
      <c r="Y149" s="68" t="s">
        <v>29</v>
      </c>
      <c r="Z149" s="35" t="str">
        <f t="shared" ca="1" si="71"/>
        <v>SSV WildbachVFL Ronsdorf</v>
      </c>
      <c r="AA149" s="13">
        <f t="shared" ca="1" si="70"/>
        <v>1</v>
      </c>
      <c r="AB149" s="13" t="str">
        <f ca="1">IF(AA149&gt;0,Y77&amp;Sprache!$E$73&amp;X77,"")</f>
        <v>5:1</v>
      </c>
      <c r="AC149" s="2"/>
      <c r="AD149" s="145"/>
    </row>
    <row r="150" spans="25:30" x14ac:dyDescent="0.2">
      <c r="Y150" s="68" t="s">
        <v>30</v>
      </c>
      <c r="Z150" s="35" t="str">
        <f t="shared" ca="1" si="71"/>
        <v>FC GrönlingenBorussia Heine</v>
      </c>
      <c r="AA150" s="13">
        <f t="shared" ca="1" si="70"/>
        <v>1</v>
      </c>
      <c r="AB150" s="13" t="str">
        <f ca="1">IF(AA150&gt;0,Y78&amp;Sprache!$E$73&amp;X78,"")</f>
        <v>4:4</v>
      </c>
      <c r="AC150" s="2"/>
      <c r="AD150" s="145"/>
    </row>
    <row r="151" spans="25:30" x14ac:dyDescent="0.2">
      <c r="Y151" s="68" t="s">
        <v>31</v>
      </c>
      <c r="Z151" s="35" t="str">
        <f t="shared" ca="1" si="71"/>
        <v>Mainz 05Inter Mailand</v>
      </c>
      <c r="AA151" s="13">
        <f t="shared" ca="1" si="70"/>
        <v>1</v>
      </c>
      <c r="AB151" s="13" t="str">
        <f ca="1">IF(AA151&gt;0,Y79&amp;Sprache!$E$73&amp;X79,"")</f>
        <v>7:0</v>
      </c>
      <c r="AC151" s="2"/>
      <c r="AD151" s="145"/>
    </row>
    <row r="152" spans="25:30" x14ac:dyDescent="0.2">
      <c r="Y152" s="68" t="s">
        <v>32</v>
      </c>
      <c r="Z152" s="35" t="str">
        <f t="shared" ca="1" si="71"/>
        <v>AC RomaManchester City</v>
      </c>
      <c r="AA152" s="13">
        <f t="shared" ca="1" si="70"/>
        <v>1</v>
      </c>
      <c r="AB152" s="13" t="str">
        <f ca="1">IF(AA152&gt;0,Y80&amp;Sprache!$E$73&amp;X80,"")</f>
        <v>8:2</v>
      </c>
      <c r="AC152" s="2"/>
      <c r="AD152" s="145"/>
    </row>
    <row r="153" spans="25:30" x14ac:dyDescent="0.2">
      <c r="Y153" s="68" t="s">
        <v>33</v>
      </c>
      <c r="Z153" s="35" t="str">
        <f t="shared" ca="1" si="71"/>
        <v>SSV Wildbach1. FC Riedwald</v>
      </c>
      <c r="AA153" s="13">
        <f t="shared" ca="1" si="70"/>
        <v>1</v>
      </c>
      <c r="AB153" s="13" t="str">
        <f ca="1">IF(AA153&gt;0,Y81&amp;Sprache!$E$73&amp;X81,"")</f>
        <v>9:3</v>
      </c>
      <c r="AC153" s="2"/>
      <c r="AD153" s="145"/>
    </row>
    <row r="154" spans="25:30" x14ac:dyDescent="0.2">
      <c r="Y154" s="68" t="s">
        <v>34</v>
      </c>
      <c r="Z154" s="35" t="str">
        <f t="shared" ca="1" si="71"/>
        <v>FC GrönlingenMaibach 1822 eV</v>
      </c>
      <c r="AA154" s="13">
        <f t="shared" ca="1" si="70"/>
        <v>1</v>
      </c>
      <c r="AB154" s="13" t="str">
        <f ca="1">IF(AA154&gt;0,Y82&amp;Sprache!$E$73&amp;X82,"")</f>
        <v>10:4</v>
      </c>
      <c r="AC154" s="2"/>
      <c r="AD154" s="145"/>
    </row>
    <row r="155" spans="25:30" x14ac:dyDescent="0.2">
      <c r="Y155" s="68" t="s">
        <v>35</v>
      </c>
      <c r="Z155" s="35" t="str">
        <f t="shared" ca="1" si="71"/>
        <v>Mainz 05Fun Kickers Oes</v>
      </c>
      <c r="AA155" s="13">
        <f t="shared" ca="1" si="70"/>
        <v>1</v>
      </c>
      <c r="AB155" s="13" t="str">
        <f ca="1">IF(AA155&gt;0,Y83&amp;Sprache!$E$73&amp;X83,"")</f>
        <v>11:5</v>
      </c>
      <c r="AC155" s="2"/>
      <c r="AD155" s="145"/>
    </row>
    <row r="156" spans="25:30" x14ac:dyDescent="0.2">
      <c r="Y156" s="68" t="s">
        <v>36</v>
      </c>
      <c r="Z156" s="35" t="str">
        <f t="shared" ca="1" si="71"/>
        <v>AC RomaEintracht Frankfurt</v>
      </c>
      <c r="AA156" s="13">
        <f t="shared" ca="1" si="70"/>
        <v>1</v>
      </c>
      <c r="AB156" s="13" t="str">
        <f ca="1">IF(AA156&gt;0,Y84&amp;Sprache!$E$73&amp;X84,"")</f>
        <v>12:6</v>
      </c>
      <c r="AC156" s="2"/>
      <c r="AD156" s="145"/>
    </row>
    <row r="157" spans="25:30" x14ac:dyDescent="0.2">
      <c r="Y157" s="68" t="s">
        <v>37</v>
      </c>
      <c r="Z157" s="35" t="str">
        <f t="shared" ca="1" si="71"/>
        <v>VFL RonsdorfVFB Essenheim</v>
      </c>
      <c r="AA157" s="13">
        <f t="shared" ca="1" si="70"/>
        <v>1</v>
      </c>
      <c r="AB157" s="13" t="str">
        <f ca="1">IF(AA157&gt;0,Y85&amp;Sprache!$E$73&amp;X85,"")</f>
        <v>13:7</v>
      </c>
      <c r="AC157" s="2"/>
      <c r="AD157" s="145"/>
    </row>
    <row r="158" spans="25:30" x14ac:dyDescent="0.2">
      <c r="Y158" s="68" t="s">
        <v>38</v>
      </c>
      <c r="Z158" s="35" t="str">
        <f t="shared" ca="1" si="71"/>
        <v>Borussia HeineKnock Out Rangers</v>
      </c>
      <c r="AA158" s="13">
        <f t="shared" ca="1" si="70"/>
        <v>1</v>
      </c>
      <c r="AB158" s="13" t="str">
        <f ca="1">IF(AA158&gt;0,Y86&amp;Sprache!$E$73&amp;X86,"")</f>
        <v>14:8</v>
      </c>
      <c r="AC158" s="2"/>
      <c r="AD158" s="145"/>
    </row>
    <row r="159" spans="25:30" x14ac:dyDescent="0.2">
      <c r="Y159" s="68" t="s">
        <v>39</v>
      </c>
      <c r="Z159" s="35" t="str">
        <f t="shared" ca="1" si="71"/>
        <v>Inter MailandRaslo Winners</v>
      </c>
      <c r="AA159" s="13">
        <f t="shared" ca="1" si="70"/>
        <v>1</v>
      </c>
      <c r="AB159" s="13" t="str">
        <f ca="1">IF(AA159&gt;0,Y87&amp;Sprache!$E$73&amp;X87,"")</f>
        <v>15:9</v>
      </c>
      <c r="AC159" s="2"/>
      <c r="AD159" s="145"/>
    </row>
    <row r="160" spans="25:30" x14ac:dyDescent="0.2">
      <c r="Y160" s="68" t="s">
        <v>40</v>
      </c>
      <c r="Z160" s="35" t="str">
        <f t="shared" ca="1" si="71"/>
        <v>Manchester CityFC Barcelona</v>
      </c>
      <c r="AA160" s="13">
        <f t="shared" ca="1" si="70"/>
        <v>1</v>
      </c>
      <c r="AB160" s="13" t="str">
        <f ca="1">IF(AA160&gt;0,Y88&amp;Sprache!$E$73&amp;X88,"")</f>
        <v>0:4</v>
      </c>
      <c r="AC160" s="2"/>
      <c r="AD160" s="145"/>
    </row>
    <row r="161" spans="25:30" x14ac:dyDescent="0.2">
      <c r="Y161" s="68" t="s">
        <v>41</v>
      </c>
      <c r="Z161" s="35" t="str">
        <f t="shared" si="71"/>
        <v/>
      </c>
      <c r="AA161" s="13">
        <f t="shared" si="70"/>
        <v>0</v>
      </c>
      <c r="AB161" s="13" t="str">
        <f>IF(AA161&gt;0,Y89&amp;Sprache!$E$73&amp;X89,"")</f>
        <v/>
      </c>
      <c r="AC161" s="2"/>
      <c r="AD161" s="145"/>
    </row>
    <row r="162" spans="25:30" x14ac:dyDescent="0.2">
      <c r="Y162" s="68" t="s">
        <v>42</v>
      </c>
      <c r="Z162" s="35" t="str">
        <f t="shared" si="71"/>
        <v/>
      </c>
      <c r="AA162" s="13">
        <f t="shared" si="70"/>
        <v>0</v>
      </c>
      <c r="AB162" s="13" t="str">
        <f>IF(AA162&gt;0,Y90&amp;Sprache!$E$73&amp;X90,"")</f>
        <v/>
      </c>
      <c r="AC162" s="2"/>
      <c r="AD162" s="145"/>
    </row>
    <row r="163" spans="25:30" x14ac:dyDescent="0.2">
      <c r="Y163" s="68" t="s">
        <v>43</v>
      </c>
      <c r="Z163" s="35" t="str">
        <f t="shared" si="71"/>
        <v/>
      </c>
      <c r="AA163" s="13">
        <f t="shared" si="70"/>
        <v>0</v>
      </c>
      <c r="AB163" s="13" t="str">
        <f>IF(AA163&gt;0,Y91&amp;Sprache!$E$73&amp;X91,"")</f>
        <v/>
      </c>
      <c r="AC163" s="2"/>
      <c r="AD163" s="145"/>
    </row>
    <row r="164" spans="25:30" x14ac:dyDescent="0.2">
      <c r="Y164" s="68" t="s">
        <v>44</v>
      </c>
      <c r="Z164" s="35" t="str">
        <f t="shared" si="71"/>
        <v/>
      </c>
      <c r="AA164" s="13">
        <f t="shared" si="70"/>
        <v>0</v>
      </c>
      <c r="AB164" s="13" t="str">
        <f>IF(AA164&gt;0,Y92&amp;Sprache!$E$73&amp;X92,"")</f>
        <v/>
      </c>
      <c r="AC164" s="2"/>
      <c r="AD164" s="145"/>
    </row>
    <row r="165" spans="25:30" x14ac:dyDescent="0.2">
      <c r="Y165" s="68" t="s">
        <v>45</v>
      </c>
      <c r="Z165" s="35" t="str">
        <f t="shared" si="71"/>
        <v/>
      </c>
      <c r="AA165" s="13">
        <f t="shared" si="70"/>
        <v>0</v>
      </c>
      <c r="AB165" s="13" t="str">
        <f>IF(AA165&gt;0,Y93&amp;Sprache!$E$73&amp;X93,"")</f>
        <v/>
      </c>
      <c r="AC165" s="2"/>
      <c r="AD165" s="145"/>
    </row>
    <row r="166" spans="25:30" x14ac:dyDescent="0.2">
      <c r="Y166" s="68" t="s">
        <v>46</v>
      </c>
      <c r="Z166" s="35" t="str">
        <f t="shared" si="71"/>
        <v/>
      </c>
      <c r="AA166" s="13">
        <f t="shared" si="70"/>
        <v>0</v>
      </c>
      <c r="AB166" s="13" t="str">
        <f>IF(AA166&gt;0,Y94&amp;Sprache!$E$73&amp;X94,"")</f>
        <v/>
      </c>
      <c r="AC166" s="2"/>
      <c r="AD166" s="145"/>
    </row>
    <row r="167" spans="25:30" x14ac:dyDescent="0.2">
      <c r="Y167" s="68" t="s">
        <v>47</v>
      </c>
      <c r="Z167" s="35" t="str">
        <f t="shared" si="71"/>
        <v/>
      </c>
      <c r="AA167" s="13">
        <f t="shared" si="70"/>
        <v>0</v>
      </c>
      <c r="AB167" s="13" t="str">
        <f>IF(AA167&gt;0,Y95&amp;Sprache!$E$73&amp;X95,"")</f>
        <v/>
      </c>
      <c r="AC167" s="2"/>
      <c r="AD167" s="145"/>
    </row>
    <row r="168" spans="25:30" x14ac:dyDescent="0.2">
      <c r="Y168" s="68" t="s">
        <v>48</v>
      </c>
      <c r="Z168" s="35" t="str">
        <f t="shared" si="71"/>
        <v/>
      </c>
      <c r="AA168" s="13">
        <f t="shared" si="70"/>
        <v>0</v>
      </c>
      <c r="AB168" s="13" t="str">
        <f>IF(AA168&gt;0,Y96&amp;Sprache!$E$73&amp;X96,"")</f>
        <v/>
      </c>
      <c r="AC168" s="2"/>
      <c r="AD168" s="145"/>
    </row>
    <row r="169" spans="25:30" x14ac:dyDescent="0.2">
      <c r="Y169" s="68" t="s">
        <v>49</v>
      </c>
      <c r="Z169" s="35" t="str">
        <f t="shared" si="71"/>
        <v/>
      </c>
      <c r="AA169" s="13">
        <f t="shared" si="70"/>
        <v>0</v>
      </c>
      <c r="AB169" s="13" t="str">
        <f>IF(AA169&gt;0,Y97&amp;Sprache!$E$73&amp;X97,"")</f>
        <v/>
      </c>
      <c r="AC169" s="2"/>
      <c r="AD169" s="145"/>
    </row>
    <row r="170" spans="25:30" x14ac:dyDescent="0.2">
      <c r="Y170" s="68" t="s">
        <v>50</v>
      </c>
      <c r="Z170" s="35" t="str">
        <f t="shared" si="71"/>
        <v/>
      </c>
      <c r="AA170" s="13">
        <f t="shared" si="70"/>
        <v>0</v>
      </c>
      <c r="AB170" s="13" t="str">
        <f>IF(AA170&gt;0,Y98&amp;Sprache!$E$73&amp;X98,"")</f>
        <v/>
      </c>
      <c r="AC170" s="2"/>
      <c r="AD170" s="145"/>
    </row>
    <row r="171" spans="25:30" x14ac:dyDescent="0.2">
      <c r="Y171" s="68" t="s">
        <v>51</v>
      </c>
      <c r="Z171" s="35" t="str">
        <f t="shared" si="71"/>
        <v/>
      </c>
      <c r="AA171" s="13">
        <f t="shared" si="70"/>
        <v>0</v>
      </c>
      <c r="AB171" s="13" t="str">
        <f>IF(AA171&gt;0,Y99&amp;Sprache!$E$73&amp;X99,"")</f>
        <v/>
      </c>
      <c r="AC171" s="2"/>
      <c r="AD171" s="145"/>
    </row>
    <row r="172" spans="25:30" x14ac:dyDescent="0.2">
      <c r="Y172" s="68" t="s">
        <v>60</v>
      </c>
      <c r="Z172" s="35" t="str">
        <f t="shared" si="71"/>
        <v/>
      </c>
      <c r="AA172" s="13">
        <f t="shared" si="70"/>
        <v>0</v>
      </c>
      <c r="AB172" s="13" t="str">
        <f>IF(AA172&gt;0,Y100&amp;Sprache!$E$73&amp;X100,"")</f>
        <v/>
      </c>
      <c r="AC172" s="2"/>
      <c r="AD172" s="145"/>
    </row>
    <row r="173" spans="25:30" x14ac:dyDescent="0.2">
      <c r="Y173" s="68" t="s">
        <v>61</v>
      </c>
      <c r="Z173" s="35" t="str">
        <f t="shared" si="71"/>
        <v/>
      </c>
      <c r="AA173" s="13">
        <f t="shared" si="70"/>
        <v>0</v>
      </c>
      <c r="AB173" s="13" t="str">
        <f>IF(AA173&gt;0,Y101&amp;Sprache!$E$73&amp;X101,"")</f>
        <v/>
      </c>
      <c r="AC173" s="2"/>
      <c r="AD173" s="145"/>
    </row>
    <row r="174" spans="25:30" x14ac:dyDescent="0.2">
      <c r="Y174" s="68" t="s">
        <v>62</v>
      </c>
      <c r="Z174" s="35" t="str">
        <f t="shared" si="71"/>
        <v/>
      </c>
      <c r="AA174" s="13">
        <f t="shared" si="70"/>
        <v>0</v>
      </c>
      <c r="AB174" s="13" t="str">
        <f>IF(AA174&gt;0,Y102&amp;Sprache!$E$73&amp;X102,"")</f>
        <v/>
      </c>
      <c r="AC174" s="2"/>
      <c r="AD174" s="145"/>
    </row>
    <row r="175" spans="25:30" x14ac:dyDescent="0.2">
      <c r="Y175" s="68" t="s">
        <v>63</v>
      </c>
      <c r="Z175" s="35" t="str">
        <f t="shared" si="71"/>
        <v/>
      </c>
      <c r="AA175" s="13">
        <f t="shared" si="70"/>
        <v>0</v>
      </c>
      <c r="AB175" s="13" t="str">
        <f>IF(AA175&gt;0,Y103&amp;Sprache!$E$73&amp;X103,"")</f>
        <v/>
      </c>
      <c r="AC175" s="2"/>
      <c r="AD175" s="145"/>
    </row>
    <row r="176" spans="25:30" x14ac:dyDescent="0.2">
      <c r="Y176" s="68" t="s">
        <v>64</v>
      </c>
      <c r="Z176" s="35" t="str">
        <f t="shared" si="71"/>
        <v/>
      </c>
      <c r="AA176" s="13">
        <f t="shared" si="70"/>
        <v>0</v>
      </c>
      <c r="AB176" s="13" t="str">
        <f>IF(AA176&gt;0,Y104&amp;Sprache!$E$73&amp;X104,"")</f>
        <v/>
      </c>
      <c r="AC176" s="2"/>
      <c r="AD176" s="145"/>
    </row>
    <row r="177" spans="25:30" x14ac:dyDescent="0.2">
      <c r="Y177" s="68" t="s">
        <v>65</v>
      </c>
      <c r="Z177" s="35" t="str">
        <f t="shared" si="71"/>
        <v/>
      </c>
      <c r="AA177" s="13">
        <f t="shared" si="70"/>
        <v>0</v>
      </c>
      <c r="AB177" s="13" t="str">
        <f>IF(AA177&gt;0,Y105&amp;Sprache!$E$73&amp;X105,"")</f>
        <v/>
      </c>
      <c r="AC177" s="2"/>
      <c r="AD177" s="145"/>
    </row>
    <row r="178" spans="25:30" x14ac:dyDescent="0.2">
      <c r="Y178" s="68" t="s">
        <v>66</v>
      </c>
      <c r="Z178" s="35" t="str">
        <f t="shared" si="71"/>
        <v/>
      </c>
      <c r="AA178" s="13">
        <f t="shared" si="70"/>
        <v>0</v>
      </c>
      <c r="AB178" s="13" t="str">
        <f>IF(AA178&gt;0,Y106&amp;Sprache!$E$73&amp;X106,"")</f>
        <v/>
      </c>
      <c r="AC178" s="2"/>
      <c r="AD178" s="145"/>
    </row>
    <row r="179" spans="25:30" x14ac:dyDescent="0.2">
      <c r="Y179" s="68" t="s">
        <v>67</v>
      </c>
      <c r="Z179" s="35" t="str">
        <f t="shared" si="71"/>
        <v/>
      </c>
      <c r="AA179" s="13">
        <f t="shared" si="70"/>
        <v>0</v>
      </c>
      <c r="AB179" s="13" t="str">
        <f>IF(AA179&gt;0,Y107&amp;Sprache!$E$73&amp;X107,"")</f>
        <v/>
      </c>
      <c r="AC179" s="2"/>
      <c r="AD179" s="145"/>
    </row>
    <row r="180" spans="25:30" x14ac:dyDescent="0.2">
      <c r="Y180" s="68" t="s">
        <v>68</v>
      </c>
      <c r="Z180" s="35" t="str">
        <f t="shared" si="71"/>
        <v/>
      </c>
      <c r="AA180" s="13">
        <f t="shared" si="70"/>
        <v>0</v>
      </c>
      <c r="AB180" s="13" t="str">
        <f>IF(AA180&gt;0,Y108&amp;Sprache!$E$73&amp;X108,"")</f>
        <v/>
      </c>
      <c r="AC180" s="2"/>
      <c r="AD180" s="145"/>
    </row>
    <row r="181" spans="25:30" x14ac:dyDescent="0.2">
      <c r="Y181" s="68" t="s">
        <v>69</v>
      </c>
      <c r="Z181" s="35" t="str">
        <f t="shared" si="71"/>
        <v/>
      </c>
      <c r="AA181" s="13">
        <f t="shared" si="70"/>
        <v>0</v>
      </c>
      <c r="AB181" s="13" t="str">
        <f>IF(AA181&gt;0,Y109&amp;Sprache!$E$73&amp;X109,"")</f>
        <v/>
      </c>
      <c r="AC181" s="2"/>
      <c r="AD181" s="145"/>
    </row>
    <row r="182" spans="25:30" x14ac:dyDescent="0.2">
      <c r="Y182" s="68" t="s">
        <v>70</v>
      </c>
      <c r="Z182" s="35" t="str">
        <f t="shared" si="71"/>
        <v/>
      </c>
      <c r="AA182" s="13">
        <f t="shared" si="70"/>
        <v>0</v>
      </c>
      <c r="AB182" s="13" t="str">
        <f>IF(AA182&gt;0,Y110&amp;Sprache!$E$73&amp;X110,"")</f>
        <v/>
      </c>
      <c r="AC182" s="2"/>
      <c r="AD182" s="145"/>
    </row>
    <row r="183" spans="25:30" x14ac:dyDescent="0.2">
      <c r="Y183" s="68" t="s">
        <v>71</v>
      </c>
      <c r="Z183" s="35" t="str">
        <f t="shared" si="71"/>
        <v/>
      </c>
      <c r="AA183" s="13">
        <f t="shared" si="70"/>
        <v>0</v>
      </c>
      <c r="AB183" s="13" t="str">
        <f>IF(AA183&gt;0,Y111&amp;Sprache!$E$73&amp;X111,"")</f>
        <v/>
      </c>
      <c r="AC183" s="2"/>
      <c r="AD183" s="145"/>
    </row>
    <row r="184" spans="25:30" x14ac:dyDescent="0.2">
      <c r="Y184" s="68" t="s">
        <v>72</v>
      </c>
      <c r="Z184" s="35" t="str">
        <f t="shared" si="71"/>
        <v/>
      </c>
      <c r="AA184" s="13">
        <f t="shared" si="70"/>
        <v>0</v>
      </c>
      <c r="AB184" s="13" t="str">
        <f>IF(AA184&gt;0,Y112&amp;Sprache!$E$73&amp;X112,"")</f>
        <v/>
      </c>
      <c r="AC184" s="2"/>
      <c r="AD184" s="145"/>
    </row>
    <row r="185" spans="25:30" x14ac:dyDescent="0.2">
      <c r="Y185" s="68" t="s">
        <v>73</v>
      </c>
      <c r="Z185" s="35" t="str">
        <f t="shared" si="71"/>
        <v/>
      </c>
      <c r="AA185" s="13">
        <f t="shared" si="70"/>
        <v>0</v>
      </c>
      <c r="AB185" s="13" t="str">
        <f>IF(AA185&gt;0,Y113&amp;Sprache!$E$73&amp;X113,"")</f>
        <v/>
      </c>
      <c r="AC185" s="2"/>
      <c r="AD185" s="145"/>
    </row>
    <row r="186" spans="25:30" x14ac:dyDescent="0.2">
      <c r="Y186" s="68" t="s">
        <v>74</v>
      </c>
      <c r="Z186" s="35" t="str">
        <f t="shared" si="71"/>
        <v/>
      </c>
      <c r="AA186" s="13">
        <f t="shared" si="70"/>
        <v>0</v>
      </c>
      <c r="AB186" s="13" t="str">
        <f>IF(AA186&gt;0,Y114&amp;Sprache!$E$73&amp;X114,"")</f>
        <v/>
      </c>
      <c r="AC186" s="2"/>
      <c r="AD186" s="145"/>
    </row>
    <row r="187" spans="25:30" x14ac:dyDescent="0.2">
      <c r="Y187" s="68" t="s">
        <v>75</v>
      </c>
      <c r="Z187" s="35" t="str">
        <f t="shared" si="71"/>
        <v/>
      </c>
      <c r="AA187" s="13">
        <f t="shared" si="70"/>
        <v>0</v>
      </c>
      <c r="AB187" s="13" t="str">
        <f>IF(AA187&gt;0,Y115&amp;Sprache!$E$73&amp;X115,"")</f>
        <v/>
      </c>
      <c r="AC187" s="2"/>
      <c r="AD187" s="145"/>
    </row>
    <row r="188" spans="25:30" x14ac:dyDescent="0.2">
      <c r="Y188" s="68" t="s">
        <v>76</v>
      </c>
      <c r="Z188" s="35" t="str">
        <f t="shared" si="71"/>
        <v/>
      </c>
      <c r="AA188" s="13">
        <f t="shared" si="70"/>
        <v>0</v>
      </c>
      <c r="AB188" s="13" t="str">
        <f>IF(AA188&gt;0,Y116&amp;Sprache!$E$73&amp;X116,"")</f>
        <v/>
      </c>
      <c r="AC188" s="2"/>
      <c r="AD188" s="145"/>
    </row>
    <row r="189" spans="25:30" x14ac:dyDescent="0.2">
      <c r="Y189" s="68" t="s">
        <v>77</v>
      </c>
      <c r="Z189" s="35" t="str">
        <f t="shared" si="71"/>
        <v/>
      </c>
      <c r="AA189" s="13">
        <f t="shared" si="70"/>
        <v>0</v>
      </c>
      <c r="AB189" s="13" t="str">
        <f>IF(AA189&gt;0,Y117&amp;Sprache!$E$73&amp;X117,"")</f>
        <v/>
      </c>
      <c r="AC189" s="2"/>
      <c r="AD189" s="145"/>
    </row>
    <row r="190" spans="25:30" x14ac:dyDescent="0.2">
      <c r="Y190" s="68" t="s">
        <v>78</v>
      </c>
      <c r="Z190" s="35" t="str">
        <f t="shared" si="71"/>
        <v/>
      </c>
      <c r="AA190" s="13">
        <f t="shared" si="70"/>
        <v>0</v>
      </c>
      <c r="AB190" s="13" t="str">
        <f>IF(AA190&gt;0,Y118&amp;Sprache!$E$73&amp;X118,"")</f>
        <v/>
      </c>
      <c r="AC190" s="2"/>
      <c r="AD190" s="145"/>
    </row>
    <row r="191" spans="25:30" x14ac:dyDescent="0.2">
      <c r="Y191" s="68" t="s">
        <v>79</v>
      </c>
      <c r="Z191" s="35" t="str">
        <f t="shared" si="71"/>
        <v/>
      </c>
      <c r="AA191" s="13">
        <f t="shared" si="70"/>
        <v>0</v>
      </c>
      <c r="AB191" s="13" t="str">
        <f>IF(AA191&gt;0,Y119&amp;Sprache!$E$73&amp;X119,"")</f>
        <v/>
      </c>
      <c r="AC191" s="2"/>
      <c r="AD191" s="145"/>
    </row>
    <row r="192" spans="25:30" x14ac:dyDescent="0.2">
      <c r="Y192" s="68" t="s">
        <v>80</v>
      </c>
      <c r="Z192" s="35" t="str">
        <f t="shared" si="71"/>
        <v/>
      </c>
      <c r="AA192" s="13">
        <f t="shared" si="70"/>
        <v>0</v>
      </c>
      <c r="AB192" s="13" t="str">
        <f>IF(AA192&gt;0,Y120&amp;Sprache!$E$73&amp;X120,"")</f>
        <v/>
      </c>
      <c r="AC192" s="2"/>
      <c r="AD192" s="145"/>
    </row>
    <row r="193" spans="25:30" x14ac:dyDescent="0.2">
      <c r="Y193" s="68" t="s">
        <v>81</v>
      </c>
      <c r="Z193" s="35" t="str">
        <f t="shared" si="71"/>
        <v/>
      </c>
      <c r="AA193" s="13">
        <f t="shared" si="70"/>
        <v>0</v>
      </c>
      <c r="AB193" s="13" t="str">
        <f>IF(AA193&gt;0,Y121&amp;Sprache!$E$73&amp;X121,"")</f>
        <v/>
      </c>
      <c r="AC193" s="2"/>
      <c r="AD193" s="145"/>
    </row>
    <row r="194" spans="25:30" x14ac:dyDescent="0.2">
      <c r="Y194" s="68" t="s">
        <v>82</v>
      </c>
      <c r="Z194" s="35" t="str">
        <f t="shared" si="71"/>
        <v/>
      </c>
      <c r="AA194" s="13">
        <f t="shared" si="70"/>
        <v>0</v>
      </c>
      <c r="AB194" s="13" t="str">
        <f>IF(AA194&gt;0,Y122&amp;Sprache!$E$73&amp;X122,"")</f>
        <v/>
      </c>
      <c r="AC194" s="2"/>
      <c r="AD194" s="145"/>
    </row>
    <row r="195" spans="25:30" x14ac:dyDescent="0.2">
      <c r="Y195" s="68" t="s">
        <v>83</v>
      </c>
      <c r="Z195" s="35" t="str">
        <f t="shared" si="71"/>
        <v/>
      </c>
      <c r="AA195" s="13">
        <f t="shared" si="70"/>
        <v>0</v>
      </c>
      <c r="AB195" s="13" t="str">
        <f>IF(AA195&gt;0,Y123&amp;Sprache!$E$73&amp;X123,"")</f>
        <v/>
      </c>
      <c r="AC195" s="2"/>
      <c r="AD195" s="145"/>
    </row>
    <row r="196" spans="25:30" x14ac:dyDescent="0.2">
      <c r="Y196" s="68" t="s">
        <v>84</v>
      </c>
      <c r="Z196" s="35" t="str">
        <f t="shared" si="71"/>
        <v/>
      </c>
      <c r="AA196" s="13">
        <f t="shared" si="70"/>
        <v>0</v>
      </c>
      <c r="AB196" s="13" t="str">
        <f>IF(AA196&gt;0,Y124&amp;Sprache!$E$73&amp;X124,"")</f>
        <v/>
      </c>
      <c r="AC196" s="2"/>
      <c r="AD196" s="145"/>
    </row>
    <row r="197" spans="25:30" x14ac:dyDescent="0.2">
      <c r="Y197" s="68" t="s">
        <v>85</v>
      </c>
      <c r="Z197" s="35" t="str">
        <f t="shared" si="71"/>
        <v/>
      </c>
      <c r="AA197" s="13">
        <f t="shared" si="70"/>
        <v>0</v>
      </c>
      <c r="AB197" s="13" t="str">
        <f>IF(AA197&gt;0,Y125&amp;Sprache!$E$73&amp;X125,"")</f>
        <v/>
      </c>
      <c r="AC197" s="2"/>
      <c r="AD197" s="145"/>
    </row>
    <row r="198" spans="25:30" x14ac:dyDescent="0.2">
      <c r="Y198" s="68" t="s">
        <v>86</v>
      </c>
      <c r="Z198" s="35" t="str">
        <f t="shared" si="71"/>
        <v/>
      </c>
      <c r="AA198" s="13">
        <f t="shared" si="70"/>
        <v>0</v>
      </c>
      <c r="AB198" s="13" t="str">
        <f>IF(AA198&gt;0,Y126&amp;Sprache!$E$73&amp;X126,"")</f>
        <v/>
      </c>
      <c r="AC198" s="2"/>
      <c r="AD198" s="145"/>
    </row>
    <row r="199" spans="25:30" x14ac:dyDescent="0.2">
      <c r="Y199" s="68" t="s">
        <v>87</v>
      </c>
      <c r="Z199" s="35" t="str">
        <f t="shared" si="71"/>
        <v/>
      </c>
      <c r="AA199" s="13">
        <f t="shared" si="70"/>
        <v>0</v>
      </c>
      <c r="AB199" s="13" t="str">
        <f>IF(AA199&gt;0,Y127&amp;Sprache!$E$73&amp;X127,"")</f>
        <v/>
      </c>
      <c r="AC199" s="2"/>
      <c r="AD199" s="145"/>
    </row>
    <row r="200" spans="25:30" x14ac:dyDescent="0.2">
      <c r="Y200" s="68" t="s">
        <v>88</v>
      </c>
      <c r="Z200" s="35" t="str">
        <f t="shared" si="71"/>
        <v/>
      </c>
      <c r="AA200" s="13">
        <f t="shared" si="70"/>
        <v>0</v>
      </c>
      <c r="AB200" s="13" t="str">
        <f>IF(AA200&gt;0,Y128&amp;Sprache!$E$73&amp;X128,"")</f>
        <v/>
      </c>
      <c r="AC200" s="2"/>
      <c r="AD200" s="145"/>
    </row>
    <row r="201" spans="25:30" x14ac:dyDescent="0.2">
      <c r="Y201" s="68" t="s">
        <v>89</v>
      </c>
      <c r="Z201" s="35" t="str">
        <f t="shared" si="71"/>
        <v/>
      </c>
      <c r="AA201" s="13">
        <f t="shared" ref="AA201:AA207" si="72">AA129</f>
        <v>0</v>
      </c>
      <c r="AB201" s="13" t="str">
        <f>IF(AA201&gt;0,Y129&amp;Sprache!$E$73&amp;X129,"")</f>
        <v/>
      </c>
      <c r="AC201" s="2"/>
      <c r="AD201" s="145"/>
    </row>
    <row r="202" spans="25:30" x14ac:dyDescent="0.2">
      <c r="Y202" s="68" t="s">
        <v>90</v>
      </c>
      <c r="Z202" s="35" t="str">
        <f t="shared" ref="Z202:Z206" si="73">W130&amp;V130</f>
        <v/>
      </c>
      <c r="AA202" s="13">
        <f t="shared" si="72"/>
        <v>0</v>
      </c>
      <c r="AB202" s="13" t="str">
        <f>IF(AA202&gt;0,Y130&amp;Sprache!$E$73&amp;X130,"")</f>
        <v/>
      </c>
      <c r="AC202" s="2"/>
      <c r="AD202" s="145"/>
    </row>
    <row r="203" spans="25:30" x14ac:dyDescent="0.2">
      <c r="Y203" s="68" t="s">
        <v>91</v>
      </c>
      <c r="Z203" s="35" t="str">
        <f t="shared" si="73"/>
        <v/>
      </c>
      <c r="AA203" s="13">
        <f t="shared" si="72"/>
        <v>0</v>
      </c>
      <c r="AB203" s="13" t="str">
        <f>IF(AA203&gt;0,Y131&amp;Sprache!$E$73&amp;X131,"")</f>
        <v/>
      </c>
      <c r="AC203" s="2"/>
      <c r="AD203" s="145"/>
    </row>
    <row r="204" spans="25:30" x14ac:dyDescent="0.2">
      <c r="Y204" s="68" t="s">
        <v>92</v>
      </c>
      <c r="Z204" s="35" t="str">
        <f t="shared" si="73"/>
        <v/>
      </c>
      <c r="AA204" s="13">
        <f t="shared" si="72"/>
        <v>0</v>
      </c>
      <c r="AB204" s="13" t="str">
        <f>IF(AA204&gt;0,Y132&amp;Sprache!$E$73&amp;X132,"")</f>
        <v/>
      </c>
      <c r="AC204" s="2"/>
      <c r="AD204" s="145"/>
    </row>
    <row r="205" spans="25:30" x14ac:dyDescent="0.2">
      <c r="Y205" s="68" t="s">
        <v>93</v>
      </c>
      <c r="Z205" s="35" t="str">
        <f t="shared" si="73"/>
        <v/>
      </c>
      <c r="AA205" s="13">
        <f t="shared" si="72"/>
        <v>0</v>
      </c>
      <c r="AB205" s="13" t="str">
        <f>IF(AA205&gt;0,Y133&amp;Sprache!$E$73&amp;X133,"")</f>
        <v/>
      </c>
      <c r="AC205" s="2"/>
      <c r="AD205" s="145"/>
    </row>
    <row r="206" spans="25:30" x14ac:dyDescent="0.2">
      <c r="Y206" s="68" t="s">
        <v>94</v>
      </c>
      <c r="Z206" s="35" t="str">
        <f t="shared" si="73"/>
        <v/>
      </c>
      <c r="AA206" s="13">
        <f t="shared" si="72"/>
        <v>0</v>
      </c>
      <c r="AB206" s="13" t="str">
        <f>IF(AA206&gt;0,Y134&amp;Sprache!$E$73&amp;X134,"")</f>
        <v/>
      </c>
      <c r="AC206" s="2"/>
      <c r="AD206" s="145"/>
    </row>
    <row r="207" spans="25:30" ht="12.75" thickBot="1" x14ac:dyDescent="0.25">
      <c r="Y207" s="69" t="s">
        <v>95</v>
      </c>
      <c r="Z207" s="37" t="str">
        <f>W135&amp;V135</f>
        <v/>
      </c>
      <c r="AA207" s="38">
        <f t="shared" si="72"/>
        <v>0</v>
      </c>
      <c r="AB207" s="146" t="str">
        <f>IF(AA207&gt;0,Y135&amp;Sprache!$E$73&amp;X135,"")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65">
        <f ca="1">IF($O$4&lt;10,$O$4,0)</f>
        <v>0</v>
      </c>
      <c r="X3" s="766"/>
      <c r="Y3" s="766"/>
      <c r="Z3" s="766"/>
      <c r="AA3" s="766"/>
      <c r="AB3" s="765">
        <f ca="1">IF($P$4&lt;10,$P$4,0)</f>
        <v>0</v>
      </c>
      <c r="AC3" s="766"/>
      <c r="AD3" s="766"/>
      <c r="AE3" s="766"/>
      <c r="AF3" s="766"/>
      <c r="AG3" s="765">
        <f ca="1">IF($Q$4&lt;10,$Q$4,0)</f>
        <v>0</v>
      </c>
      <c r="AH3" s="766"/>
      <c r="AI3" s="766"/>
      <c r="AJ3" s="766"/>
      <c r="AK3" s="766"/>
      <c r="AL3" s="765">
        <f ca="1">IF($R$4&lt;10,$R$4,0)</f>
        <v>0</v>
      </c>
      <c r="AM3" s="766"/>
      <c r="AN3" s="766"/>
      <c r="AO3" s="766"/>
      <c r="AP3" s="766"/>
    </row>
    <row r="4" spans="1:42" s="2" customFormat="1" ht="12.75" thickTop="1" x14ac:dyDescent="0.2">
      <c r="A4" s="239"/>
      <c r="B4" s="1">
        <v>1</v>
      </c>
      <c r="C4" s="21">
        <f ca="1">RANK(D4,$D$4:$D$12,1)</f>
        <v>3</v>
      </c>
      <c r="D4" s="13">
        <f ca="1">E4+ROW()/1000+(F4="")*10</f>
        <v>3.004</v>
      </c>
      <c r="E4" s="250">
        <f ca="1">IF($AI$15,RANK(AH17,AH$17:AH$25,1),RANK(X17,X$17:X$25,1))</f>
        <v>3</v>
      </c>
      <c r="F4" s="1" t="str">
        <f ca="1">$Q64</f>
        <v>Raslo Winners</v>
      </c>
      <c r="G4" s="1">
        <f t="shared" ref="G4:G12" ca="1" si="1">SUMIFS($X$64:$X$135,$V$64:$V$135,$F4)+SUMIFS($Y$64:$Y$135,$W$64:$W$135,$F4)</f>
        <v>14</v>
      </c>
      <c r="H4" s="1">
        <f t="shared" ref="H4:H12" ca="1" si="2">SUMIFS($Y$64:$Y$135,$V$64:$V$135,$F4)+SUMIFS($X$64:$X$135,$W$64:$W$135,$F4)</f>
        <v>19</v>
      </c>
      <c r="I4" s="13">
        <f t="shared" ref="I4:I12" ca="1" si="3">G4-H4</f>
        <v>-5</v>
      </c>
      <c r="J4" s="1">
        <f ca="1">SUMIF($V$64:$V$135,F4,$AE$64:$AE$135)+SUMIF($W$64:$W$135,F4,$AF$64:$AF$135)</f>
        <v>4</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1.0404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1.0404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1.0404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1.0404</v>
      </c>
      <c r="AP4" s="544">
        <f ca="1">RANK($AO4,$AO$4:$AO$12,1)</f>
        <v>1</v>
      </c>
    </row>
    <row r="5" spans="1:42" s="2" customFormat="1" x14ac:dyDescent="0.2">
      <c r="A5" s="239"/>
      <c r="B5" s="1">
        <v>2</v>
      </c>
      <c r="C5" s="22">
        <f t="shared" ref="C5:C12" ca="1" si="11">RANK(D5,$D$4:$D$12,1)</f>
        <v>2</v>
      </c>
      <c r="D5" s="13">
        <f t="shared" ref="D5:D12" ca="1" si="12">E5+ROW()/1000+(F5="")*10</f>
        <v>2.0049999999999999</v>
      </c>
      <c r="E5" s="250">
        <f t="shared" ref="E5:E12" ca="1" si="13">IF($AI$15,RANK(AH18,AH$17:AH$25,1),RANK(X18,X$17:X$25,1))</f>
        <v>2</v>
      </c>
      <c r="F5" s="1" t="str">
        <f t="shared" ref="F5:F12" ca="1" si="14">$Q65</f>
        <v>Inter Mailand</v>
      </c>
      <c r="G5" s="1">
        <f t="shared" ca="1" si="1"/>
        <v>20</v>
      </c>
      <c r="H5" s="1">
        <f t="shared" ca="1" si="2"/>
        <v>19</v>
      </c>
      <c r="I5" s="13">
        <f t="shared" ca="1" si="3"/>
        <v>1</v>
      </c>
      <c r="J5" s="1">
        <f t="shared" ref="J5:J12" ca="1" si="15">SUMIF($V$64:$V$135,F5,$AE$64:$AE$135)+SUMIF($W$64:$W$135,F5,$AF$64:$AF$135)</f>
        <v>6</v>
      </c>
      <c r="K5" s="1">
        <f t="shared" ca="1" si="4"/>
        <v>3</v>
      </c>
      <c r="L5" s="1">
        <f t="shared" ca="1" si="5"/>
        <v>2</v>
      </c>
      <c r="M5" s="1">
        <f t="shared" ca="1" si="6"/>
        <v>0</v>
      </c>
      <c r="N5" s="1">
        <f t="shared" ca="1" si="7"/>
        <v>1</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1.0405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1.0405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1.0405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1.0405</v>
      </c>
      <c r="AP5" s="544">
        <f t="shared" ref="AP5:AP12" ca="1" si="28">RANK($AO5,$AO$4:$AO$12,1)</f>
        <v>2</v>
      </c>
    </row>
    <row r="6" spans="1:42" s="2" customFormat="1" x14ac:dyDescent="0.2">
      <c r="A6" s="239"/>
      <c r="B6" s="1">
        <v>3</v>
      </c>
      <c r="C6" s="22">
        <f t="shared" ca="1" si="11"/>
        <v>4</v>
      </c>
      <c r="D6" s="13">
        <f t="shared" ca="1" si="12"/>
        <v>9.0060000000000002</v>
      </c>
      <c r="E6" s="250">
        <f t="shared" ca="1" si="13"/>
        <v>9</v>
      </c>
      <c r="F6" s="1" t="str">
        <f t="shared" ca="1" si="14"/>
        <v>Fun Kickers Oes</v>
      </c>
      <c r="G6" s="1">
        <f t="shared" ca="1" si="1"/>
        <v>11</v>
      </c>
      <c r="H6" s="1">
        <f t="shared" ca="1" si="2"/>
        <v>20</v>
      </c>
      <c r="I6" s="13">
        <f t="shared" ca="1" si="3"/>
        <v>-9</v>
      </c>
      <c r="J6" s="1">
        <f t="shared" ca="1" si="15"/>
        <v>0</v>
      </c>
      <c r="K6" s="1">
        <f t="shared" ca="1" si="4"/>
        <v>3</v>
      </c>
      <c r="L6" s="1">
        <f t="shared" ca="1" si="5"/>
        <v>0</v>
      </c>
      <c r="M6" s="1">
        <f t="shared" ca="1" si="6"/>
        <v>0</v>
      </c>
      <c r="N6" s="1">
        <f t="shared" ca="1" si="7"/>
        <v>3</v>
      </c>
      <c r="O6" s="24"/>
      <c r="P6" s="25"/>
      <c r="V6" s="1"/>
      <c r="W6" s="541" t="str">
        <f t="shared" ca="1" si="16"/>
        <v/>
      </c>
      <c r="X6" s="542" t="str">
        <f t="shared" ca="1" si="17"/>
        <v/>
      </c>
      <c r="Y6" s="539">
        <f t="shared" ca="1" si="18"/>
        <v>99999</v>
      </c>
      <c r="Z6" s="539">
        <f ca="1">RANK(Y6,Y$4:Y$12,1)+INDEX($E$4:$E$12,MATCH(W6,$F$4:$F$12,0))/100+ROW()/10000</f>
        <v>1.0406</v>
      </c>
      <c r="AA6" s="544">
        <f t="shared" ca="1" si="19"/>
        <v>3</v>
      </c>
      <c r="AB6" s="541" t="str">
        <f t="shared" ca="1" si="8"/>
        <v/>
      </c>
      <c r="AC6" s="542" t="str">
        <f t="shared" ca="1" si="20"/>
        <v/>
      </c>
      <c r="AD6" s="543">
        <f t="shared" ca="1" si="21"/>
        <v>99999</v>
      </c>
      <c r="AE6" s="539">
        <f ca="1">RANK(AD6,AD$4:AD$12,1)+INDEX($E$4:$E$12,MATCH(AB6,$F$4:$F$12,0))/100+ROW()/10000</f>
        <v>1.0406</v>
      </c>
      <c r="AF6" s="539">
        <f t="shared" ca="1" si="22"/>
        <v>3</v>
      </c>
      <c r="AG6" s="541" t="str">
        <f t="shared" ca="1" si="9"/>
        <v/>
      </c>
      <c r="AH6" s="542" t="str">
        <f t="shared" ca="1" si="23"/>
        <v/>
      </c>
      <c r="AI6" s="543">
        <f t="shared" ca="1" si="24"/>
        <v>99999</v>
      </c>
      <c r="AJ6" s="539">
        <f ca="1">RANK(AI6,AI$4:AI$12,1)+INDEX($E$4:$E$12,MATCH(AG6,$F$4:$F$12,0))/100+ROW()/10000</f>
        <v>1.0406</v>
      </c>
      <c r="AK6" s="544">
        <f t="shared" ca="1" si="25"/>
        <v>3</v>
      </c>
      <c r="AL6" s="542" t="str">
        <f t="shared" ca="1" si="10"/>
        <v/>
      </c>
      <c r="AM6" s="542" t="str">
        <f t="shared" ca="1" si="26"/>
        <v/>
      </c>
      <c r="AN6" s="543">
        <f t="shared" ca="1" si="27"/>
        <v>99999</v>
      </c>
      <c r="AO6" s="539">
        <f ca="1">RANK(AN6,AN$4:AN$12,1)+INDEX($E$4:$E$12,MATCH(AL6,$F$4:$F$12,0))/100+ROW()/10000</f>
        <v>1.0406</v>
      </c>
      <c r="AP6" s="544">
        <f t="shared" ca="1" si="28"/>
        <v>3</v>
      </c>
    </row>
    <row r="7" spans="1:42" s="2" customFormat="1" x14ac:dyDescent="0.2">
      <c r="A7" s="239"/>
      <c r="B7" s="1">
        <v>4</v>
      </c>
      <c r="C7" s="22">
        <f t="shared" ca="1" si="11"/>
        <v>1</v>
      </c>
      <c r="D7" s="13">
        <f t="shared" ca="1" si="12"/>
        <v>1.0069999999999999</v>
      </c>
      <c r="E7" s="250">
        <f t="shared" ca="1" si="13"/>
        <v>1</v>
      </c>
      <c r="F7" s="1" t="str">
        <f t="shared" ca="1" si="14"/>
        <v>Mainz 05</v>
      </c>
      <c r="G7" s="1">
        <f t="shared" ca="1" si="1"/>
        <v>19</v>
      </c>
      <c r="H7" s="1">
        <f t="shared" ca="1" si="2"/>
        <v>6</v>
      </c>
      <c r="I7" s="13">
        <f t="shared" ca="1" si="3"/>
        <v>13</v>
      </c>
      <c r="J7" s="1">
        <f t="shared" ca="1" si="15"/>
        <v>7</v>
      </c>
      <c r="K7" s="1">
        <f t="shared" ca="1" si="4"/>
        <v>3</v>
      </c>
      <c r="L7" s="1">
        <f t="shared" ca="1" si="5"/>
        <v>2</v>
      </c>
      <c r="M7" s="1">
        <f t="shared" ca="1" si="6"/>
        <v>1</v>
      </c>
      <c r="N7" s="1">
        <f t="shared" ca="1" si="7"/>
        <v>0</v>
      </c>
      <c r="O7" s="24"/>
      <c r="P7" s="25"/>
      <c r="V7" s="1"/>
      <c r="W7" s="541" t="str">
        <f t="shared" ca="1" si="16"/>
        <v/>
      </c>
      <c r="X7" s="542" t="str">
        <f t="shared" ca="1" si="17"/>
        <v/>
      </c>
      <c r="Y7" s="539">
        <f t="shared" ca="1" si="18"/>
        <v>99999</v>
      </c>
      <c r="Z7" s="539">
        <f ca="1">RANK(Y7,Y$4:Y$12,1)+INDEX($E$4:$E$12,MATCH(W7,$F$4:$F$12,0))/100+ROW()/10000</f>
        <v>1.0407</v>
      </c>
      <c r="AA7" s="544">
        <f t="shared" ca="1" si="19"/>
        <v>4</v>
      </c>
      <c r="AB7" s="541" t="str">
        <f t="shared" ca="1" si="8"/>
        <v/>
      </c>
      <c r="AC7" s="542" t="str">
        <f t="shared" ca="1" si="20"/>
        <v/>
      </c>
      <c r="AD7" s="543">
        <f t="shared" ca="1" si="21"/>
        <v>99999</v>
      </c>
      <c r="AE7" s="539">
        <f ca="1">RANK(AD7,AD$4:AD$12,1)+INDEX($E$4:$E$12,MATCH(AB7,$F$4:$F$12,0))/100+ROW()/10000</f>
        <v>1.0407</v>
      </c>
      <c r="AF7" s="539">
        <f t="shared" ca="1" si="22"/>
        <v>4</v>
      </c>
      <c r="AG7" s="541" t="str">
        <f t="shared" ca="1" si="9"/>
        <v/>
      </c>
      <c r="AH7" s="542" t="str">
        <f t="shared" ca="1" si="23"/>
        <v/>
      </c>
      <c r="AI7" s="543">
        <f t="shared" ca="1" si="24"/>
        <v>99999</v>
      </c>
      <c r="AJ7" s="539">
        <f ca="1">RANK(AI7,AI$4:AI$12,1)+INDEX($E$4:$E$12,MATCH(AG7,$F$4:$F$12,0))/100+ROW()/10000</f>
        <v>1.0407</v>
      </c>
      <c r="AK7" s="544">
        <f t="shared" ca="1" si="25"/>
        <v>4</v>
      </c>
      <c r="AL7" s="542" t="str">
        <f t="shared" ca="1" si="10"/>
        <v/>
      </c>
      <c r="AM7" s="542" t="str">
        <f t="shared" ca="1" si="26"/>
        <v/>
      </c>
      <c r="AN7" s="543">
        <f t="shared" ca="1" si="27"/>
        <v>99999</v>
      </c>
      <c r="AO7" s="539">
        <f ca="1">RANK(AN7,AN$4:AN$12,1)+INDEX($E$4:$E$12,MATCH(AL7,$F$4:$F$12,0))/100+ROW()/10000</f>
        <v>1.0407</v>
      </c>
      <c r="AP7" s="544">
        <f t="shared" ca="1" si="28"/>
        <v>4</v>
      </c>
    </row>
    <row r="8" spans="1:42" s="2" customFormat="1" x14ac:dyDescent="0.2">
      <c r="A8" s="239"/>
      <c r="B8" s="1">
        <v>5</v>
      </c>
      <c r="C8" s="22">
        <f t="shared" ca="1" si="11"/>
        <v>5</v>
      </c>
      <c r="D8" s="13">
        <f t="shared" ca="1" si="12"/>
        <v>14.007999999999999</v>
      </c>
      <c r="E8" s="250">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1.0407999999999999</v>
      </c>
      <c r="AA8" s="544">
        <f t="shared" ca="1" si="19"/>
        <v>5</v>
      </c>
      <c r="AB8" s="541" t="str">
        <f t="shared" ca="1" si="8"/>
        <v/>
      </c>
      <c r="AC8" s="542" t="str">
        <f t="shared" ca="1" si="20"/>
        <v/>
      </c>
      <c r="AD8" s="543">
        <f t="shared" ca="1" si="21"/>
        <v>99999</v>
      </c>
      <c r="AE8" s="539">
        <f t="shared" ref="AE8:AE12" ca="1" si="30">RANK(AD8,AD$4:AD$12,1)+INDEX($E$4:$E$12,MATCH(AB8,$F$4:$F$12,0))/100+ROW()/10000</f>
        <v>1.0407999999999999</v>
      </c>
      <c r="AF8" s="539">
        <f t="shared" ca="1" si="22"/>
        <v>5</v>
      </c>
      <c r="AG8" s="541" t="str">
        <f t="shared" ca="1" si="9"/>
        <v/>
      </c>
      <c r="AH8" s="542" t="str">
        <f t="shared" ca="1" si="23"/>
        <v/>
      </c>
      <c r="AI8" s="543">
        <f t="shared" ca="1" si="24"/>
        <v>99999</v>
      </c>
      <c r="AJ8" s="539">
        <f t="shared" ref="AJ8:AJ12" ca="1" si="31">RANK(AI8,AI$4:AI$12,1)+INDEX($E$4:$E$12,MATCH(AG8,$F$4:$F$12,0))/100+ROW()/10000</f>
        <v>1.0407999999999999</v>
      </c>
      <c r="AK8" s="544">
        <f t="shared" ca="1" si="25"/>
        <v>5</v>
      </c>
      <c r="AL8" s="542" t="str">
        <f t="shared" ca="1" si="10"/>
        <v/>
      </c>
      <c r="AM8" s="542" t="str">
        <f t="shared" ca="1" si="26"/>
        <v/>
      </c>
      <c r="AN8" s="543">
        <f t="shared" ca="1" si="27"/>
        <v>99999</v>
      </c>
      <c r="AO8" s="539">
        <f t="shared" ref="AO8:AO12" ca="1" si="32">RANK(AN8,AN$4:AN$12,1)+INDEX($E$4:$E$12,MATCH(AL8,$F$4:$F$12,0))/100+ROW()/10000</f>
        <v>1.0407999999999999</v>
      </c>
      <c r="AP8" s="544">
        <f t="shared" ca="1" si="28"/>
        <v>5</v>
      </c>
    </row>
    <row r="9" spans="1:42" s="2" customFormat="1" x14ac:dyDescent="0.2">
      <c r="A9" s="239"/>
      <c r="B9" s="1">
        <v>6</v>
      </c>
      <c r="C9" s="22">
        <f t="shared" ca="1" si="11"/>
        <v>6</v>
      </c>
      <c r="D9" s="13">
        <f t="shared" ca="1" si="12"/>
        <v>14.009</v>
      </c>
      <c r="E9" s="250">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1.0408999999999999</v>
      </c>
      <c r="AA9" s="544">
        <f t="shared" ca="1" si="19"/>
        <v>6</v>
      </c>
      <c r="AB9" s="541" t="str">
        <f t="shared" ca="1" si="8"/>
        <v/>
      </c>
      <c r="AC9" s="542" t="str">
        <f t="shared" ca="1" si="20"/>
        <v/>
      </c>
      <c r="AD9" s="543">
        <f t="shared" ca="1" si="21"/>
        <v>99999</v>
      </c>
      <c r="AE9" s="539">
        <f t="shared" ca="1" si="30"/>
        <v>1.0408999999999999</v>
      </c>
      <c r="AF9" s="539">
        <f t="shared" ca="1" si="22"/>
        <v>6</v>
      </c>
      <c r="AG9" s="541" t="str">
        <f t="shared" ca="1" si="9"/>
        <v/>
      </c>
      <c r="AH9" s="542" t="str">
        <f t="shared" ca="1" si="23"/>
        <v/>
      </c>
      <c r="AI9" s="543">
        <f t="shared" ca="1" si="24"/>
        <v>99999</v>
      </c>
      <c r="AJ9" s="539">
        <f t="shared" ca="1" si="31"/>
        <v>1.0408999999999999</v>
      </c>
      <c r="AK9" s="544">
        <f t="shared" ca="1" si="25"/>
        <v>6</v>
      </c>
      <c r="AL9" s="542" t="str">
        <f t="shared" ca="1" si="10"/>
        <v/>
      </c>
      <c r="AM9" s="542" t="str">
        <f t="shared" ca="1" si="26"/>
        <v/>
      </c>
      <c r="AN9" s="543">
        <f t="shared" ca="1" si="27"/>
        <v>99999</v>
      </c>
      <c r="AO9" s="539">
        <f t="shared" ca="1" si="32"/>
        <v>1.0408999999999999</v>
      </c>
      <c r="AP9" s="544">
        <f t="shared" ca="1" si="28"/>
        <v>6</v>
      </c>
    </row>
    <row r="10" spans="1:42" s="2" customFormat="1" x14ac:dyDescent="0.2">
      <c r="A10" s="239"/>
      <c r="B10" s="1">
        <v>7</v>
      </c>
      <c r="C10" s="22">
        <f t="shared" ca="1" si="11"/>
        <v>7</v>
      </c>
      <c r="D10" s="13">
        <f t="shared" ca="1" si="12"/>
        <v>14.01</v>
      </c>
      <c r="E10" s="250">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1.0409999999999999</v>
      </c>
      <c r="AA10" s="544">
        <f t="shared" ca="1" si="19"/>
        <v>7</v>
      </c>
      <c r="AB10" s="541" t="str">
        <f t="shared" ca="1" si="8"/>
        <v/>
      </c>
      <c r="AC10" s="542" t="str">
        <f t="shared" ca="1" si="20"/>
        <v/>
      </c>
      <c r="AD10" s="543">
        <f t="shared" ca="1" si="21"/>
        <v>99999</v>
      </c>
      <c r="AE10" s="539">
        <f t="shared" ca="1" si="30"/>
        <v>1.0409999999999999</v>
      </c>
      <c r="AF10" s="539">
        <f t="shared" ca="1" si="22"/>
        <v>7</v>
      </c>
      <c r="AG10" s="541" t="str">
        <f t="shared" ca="1" si="9"/>
        <v/>
      </c>
      <c r="AH10" s="542" t="str">
        <f t="shared" ca="1" si="23"/>
        <v/>
      </c>
      <c r="AI10" s="543">
        <f t="shared" ca="1" si="24"/>
        <v>99999</v>
      </c>
      <c r="AJ10" s="539">
        <f t="shared" ca="1" si="31"/>
        <v>1.0409999999999999</v>
      </c>
      <c r="AK10" s="544">
        <f t="shared" ca="1" si="25"/>
        <v>7</v>
      </c>
      <c r="AL10" s="542" t="str">
        <f t="shared" ca="1" si="10"/>
        <v/>
      </c>
      <c r="AM10" s="542" t="str">
        <f t="shared" ca="1" si="26"/>
        <v/>
      </c>
      <c r="AN10" s="543">
        <f t="shared" ca="1" si="27"/>
        <v>99999</v>
      </c>
      <c r="AO10" s="539">
        <f t="shared" ca="1" si="32"/>
        <v>1.0409999999999999</v>
      </c>
      <c r="AP10" s="544">
        <f t="shared" ca="1" si="28"/>
        <v>7</v>
      </c>
    </row>
    <row r="11" spans="1:42" s="2" customFormat="1" x14ac:dyDescent="0.2">
      <c r="A11" s="239"/>
      <c r="B11" s="1">
        <v>8</v>
      </c>
      <c r="C11" s="22">
        <f t="shared" ca="1" si="11"/>
        <v>8</v>
      </c>
      <c r="D11" s="13">
        <f t="shared" ca="1" si="12"/>
        <v>14.010999999999999</v>
      </c>
      <c r="E11" s="250">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1.0411000000000001</v>
      </c>
      <c r="AA11" s="544">
        <f t="shared" ca="1" si="19"/>
        <v>8</v>
      </c>
      <c r="AB11" s="541" t="str">
        <f t="shared" ca="1" si="8"/>
        <v/>
      </c>
      <c r="AC11" s="542" t="str">
        <f t="shared" ca="1" si="20"/>
        <v/>
      </c>
      <c r="AD11" s="543">
        <f t="shared" ca="1" si="21"/>
        <v>99999</v>
      </c>
      <c r="AE11" s="539">
        <f t="shared" ca="1" si="30"/>
        <v>1.0411000000000001</v>
      </c>
      <c r="AF11" s="539">
        <f t="shared" ca="1" si="22"/>
        <v>8</v>
      </c>
      <c r="AG11" s="541" t="str">
        <f t="shared" ca="1" si="9"/>
        <v/>
      </c>
      <c r="AH11" s="542" t="str">
        <f t="shared" ca="1" si="23"/>
        <v/>
      </c>
      <c r="AI11" s="543">
        <f t="shared" ca="1" si="24"/>
        <v>99999</v>
      </c>
      <c r="AJ11" s="539">
        <f t="shared" ca="1" si="31"/>
        <v>1.0411000000000001</v>
      </c>
      <c r="AK11" s="544">
        <f t="shared" ca="1" si="25"/>
        <v>8</v>
      </c>
      <c r="AL11" s="542" t="str">
        <f t="shared" ca="1" si="10"/>
        <v/>
      </c>
      <c r="AM11" s="542" t="str">
        <f t="shared" ca="1" si="26"/>
        <v/>
      </c>
      <c r="AN11" s="543">
        <f t="shared" ca="1" si="27"/>
        <v>99999</v>
      </c>
      <c r="AO11" s="539">
        <f t="shared" ca="1" si="32"/>
        <v>1.0411000000000001</v>
      </c>
      <c r="AP11" s="544">
        <f t="shared" ca="1" si="28"/>
        <v>8</v>
      </c>
    </row>
    <row r="12" spans="1:42" s="2" customFormat="1" ht="12.75" thickBot="1" x14ac:dyDescent="0.25">
      <c r="A12" s="239"/>
      <c r="B12" s="1">
        <v>9</v>
      </c>
      <c r="C12" s="23">
        <f t="shared" ca="1" si="11"/>
        <v>9</v>
      </c>
      <c r="D12" s="13">
        <f t="shared" ca="1" si="12"/>
        <v>14.012</v>
      </c>
      <c r="E12" s="250">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1.0412000000000001</v>
      </c>
      <c r="AA12" s="548">
        <f t="shared" ca="1" si="19"/>
        <v>9</v>
      </c>
      <c r="AB12" s="545" t="str">
        <f t="shared" ca="1" si="8"/>
        <v/>
      </c>
      <c r="AC12" s="546" t="str">
        <f t="shared" ca="1" si="20"/>
        <v/>
      </c>
      <c r="AD12" s="549">
        <f t="shared" ca="1" si="21"/>
        <v>99999</v>
      </c>
      <c r="AE12" s="547">
        <f t="shared" ca="1" si="30"/>
        <v>1.0412000000000001</v>
      </c>
      <c r="AF12" s="547">
        <f t="shared" ca="1" si="22"/>
        <v>9</v>
      </c>
      <c r="AG12" s="545" t="str">
        <f t="shared" ca="1" si="9"/>
        <v/>
      </c>
      <c r="AH12" s="546" t="str">
        <f t="shared" ca="1" si="23"/>
        <v/>
      </c>
      <c r="AI12" s="549">
        <f t="shared" ca="1" si="24"/>
        <v>99999</v>
      </c>
      <c r="AJ12" s="547">
        <f t="shared" ca="1" si="31"/>
        <v>1.0412000000000001</v>
      </c>
      <c r="AK12" s="548">
        <f t="shared" ca="1" si="25"/>
        <v>9</v>
      </c>
      <c r="AL12" s="546" t="str">
        <f t="shared" ca="1" si="10"/>
        <v/>
      </c>
      <c r="AM12" s="546" t="str">
        <f t="shared" ca="1" si="26"/>
        <v/>
      </c>
      <c r="AN12" s="549">
        <f t="shared" ca="1" si="27"/>
        <v>99999</v>
      </c>
      <c r="AO12" s="547">
        <f t="shared" ca="1" si="32"/>
        <v>1.0412000000000001</v>
      </c>
      <c r="AP12" s="548">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7" t="s">
        <v>190</v>
      </c>
      <c r="AE15" s="768"/>
      <c r="AF15" s="768"/>
      <c r="AG15" s="768"/>
      <c r="AH15" s="769"/>
      <c r="AI15" s="2" t="b">
        <f>(Einstellungen!$B$9=Sprache!$E$78)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Raslo Winners</v>
      </c>
      <c r="D17" s="1">
        <f t="shared" ref="D17:G25" ca="1" si="33">K4</f>
        <v>3</v>
      </c>
      <c r="E17" s="1">
        <f t="shared" ca="1" si="33"/>
        <v>1</v>
      </c>
      <c r="F17" s="1">
        <f t="shared" ca="1" si="33"/>
        <v>1</v>
      </c>
      <c r="G17" s="1">
        <f t="shared" ca="1" si="33"/>
        <v>1</v>
      </c>
      <c r="H17" s="1">
        <f t="shared" ref="H17:K25" ca="1" si="34">G4</f>
        <v>14</v>
      </c>
      <c r="I17" s="1">
        <f t="shared" ca="1" si="34"/>
        <v>19</v>
      </c>
      <c r="J17" s="13">
        <f t="shared" ca="1" si="34"/>
        <v>-5</v>
      </c>
      <c r="K17" s="1">
        <f t="shared" ca="1" si="34"/>
        <v>4</v>
      </c>
      <c r="L17" s="30">
        <f t="shared" ref="L17:L25" ca="1" si="35">K17*$F$64+(J17+$H$65)*$F$65+H17*$F$66</f>
        <v>4495014</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'Endrunde 4'!$AF19</f>
        <v>0</v>
      </c>
      <c r="Z17" s="1">
        <f ca="1">RANK($W17,$W$17:$W$25)+(9-$Y17)/10</f>
        <v>1.9</v>
      </c>
      <c r="AA17" s="1">
        <f ca="1">SUM(E30:BP30)</f>
        <v>0</v>
      </c>
      <c r="AB17" s="1">
        <f ca="1">SUM(E41:BP41)</f>
        <v>0</v>
      </c>
      <c r="AC17" s="1">
        <f ca="1">SUM(E52:BP52)</f>
        <v>0</v>
      </c>
      <c r="AD17" s="244">
        <f ca="1">RANK($K17,$K$17:$K$25)</f>
        <v>3</v>
      </c>
      <c r="AE17" s="30">
        <f ca="1">(J17+$H$65)*$F$65+H17*$F$66</f>
        <v>495014</v>
      </c>
      <c r="AF17" s="1">
        <f ca="1">RANK($AE17,$AE$17:$AE$25)</f>
        <v>3</v>
      </c>
      <c r="AG17" s="1">
        <f ca="1">RANK($W17,$W$17:$W$25)</f>
        <v>1</v>
      </c>
      <c r="AH17" s="246">
        <f ca="1">AD17+AG17/100+AF17/10000+(10-Y17)/1000000</f>
        <v>3.01031</v>
      </c>
      <c r="AI17" s="1"/>
    </row>
    <row r="18" spans="2:80" s="2" customFormat="1" x14ac:dyDescent="0.2">
      <c r="C18" s="2" t="str">
        <f t="shared" ref="C18:C25" ca="1" si="44">$Q65</f>
        <v>Inter Mailand</v>
      </c>
      <c r="D18" s="1">
        <f t="shared" ca="1" si="33"/>
        <v>3</v>
      </c>
      <c r="E18" s="1">
        <f t="shared" ca="1" si="33"/>
        <v>2</v>
      </c>
      <c r="F18" s="1">
        <f t="shared" ca="1" si="33"/>
        <v>0</v>
      </c>
      <c r="G18" s="1">
        <f t="shared" ca="1" si="33"/>
        <v>1</v>
      </c>
      <c r="H18" s="1">
        <f t="shared" ca="1" si="34"/>
        <v>20</v>
      </c>
      <c r="I18" s="1">
        <f t="shared" ca="1" si="34"/>
        <v>19</v>
      </c>
      <c r="J18" s="13">
        <f t="shared" ca="1" si="34"/>
        <v>1</v>
      </c>
      <c r="K18" s="1">
        <f t="shared" ca="1" si="34"/>
        <v>6</v>
      </c>
      <c r="L18" s="30">
        <f t="shared" ca="1" si="35"/>
        <v>6501020</v>
      </c>
      <c r="M18" s="14">
        <f t="shared" ref="M18:M25" ca="1" si="45">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2.0108999999999999</v>
      </c>
      <c r="Y18" s="13">
        <f>'Endrunde 4'!$AF20</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2</v>
      </c>
      <c r="AE18" s="30">
        <f ca="1">(J18+$H$65)*$F$65+H18*$F$66</f>
        <v>501020</v>
      </c>
      <c r="AF18" s="1">
        <f t="shared" ref="AF18:AF25" ca="1" si="52">RANK($AE18,$AE$17:$AE$25)</f>
        <v>2</v>
      </c>
      <c r="AG18" s="1">
        <f t="shared" ref="AG18:AG25" ca="1" si="53">RANK($W18,$W$17:$W$25)</f>
        <v>1</v>
      </c>
      <c r="AH18" s="247">
        <f t="shared" ref="AH18:AH25" ca="1" si="54">AD18+AG18/100+AF18/10000+(10-Y18)/1000000</f>
        <v>2.0102099999999998</v>
      </c>
      <c r="AI18" s="1"/>
    </row>
    <row r="19" spans="2:80" s="2" customFormat="1" x14ac:dyDescent="0.2">
      <c r="C19" s="2" t="str">
        <f t="shared" ca="1" si="44"/>
        <v>Fun Kickers Oes</v>
      </c>
      <c r="D19" s="1">
        <f t="shared" ca="1" si="33"/>
        <v>3</v>
      </c>
      <c r="E19" s="1">
        <f t="shared" ca="1" si="33"/>
        <v>0</v>
      </c>
      <c r="F19" s="1">
        <f t="shared" ca="1" si="33"/>
        <v>0</v>
      </c>
      <c r="G19" s="1">
        <f t="shared" ca="1" si="33"/>
        <v>3</v>
      </c>
      <c r="H19" s="1">
        <f t="shared" ca="1" si="34"/>
        <v>11</v>
      </c>
      <c r="I19" s="1">
        <f t="shared" ca="1" si="34"/>
        <v>20</v>
      </c>
      <c r="J19" s="13">
        <f t="shared" ca="1" si="34"/>
        <v>-9</v>
      </c>
      <c r="K19" s="1">
        <f t="shared" ca="1" si="34"/>
        <v>0</v>
      </c>
      <c r="L19" s="30">
        <f t="shared" ca="1" si="35"/>
        <v>491011</v>
      </c>
      <c r="M19" s="14">
        <f t="shared" ca="1" si="45"/>
        <v>1</v>
      </c>
      <c r="N19" s="14">
        <f t="array" aca="1" ref="N19" ca="1">IF($AI$15,SUM(($K$17:$K$25&gt;=K19)/COUNTIF($K$17:$K$25,$K$17:$K$25)),SUM(($L$17:$L$25&gt;=L19)/COUNTIF($L$17:$L$25,$L$17:$L$25)))</f>
        <v>5.0000000000000009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9.0108999999999995</v>
      </c>
      <c r="Y19" s="13">
        <f>'Endrunde 4'!$AF21</f>
        <v>0</v>
      </c>
      <c r="Z19" s="1">
        <f t="shared" ca="1" si="47"/>
        <v>1.9</v>
      </c>
      <c r="AA19" s="1">
        <f t="shared" ca="1" si="48"/>
        <v>0</v>
      </c>
      <c r="AB19" s="1">
        <f t="shared" ca="1" si="49"/>
        <v>0</v>
      </c>
      <c r="AC19" s="1">
        <f t="shared" ca="1" si="50"/>
        <v>0</v>
      </c>
      <c r="AD19" s="244">
        <f t="shared" ca="1" si="51"/>
        <v>4</v>
      </c>
      <c r="AE19" s="30">
        <f ca="1">(J19+$H$65)*$F$65+H19*$F$66</f>
        <v>491011</v>
      </c>
      <c r="AF19" s="1">
        <f t="shared" ca="1" si="52"/>
        <v>4</v>
      </c>
      <c r="AG19" s="1">
        <f t="shared" ca="1" si="53"/>
        <v>1</v>
      </c>
      <c r="AH19" s="247">
        <f t="shared" ca="1" si="54"/>
        <v>4.0104099999999994</v>
      </c>
      <c r="AI19" s="1"/>
    </row>
    <row r="20" spans="2:80" s="2" customFormat="1" x14ac:dyDescent="0.2">
      <c r="C20" s="2" t="str">
        <f t="shared" ca="1" si="44"/>
        <v>Mainz 05</v>
      </c>
      <c r="D20" s="1">
        <f t="shared" ca="1" si="33"/>
        <v>3</v>
      </c>
      <c r="E20" s="1">
        <f t="shared" ca="1" si="33"/>
        <v>2</v>
      </c>
      <c r="F20" s="1">
        <f t="shared" ca="1" si="33"/>
        <v>1</v>
      </c>
      <c r="G20" s="1">
        <f t="shared" ca="1" si="33"/>
        <v>0</v>
      </c>
      <c r="H20" s="1">
        <f t="shared" ca="1" si="34"/>
        <v>19</v>
      </c>
      <c r="I20" s="1">
        <f t="shared" ca="1" si="34"/>
        <v>6</v>
      </c>
      <c r="J20" s="13">
        <f t="shared" ca="1" si="34"/>
        <v>13</v>
      </c>
      <c r="K20" s="1">
        <f t="shared" ca="1" si="34"/>
        <v>7</v>
      </c>
      <c r="L20" s="30">
        <f t="shared" ca="1" si="35"/>
        <v>7513019</v>
      </c>
      <c r="M20" s="14">
        <f t="shared" ca="1" si="45"/>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1.0108999999999999</v>
      </c>
      <c r="Y20" s="13">
        <f>'Endrunde 4'!$AF22</f>
        <v>0</v>
      </c>
      <c r="Z20" s="1">
        <f t="shared" ca="1" si="47"/>
        <v>1.9</v>
      </c>
      <c r="AA20" s="1">
        <f t="shared" ca="1" si="48"/>
        <v>0</v>
      </c>
      <c r="AB20" s="1">
        <f t="shared" ca="1" si="49"/>
        <v>0</v>
      </c>
      <c r="AC20" s="1">
        <f t="shared" ca="1" si="50"/>
        <v>0</v>
      </c>
      <c r="AD20" s="244">
        <f t="shared" ca="1" si="51"/>
        <v>1</v>
      </c>
      <c r="AE20" s="30">
        <f ca="1">(J20+$H$65)*$F$65+H20*$F$66</f>
        <v>513019</v>
      </c>
      <c r="AF20" s="1">
        <f t="shared" ca="1" si="52"/>
        <v>1</v>
      </c>
      <c r="AG20" s="1">
        <f t="shared" ca="1" si="53"/>
        <v>1</v>
      </c>
      <c r="AH20" s="247">
        <f t="shared" ca="1" si="54"/>
        <v>1.0101100000000001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4.0000000000000009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4.0508999999999995</v>
      </c>
      <c r="Y21" s="13">
        <v>0</v>
      </c>
      <c r="Z21" s="1">
        <f t="shared" ca="1" si="47"/>
        <v>5.9</v>
      </c>
      <c r="AA21" s="1">
        <f t="shared" ca="1" si="48"/>
        <v>0</v>
      </c>
      <c r="AB21" s="1">
        <f t="shared" ca="1" si="49"/>
        <v>0</v>
      </c>
      <c r="AC21" s="1">
        <f t="shared" ca="1" si="50"/>
        <v>0</v>
      </c>
      <c r="AD21" s="244">
        <f t="shared" ca="1" si="51"/>
        <v>4</v>
      </c>
      <c r="AE21" s="30">
        <v>0</v>
      </c>
      <c r="AF21" s="1">
        <f t="shared" ca="1" si="52"/>
        <v>5</v>
      </c>
      <c r="AG21" s="1">
        <f t="shared" ca="1" si="53"/>
        <v>5</v>
      </c>
      <c r="AH21" s="247">
        <f t="shared" ca="1" si="54"/>
        <v>4.0505099999999992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4.0000000000000009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4.0508999999999995</v>
      </c>
      <c r="Y22" s="13">
        <v>0</v>
      </c>
      <c r="Z22" s="1">
        <f t="shared" ca="1" si="47"/>
        <v>5.9</v>
      </c>
      <c r="AA22" s="1">
        <f t="shared" ca="1" si="48"/>
        <v>0</v>
      </c>
      <c r="AB22" s="1">
        <f t="shared" ca="1" si="49"/>
        <v>0</v>
      </c>
      <c r="AC22" s="1">
        <f t="shared" ca="1" si="50"/>
        <v>0</v>
      </c>
      <c r="AD22" s="244">
        <f t="shared" ca="1" si="51"/>
        <v>4</v>
      </c>
      <c r="AE22" s="30">
        <v>0</v>
      </c>
      <c r="AF22" s="1">
        <f t="shared" ca="1" si="52"/>
        <v>5</v>
      </c>
      <c r="AG22" s="1">
        <f t="shared" ca="1" si="53"/>
        <v>5</v>
      </c>
      <c r="AH22" s="247">
        <f t="shared" ca="1" si="54"/>
        <v>4.0505099999999992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4.0000000000000009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4.0508999999999995</v>
      </c>
      <c r="Y23" s="13">
        <v>0</v>
      </c>
      <c r="Z23" s="1">
        <f t="shared" ca="1" si="47"/>
        <v>5.9</v>
      </c>
      <c r="AA23" s="1">
        <f t="shared" ca="1" si="48"/>
        <v>0</v>
      </c>
      <c r="AB23" s="1">
        <f t="shared" ca="1" si="49"/>
        <v>0</v>
      </c>
      <c r="AC23" s="1">
        <f t="shared" ca="1" si="50"/>
        <v>0</v>
      </c>
      <c r="AD23" s="244">
        <f t="shared" ca="1" si="51"/>
        <v>4</v>
      </c>
      <c r="AE23" s="30">
        <v>0</v>
      </c>
      <c r="AF23" s="1">
        <f t="shared" ca="1" si="52"/>
        <v>5</v>
      </c>
      <c r="AG23" s="1">
        <f t="shared" ca="1" si="53"/>
        <v>5</v>
      </c>
      <c r="AH23" s="247">
        <f t="shared" ca="1" si="54"/>
        <v>4.0505099999999992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4.0000000000000009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4.0508999999999995</v>
      </c>
      <c r="Y24" s="13">
        <v>0</v>
      </c>
      <c r="Z24" s="1">
        <f t="shared" ca="1" si="47"/>
        <v>5.9</v>
      </c>
      <c r="AA24" s="1">
        <f t="shared" ca="1" si="48"/>
        <v>0</v>
      </c>
      <c r="AB24" s="1">
        <f t="shared" ca="1" si="49"/>
        <v>0</v>
      </c>
      <c r="AC24" s="1">
        <f t="shared" ca="1" si="50"/>
        <v>0</v>
      </c>
      <c r="AD24" s="244">
        <f t="shared" ca="1" si="51"/>
        <v>4</v>
      </c>
      <c r="AE24" s="30">
        <v>0</v>
      </c>
      <c r="AF24" s="1">
        <f t="shared" ca="1" si="52"/>
        <v>5</v>
      </c>
      <c r="AG24" s="1">
        <f t="shared" ca="1" si="53"/>
        <v>5</v>
      </c>
      <c r="AH24" s="247">
        <f t="shared" ca="1" si="54"/>
        <v>4.0505099999999992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4.0000000000000009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4.0508999999999995</v>
      </c>
      <c r="Y25" s="13">
        <v>0</v>
      </c>
      <c r="Z25" s="1">
        <f t="shared" ca="1" si="47"/>
        <v>5.9</v>
      </c>
      <c r="AA25" s="1">
        <f t="shared" ca="1" si="48"/>
        <v>0</v>
      </c>
      <c r="AB25" s="1">
        <f t="shared" ca="1" si="49"/>
        <v>0</v>
      </c>
      <c r="AC25" s="1">
        <f t="shared" ca="1" si="50"/>
        <v>0</v>
      </c>
      <c r="AD25" s="244">
        <f t="shared" ca="1" si="51"/>
        <v>4</v>
      </c>
      <c r="AE25" s="30">
        <v>0</v>
      </c>
      <c r="AF25" s="1">
        <f t="shared" ca="1" si="52"/>
        <v>5</v>
      </c>
      <c r="AG25" s="1">
        <f t="shared" ca="1" si="53"/>
        <v>5</v>
      </c>
      <c r="AH25" s="248">
        <f t="shared" ca="1" si="54"/>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Raslo Winners</v>
      </c>
      <c r="BT29" s="2" t="str">
        <f ca="1">$F$5</f>
        <v>Inter Mailand</v>
      </c>
      <c r="BU29" s="2" t="str">
        <f ca="1">$F$6</f>
        <v>Fun Kickers Oes</v>
      </c>
      <c r="BV29" s="2" t="str">
        <f ca="1">$F$7</f>
        <v>Mainz 05</v>
      </c>
      <c r="BW29" s="2" t="str">
        <f>$F$8</f>
        <v/>
      </c>
      <c r="BX29" s="2" t="str">
        <f>$F$9</f>
        <v/>
      </c>
      <c r="BY29" s="2" t="str">
        <f>$F$10</f>
        <v/>
      </c>
      <c r="BZ29" s="2" t="str">
        <f>$F$11</f>
        <v/>
      </c>
      <c r="CA29" s="2" t="str">
        <f>$F$12</f>
        <v/>
      </c>
      <c r="CB29" s="53"/>
    </row>
    <row r="30" spans="2:80" s="2" customFormat="1" x14ac:dyDescent="0.2">
      <c r="C30" s="2" t="str">
        <f ca="1">$Q64</f>
        <v>Raslo Winners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Raslo Winners</v>
      </c>
      <c r="BS30" s="7"/>
      <c r="BT30" s="8">
        <f t="shared" ref="BT30:CA32" ca="1" si="56">SUMIFS($X$64:$X$135,$V$64:$V$135,$BR30,$W$64:$W$135,BT$29)+SUMIFS($Y$64:$Y$135,$W$64:$W$135,$BR30,$V$64:$V$135,BT$29)</f>
        <v>9</v>
      </c>
      <c r="BU30" s="8">
        <f t="shared" ca="1" si="56"/>
        <v>4</v>
      </c>
      <c r="BV30" s="8">
        <f t="shared" ca="1" si="56"/>
        <v>1</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Inter Mailand</v>
      </c>
      <c r="BS31" s="9">
        <f t="shared" ref="BS31:BU38" ca="1" si="58">SUMIFS($X$64:$X$135,$V$64:$V$135,$BR31,$W$64:$W$135,BS$29)+SUMIFS($Y$64:$Y$135,$W$64:$W$135,$BR31,$V$64:$V$135,BS$29)</f>
        <v>15</v>
      </c>
      <c r="BT31" s="7"/>
      <c r="BU31" s="8">
        <f t="shared" ca="1" si="56"/>
        <v>5</v>
      </c>
      <c r="BV31" s="8">
        <f t="shared" ca="1" si="56"/>
        <v>0</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Fun Kickers Oes</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Fun Kickers Oes</v>
      </c>
      <c r="BS32" s="9">
        <f t="shared" ca="1" si="58"/>
        <v>3</v>
      </c>
      <c r="BT32" s="9">
        <f t="shared" ca="1" si="58"/>
        <v>3</v>
      </c>
      <c r="BU32" s="7"/>
      <c r="BV32" s="8">
        <f t="shared" ca="1" si="56"/>
        <v>5</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Mainz 05</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Mainz 05</v>
      </c>
      <c r="BS33" s="9">
        <f t="shared" ca="1" si="58"/>
        <v>1</v>
      </c>
      <c r="BT33" s="9">
        <f t="shared" ca="1" si="58"/>
        <v>7</v>
      </c>
      <c r="BU33" s="9">
        <f t="shared" ca="1" si="58"/>
        <v>11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Raslo Winners</v>
      </c>
      <c r="BT40" s="2" t="str">
        <f ca="1">$F$5</f>
        <v>Inter Mailand</v>
      </c>
      <c r="BU40" s="2" t="str">
        <f ca="1">$F$6</f>
        <v>Fun Kickers Oes</v>
      </c>
      <c r="BV40" s="2" t="str">
        <f ca="1">$F$7</f>
        <v>Mainz 05</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Raslo Winners</v>
      </c>
      <c r="BS41" s="7"/>
      <c r="BT41" s="8">
        <f ca="1">BT30-BS31</f>
        <v>-6</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Inter Mailand</v>
      </c>
      <c r="BS42" s="9">
        <f ca="1">IF(BT41="","",-1*BT41)</f>
        <v>6</v>
      </c>
      <c r="BT42" s="7"/>
      <c r="BU42" s="8">
        <f ca="1">BU31-BT32</f>
        <v>2</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Fun Kickers Oes</v>
      </c>
      <c r="BS43" s="9">
        <f ca="1">IF(BU41="","",-1*BU41)</f>
        <v>-1</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Mainz 05</v>
      </c>
      <c r="BS44" s="9">
        <f ca="1">IF(BV41="","",-1*BV41)</f>
        <v>0</v>
      </c>
      <c r="BT44" s="9">
        <f ca="1">IF(BV42="","",-1*BV42)</f>
        <v>7</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Raslo Winners</v>
      </c>
      <c r="BT51" s="2" t="str">
        <f ca="1">$F$5</f>
        <v>Inter Mailand</v>
      </c>
      <c r="BU51" s="2" t="str">
        <f ca="1">$F$6</f>
        <v>Fun Kickers Oes</v>
      </c>
      <c r="BV51" s="2" t="str">
        <f ca="1">$F$7</f>
        <v>Mainz 05</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Raslo Winners</v>
      </c>
      <c r="BS52" s="7"/>
      <c r="BT52" s="8">
        <f t="shared" ref="BT52:CA58" ca="1" si="62">SUMIFS($AE$64:$AE$135,$V$64:$V$135,$BR52,$W$64:$W$135,BT$51)+SUMIFS($AF$64:$AF$135,$W$64:$W$135,$BR52,$V$64:$V$135,BT$51)</f>
        <v>0</v>
      </c>
      <c r="BU52" s="8">
        <f t="shared" ca="1" si="62"/>
        <v>3</v>
      </c>
      <c r="BV52" s="8">
        <f t="shared" ca="1" si="62"/>
        <v>1</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Inter Mailand</v>
      </c>
      <c r="BS53" s="9">
        <f t="shared" ref="BS53:BU60" ca="1" si="63">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Fun Kickers Oes</v>
      </c>
      <c r="BS54" s="9">
        <f t="shared" ca="1" si="63"/>
        <v>0</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Mainz 05</v>
      </c>
      <c r="BS55" s="9">
        <f t="shared" ca="1" si="63"/>
        <v>1</v>
      </c>
      <c r="BT55" s="9">
        <f t="shared" ca="1" si="63"/>
        <v>3</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484" t="s">
        <v>163</v>
      </c>
      <c r="AD63" s="161" t="s">
        <v>161</v>
      </c>
      <c r="AE63" s="764" t="s">
        <v>112</v>
      </c>
      <c r="AF63" s="764"/>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IF('Endrunde 4'!$AE19="","",'Endrunde 4'!$AE19)</f>
        <v>Raslo Winners</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IF(AA64&gt;0,X64&amp;Sprache!$E$73&amp;Y64,"")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316</v>
      </c>
      <c r="P65" s="47" t="s">
        <v>8</v>
      </c>
      <c r="Q65" s="62" t="str">
        <f ca="1">IF('Endrunde 4'!$AE20="","",'Endrunde 4'!$AE20)</f>
        <v>Inter Mailand</v>
      </c>
      <c r="U65" s="68"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4">V65&amp;W65</f>
        <v>VFB EssenheimSSV Wildbach</v>
      </c>
      <c r="AA65" s="13">
        <f t="shared" ref="AA65:AA88" ca="1" si="65">IF(AND(V65&lt;&gt;"",W65&lt;&gt;"",V65&lt;&gt;W65,X65&lt;&gt;"",Y65&lt;&gt;""),1,0)</f>
        <v>1</v>
      </c>
      <c r="AB65" s="13" t="str">
        <f ca="1">IF(AA65&gt;0,X65&amp;Sprache!$E$73&amp;Y65,"")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IF('Endrunde 4'!$AE21="","",'Endrunde 4'!$AE21)</f>
        <v>Fun Kickers Oes</v>
      </c>
      <c r="U66" s="68"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4"/>
        <v>Knock Out RangersFC Grönlingen</v>
      </c>
      <c r="AA66" s="13">
        <f t="shared" ca="1" si="65"/>
        <v>1</v>
      </c>
      <c r="AB66" s="13" t="str">
        <f ca="1">IF(AA66&gt;0,X66&amp;Sprache!$E$73&amp;Y66,"")</f>
        <v>2:1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4'!$AE22="","",'Endrunde 4'!$AE22)</f>
        <v>Mainz 05</v>
      </c>
      <c r="U67" s="68"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64"/>
        <v>Raslo WinnersMainz 05</v>
      </c>
      <c r="AA67" s="13">
        <f t="shared" ca="1" si="65"/>
        <v>1</v>
      </c>
      <c r="AB67" s="13" t="str">
        <f ca="1">IF(AA67&gt;0,X67&amp;Sprache!$E$73&amp;Y67,"")</f>
        <v>1:1</v>
      </c>
      <c r="AD67" s="145"/>
      <c r="AE67" s="150">
        <f ca="1">IF($AA67=0,"",IF($X67&gt;$Y67,Einstellungen!$C$4,IF($X67=$Y67,1,0)))</f>
        <v>1</v>
      </c>
      <c r="AF67" s="145">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64"/>
        <v>FC BarcelonaAC Roma</v>
      </c>
      <c r="AA68" s="13">
        <f t="shared" ca="1" si="65"/>
        <v>1</v>
      </c>
      <c r="AB68" s="13" t="str">
        <f ca="1">IF(AA68&gt;0,X68&amp;Sprache!$E$73&amp;Y68,"")</f>
        <v>5:1</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64"/>
        <v>VFL Ronsdorf1. FC Riedwald</v>
      </c>
      <c r="AA69" s="13">
        <f t="shared" ca="1" si="65"/>
        <v>1</v>
      </c>
      <c r="AB69" s="13" t="str">
        <f ca="1">IF(AA69&gt;0,X69&amp;Sprache!$E$73&amp;Y69,"")</f>
        <v>2:0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64"/>
        <v>Borussia HeineMaibach 1822 eV</v>
      </c>
      <c r="AA70" s="13">
        <f t="shared" ca="1" si="65"/>
        <v>1</v>
      </c>
      <c r="AB70" s="13" t="str">
        <f ca="1">IF(AA70&gt;0,X70&amp;Sprache!$E$73&amp;Y70,"")</f>
        <v>1:2</v>
      </c>
      <c r="AD70" s="145"/>
      <c r="AE70" s="150">
        <f ca="1">IF($AA70=0,"",IF($X70&gt;$Y70,Einstellungen!$C$4,IF($X70=$Y70,1,0)))</f>
        <v>0</v>
      </c>
      <c r="AF70" s="145">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64"/>
        <v>Inter MailandFun Kickers Oes</v>
      </c>
      <c r="AA71" s="13">
        <f t="shared" ca="1" si="65"/>
        <v>1</v>
      </c>
      <c r="AB71" s="13" t="str">
        <f ca="1">IF(AA71&gt;0,X71&amp;Sprache!$E$73&amp;Y71,"")</f>
        <v>5:3</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64"/>
        <v>Manchester CityEintracht Frankfurt</v>
      </c>
      <c r="AA72" s="13">
        <f t="shared" ca="1" si="65"/>
        <v>1</v>
      </c>
      <c r="AB72" s="13" t="str">
        <f ca="1">IF(AA72&gt;0,X72&amp;Sprache!$E$73&amp;Y72,"")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64"/>
        <v>VFB Essenheim1. FC Riedwald</v>
      </c>
      <c r="AA73" s="13">
        <f t="shared" ca="1" si="65"/>
        <v>1</v>
      </c>
      <c r="AB73" s="13" t="str">
        <f ca="1">IF(AA73&gt;0,X73&amp;Sprache!$E$73&amp;Y73,"")</f>
        <v>2:2</v>
      </c>
      <c r="AD73" s="145"/>
      <c r="AE73" s="150">
        <f ca="1">IF($AA73=0,"",IF($X73&gt;$Y73,Einstellungen!$C$4,IF($X73=$Y73,1,0)))</f>
        <v>1</v>
      </c>
      <c r="AF73" s="145">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65"/>
        <v>1</v>
      </c>
      <c r="AB74" s="13" t="str">
        <f ca="1">IF(AA74&gt;0,X74&amp;Sprache!$E$73&amp;Y74,"")</f>
        <v>4:2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88" ca="1" si="66">V75&amp;W75</f>
        <v>Raslo WinnersFun Kickers Oes</v>
      </c>
      <c r="AA75" s="13">
        <f t="shared" ca="1" si="65"/>
        <v>1</v>
      </c>
      <c r="AB75" s="13" t="str">
        <f ca="1">IF(AA75&gt;0,X75&amp;Sprache!$E$73&amp;Y75,"")</f>
        <v>4:3</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66"/>
        <v>FC BarcelonaEintracht Frankfurt</v>
      </c>
      <c r="AA76" s="13">
        <f t="shared" ca="1" si="65"/>
        <v>1</v>
      </c>
      <c r="AB76" s="13" t="str">
        <f ca="1">IF(AA76&gt;0,X76&amp;Sprache!$E$73&amp;Y76,"")</f>
        <v>0:0</v>
      </c>
      <c r="AD76" s="145"/>
      <c r="AE76" s="150">
        <f ca="1">IF($AA76=0,"",IF($X76&gt;$Y76,Einstellungen!$C$4,IF($X76=$Y76,1,0)))</f>
        <v>1</v>
      </c>
      <c r="AF76" s="145">
        <f ca="1">IF($AA76=0,"",IF($X76&lt;$Y76,Einstellungen!$C$4,IF($X76=$Y76,1,0)))</f>
        <v>1</v>
      </c>
    </row>
    <row r="77" spans="2:43" s="2" customFormat="1" x14ac:dyDescent="0.2">
      <c r="B77" s="4"/>
      <c r="C77" s="4"/>
      <c r="D77" s="4"/>
      <c r="E77" s="4"/>
      <c r="F77" s="13"/>
      <c r="G77" s="13"/>
      <c r="H77" s="13"/>
      <c r="I77" s="13"/>
      <c r="J77" s="13"/>
      <c r="K77" s="13"/>
      <c r="L77" s="13"/>
      <c r="M77" s="13"/>
      <c r="U77" s="68"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66"/>
        <v>VFL RonsdorfSSV Wildbach</v>
      </c>
      <c r="AA77" s="13">
        <f t="shared" ca="1" si="65"/>
        <v>1</v>
      </c>
      <c r="AB77" s="13" t="str">
        <f ca="1">IF(AA77&gt;0,X77&amp;Sprache!$E$73&amp;Y77,"")</f>
        <v>1:5</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66"/>
        <v>Borussia HeineFC Grönlingen</v>
      </c>
      <c r="AA78" s="13">
        <f t="shared" ca="1" si="65"/>
        <v>1</v>
      </c>
      <c r="AB78" s="13" t="str">
        <f ca="1">IF(AA78&gt;0,X78&amp;Sprache!$E$73&amp;Y78,"")</f>
        <v>4:4</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66"/>
        <v>Inter MailandMainz 05</v>
      </c>
      <c r="AA79" s="13">
        <f t="shared" ca="1" si="65"/>
        <v>1</v>
      </c>
      <c r="AB79" s="13" t="str">
        <f ca="1">IF(AA79&gt;0,X79&amp;Sprache!$E$73&amp;Y79,"")</f>
        <v>0:7</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66"/>
        <v>Manchester CityAC Roma</v>
      </c>
      <c r="AA80" s="13">
        <f t="shared" ca="1" si="65"/>
        <v>1</v>
      </c>
      <c r="AB80" s="13" t="str">
        <f ca="1">IF(AA80&gt;0,X80&amp;Sprache!$E$73&amp;Y80,"")</f>
        <v>2:8</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66"/>
        <v>1. FC RiedwaldSSV Wildbach</v>
      </c>
      <c r="AA81" s="13">
        <f t="shared" ca="1" si="65"/>
        <v>1</v>
      </c>
      <c r="AB81" s="13" t="str">
        <f ca="1">IF(AA81&gt;0,X81&amp;Sprache!$E$73&amp;Y81,"")</f>
        <v>3:9</v>
      </c>
      <c r="AC81" s="4"/>
      <c r="AD81" s="145"/>
      <c r="AE81" s="150">
        <f ca="1">IF($AA81=0,"",IF($X81&gt;$Y81,Einstellungen!$C$4,IF($X81=$Y81,1,0)))</f>
        <v>0</v>
      </c>
      <c r="AF81" s="145">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66"/>
        <v>Maibach 1822 eVFC Grönlingen</v>
      </c>
      <c r="AA82" s="13">
        <f t="shared" ca="1" si="65"/>
        <v>1</v>
      </c>
      <c r="AB82" s="13" t="str">
        <f ca="1">IF(AA82&gt;0,X82&amp;Sprache!$E$73&amp;Y82,"")</f>
        <v>4:10</v>
      </c>
      <c r="AC82" s="4"/>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66"/>
        <v>Fun Kickers OesMainz 05</v>
      </c>
      <c r="AA83" s="13">
        <f t="shared" ca="1" si="65"/>
        <v>1</v>
      </c>
      <c r="AB83" s="13" t="str">
        <f ca="1">IF(AA83&gt;0,X83&amp;Sprache!$E$73&amp;Y83,"")</f>
        <v>5:11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66"/>
        <v>Eintracht FrankfurtAC Roma</v>
      </c>
      <c r="AA84" s="13">
        <f t="shared" ca="1" si="65"/>
        <v>1</v>
      </c>
      <c r="AB84" s="13" t="str">
        <f ca="1">IF(AA84&gt;0,X84&amp;Sprache!$E$73&amp;Y84,"")</f>
        <v>6:12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66"/>
        <v>VFB EssenheimVFL Ronsdorf</v>
      </c>
      <c r="AA85" s="13">
        <f t="shared" ca="1" si="65"/>
        <v>1</v>
      </c>
      <c r="AB85" s="13" t="str">
        <f ca="1">IF(AA85&gt;0,X85&amp;Sprache!$E$73&amp;Y85,"")</f>
        <v>7:13</v>
      </c>
      <c r="AD85" s="145"/>
      <c r="AE85" s="150">
        <f ca="1">IF($AA85=0,"",IF($X85&gt;$Y85,Einstellungen!$C$4,IF($X85=$Y85,1,0)))</f>
        <v>0</v>
      </c>
      <c r="AF85" s="145">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66"/>
        <v>Knock Out RangersBorussia Heine</v>
      </c>
      <c r="AA86" s="13">
        <f t="shared" ca="1" si="65"/>
        <v>1</v>
      </c>
      <c r="AB86" s="13" t="str">
        <f ca="1">IF(AA86&gt;0,X86&amp;Sprache!$E$73&amp;Y86,"")</f>
        <v>8:14</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66"/>
        <v>Raslo WinnersInter Mailand</v>
      </c>
      <c r="AA87" s="13">
        <f t="shared" ca="1" si="65"/>
        <v>1</v>
      </c>
      <c r="AB87" s="13" t="str">
        <f ca="1">IF(AA87&gt;0,X87&amp;Sprache!$E$73&amp;Y87,"")</f>
        <v>9:15</v>
      </c>
      <c r="AD87" s="145"/>
      <c r="AE87" s="150">
        <f ca="1">IF($AA87=0,"",IF($X87&gt;$Y87,Einstellungen!$C$4,IF($X87=$Y87,1,0)))</f>
        <v>0</v>
      </c>
      <c r="AF87" s="145">
        <f ca="1">IF($AA87=0,"",IF($X87&lt;$Y87,Einstellungen!$C$4,IF($X87=$Y87,1,0)))</f>
        <v>3</v>
      </c>
    </row>
    <row r="88" spans="2:32" s="2" customFormat="1" x14ac:dyDescent="0.2">
      <c r="B88" s="4"/>
      <c r="C88" s="4"/>
      <c r="D88" s="4"/>
      <c r="E88" s="4"/>
      <c r="F88" s="13"/>
      <c r="G88" s="13"/>
      <c r="H88" s="13"/>
      <c r="I88" s="13"/>
      <c r="J88" s="13"/>
      <c r="K88" s="13"/>
      <c r="L88" s="13"/>
      <c r="M88" s="13"/>
      <c r="U88" s="68"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66"/>
        <v>FC BarcelonaManchester City</v>
      </c>
      <c r="AA88" s="13">
        <f t="shared" ca="1" si="65"/>
        <v>1</v>
      </c>
      <c r="AB88" s="13" t="str">
        <f ca="1">IF(AA88&gt;0,X88&amp;Sprache!$E$73&amp;Y88,"")</f>
        <v>4:0</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ref="Z89:Z93" si="67">V89&amp;W89</f>
        <v/>
      </c>
      <c r="AA89" s="13">
        <f t="shared" ref="AA89:AA128" si="68">IF(AND(V89&lt;&gt;"",W89&lt;&gt;"",V89&lt;&gt;W89,X89&lt;&gt;"",Y89&lt;&gt;""),1,0)</f>
        <v>0</v>
      </c>
      <c r="AB89" s="13" t="str">
        <f>IF(AA89&gt;0,X89&amp;Sprache!$E$73&amp;Y89,"")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7"/>
        <v/>
      </c>
      <c r="AA90" s="13">
        <f t="shared" si="68"/>
        <v>0</v>
      </c>
      <c r="AB90" s="13" t="str">
        <f>IF(AA90&gt;0,X90&amp;Sprache!$E$73&amp;Y90,"")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7"/>
        <v/>
      </c>
      <c r="AA91" s="13">
        <f t="shared" si="68"/>
        <v>0</v>
      </c>
      <c r="AB91" s="13" t="str">
        <f>IF(AA91&gt;0,X91&amp;Sprache!$E$73&amp;Y91,"")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7"/>
        <v/>
      </c>
      <c r="AA92" s="13">
        <f t="shared" si="68"/>
        <v>0</v>
      </c>
      <c r="AB92" s="13" t="str">
        <f>IF(AA92&gt;0,X92&amp;Sprache!$E$73&amp;Y92,"")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7"/>
        <v/>
      </c>
      <c r="AA93" s="13">
        <f t="shared" si="68"/>
        <v>0</v>
      </c>
      <c r="AB93" s="13" t="str">
        <f>IF(AA93&gt;0,X93&amp;Sprache!$E$73&amp;Y93,"")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8"/>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8"/>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8"/>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8"/>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8"/>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8"/>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8"/>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8"/>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8"/>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8"/>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8"/>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8"/>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8"/>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8"/>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8"/>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8"/>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8"/>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8"/>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8"/>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8"/>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8"/>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8"/>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8"/>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8"/>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8"/>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8"/>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8"/>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8"/>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8"/>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8"/>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8"/>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8"/>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8"/>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8"/>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8"/>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IF(AA136&gt;0,Y64&amp;Sprache!$E$73&amp;X64,"")</f>
        <v/>
      </c>
      <c r="AD136" s="145"/>
    </row>
    <row r="137" spans="2:32" x14ac:dyDescent="0.2">
      <c r="Y137" s="68" t="s">
        <v>8</v>
      </c>
      <c r="Z137" s="35" t="str">
        <f ca="1">W65&amp;V65</f>
        <v>SSV WildbachVFB Essenheim</v>
      </c>
      <c r="AA137" s="13">
        <f t="shared" ref="AA137:AA200" ca="1" si="70">AA65</f>
        <v>1</v>
      </c>
      <c r="AB137" s="13" t="str">
        <f ca="1">IF(AA137&gt;0,Y65&amp;Sprache!$E$73&amp;X65,"")</f>
        <v>4:2</v>
      </c>
      <c r="AC137" s="2"/>
      <c r="AD137" s="145"/>
    </row>
    <row r="138" spans="2:32" x14ac:dyDescent="0.2">
      <c r="Y138" s="68" t="s">
        <v>9</v>
      </c>
      <c r="Z138" s="35" t="str">
        <f t="shared" ref="Z138:Z201" ca="1" si="71">W66&amp;V66</f>
        <v>FC GrönlingenKnock Out Rangers</v>
      </c>
      <c r="AA138" s="13">
        <f t="shared" ca="1" si="70"/>
        <v>1</v>
      </c>
      <c r="AB138" s="13" t="str">
        <f ca="1">IF(AA138&gt;0,Y66&amp;Sprache!$E$73&amp;X66,"")</f>
        <v>1:2</v>
      </c>
      <c r="AC138" s="2"/>
      <c r="AD138" s="145"/>
    </row>
    <row r="139" spans="2:32" x14ac:dyDescent="0.2">
      <c r="Y139" s="68" t="s">
        <v>10</v>
      </c>
      <c r="Z139" s="35" t="str">
        <f t="shared" ca="1" si="71"/>
        <v>Mainz 05Raslo Winners</v>
      </c>
      <c r="AA139" s="13">
        <f t="shared" ca="1" si="70"/>
        <v>1</v>
      </c>
      <c r="AB139" s="13" t="str">
        <f ca="1">IF(AA139&gt;0,Y67&amp;Sprache!$E$73&amp;X67,"")</f>
        <v>1:1</v>
      </c>
      <c r="AC139" s="2"/>
      <c r="AD139" s="145"/>
    </row>
    <row r="140" spans="2:32" x14ac:dyDescent="0.2">
      <c r="Y140" s="68" t="s">
        <v>11</v>
      </c>
      <c r="Z140" s="35" t="str">
        <f t="shared" ca="1" si="71"/>
        <v>AC RomaFC Barcelona</v>
      </c>
      <c r="AA140" s="13">
        <f t="shared" ca="1" si="70"/>
        <v>1</v>
      </c>
      <c r="AB140" s="13" t="str">
        <f ca="1">IF(AA140&gt;0,Y68&amp;Sprache!$E$73&amp;X68,"")</f>
        <v>1:5</v>
      </c>
      <c r="AC140" s="2"/>
      <c r="AD140" s="145"/>
    </row>
    <row r="141" spans="2:32" x14ac:dyDescent="0.2">
      <c r="Y141" s="68" t="s">
        <v>12</v>
      </c>
      <c r="Z141" s="35" t="str">
        <f t="shared" ca="1" si="71"/>
        <v>1. FC RiedwaldVFL Ronsdorf</v>
      </c>
      <c r="AA141" s="13">
        <f t="shared" ca="1" si="70"/>
        <v>1</v>
      </c>
      <c r="AB141" s="13" t="str">
        <f ca="1">IF(AA141&gt;0,Y69&amp;Sprache!$E$73&amp;X69,"")</f>
        <v>0:2</v>
      </c>
      <c r="AC141" s="2"/>
      <c r="AD141" s="145"/>
    </row>
    <row r="142" spans="2:32" x14ac:dyDescent="0.2">
      <c r="Y142" s="68" t="s">
        <v>17</v>
      </c>
      <c r="Z142" s="35" t="str">
        <f t="shared" ca="1" si="71"/>
        <v>Maibach 1822 eVBorussia Heine</v>
      </c>
      <c r="AA142" s="13">
        <f t="shared" ca="1" si="70"/>
        <v>1</v>
      </c>
      <c r="AB142" s="13" t="str">
        <f ca="1">IF(AA142&gt;0,Y70&amp;Sprache!$E$73&amp;X70,"")</f>
        <v>2:1</v>
      </c>
      <c r="AC142" s="2"/>
      <c r="AD142" s="145"/>
    </row>
    <row r="143" spans="2:32" x14ac:dyDescent="0.2">
      <c r="Y143" s="68" t="s">
        <v>18</v>
      </c>
      <c r="Z143" s="35" t="str">
        <f t="shared" ca="1" si="71"/>
        <v>Fun Kickers OesInter Mailand</v>
      </c>
      <c r="AA143" s="13">
        <f t="shared" ca="1" si="70"/>
        <v>1</v>
      </c>
      <c r="AB143" s="13" t="str">
        <f ca="1">IF(AA143&gt;0,Y71&amp;Sprache!$E$73&amp;X71,"")</f>
        <v>3:5</v>
      </c>
      <c r="AC143" s="2"/>
      <c r="AD143" s="145"/>
    </row>
    <row r="144" spans="2:32" x14ac:dyDescent="0.2">
      <c r="Y144" s="68" t="s">
        <v>19</v>
      </c>
      <c r="Z144" s="35" t="str">
        <f t="shared" ca="1" si="71"/>
        <v>Eintracht FrankfurtManchester City</v>
      </c>
      <c r="AA144" s="13">
        <f t="shared" ca="1" si="70"/>
        <v>1</v>
      </c>
      <c r="AB144" s="13" t="str">
        <f ca="1">IF(AA144&gt;0,Y72&amp;Sprache!$E$73&amp;X72,"")</f>
        <v>1:2</v>
      </c>
      <c r="AC144" s="2"/>
      <c r="AD144" s="145"/>
    </row>
    <row r="145" spans="25:30" x14ac:dyDescent="0.2">
      <c r="Y145" s="68" t="s">
        <v>25</v>
      </c>
      <c r="Z145" s="35" t="str">
        <f t="shared" ca="1" si="71"/>
        <v>1. FC RiedwaldVFB Essenheim</v>
      </c>
      <c r="AA145" s="13">
        <f t="shared" ca="1" si="70"/>
        <v>1</v>
      </c>
      <c r="AB145" s="13" t="str">
        <f ca="1">IF(AA145&gt;0,Y73&amp;Sprache!$E$73&amp;X73,"")</f>
        <v>2:2</v>
      </c>
      <c r="AC145" s="2"/>
      <c r="AD145" s="145"/>
    </row>
    <row r="146" spans="25:30" x14ac:dyDescent="0.2">
      <c r="Y146" s="68" t="s">
        <v>26</v>
      </c>
      <c r="Z146" s="35" t="str">
        <f t="shared" ca="1" si="71"/>
        <v>Maibach 1822 eVKnock Out Rangers</v>
      </c>
      <c r="AA146" s="13">
        <f t="shared" ca="1" si="70"/>
        <v>1</v>
      </c>
      <c r="AB146" s="13" t="str">
        <f ca="1">IF(AA146&gt;0,Y74&amp;Sprache!$E$73&amp;X74,"")</f>
        <v>2:4</v>
      </c>
      <c r="AC146" s="2"/>
      <c r="AD146" s="145"/>
    </row>
    <row r="147" spans="25:30" x14ac:dyDescent="0.2">
      <c r="Y147" s="68" t="s">
        <v>27</v>
      </c>
      <c r="Z147" s="35" t="str">
        <f t="shared" ca="1" si="71"/>
        <v>Fun Kickers OesRaslo Winners</v>
      </c>
      <c r="AA147" s="13">
        <f t="shared" ca="1" si="70"/>
        <v>1</v>
      </c>
      <c r="AB147" s="13" t="str">
        <f ca="1">IF(AA147&gt;0,Y75&amp;Sprache!$E$73&amp;X75,"")</f>
        <v>3:4</v>
      </c>
      <c r="AC147" s="2"/>
      <c r="AD147" s="145"/>
    </row>
    <row r="148" spans="25:30" x14ac:dyDescent="0.2">
      <c r="Y148" s="68" t="s">
        <v>28</v>
      </c>
      <c r="Z148" s="35" t="str">
        <f t="shared" ca="1" si="71"/>
        <v>Eintracht FrankfurtFC Barcelona</v>
      </c>
      <c r="AA148" s="13">
        <f t="shared" ca="1" si="70"/>
        <v>1</v>
      </c>
      <c r="AB148" s="13" t="str">
        <f ca="1">IF(AA148&gt;0,Y76&amp;Sprache!$E$73&amp;X76,"")</f>
        <v>0:0</v>
      </c>
      <c r="AC148" s="2"/>
      <c r="AD148" s="145"/>
    </row>
    <row r="149" spans="25:30" x14ac:dyDescent="0.2">
      <c r="Y149" s="68" t="s">
        <v>29</v>
      </c>
      <c r="Z149" s="35" t="str">
        <f t="shared" ca="1" si="71"/>
        <v>SSV WildbachVFL Ronsdorf</v>
      </c>
      <c r="AA149" s="13">
        <f t="shared" ca="1" si="70"/>
        <v>1</v>
      </c>
      <c r="AB149" s="13" t="str">
        <f ca="1">IF(AA149&gt;0,Y77&amp;Sprache!$E$73&amp;X77,"")</f>
        <v>5:1</v>
      </c>
      <c r="AC149" s="2"/>
      <c r="AD149" s="145"/>
    </row>
    <row r="150" spans="25:30" x14ac:dyDescent="0.2">
      <c r="Y150" s="68" t="s">
        <v>30</v>
      </c>
      <c r="Z150" s="35" t="str">
        <f t="shared" ca="1" si="71"/>
        <v>FC GrönlingenBorussia Heine</v>
      </c>
      <c r="AA150" s="13">
        <f t="shared" ca="1" si="70"/>
        <v>1</v>
      </c>
      <c r="AB150" s="13" t="str">
        <f ca="1">IF(AA150&gt;0,Y78&amp;Sprache!$E$73&amp;X78,"")</f>
        <v>4:4</v>
      </c>
      <c r="AC150" s="2"/>
      <c r="AD150" s="145"/>
    </row>
    <row r="151" spans="25:30" x14ac:dyDescent="0.2">
      <c r="Y151" s="68" t="s">
        <v>31</v>
      </c>
      <c r="Z151" s="35" t="str">
        <f t="shared" ca="1" si="71"/>
        <v>Mainz 05Inter Mailand</v>
      </c>
      <c r="AA151" s="13">
        <f t="shared" ca="1" si="70"/>
        <v>1</v>
      </c>
      <c r="AB151" s="13" t="str">
        <f ca="1">IF(AA151&gt;0,Y79&amp;Sprache!$E$73&amp;X79,"")</f>
        <v>7:0</v>
      </c>
      <c r="AC151" s="2"/>
      <c r="AD151" s="145"/>
    </row>
    <row r="152" spans="25:30" x14ac:dyDescent="0.2">
      <c r="Y152" s="68" t="s">
        <v>32</v>
      </c>
      <c r="Z152" s="35" t="str">
        <f t="shared" ca="1" si="71"/>
        <v>AC RomaManchester City</v>
      </c>
      <c r="AA152" s="13">
        <f t="shared" ca="1" si="70"/>
        <v>1</v>
      </c>
      <c r="AB152" s="13" t="str">
        <f ca="1">IF(AA152&gt;0,Y80&amp;Sprache!$E$73&amp;X80,"")</f>
        <v>8:2</v>
      </c>
      <c r="AC152" s="2"/>
      <c r="AD152" s="145"/>
    </row>
    <row r="153" spans="25:30" x14ac:dyDescent="0.2">
      <c r="Y153" s="68" t="s">
        <v>33</v>
      </c>
      <c r="Z153" s="35" t="str">
        <f t="shared" ca="1" si="71"/>
        <v>SSV Wildbach1. FC Riedwald</v>
      </c>
      <c r="AA153" s="13">
        <f t="shared" ca="1" si="70"/>
        <v>1</v>
      </c>
      <c r="AB153" s="13" t="str">
        <f ca="1">IF(AA153&gt;0,Y81&amp;Sprache!$E$73&amp;X81,"")</f>
        <v>9:3</v>
      </c>
      <c r="AC153" s="2"/>
      <c r="AD153" s="145"/>
    </row>
    <row r="154" spans="25:30" x14ac:dyDescent="0.2">
      <c r="Y154" s="68" t="s">
        <v>34</v>
      </c>
      <c r="Z154" s="35" t="str">
        <f t="shared" ca="1" si="71"/>
        <v>FC GrönlingenMaibach 1822 eV</v>
      </c>
      <c r="AA154" s="13">
        <f t="shared" ca="1" si="70"/>
        <v>1</v>
      </c>
      <c r="AB154" s="13" t="str">
        <f ca="1">IF(AA154&gt;0,Y82&amp;Sprache!$E$73&amp;X82,"")</f>
        <v>10:4</v>
      </c>
      <c r="AC154" s="2"/>
      <c r="AD154" s="145"/>
    </row>
    <row r="155" spans="25:30" x14ac:dyDescent="0.2">
      <c r="Y155" s="68" t="s">
        <v>35</v>
      </c>
      <c r="Z155" s="35" t="str">
        <f t="shared" ca="1" si="71"/>
        <v>Mainz 05Fun Kickers Oes</v>
      </c>
      <c r="AA155" s="13">
        <f t="shared" ca="1" si="70"/>
        <v>1</v>
      </c>
      <c r="AB155" s="13" t="str">
        <f ca="1">IF(AA155&gt;0,Y83&amp;Sprache!$E$73&amp;X83,"")</f>
        <v>11:5</v>
      </c>
      <c r="AC155" s="2"/>
      <c r="AD155" s="145"/>
    </row>
    <row r="156" spans="25:30" x14ac:dyDescent="0.2">
      <c r="Y156" s="68" t="s">
        <v>36</v>
      </c>
      <c r="Z156" s="35" t="str">
        <f t="shared" ca="1" si="71"/>
        <v>AC RomaEintracht Frankfurt</v>
      </c>
      <c r="AA156" s="13">
        <f t="shared" ca="1" si="70"/>
        <v>1</v>
      </c>
      <c r="AB156" s="13" t="str">
        <f ca="1">IF(AA156&gt;0,Y84&amp;Sprache!$E$73&amp;X84,"")</f>
        <v>12:6</v>
      </c>
      <c r="AC156" s="2"/>
      <c r="AD156" s="145"/>
    </row>
    <row r="157" spans="25:30" x14ac:dyDescent="0.2">
      <c r="Y157" s="68" t="s">
        <v>37</v>
      </c>
      <c r="Z157" s="35" t="str">
        <f t="shared" ca="1" si="71"/>
        <v>VFL RonsdorfVFB Essenheim</v>
      </c>
      <c r="AA157" s="13">
        <f t="shared" ca="1" si="70"/>
        <v>1</v>
      </c>
      <c r="AB157" s="13" t="str">
        <f ca="1">IF(AA157&gt;0,Y85&amp;Sprache!$E$73&amp;X85,"")</f>
        <v>13:7</v>
      </c>
      <c r="AC157" s="2"/>
      <c r="AD157" s="145"/>
    </row>
    <row r="158" spans="25:30" x14ac:dyDescent="0.2">
      <c r="Y158" s="68" t="s">
        <v>38</v>
      </c>
      <c r="Z158" s="35" t="str">
        <f t="shared" ca="1" si="71"/>
        <v>Borussia HeineKnock Out Rangers</v>
      </c>
      <c r="AA158" s="13">
        <f t="shared" ca="1" si="70"/>
        <v>1</v>
      </c>
      <c r="AB158" s="13" t="str">
        <f ca="1">IF(AA158&gt;0,Y86&amp;Sprache!$E$73&amp;X86,"")</f>
        <v>14:8</v>
      </c>
      <c r="AC158" s="2"/>
      <c r="AD158" s="145"/>
    </row>
    <row r="159" spans="25:30" x14ac:dyDescent="0.2">
      <c r="Y159" s="68" t="s">
        <v>39</v>
      </c>
      <c r="Z159" s="35" t="str">
        <f t="shared" ca="1" si="71"/>
        <v>Inter MailandRaslo Winners</v>
      </c>
      <c r="AA159" s="13">
        <f t="shared" ca="1" si="70"/>
        <v>1</v>
      </c>
      <c r="AB159" s="13" t="str">
        <f ca="1">IF(AA159&gt;0,Y87&amp;Sprache!$E$73&amp;X87,"")</f>
        <v>15:9</v>
      </c>
      <c r="AC159" s="2"/>
      <c r="AD159" s="145"/>
    </row>
    <row r="160" spans="25:30" x14ac:dyDescent="0.2">
      <c r="Y160" s="68" t="s">
        <v>40</v>
      </c>
      <c r="Z160" s="35" t="str">
        <f t="shared" ca="1" si="71"/>
        <v>Manchester CityFC Barcelona</v>
      </c>
      <c r="AA160" s="13">
        <f t="shared" ca="1" si="70"/>
        <v>1</v>
      </c>
      <c r="AB160" s="13" t="str">
        <f ca="1">IF(AA160&gt;0,Y88&amp;Sprache!$E$73&amp;X88,"")</f>
        <v>0:4</v>
      </c>
      <c r="AC160" s="2"/>
      <c r="AD160" s="145"/>
    </row>
    <row r="161" spans="25:30" x14ac:dyDescent="0.2">
      <c r="Y161" s="68" t="s">
        <v>41</v>
      </c>
      <c r="Z161" s="35" t="str">
        <f t="shared" si="71"/>
        <v/>
      </c>
      <c r="AA161" s="13">
        <f t="shared" si="70"/>
        <v>0</v>
      </c>
      <c r="AB161" s="13" t="str">
        <f>IF(AA161&gt;0,Y89&amp;Sprache!$E$73&amp;X89,"")</f>
        <v/>
      </c>
      <c r="AC161" s="2"/>
      <c r="AD161" s="145"/>
    </row>
    <row r="162" spans="25:30" x14ac:dyDescent="0.2">
      <c r="Y162" s="68" t="s">
        <v>42</v>
      </c>
      <c r="Z162" s="35" t="str">
        <f t="shared" si="71"/>
        <v/>
      </c>
      <c r="AA162" s="13">
        <f t="shared" si="70"/>
        <v>0</v>
      </c>
      <c r="AB162" s="13" t="str">
        <f>IF(AA162&gt;0,Y90&amp;Sprache!$E$73&amp;X90,"")</f>
        <v/>
      </c>
      <c r="AC162" s="2"/>
      <c r="AD162" s="145"/>
    </row>
    <row r="163" spans="25:30" x14ac:dyDescent="0.2">
      <c r="Y163" s="68" t="s">
        <v>43</v>
      </c>
      <c r="Z163" s="35" t="str">
        <f t="shared" si="71"/>
        <v/>
      </c>
      <c r="AA163" s="13">
        <f t="shared" si="70"/>
        <v>0</v>
      </c>
      <c r="AB163" s="13" t="str">
        <f>IF(AA163&gt;0,Y91&amp;Sprache!$E$73&amp;X91,"")</f>
        <v/>
      </c>
      <c r="AC163" s="2"/>
      <c r="AD163" s="145"/>
    </row>
    <row r="164" spans="25:30" x14ac:dyDescent="0.2">
      <c r="Y164" s="68" t="s">
        <v>44</v>
      </c>
      <c r="Z164" s="35" t="str">
        <f t="shared" si="71"/>
        <v/>
      </c>
      <c r="AA164" s="13">
        <f t="shared" si="70"/>
        <v>0</v>
      </c>
      <c r="AB164" s="13" t="str">
        <f>IF(AA164&gt;0,Y92&amp;Sprache!$E$73&amp;X92,"")</f>
        <v/>
      </c>
      <c r="AC164" s="2"/>
      <c r="AD164" s="145"/>
    </row>
    <row r="165" spans="25:30" x14ac:dyDescent="0.2">
      <c r="Y165" s="68" t="s">
        <v>45</v>
      </c>
      <c r="Z165" s="35" t="str">
        <f t="shared" si="71"/>
        <v/>
      </c>
      <c r="AA165" s="13">
        <f t="shared" si="70"/>
        <v>0</v>
      </c>
      <c r="AB165" s="13" t="str">
        <f>IF(AA165&gt;0,Y93&amp;Sprache!$E$73&amp;X93,"")</f>
        <v/>
      </c>
      <c r="AC165" s="2"/>
      <c r="AD165" s="145"/>
    </row>
    <row r="166" spans="25:30" x14ac:dyDescent="0.2">
      <c r="Y166" s="68" t="s">
        <v>46</v>
      </c>
      <c r="Z166" s="35" t="str">
        <f t="shared" si="71"/>
        <v/>
      </c>
      <c r="AA166" s="13">
        <f t="shared" si="70"/>
        <v>0</v>
      </c>
      <c r="AB166" s="13" t="str">
        <f>IF(AA166&gt;0,Y94&amp;Sprache!$E$73&amp;X94,"")</f>
        <v/>
      </c>
      <c r="AC166" s="2"/>
      <c r="AD166" s="145"/>
    </row>
    <row r="167" spans="25:30" x14ac:dyDescent="0.2">
      <c r="Y167" s="68" t="s">
        <v>47</v>
      </c>
      <c r="Z167" s="35" t="str">
        <f t="shared" si="71"/>
        <v/>
      </c>
      <c r="AA167" s="13">
        <f t="shared" si="70"/>
        <v>0</v>
      </c>
      <c r="AB167" s="13" t="str">
        <f>IF(AA167&gt;0,Y95&amp;Sprache!$E$73&amp;X95,"")</f>
        <v/>
      </c>
      <c r="AC167" s="2"/>
      <c r="AD167" s="145"/>
    </row>
    <row r="168" spans="25:30" x14ac:dyDescent="0.2">
      <c r="Y168" s="68" t="s">
        <v>48</v>
      </c>
      <c r="Z168" s="35" t="str">
        <f t="shared" si="71"/>
        <v/>
      </c>
      <c r="AA168" s="13">
        <f t="shared" si="70"/>
        <v>0</v>
      </c>
      <c r="AB168" s="13" t="str">
        <f>IF(AA168&gt;0,Y96&amp;Sprache!$E$73&amp;X96,"")</f>
        <v/>
      </c>
      <c r="AC168" s="2"/>
      <c r="AD168" s="145"/>
    </row>
    <row r="169" spans="25:30" x14ac:dyDescent="0.2">
      <c r="Y169" s="68" t="s">
        <v>49</v>
      </c>
      <c r="Z169" s="35" t="str">
        <f t="shared" si="71"/>
        <v/>
      </c>
      <c r="AA169" s="13">
        <f t="shared" si="70"/>
        <v>0</v>
      </c>
      <c r="AB169" s="13" t="str">
        <f>IF(AA169&gt;0,Y97&amp;Sprache!$E$73&amp;X97,"")</f>
        <v/>
      </c>
      <c r="AC169" s="2"/>
      <c r="AD169" s="145"/>
    </row>
    <row r="170" spans="25:30" x14ac:dyDescent="0.2">
      <c r="Y170" s="68" t="s">
        <v>50</v>
      </c>
      <c r="Z170" s="35" t="str">
        <f t="shared" si="71"/>
        <v/>
      </c>
      <c r="AA170" s="13">
        <f t="shared" si="70"/>
        <v>0</v>
      </c>
      <c r="AB170" s="13" t="str">
        <f>IF(AA170&gt;0,Y98&amp;Sprache!$E$73&amp;X98,"")</f>
        <v/>
      </c>
      <c r="AC170" s="2"/>
      <c r="AD170" s="145"/>
    </row>
    <row r="171" spans="25:30" x14ac:dyDescent="0.2">
      <c r="Y171" s="68" t="s">
        <v>51</v>
      </c>
      <c r="Z171" s="35" t="str">
        <f t="shared" si="71"/>
        <v/>
      </c>
      <c r="AA171" s="13">
        <f t="shared" si="70"/>
        <v>0</v>
      </c>
      <c r="AB171" s="13" t="str">
        <f>IF(AA171&gt;0,Y99&amp;Sprache!$E$73&amp;X99,"")</f>
        <v/>
      </c>
      <c r="AC171" s="2"/>
      <c r="AD171" s="145"/>
    </row>
    <row r="172" spans="25:30" x14ac:dyDescent="0.2">
      <c r="Y172" s="68" t="s">
        <v>60</v>
      </c>
      <c r="Z172" s="35" t="str">
        <f t="shared" si="71"/>
        <v/>
      </c>
      <c r="AA172" s="13">
        <f t="shared" si="70"/>
        <v>0</v>
      </c>
      <c r="AB172" s="13" t="str">
        <f>IF(AA172&gt;0,Y100&amp;Sprache!$E$73&amp;X100,"")</f>
        <v/>
      </c>
      <c r="AC172" s="2"/>
      <c r="AD172" s="145"/>
    </row>
    <row r="173" spans="25:30" x14ac:dyDescent="0.2">
      <c r="Y173" s="68" t="s">
        <v>61</v>
      </c>
      <c r="Z173" s="35" t="str">
        <f t="shared" si="71"/>
        <v/>
      </c>
      <c r="AA173" s="13">
        <f t="shared" si="70"/>
        <v>0</v>
      </c>
      <c r="AB173" s="13" t="str">
        <f>IF(AA173&gt;0,Y101&amp;Sprache!$E$73&amp;X101,"")</f>
        <v/>
      </c>
      <c r="AC173" s="2"/>
      <c r="AD173" s="145"/>
    </row>
    <row r="174" spans="25:30" x14ac:dyDescent="0.2">
      <c r="Y174" s="68" t="s">
        <v>62</v>
      </c>
      <c r="Z174" s="35" t="str">
        <f t="shared" si="71"/>
        <v/>
      </c>
      <c r="AA174" s="13">
        <f t="shared" si="70"/>
        <v>0</v>
      </c>
      <c r="AB174" s="13" t="str">
        <f>IF(AA174&gt;0,Y102&amp;Sprache!$E$73&amp;X102,"")</f>
        <v/>
      </c>
      <c r="AC174" s="2"/>
      <c r="AD174" s="145"/>
    </row>
    <row r="175" spans="25:30" x14ac:dyDescent="0.2">
      <c r="Y175" s="68" t="s">
        <v>63</v>
      </c>
      <c r="Z175" s="35" t="str">
        <f t="shared" si="71"/>
        <v/>
      </c>
      <c r="AA175" s="13">
        <f t="shared" si="70"/>
        <v>0</v>
      </c>
      <c r="AB175" s="13" t="str">
        <f>IF(AA175&gt;0,Y103&amp;Sprache!$E$73&amp;X103,"")</f>
        <v/>
      </c>
      <c r="AC175" s="2"/>
      <c r="AD175" s="145"/>
    </row>
    <row r="176" spans="25:30" x14ac:dyDescent="0.2">
      <c r="Y176" s="68" t="s">
        <v>64</v>
      </c>
      <c r="Z176" s="35" t="str">
        <f t="shared" si="71"/>
        <v/>
      </c>
      <c r="AA176" s="13">
        <f t="shared" si="70"/>
        <v>0</v>
      </c>
      <c r="AB176" s="13" t="str">
        <f>IF(AA176&gt;0,Y104&amp;Sprache!$E$73&amp;X104,"")</f>
        <v/>
      </c>
      <c r="AC176" s="2"/>
      <c r="AD176" s="145"/>
    </row>
    <row r="177" spans="25:30" x14ac:dyDescent="0.2">
      <c r="Y177" s="68" t="s">
        <v>65</v>
      </c>
      <c r="Z177" s="35" t="str">
        <f t="shared" si="71"/>
        <v/>
      </c>
      <c r="AA177" s="13">
        <f t="shared" si="70"/>
        <v>0</v>
      </c>
      <c r="AB177" s="13" t="str">
        <f>IF(AA177&gt;0,Y105&amp;Sprache!$E$73&amp;X105,"")</f>
        <v/>
      </c>
      <c r="AC177" s="2"/>
      <c r="AD177" s="145"/>
    </row>
    <row r="178" spans="25:30" x14ac:dyDescent="0.2">
      <c r="Y178" s="68" t="s">
        <v>66</v>
      </c>
      <c r="Z178" s="35" t="str">
        <f t="shared" si="71"/>
        <v/>
      </c>
      <c r="AA178" s="13">
        <f t="shared" si="70"/>
        <v>0</v>
      </c>
      <c r="AB178" s="13" t="str">
        <f>IF(AA178&gt;0,Y106&amp;Sprache!$E$73&amp;X106,"")</f>
        <v/>
      </c>
      <c r="AC178" s="2"/>
      <c r="AD178" s="145"/>
    </row>
    <row r="179" spans="25:30" x14ac:dyDescent="0.2">
      <c r="Y179" s="68" t="s">
        <v>67</v>
      </c>
      <c r="Z179" s="35" t="str">
        <f t="shared" si="71"/>
        <v/>
      </c>
      <c r="AA179" s="13">
        <f t="shared" si="70"/>
        <v>0</v>
      </c>
      <c r="AB179" s="13" t="str">
        <f>IF(AA179&gt;0,Y107&amp;Sprache!$E$73&amp;X107,"")</f>
        <v/>
      </c>
      <c r="AC179" s="2"/>
      <c r="AD179" s="145"/>
    </row>
    <row r="180" spans="25:30" x14ac:dyDescent="0.2">
      <c r="Y180" s="68" t="s">
        <v>68</v>
      </c>
      <c r="Z180" s="35" t="str">
        <f t="shared" si="71"/>
        <v/>
      </c>
      <c r="AA180" s="13">
        <f t="shared" si="70"/>
        <v>0</v>
      </c>
      <c r="AB180" s="13" t="str">
        <f>IF(AA180&gt;0,Y108&amp;Sprache!$E$73&amp;X108,"")</f>
        <v/>
      </c>
      <c r="AC180" s="2"/>
      <c r="AD180" s="145"/>
    </row>
    <row r="181" spans="25:30" x14ac:dyDescent="0.2">
      <c r="Y181" s="68" t="s">
        <v>69</v>
      </c>
      <c r="Z181" s="35" t="str">
        <f t="shared" si="71"/>
        <v/>
      </c>
      <c r="AA181" s="13">
        <f t="shared" si="70"/>
        <v>0</v>
      </c>
      <c r="AB181" s="13" t="str">
        <f>IF(AA181&gt;0,Y109&amp;Sprache!$E$73&amp;X109,"")</f>
        <v/>
      </c>
      <c r="AC181" s="2"/>
      <c r="AD181" s="145"/>
    </row>
    <row r="182" spans="25:30" x14ac:dyDescent="0.2">
      <c r="Y182" s="68" t="s">
        <v>70</v>
      </c>
      <c r="Z182" s="35" t="str">
        <f t="shared" si="71"/>
        <v/>
      </c>
      <c r="AA182" s="13">
        <f t="shared" si="70"/>
        <v>0</v>
      </c>
      <c r="AB182" s="13" t="str">
        <f>IF(AA182&gt;0,Y110&amp;Sprache!$E$73&amp;X110,"")</f>
        <v/>
      </c>
      <c r="AC182" s="2"/>
      <c r="AD182" s="145"/>
    </row>
    <row r="183" spans="25:30" x14ac:dyDescent="0.2">
      <c r="Y183" s="68" t="s">
        <v>71</v>
      </c>
      <c r="Z183" s="35" t="str">
        <f t="shared" si="71"/>
        <v/>
      </c>
      <c r="AA183" s="13">
        <f t="shared" si="70"/>
        <v>0</v>
      </c>
      <c r="AB183" s="13" t="str">
        <f>IF(AA183&gt;0,Y111&amp;Sprache!$E$73&amp;X111,"")</f>
        <v/>
      </c>
      <c r="AC183" s="2"/>
      <c r="AD183" s="145"/>
    </row>
    <row r="184" spans="25:30" x14ac:dyDescent="0.2">
      <c r="Y184" s="68" t="s">
        <v>72</v>
      </c>
      <c r="Z184" s="35" t="str">
        <f t="shared" si="71"/>
        <v/>
      </c>
      <c r="AA184" s="13">
        <f t="shared" si="70"/>
        <v>0</v>
      </c>
      <c r="AB184" s="13" t="str">
        <f>IF(AA184&gt;0,Y112&amp;Sprache!$E$73&amp;X112,"")</f>
        <v/>
      </c>
      <c r="AC184" s="2"/>
      <c r="AD184" s="145"/>
    </row>
    <row r="185" spans="25:30" x14ac:dyDescent="0.2">
      <c r="Y185" s="68" t="s">
        <v>73</v>
      </c>
      <c r="Z185" s="35" t="str">
        <f t="shared" si="71"/>
        <v/>
      </c>
      <c r="AA185" s="13">
        <f t="shared" si="70"/>
        <v>0</v>
      </c>
      <c r="AB185" s="13" t="str">
        <f>IF(AA185&gt;0,Y113&amp;Sprache!$E$73&amp;X113,"")</f>
        <v/>
      </c>
      <c r="AC185" s="2"/>
      <c r="AD185" s="145"/>
    </row>
    <row r="186" spans="25:30" x14ac:dyDescent="0.2">
      <c r="Y186" s="68" t="s">
        <v>74</v>
      </c>
      <c r="Z186" s="35" t="str">
        <f t="shared" si="71"/>
        <v/>
      </c>
      <c r="AA186" s="13">
        <f t="shared" si="70"/>
        <v>0</v>
      </c>
      <c r="AB186" s="13" t="str">
        <f>IF(AA186&gt;0,Y114&amp;Sprache!$E$73&amp;X114,"")</f>
        <v/>
      </c>
      <c r="AC186" s="2"/>
      <c r="AD186" s="145"/>
    </row>
    <row r="187" spans="25:30" x14ac:dyDescent="0.2">
      <c r="Y187" s="68" t="s">
        <v>75</v>
      </c>
      <c r="Z187" s="35" t="str">
        <f t="shared" si="71"/>
        <v/>
      </c>
      <c r="AA187" s="13">
        <f t="shared" si="70"/>
        <v>0</v>
      </c>
      <c r="AB187" s="13" t="str">
        <f>IF(AA187&gt;0,Y115&amp;Sprache!$E$73&amp;X115,"")</f>
        <v/>
      </c>
      <c r="AC187" s="2"/>
      <c r="AD187" s="145"/>
    </row>
    <row r="188" spans="25:30" x14ac:dyDescent="0.2">
      <c r="Y188" s="68" t="s">
        <v>76</v>
      </c>
      <c r="Z188" s="35" t="str">
        <f t="shared" si="71"/>
        <v/>
      </c>
      <c r="AA188" s="13">
        <f t="shared" si="70"/>
        <v>0</v>
      </c>
      <c r="AB188" s="13" t="str">
        <f>IF(AA188&gt;0,Y116&amp;Sprache!$E$73&amp;X116,"")</f>
        <v/>
      </c>
      <c r="AC188" s="2"/>
      <c r="AD188" s="145"/>
    </row>
    <row r="189" spans="25:30" x14ac:dyDescent="0.2">
      <c r="Y189" s="68" t="s">
        <v>77</v>
      </c>
      <c r="Z189" s="35" t="str">
        <f t="shared" si="71"/>
        <v/>
      </c>
      <c r="AA189" s="13">
        <f t="shared" si="70"/>
        <v>0</v>
      </c>
      <c r="AB189" s="13" t="str">
        <f>IF(AA189&gt;0,Y117&amp;Sprache!$E$73&amp;X117,"")</f>
        <v/>
      </c>
      <c r="AC189" s="2"/>
      <c r="AD189" s="145"/>
    </row>
    <row r="190" spans="25:30" x14ac:dyDescent="0.2">
      <c r="Y190" s="68" t="s">
        <v>78</v>
      </c>
      <c r="Z190" s="35" t="str">
        <f t="shared" si="71"/>
        <v/>
      </c>
      <c r="AA190" s="13">
        <f t="shared" si="70"/>
        <v>0</v>
      </c>
      <c r="AB190" s="13" t="str">
        <f>IF(AA190&gt;0,Y118&amp;Sprache!$E$73&amp;X118,"")</f>
        <v/>
      </c>
      <c r="AC190" s="2"/>
      <c r="AD190" s="145"/>
    </row>
    <row r="191" spans="25:30" x14ac:dyDescent="0.2">
      <c r="Y191" s="68" t="s">
        <v>79</v>
      </c>
      <c r="Z191" s="35" t="str">
        <f t="shared" si="71"/>
        <v/>
      </c>
      <c r="AA191" s="13">
        <f t="shared" si="70"/>
        <v>0</v>
      </c>
      <c r="AB191" s="13" t="str">
        <f>IF(AA191&gt;0,Y119&amp;Sprache!$E$73&amp;X119,"")</f>
        <v/>
      </c>
      <c r="AC191" s="2"/>
      <c r="AD191" s="145"/>
    </row>
    <row r="192" spans="25:30" x14ac:dyDescent="0.2">
      <c r="Y192" s="68" t="s">
        <v>80</v>
      </c>
      <c r="Z192" s="35" t="str">
        <f t="shared" si="71"/>
        <v/>
      </c>
      <c r="AA192" s="13">
        <f t="shared" si="70"/>
        <v>0</v>
      </c>
      <c r="AB192" s="13" t="str">
        <f>IF(AA192&gt;0,Y120&amp;Sprache!$E$73&amp;X120,"")</f>
        <v/>
      </c>
      <c r="AC192" s="2"/>
      <c r="AD192" s="145"/>
    </row>
    <row r="193" spans="25:30" x14ac:dyDescent="0.2">
      <c r="Y193" s="68" t="s">
        <v>81</v>
      </c>
      <c r="Z193" s="35" t="str">
        <f t="shared" si="71"/>
        <v/>
      </c>
      <c r="AA193" s="13">
        <f t="shared" si="70"/>
        <v>0</v>
      </c>
      <c r="AB193" s="13" t="str">
        <f>IF(AA193&gt;0,Y121&amp;Sprache!$E$73&amp;X121,"")</f>
        <v/>
      </c>
      <c r="AC193" s="2"/>
      <c r="AD193" s="145"/>
    </row>
    <row r="194" spans="25:30" x14ac:dyDescent="0.2">
      <c r="Y194" s="68" t="s">
        <v>82</v>
      </c>
      <c r="Z194" s="35" t="str">
        <f t="shared" si="71"/>
        <v/>
      </c>
      <c r="AA194" s="13">
        <f t="shared" si="70"/>
        <v>0</v>
      </c>
      <c r="AB194" s="13" t="str">
        <f>IF(AA194&gt;0,Y122&amp;Sprache!$E$73&amp;X122,"")</f>
        <v/>
      </c>
      <c r="AC194" s="2"/>
      <c r="AD194" s="145"/>
    </row>
    <row r="195" spans="25:30" x14ac:dyDescent="0.2">
      <c r="Y195" s="68" t="s">
        <v>83</v>
      </c>
      <c r="Z195" s="35" t="str">
        <f t="shared" si="71"/>
        <v/>
      </c>
      <c r="AA195" s="13">
        <f t="shared" si="70"/>
        <v>0</v>
      </c>
      <c r="AB195" s="13" t="str">
        <f>IF(AA195&gt;0,Y123&amp;Sprache!$E$73&amp;X123,"")</f>
        <v/>
      </c>
      <c r="AC195" s="2"/>
      <c r="AD195" s="145"/>
    </row>
    <row r="196" spans="25:30" x14ac:dyDescent="0.2">
      <c r="Y196" s="68" t="s">
        <v>84</v>
      </c>
      <c r="Z196" s="35" t="str">
        <f t="shared" si="71"/>
        <v/>
      </c>
      <c r="AA196" s="13">
        <f t="shared" si="70"/>
        <v>0</v>
      </c>
      <c r="AB196" s="13" t="str">
        <f>IF(AA196&gt;0,Y124&amp;Sprache!$E$73&amp;X124,"")</f>
        <v/>
      </c>
      <c r="AC196" s="2"/>
      <c r="AD196" s="145"/>
    </row>
    <row r="197" spans="25:30" x14ac:dyDescent="0.2">
      <c r="Y197" s="68" t="s">
        <v>85</v>
      </c>
      <c r="Z197" s="35" t="str">
        <f t="shared" si="71"/>
        <v/>
      </c>
      <c r="AA197" s="13">
        <f t="shared" si="70"/>
        <v>0</v>
      </c>
      <c r="AB197" s="13" t="str">
        <f>IF(AA197&gt;0,Y125&amp;Sprache!$E$73&amp;X125,"")</f>
        <v/>
      </c>
      <c r="AC197" s="2"/>
      <c r="AD197" s="145"/>
    </row>
    <row r="198" spans="25:30" x14ac:dyDescent="0.2">
      <c r="Y198" s="68" t="s">
        <v>86</v>
      </c>
      <c r="Z198" s="35" t="str">
        <f t="shared" si="71"/>
        <v/>
      </c>
      <c r="AA198" s="13">
        <f t="shared" si="70"/>
        <v>0</v>
      </c>
      <c r="AB198" s="13" t="str">
        <f>IF(AA198&gt;0,Y126&amp;Sprache!$E$73&amp;X126,"")</f>
        <v/>
      </c>
      <c r="AC198" s="2"/>
      <c r="AD198" s="145"/>
    </row>
    <row r="199" spans="25:30" x14ac:dyDescent="0.2">
      <c r="Y199" s="68" t="s">
        <v>87</v>
      </c>
      <c r="Z199" s="35" t="str">
        <f t="shared" si="71"/>
        <v/>
      </c>
      <c r="AA199" s="13">
        <f t="shared" si="70"/>
        <v>0</v>
      </c>
      <c r="AB199" s="13" t="str">
        <f>IF(AA199&gt;0,Y127&amp;Sprache!$E$73&amp;X127,"")</f>
        <v/>
      </c>
      <c r="AC199" s="2"/>
      <c r="AD199" s="145"/>
    </row>
    <row r="200" spans="25:30" x14ac:dyDescent="0.2">
      <c r="Y200" s="68" t="s">
        <v>88</v>
      </c>
      <c r="Z200" s="35" t="str">
        <f t="shared" si="71"/>
        <v/>
      </c>
      <c r="AA200" s="13">
        <f t="shared" si="70"/>
        <v>0</v>
      </c>
      <c r="AB200" s="13" t="str">
        <f>IF(AA200&gt;0,Y128&amp;Sprache!$E$73&amp;X128,"")</f>
        <v/>
      </c>
      <c r="AC200" s="2"/>
      <c r="AD200" s="145"/>
    </row>
    <row r="201" spans="25:30" x14ac:dyDescent="0.2">
      <c r="Y201" s="68" t="s">
        <v>89</v>
      </c>
      <c r="Z201" s="35" t="str">
        <f t="shared" si="71"/>
        <v/>
      </c>
      <c r="AA201" s="13">
        <f t="shared" ref="AA201:AA207" si="72">AA129</f>
        <v>0</v>
      </c>
      <c r="AB201" s="13" t="str">
        <f>IF(AA201&gt;0,Y129&amp;Sprache!$E$73&amp;X129,"")</f>
        <v/>
      </c>
      <c r="AC201" s="2"/>
      <c r="AD201" s="145"/>
    </row>
    <row r="202" spans="25:30" x14ac:dyDescent="0.2">
      <c r="Y202" s="68" t="s">
        <v>90</v>
      </c>
      <c r="Z202" s="35" t="str">
        <f t="shared" ref="Z202:Z206" si="73">W130&amp;V130</f>
        <v/>
      </c>
      <c r="AA202" s="13">
        <f t="shared" si="72"/>
        <v>0</v>
      </c>
      <c r="AB202" s="13" t="str">
        <f>IF(AA202&gt;0,Y130&amp;Sprache!$E$73&amp;X130,"")</f>
        <v/>
      </c>
      <c r="AC202" s="2"/>
      <c r="AD202" s="145"/>
    </row>
    <row r="203" spans="25:30" x14ac:dyDescent="0.2">
      <c r="Y203" s="68" t="s">
        <v>91</v>
      </c>
      <c r="Z203" s="35" t="str">
        <f t="shared" si="73"/>
        <v/>
      </c>
      <c r="AA203" s="13">
        <f t="shared" si="72"/>
        <v>0</v>
      </c>
      <c r="AB203" s="13" t="str">
        <f>IF(AA203&gt;0,Y131&amp;Sprache!$E$73&amp;X131,"")</f>
        <v/>
      </c>
      <c r="AC203" s="2"/>
      <c r="AD203" s="145"/>
    </row>
    <row r="204" spans="25:30" x14ac:dyDescent="0.2">
      <c r="Y204" s="68" t="s">
        <v>92</v>
      </c>
      <c r="Z204" s="35" t="str">
        <f t="shared" si="73"/>
        <v/>
      </c>
      <c r="AA204" s="13">
        <f t="shared" si="72"/>
        <v>0</v>
      </c>
      <c r="AB204" s="13" t="str">
        <f>IF(AA204&gt;0,Y132&amp;Sprache!$E$73&amp;X132,"")</f>
        <v/>
      </c>
      <c r="AC204" s="2"/>
      <c r="AD204" s="145"/>
    </row>
    <row r="205" spans="25:30" x14ac:dyDescent="0.2">
      <c r="Y205" s="68" t="s">
        <v>93</v>
      </c>
      <c r="Z205" s="35" t="str">
        <f t="shared" si="73"/>
        <v/>
      </c>
      <c r="AA205" s="13">
        <f t="shared" si="72"/>
        <v>0</v>
      </c>
      <c r="AB205" s="13" t="str">
        <f>IF(AA205&gt;0,Y133&amp;Sprache!$E$73&amp;X133,"")</f>
        <v/>
      </c>
      <c r="AC205" s="2"/>
      <c r="AD205" s="145"/>
    </row>
    <row r="206" spans="25:30" x14ac:dyDescent="0.2">
      <c r="Y206" s="68" t="s">
        <v>94</v>
      </c>
      <c r="Z206" s="35" t="str">
        <f t="shared" si="73"/>
        <v/>
      </c>
      <c r="AA206" s="13">
        <f t="shared" si="72"/>
        <v>0</v>
      </c>
      <c r="AB206" s="13" t="str">
        <f>IF(AA206&gt;0,Y134&amp;Sprache!$E$73&amp;X134,"")</f>
        <v/>
      </c>
      <c r="AC206" s="2"/>
      <c r="AD206" s="145"/>
    </row>
    <row r="207" spans="25:30" ht="12.75" thickBot="1" x14ac:dyDescent="0.25">
      <c r="Y207" s="69" t="s">
        <v>95</v>
      </c>
      <c r="Z207" s="37" t="str">
        <f>W135&amp;V135</f>
        <v/>
      </c>
      <c r="AA207" s="38">
        <f t="shared" si="72"/>
        <v>0</v>
      </c>
      <c r="AB207" s="146" t="str">
        <f>IF(AA207&gt;0,Y135&amp;Sprache!$E$73&amp;X135,"")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65">
        <f ca="1">IF($O$4&lt;10,$O$4,0)</f>
        <v>0</v>
      </c>
      <c r="X3" s="766"/>
      <c r="Y3" s="766"/>
      <c r="Z3" s="766"/>
      <c r="AA3" s="766"/>
      <c r="AB3" s="765">
        <f ca="1">IF($P$4&lt;10,$P$4,0)</f>
        <v>0</v>
      </c>
      <c r="AC3" s="766"/>
      <c r="AD3" s="766"/>
      <c r="AE3" s="766"/>
      <c r="AF3" s="766"/>
      <c r="AG3" s="765">
        <f ca="1">IF($Q$4&lt;10,$Q$4,0)</f>
        <v>0</v>
      </c>
      <c r="AH3" s="766"/>
      <c r="AI3" s="766"/>
      <c r="AJ3" s="766"/>
      <c r="AK3" s="766"/>
      <c r="AL3" s="765">
        <f ca="1">IF($R$4&lt;10,$R$4,0)</f>
        <v>0</v>
      </c>
      <c r="AM3" s="766"/>
      <c r="AN3" s="766"/>
      <c r="AO3" s="766"/>
      <c r="AP3" s="766"/>
    </row>
    <row r="4" spans="1:42" s="2" customFormat="1" ht="12.75" thickTop="1" x14ac:dyDescent="0.2">
      <c r="A4" s="239"/>
      <c r="B4" s="1">
        <v>1</v>
      </c>
      <c r="C4" s="21">
        <f ca="1">RANK(D4,$D$4:$D$12,1)</f>
        <v>1</v>
      </c>
      <c r="D4" s="13">
        <f ca="1">E4+ROW()/1000+(F4="")*10</f>
        <v>1.004</v>
      </c>
      <c r="E4" s="250">
        <f ca="1">IF($AI$15,RANK(AH17,AH$17:AH$25,1),RANK(X17,X$17:X$25,1))</f>
        <v>1</v>
      </c>
      <c r="F4" s="1" t="str">
        <f ca="1">$Q64</f>
        <v>Knock Out Rangers</v>
      </c>
      <c r="G4" s="1">
        <f t="shared" ref="G4:G12" ca="1" si="1">SUMIFS($X$64:$X$135,$V$64:$V$135,$F4)+SUMIFS($Y$64:$Y$135,$W$64:$W$135,$F4)</f>
        <v>14</v>
      </c>
      <c r="H4" s="1">
        <f t="shared" ref="H4:H12" ca="1" si="2">SUMIFS($Y$64:$Y$135,$V$64:$V$135,$F4)+SUMIFS($X$64:$X$135,$W$64:$W$135,$F4)</f>
        <v>17</v>
      </c>
      <c r="I4" s="13">
        <f t="shared" ref="I4:I12" ca="1" si="3">G4-H4</f>
        <v>-3</v>
      </c>
      <c r="J4" s="1">
        <f ca="1">SUMIF($V$64:$V$135,F4,$AE$64:$AE$135)+SUMIF($W$64:$W$135,F4,$AF$64:$AF$135)</f>
        <v>6</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1.0504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1.0504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1.0504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1.0504</v>
      </c>
      <c r="AP4" s="544">
        <f ca="1">RANK($AO4,$AO$4:$AO$12,1)</f>
        <v>1</v>
      </c>
    </row>
    <row r="5" spans="1:42" s="2" customFormat="1" x14ac:dyDescent="0.2">
      <c r="A5" s="239"/>
      <c r="B5" s="1">
        <v>2</v>
      </c>
      <c r="C5" s="22">
        <f t="shared" ref="C5:C12" ca="1" si="11">RANK(D5,$D$4:$D$12,1)</f>
        <v>2</v>
      </c>
      <c r="D5" s="13">
        <f t="shared" ref="D5:D12" ca="1" si="12">E5+ROW()/1000+(F5="")*10</f>
        <v>2.0049999999999999</v>
      </c>
      <c r="E5" s="250">
        <f t="shared" ref="E5:E12" ca="1" si="13">IF($AI$15,RANK(AH18,AH$17:AH$25,1),RANK(X18,X$17:X$25,1))</f>
        <v>2</v>
      </c>
      <c r="F5" s="1" t="str">
        <f t="shared" ref="F5:F12" ca="1" si="14">$Q65</f>
        <v>Borussia Heine</v>
      </c>
      <c r="G5" s="1">
        <f t="shared" ca="1" si="1"/>
        <v>19</v>
      </c>
      <c r="H5" s="1">
        <f t="shared" ca="1" si="2"/>
        <v>14</v>
      </c>
      <c r="I5" s="13">
        <f t="shared" ca="1" si="3"/>
        <v>5</v>
      </c>
      <c r="J5" s="1">
        <f t="shared" ref="J5:J12" ca="1" si="15">SUMIF($V$64:$V$135,F5,$AE$64:$AE$135)+SUMIF($W$64:$W$135,F5,$AF$64:$AF$135)</f>
        <v>4</v>
      </c>
      <c r="K5" s="1">
        <f t="shared" ca="1" si="4"/>
        <v>3</v>
      </c>
      <c r="L5" s="1">
        <f t="shared" ca="1" si="5"/>
        <v>1</v>
      </c>
      <c r="M5" s="1">
        <f t="shared" ca="1" si="6"/>
        <v>1</v>
      </c>
      <c r="N5" s="1">
        <f t="shared" ca="1" si="7"/>
        <v>1</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1.0505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1.0505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1.0505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1.0505</v>
      </c>
      <c r="AP5" s="544">
        <f t="shared" ref="AP5:AP12" ca="1" si="28">RANK($AO5,$AO$4:$AO$12,1)</f>
        <v>2</v>
      </c>
    </row>
    <row r="6" spans="1:42" s="2" customFormat="1" x14ac:dyDescent="0.2">
      <c r="A6" s="239"/>
      <c r="B6" s="1">
        <v>3</v>
      </c>
      <c r="C6" s="22">
        <f t="shared" ca="1" si="11"/>
        <v>4</v>
      </c>
      <c r="D6" s="13">
        <f t="shared" ca="1" si="12"/>
        <v>4.0060000000000002</v>
      </c>
      <c r="E6" s="250">
        <f t="shared" ca="1" si="13"/>
        <v>4</v>
      </c>
      <c r="F6" s="1" t="str">
        <f t="shared" ca="1" si="14"/>
        <v>Maibach 1822 eV</v>
      </c>
      <c r="G6" s="1">
        <f t="shared" ca="1" si="1"/>
        <v>8</v>
      </c>
      <c r="H6" s="1">
        <f t="shared" ca="1" si="2"/>
        <v>15</v>
      </c>
      <c r="I6" s="13">
        <f t="shared" ca="1" si="3"/>
        <v>-7</v>
      </c>
      <c r="J6" s="1">
        <f t="shared" ca="1" si="15"/>
        <v>3</v>
      </c>
      <c r="K6" s="1">
        <f t="shared" ca="1" si="4"/>
        <v>3</v>
      </c>
      <c r="L6" s="1">
        <f t="shared" ca="1" si="5"/>
        <v>1</v>
      </c>
      <c r="M6" s="1">
        <f t="shared" ca="1" si="6"/>
        <v>0</v>
      </c>
      <c r="N6" s="1">
        <f t="shared" ca="1" si="7"/>
        <v>2</v>
      </c>
      <c r="O6" s="24"/>
      <c r="P6" s="25"/>
      <c r="V6" s="1"/>
      <c r="W6" s="541" t="str">
        <f t="shared" ca="1" si="16"/>
        <v/>
      </c>
      <c r="X6" s="542" t="str">
        <f t="shared" ca="1" si="17"/>
        <v/>
      </c>
      <c r="Y6" s="539">
        <f t="shared" ca="1" si="18"/>
        <v>99999</v>
      </c>
      <c r="Z6" s="539">
        <f ca="1">RANK(Y6,Y$4:Y$12,1)+INDEX($E$4:$E$12,MATCH(W6,$F$4:$F$12,0))/100+ROW()/10000</f>
        <v>1.0506</v>
      </c>
      <c r="AA6" s="544">
        <f t="shared" ca="1" si="19"/>
        <v>3</v>
      </c>
      <c r="AB6" s="541" t="str">
        <f t="shared" ca="1" si="8"/>
        <v/>
      </c>
      <c r="AC6" s="542" t="str">
        <f t="shared" ca="1" si="20"/>
        <v/>
      </c>
      <c r="AD6" s="543">
        <f t="shared" ca="1" si="21"/>
        <v>99999</v>
      </c>
      <c r="AE6" s="539">
        <f ca="1">RANK(AD6,AD$4:AD$12,1)+INDEX($E$4:$E$12,MATCH(AB6,$F$4:$F$12,0))/100+ROW()/10000</f>
        <v>1.0506</v>
      </c>
      <c r="AF6" s="539">
        <f t="shared" ca="1" si="22"/>
        <v>3</v>
      </c>
      <c r="AG6" s="541" t="str">
        <f t="shared" ca="1" si="9"/>
        <v/>
      </c>
      <c r="AH6" s="542" t="str">
        <f t="shared" ca="1" si="23"/>
        <v/>
      </c>
      <c r="AI6" s="543">
        <f t="shared" ca="1" si="24"/>
        <v>99999</v>
      </c>
      <c r="AJ6" s="539">
        <f ca="1">RANK(AI6,AI$4:AI$12,1)+INDEX($E$4:$E$12,MATCH(AG6,$F$4:$F$12,0))/100+ROW()/10000</f>
        <v>1.0506</v>
      </c>
      <c r="AK6" s="544">
        <f t="shared" ca="1" si="25"/>
        <v>3</v>
      </c>
      <c r="AL6" s="542" t="str">
        <f t="shared" ca="1" si="10"/>
        <v/>
      </c>
      <c r="AM6" s="542" t="str">
        <f t="shared" ca="1" si="26"/>
        <v/>
      </c>
      <c r="AN6" s="543">
        <f t="shared" ca="1" si="27"/>
        <v>99999</v>
      </c>
      <c r="AO6" s="539">
        <f ca="1">RANK(AN6,AN$4:AN$12,1)+INDEX($E$4:$E$12,MATCH(AL6,$F$4:$F$12,0))/100+ROW()/10000</f>
        <v>1.0506</v>
      </c>
      <c r="AP6" s="544">
        <f t="shared" ca="1" si="28"/>
        <v>3</v>
      </c>
    </row>
    <row r="7" spans="1:42" s="2" customFormat="1" x14ac:dyDescent="0.2">
      <c r="A7" s="239"/>
      <c r="B7" s="1">
        <v>4</v>
      </c>
      <c r="C7" s="22">
        <f t="shared" ca="1" si="11"/>
        <v>3</v>
      </c>
      <c r="D7" s="13">
        <f t="shared" ca="1" si="12"/>
        <v>3.0070000000000001</v>
      </c>
      <c r="E7" s="250">
        <f t="shared" ca="1" si="13"/>
        <v>3</v>
      </c>
      <c r="F7" s="1" t="str">
        <f t="shared" ca="1" si="14"/>
        <v>FC Grönlingen</v>
      </c>
      <c r="G7" s="1">
        <f t="shared" ca="1" si="1"/>
        <v>15</v>
      </c>
      <c r="H7" s="1">
        <f t="shared" ca="1" si="2"/>
        <v>10</v>
      </c>
      <c r="I7" s="13">
        <f t="shared" ca="1" si="3"/>
        <v>5</v>
      </c>
      <c r="J7" s="1">
        <f t="shared" ca="1" si="15"/>
        <v>4</v>
      </c>
      <c r="K7" s="1">
        <f t="shared" ca="1" si="4"/>
        <v>3</v>
      </c>
      <c r="L7" s="1">
        <f t="shared" ca="1" si="5"/>
        <v>1</v>
      </c>
      <c r="M7" s="1">
        <f t="shared" ca="1" si="6"/>
        <v>1</v>
      </c>
      <c r="N7" s="1">
        <f t="shared" ca="1" si="7"/>
        <v>1</v>
      </c>
      <c r="O7" s="24"/>
      <c r="P7" s="25"/>
      <c r="V7" s="1"/>
      <c r="W7" s="541" t="str">
        <f t="shared" ca="1" si="16"/>
        <v/>
      </c>
      <c r="X7" s="542" t="str">
        <f t="shared" ca="1" si="17"/>
        <v/>
      </c>
      <c r="Y7" s="539">
        <f t="shared" ca="1" si="18"/>
        <v>99999</v>
      </c>
      <c r="Z7" s="539">
        <f ca="1">RANK(Y7,Y$4:Y$12,1)+INDEX($E$4:$E$12,MATCH(W7,$F$4:$F$12,0))/100+ROW()/10000</f>
        <v>1.0507</v>
      </c>
      <c r="AA7" s="544">
        <f t="shared" ca="1" si="19"/>
        <v>4</v>
      </c>
      <c r="AB7" s="541" t="str">
        <f t="shared" ca="1" si="8"/>
        <v/>
      </c>
      <c r="AC7" s="542" t="str">
        <f t="shared" ca="1" si="20"/>
        <v/>
      </c>
      <c r="AD7" s="543">
        <f t="shared" ca="1" si="21"/>
        <v>99999</v>
      </c>
      <c r="AE7" s="539">
        <f ca="1">RANK(AD7,AD$4:AD$12,1)+INDEX($E$4:$E$12,MATCH(AB7,$F$4:$F$12,0))/100+ROW()/10000</f>
        <v>1.0507</v>
      </c>
      <c r="AF7" s="539">
        <f t="shared" ca="1" si="22"/>
        <v>4</v>
      </c>
      <c r="AG7" s="541" t="str">
        <f t="shared" ca="1" si="9"/>
        <v/>
      </c>
      <c r="AH7" s="542" t="str">
        <f t="shared" ca="1" si="23"/>
        <v/>
      </c>
      <c r="AI7" s="543">
        <f t="shared" ca="1" si="24"/>
        <v>99999</v>
      </c>
      <c r="AJ7" s="539">
        <f ca="1">RANK(AI7,AI$4:AI$12,1)+INDEX($E$4:$E$12,MATCH(AG7,$F$4:$F$12,0))/100+ROW()/10000</f>
        <v>1.0507</v>
      </c>
      <c r="AK7" s="544">
        <f t="shared" ca="1" si="25"/>
        <v>4</v>
      </c>
      <c r="AL7" s="542" t="str">
        <f t="shared" ca="1" si="10"/>
        <v/>
      </c>
      <c r="AM7" s="542" t="str">
        <f t="shared" ca="1" si="26"/>
        <v/>
      </c>
      <c r="AN7" s="543">
        <f t="shared" ca="1" si="27"/>
        <v>99999</v>
      </c>
      <c r="AO7" s="539">
        <f ca="1">RANK(AN7,AN$4:AN$12,1)+INDEX($E$4:$E$12,MATCH(AL7,$F$4:$F$12,0))/100+ROW()/10000</f>
        <v>1.0507</v>
      </c>
      <c r="AP7" s="544">
        <f t="shared" ca="1" si="28"/>
        <v>4</v>
      </c>
    </row>
    <row r="8" spans="1:42" s="2" customFormat="1" x14ac:dyDescent="0.2">
      <c r="A8" s="239"/>
      <c r="B8" s="1">
        <v>5</v>
      </c>
      <c r="C8" s="22">
        <f t="shared" ca="1" si="11"/>
        <v>5</v>
      </c>
      <c r="D8" s="13">
        <f t="shared" ca="1" si="12"/>
        <v>15.007999999999999</v>
      </c>
      <c r="E8" s="250">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1.0508</v>
      </c>
      <c r="AA8" s="544">
        <f t="shared" ca="1" si="19"/>
        <v>5</v>
      </c>
      <c r="AB8" s="541" t="str">
        <f t="shared" ca="1" si="8"/>
        <v/>
      </c>
      <c r="AC8" s="542" t="str">
        <f t="shared" ca="1" si="20"/>
        <v/>
      </c>
      <c r="AD8" s="543">
        <f t="shared" ca="1" si="21"/>
        <v>99999</v>
      </c>
      <c r="AE8" s="539">
        <f t="shared" ref="AE8:AE12" ca="1" si="30">RANK(AD8,AD$4:AD$12,1)+INDEX($E$4:$E$12,MATCH(AB8,$F$4:$F$12,0))/100+ROW()/10000</f>
        <v>1.0508</v>
      </c>
      <c r="AF8" s="539">
        <f t="shared" ca="1" si="22"/>
        <v>5</v>
      </c>
      <c r="AG8" s="541" t="str">
        <f t="shared" ca="1" si="9"/>
        <v/>
      </c>
      <c r="AH8" s="542" t="str">
        <f t="shared" ca="1" si="23"/>
        <v/>
      </c>
      <c r="AI8" s="543">
        <f t="shared" ca="1" si="24"/>
        <v>99999</v>
      </c>
      <c r="AJ8" s="539">
        <f t="shared" ref="AJ8:AJ12" ca="1" si="31">RANK(AI8,AI$4:AI$12,1)+INDEX($E$4:$E$12,MATCH(AG8,$F$4:$F$12,0))/100+ROW()/10000</f>
        <v>1.0508</v>
      </c>
      <c r="AK8" s="544">
        <f t="shared" ca="1" si="25"/>
        <v>5</v>
      </c>
      <c r="AL8" s="542" t="str">
        <f t="shared" ca="1" si="10"/>
        <v/>
      </c>
      <c r="AM8" s="542" t="str">
        <f t="shared" ca="1" si="26"/>
        <v/>
      </c>
      <c r="AN8" s="543">
        <f t="shared" ca="1" si="27"/>
        <v>99999</v>
      </c>
      <c r="AO8" s="539">
        <f t="shared" ref="AO8:AO12" ca="1" si="32">RANK(AN8,AN$4:AN$12,1)+INDEX($E$4:$E$12,MATCH(AL8,$F$4:$F$12,0))/100+ROW()/10000</f>
        <v>1.0508</v>
      </c>
      <c r="AP8" s="544">
        <f t="shared" ca="1" si="28"/>
        <v>5</v>
      </c>
    </row>
    <row r="9" spans="1:42" s="2" customFormat="1" x14ac:dyDescent="0.2">
      <c r="A9" s="239"/>
      <c r="B9" s="1">
        <v>6</v>
      </c>
      <c r="C9" s="22">
        <f t="shared" ca="1" si="11"/>
        <v>6</v>
      </c>
      <c r="D9" s="13">
        <f t="shared" ca="1" si="12"/>
        <v>15.009</v>
      </c>
      <c r="E9" s="250">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1.0508999999999999</v>
      </c>
      <c r="AA9" s="544">
        <f t="shared" ca="1" si="19"/>
        <v>6</v>
      </c>
      <c r="AB9" s="541" t="str">
        <f t="shared" ca="1" si="8"/>
        <v/>
      </c>
      <c r="AC9" s="542" t="str">
        <f t="shared" ca="1" si="20"/>
        <v/>
      </c>
      <c r="AD9" s="543">
        <f t="shared" ca="1" si="21"/>
        <v>99999</v>
      </c>
      <c r="AE9" s="539">
        <f t="shared" ca="1" si="30"/>
        <v>1.0508999999999999</v>
      </c>
      <c r="AF9" s="539">
        <f t="shared" ca="1" si="22"/>
        <v>6</v>
      </c>
      <c r="AG9" s="541" t="str">
        <f t="shared" ca="1" si="9"/>
        <v/>
      </c>
      <c r="AH9" s="542" t="str">
        <f t="shared" ca="1" si="23"/>
        <v/>
      </c>
      <c r="AI9" s="543">
        <f t="shared" ca="1" si="24"/>
        <v>99999</v>
      </c>
      <c r="AJ9" s="539">
        <f t="shared" ca="1" si="31"/>
        <v>1.0508999999999999</v>
      </c>
      <c r="AK9" s="544">
        <f t="shared" ca="1" si="25"/>
        <v>6</v>
      </c>
      <c r="AL9" s="542" t="str">
        <f t="shared" ca="1" si="10"/>
        <v/>
      </c>
      <c r="AM9" s="542" t="str">
        <f t="shared" ca="1" si="26"/>
        <v/>
      </c>
      <c r="AN9" s="543">
        <f t="shared" ca="1" si="27"/>
        <v>99999</v>
      </c>
      <c r="AO9" s="539">
        <f t="shared" ca="1" si="32"/>
        <v>1.0508999999999999</v>
      </c>
      <c r="AP9" s="544">
        <f t="shared" ca="1" si="28"/>
        <v>6</v>
      </c>
    </row>
    <row r="10" spans="1:42" s="2" customFormat="1" x14ac:dyDescent="0.2">
      <c r="A10" s="239"/>
      <c r="B10" s="1">
        <v>7</v>
      </c>
      <c r="C10" s="22">
        <f t="shared" ca="1" si="11"/>
        <v>7</v>
      </c>
      <c r="D10" s="13">
        <f t="shared" ca="1" si="12"/>
        <v>15.01</v>
      </c>
      <c r="E10" s="250">
        <f t="shared" ca="1" si="13"/>
        <v>5</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1.0509999999999999</v>
      </c>
      <c r="AA10" s="544">
        <f t="shared" ca="1" si="19"/>
        <v>7</v>
      </c>
      <c r="AB10" s="541" t="str">
        <f t="shared" ca="1" si="8"/>
        <v/>
      </c>
      <c r="AC10" s="542" t="str">
        <f t="shared" ca="1" si="20"/>
        <v/>
      </c>
      <c r="AD10" s="543">
        <f t="shared" ca="1" si="21"/>
        <v>99999</v>
      </c>
      <c r="AE10" s="539">
        <f t="shared" ca="1" si="30"/>
        <v>1.0509999999999999</v>
      </c>
      <c r="AF10" s="539">
        <f t="shared" ca="1" si="22"/>
        <v>7</v>
      </c>
      <c r="AG10" s="541" t="str">
        <f t="shared" ca="1" si="9"/>
        <v/>
      </c>
      <c r="AH10" s="542" t="str">
        <f t="shared" ca="1" si="23"/>
        <v/>
      </c>
      <c r="AI10" s="543">
        <f t="shared" ca="1" si="24"/>
        <v>99999</v>
      </c>
      <c r="AJ10" s="539">
        <f t="shared" ca="1" si="31"/>
        <v>1.0509999999999999</v>
      </c>
      <c r="AK10" s="544">
        <f t="shared" ca="1" si="25"/>
        <v>7</v>
      </c>
      <c r="AL10" s="542" t="str">
        <f t="shared" ca="1" si="10"/>
        <v/>
      </c>
      <c r="AM10" s="542" t="str">
        <f t="shared" ca="1" si="26"/>
        <v/>
      </c>
      <c r="AN10" s="543">
        <f t="shared" ca="1" si="27"/>
        <v>99999</v>
      </c>
      <c r="AO10" s="539">
        <f t="shared" ca="1" si="32"/>
        <v>1.0509999999999999</v>
      </c>
      <c r="AP10" s="544">
        <f t="shared" ca="1" si="28"/>
        <v>7</v>
      </c>
    </row>
    <row r="11" spans="1:42" s="2" customFormat="1" x14ac:dyDescent="0.2">
      <c r="A11" s="239"/>
      <c r="B11" s="1">
        <v>8</v>
      </c>
      <c r="C11" s="22">
        <f t="shared" ca="1" si="11"/>
        <v>8</v>
      </c>
      <c r="D11" s="13">
        <f t="shared" ca="1" si="12"/>
        <v>15.010999999999999</v>
      </c>
      <c r="E11" s="250">
        <f t="shared" ca="1" si="13"/>
        <v>5</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1.0511000000000001</v>
      </c>
      <c r="AA11" s="544">
        <f t="shared" ca="1" si="19"/>
        <v>8</v>
      </c>
      <c r="AB11" s="541" t="str">
        <f t="shared" ca="1" si="8"/>
        <v/>
      </c>
      <c r="AC11" s="542" t="str">
        <f t="shared" ca="1" si="20"/>
        <v/>
      </c>
      <c r="AD11" s="543">
        <f t="shared" ca="1" si="21"/>
        <v>99999</v>
      </c>
      <c r="AE11" s="539">
        <f t="shared" ca="1" si="30"/>
        <v>1.0511000000000001</v>
      </c>
      <c r="AF11" s="539">
        <f t="shared" ca="1" si="22"/>
        <v>8</v>
      </c>
      <c r="AG11" s="541" t="str">
        <f t="shared" ca="1" si="9"/>
        <v/>
      </c>
      <c r="AH11" s="542" t="str">
        <f t="shared" ca="1" si="23"/>
        <v/>
      </c>
      <c r="AI11" s="543">
        <f t="shared" ca="1" si="24"/>
        <v>99999</v>
      </c>
      <c r="AJ11" s="539">
        <f t="shared" ca="1" si="31"/>
        <v>1.0511000000000001</v>
      </c>
      <c r="AK11" s="544">
        <f t="shared" ca="1" si="25"/>
        <v>8</v>
      </c>
      <c r="AL11" s="542" t="str">
        <f t="shared" ca="1" si="10"/>
        <v/>
      </c>
      <c r="AM11" s="542" t="str">
        <f t="shared" ca="1" si="26"/>
        <v/>
      </c>
      <c r="AN11" s="543">
        <f t="shared" ca="1" si="27"/>
        <v>99999</v>
      </c>
      <c r="AO11" s="539">
        <f t="shared" ca="1" si="32"/>
        <v>1.0511000000000001</v>
      </c>
      <c r="AP11" s="544">
        <f t="shared" ca="1" si="28"/>
        <v>8</v>
      </c>
    </row>
    <row r="12" spans="1:42" s="2" customFormat="1" ht="12.75" thickBot="1" x14ac:dyDescent="0.25">
      <c r="A12" s="239"/>
      <c r="B12" s="1">
        <v>9</v>
      </c>
      <c r="C12" s="23">
        <f t="shared" ca="1" si="11"/>
        <v>9</v>
      </c>
      <c r="D12" s="13">
        <f t="shared" ca="1" si="12"/>
        <v>15.012</v>
      </c>
      <c r="E12" s="250">
        <f t="shared" ca="1" si="13"/>
        <v>5</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1.0512000000000001</v>
      </c>
      <c r="AA12" s="548">
        <f t="shared" ca="1" si="19"/>
        <v>9</v>
      </c>
      <c r="AB12" s="545" t="str">
        <f t="shared" ca="1" si="8"/>
        <v/>
      </c>
      <c r="AC12" s="546" t="str">
        <f t="shared" ca="1" si="20"/>
        <v/>
      </c>
      <c r="AD12" s="549">
        <f t="shared" ca="1" si="21"/>
        <v>99999</v>
      </c>
      <c r="AE12" s="547">
        <f t="shared" ca="1" si="30"/>
        <v>1.0512000000000001</v>
      </c>
      <c r="AF12" s="547">
        <f t="shared" ca="1" si="22"/>
        <v>9</v>
      </c>
      <c r="AG12" s="545" t="str">
        <f t="shared" ca="1" si="9"/>
        <v/>
      </c>
      <c r="AH12" s="546" t="str">
        <f t="shared" ca="1" si="23"/>
        <v/>
      </c>
      <c r="AI12" s="549">
        <f t="shared" ca="1" si="24"/>
        <v>99999</v>
      </c>
      <c r="AJ12" s="547">
        <f t="shared" ca="1" si="31"/>
        <v>1.0512000000000001</v>
      </c>
      <c r="AK12" s="548">
        <f t="shared" ca="1" si="25"/>
        <v>9</v>
      </c>
      <c r="AL12" s="546" t="str">
        <f t="shared" ca="1" si="10"/>
        <v/>
      </c>
      <c r="AM12" s="546" t="str">
        <f t="shared" ca="1" si="26"/>
        <v/>
      </c>
      <c r="AN12" s="549">
        <f t="shared" ca="1" si="27"/>
        <v>99999</v>
      </c>
      <c r="AO12" s="547">
        <f t="shared" ca="1" si="32"/>
        <v>1.0512000000000001</v>
      </c>
      <c r="AP12" s="548">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7" t="s">
        <v>190</v>
      </c>
      <c r="AE15" s="768"/>
      <c r="AF15" s="768"/>
      <c r="AG15" s="768"/>
      <c r="AH15" s="769"/>
      <c r="AI15" s="2" t="b">
        <f>(Einstellungen!$B$9=Sprache!$E$78)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Knock Out Rangers</v>
      </c>
      <c r="D17" s="1">
        <f t="shared" ref="D17:G25" ca="1" si="33">K4</f>
        <v>3</v>
      </c>
      <c r="E17" s="1">
        <f t="shared" ca="1" si="33"/>
        <v>2</v>
      </c>
      <c r="F17" s="1">
        <f t="shared" ca="1" si="33"/>
        <v>0</v>
      </c>
      <c r="G17" s="1">
        <f t="shared" ca="1" si="33"/>
        <v>1</v>
      </c>
      <c r="H17" s="1">
        <f t="shared" ref="H17:K25" ca="1" si="34">G4</f>
        <v>14</v>
      </c>
      <c r="I17" s="1">
        <f t="shared" ca="1" si="34"/>
        <v>17</v>
      </c>
      <c r="J17" s="13">
        <f t="shared" ca="1" si="34"/>
        <v>-3</v>
      </c>
      <c r="K17" s="1">
        <f t="shared" ca="1" si="34"/>
        <v>6</v>
      </c>
      <c r="L17" s="30">
        <f t="shared" ref="L17:L25" ca="1" si="35">K17*$F$64+(J17+$H$65)*$F$65+H17*$F$66</f>
        <v>6497014</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'Endrunde 4'!$AF26</f>
        <v>0</v>
      </c>
      <c r="Z17" s="1">
        <f ca="1">RANK($W17,$W$17:$W$25)+(9-$Y17)/10</f>
        <v>1.9</v>
      </c>
      <c r="AA17" s="1">
        <f ca="1">SUM(E30:BP30)</f>
        <v>0</v>
      </c>
      <c r="AB17" s="1">
        <f ca="1">SUM(E41:BP41)</f>
        <v>0</v>
      </c>
      <c r="AC17" s="1">
        <f ca="1">SUM(E52:BP52)</f>
        <v>0</v>
      </c>
      <c r="AD17" s="244">
        <f ca="1">RANK($K17,$K$17:$K$25)</f>
        <v>1</v>
      </c>
      <c r="AE17" s="30">
        <f ca="1">(J17+$H$65)*$F$65+H17*$F$66</f>
        <v>497014</v>
      </c>
      <c r="AF17" s="1">
        <f ca="1">RANK($AE17,$AE$17:$AE$25)</f>
        <v>3</v>
      </c>
      <c r="AG17" s="1">
        <f ca="1">RANK($W17,$W$17:$W$25)</f>
        <v>1</v>
      </c>
      <c r="AH17" s="246">
        <f ca="1">AD17+AG17/100+AF17/10000+(10-Y17)/1000000</f>
        <v>1.01031</v>
      </c>
      <c r="AI17" s="1"/>
    </row>
    <row r="18" spans="2:80" s="2" customFormat="1" x14ac:dyDescent="0.2">
      <c r="C18" s="2" t="str">
        <f t="shared" ref="C18:C25" ca="1" si="44">$Q65</f>
        <v>Borussia Heine</v>
      </c>
      <c r="D18" s="1">
        <f t="shared" ca="1" si="33"/>
        <v>3</v>
      </c>
      <c r="E18" s="1">
        <f t="shared" ca="1" si="33"/>
        <v>1</v>
      </c>
      <c r="F18" s="1">
        <f t="shared" ca="1" si="33"/>
        <v>1</v>
      </c>
      <c r="G18" s="1">
        <f t="shared" ca="1" si="33"/>
        <v>1</v>
      </c>
      <c r="H18" s="1">
        <f t="shared" ca="1" si="34"/>
        <v>19</v>
      </c>
      <c r="I18" s="1">
        <f t="shared" ca="1" si="34"/>
        <v>14</v>
      </c>
      <c r="J18" s="13">
        <f t="shared" ca="1" si="34"/>
        <v>5</v>
      </c>
      <c r="K18" s="1">
        <f t="shared" ca="1" si="34"/>
        <v>4</v>
      </c>
      <c r="L18" s="30">
        <f t="shared" ca="1" si="35"/>
        <v>4505019</v>
      </c>
      <c r="M18" s="14">
        <f t="shared" ref="M18:M25" ca="1" si="45">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2.0108999999999999</v>
      </c>
      <c r="Y18" s="13">
        <f>'Endrunde 4'!$AF27</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2</v>
      </c>
      <c r="AE18" s="30">
        <f ca="1">(J18+$H$65)*$F$65+H18*$F$66</f>
        <v>505019</v>
      </c>
      <c r="AF18" s="1">
        <f t="shared" ref="AF18:AF25" ca="1" si="52">RANK($AE18,$AE$17:$AE$25)</f>
        <v>1</v>
      </c>
      <c r="AG18" s="1">
        <f t="shared" ref="AG18:AG25" ca="1" si="53">RANK($W18,$W$17:$W$25)</f>
        <v>1</v>
      </c>
      <c r="AH18" s="247">
        <f t="shared" ref="AH18:AH25" ca="1" si="54">AD18+AG18/100+AF18/10000+(10-Y18)/1000000</f>
        <v>2.0101100000000001</v>
      </c>
      <c r="AI18" s="1"/>
    </row>
    <row r="19" spans="2:80" s="2" customFormat="1" x14ac:dyDescent="0.2">
      <c r="C19" s="2" t="str">
        <f t="shared" ca="1" si="44"/>
        <v>Maibach 1822 eV</v>
      </c>
      <c r="D19" s="1">
        <f t="shared" ca="1" si="33"/>
        <v>3</v>
      </c>
      <c r="E19" s="1">
        <f t="shared" ca="1" si="33"/>
        <v>1</v>
      </c>
      <c r="F19" s="1">
        <f t="shared" ca="1" si="33"/>
        <v>0</v>
      </c>
      <c r="G19" s="1">
        <f t="shared" ca="1" si="33"/>
        <v>2</v>
      </c>
      <c r="H19" s="1">
        <f t="shared" ca="1" si="34"/>
        <v>8</v>
      </c>
      <c r="I19" s="1">
        <f t="shared" ca="1" si="34"/>
        <v>15</v>
      </c>
      <c r="J19" s="13">
        <f t="shared" ca="1" si="34"/>
        <v>-7</v>
      </c>
      <c r="K19" s="1">
        <f t="shared" ca="1" si="34"/>
        <v>3</v>
      </c>
      <c r="L19" s="30">
        <f t="shared" ca="1" si="35"/>
        <v>3493008</v>
      </c>
      <c r="M19" s="14">
        <f t="shared" ca="1" si="45"/>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4.0108999999999995</v>
      </c>
      <c r="Y19" s="13">
        <f>'Endrunde 4'!$AF28</f>
        <v>0</v>
      </c>
      <c r="Z19" s="1">
        <f t="shared" ca="1" si="47"/>
        <v>1.9</v>
      </c>
      <c r="AA19" s="1">
        <f t="shared" ca="1" si="48"/>
        <v>0</v>
      </c>
      <c r="AB19" s="1">
        <f t="shared" ca="1" si="49"/>
        <v>0</v>
      </c>
      <c r="AC19" s="1">
        <f t="shared" ca="1" si="50"/>
        <v>0</v>
      </c>
      <c r="AD19" s="244">
        <f t="shared" ca="1" si="51"/>
        <v>4</v>
      </c>
      <c r="AE19" s="30">
        <f ca="1">(J19+$H$65)*$F$65+H19*$F$66</f>
        <v>493008</v>
      </c>
      <c r="AF19" s="1">
        <f t="shared" ca="1" si="52"/>
        <v>4</v>
      </c>
      <c r="AG19" s="1">
        <f t="shared" ca="1" si="53"/>
        <v>1</v>
      </c>
      <c r="AH19" s="247">
        <f t="shared" ca="1" si="54"/>
        <v>4.0104099999999994</v>
      </c>
      <c r="AI19" s="1"/>
    </row>
    <row r="20" spans="2:80" s="2" customFormat="1" x14ac:dyDescent="0.2">
      <c r="C20" s="2" t="str">
        <f t="shared" ca="1" si="44"/>
        <v>FC Grönlingen</v>
      </c>
      <c r="D20" s="1">
        <f t="shared" ca="1" si="33"/>
        <v>3</v>
      </c>
      <c r="E20" s="1">
        <f t="shared" ca="1" si="33"/>
        <v>1</v>
      </c>
      <c r="F20" s="1">
        <f t="shared" ca="1" si="33"/>
        <v>1</v>
      </c>
      <c r="G20" s="1">
        <f t="shared" ca="1" si="33"/>
        <v>1</v>
      </c>
      <c r="H20" s="1">
        <f t="shared" ca="1" si="34"/>
        <v>15</v>
      </c>
      <c r="I20" s="1">
        <f t="shared" ca="1" si="34"/>
        <v>10</v>
      </c>
      <c r="J20" s="13">
        <f t="shared" ca="1" si="34"/>
        <v>5</v>
      </c>
      <c r="K20" s="1">
        <f t="shared" ca="1" si="34"/>
        <v>4</v>
      </c>
      <c r="L20" s="30">
        <f t="shared" ca="1" si="35"/>
        <v>4505015</v>
      </c>
      <c r="M20" s="14">
        <f t="shared" ca="1" si="45"/>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3.0108999999999999</v>
      </c>
      <c r="Y20" s="13">
        <f>'Endrunde 4'!$AF29</f>
        <v>0</v>
      </c>
      <c r="Z20" s="1">
        <f t="shared" ca="1" si="47"/>
        <v>1.9</v>
      </c>
      <c r="AA20" s="1">
        <f t="shared" ca="1" si="48"/>
        <v>0</v>
      </c>
      <c r="AB20" s="1">
        <f t="shared" ca="1" si="49"/>
        <v>0</v>
      </c>
      <c r="AC20" s="1">
        <f t="shared" ca="1" si="50"/>
        <v>0</v>
      </c>
      <c r="AD20" s="244">
        <f t="shared" ca="1" si="51"/>
        <v>2</v>
      </c>
      <c r="AE20" s="30">
        <f ca="1">(J20+$H$65)*$F$65+H20*$F$66</f>
        <v>505015</v>
      </c>
      <c r="AF20" s="1">
        <f t="shared" ca="1" si="52"/>
        <v>2</v>
      </c>
      <c r="AG20" s="1">
        <f t="shared" ca="1" si="53"/>
        <v>1</v>
      </c>
      <c r="AH20" s="247">
        <f t="shared" ca="1" si="54"/>
        <v>2.0102099999999998</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5.0508999999999995</v>
      </c>
      <c r="Y21" s="13">
        <v>0</v>
      </c>
      <c r="Z21" s="1">
        <f t="shared" ca="1" si="47"/>
        <v>5.9</v>
      </c>
      <c r="AA21" s="1">
        <f t="shared" ca="1" si="48"/>
        <v>0</v>
      </c>
      <c r="AB21" s="1">
        <f t="shared" ca="1" si="49"/>
        <v>0</v>
      </c>
      <c r="AC21" s="1">
        <f t="shared" ca="1" si="50"/>
        <v>0</v>
      </c>
      <c r="AD21" s="244">
        <f t="shared" ca="1" si="51"/>
        <v>5</v>
      </c>
      <c r="AE21" s="30">
        <v>0</v>
      </c>
      <c r="AF21" s="1">
        <f t="shared" ca="1" si="52"/>
        <v>5</v>
      </c>
      <c r="AG21" s="1">
        <f t="shared" ca="1" si="53"/>
        <v>5</v>
      </c>
      <c r="AH21" s="247">
        <f t="shared" ca="1" si="54"/>
        <v>5.0505099999999992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5.0508999999999995</v>
      </c>
      <c r="Y22" s="13">
        <v>0</v>
      </c>
      <c r="Z22" s="1">
        <f t="shared" ca="1" si="47"/>
        <v>5.9</v>
      </c>
      <c r="AA22" s="1">
        <f t="shared" ca="1" si="48"/>
        <v>0</v>
      </c>
      <c r="AB22" s="1">
        <f t="shared" ca="1" si="49"/>
        <v>0</v>
      </c>
      <c r="AC22" s="1">
        <f t="shared" ca="1" si="50"/>
        <v>0</v>
      </c>
      <c r="AD22" s="244">
        <f t="shared" ca="1" si="51"/>
        <v>5</v>
      </c>
      <c r="AE22" s="30">
        <v>0</v>
      </c>
      <c r="AF22" s="1">
        <f t="shared" ca="1" si="52"/>
        <v>5</v>
      </c>
      <c r="AG22" s="1">
        <f t="shared" ca="1" si="53"/>
        <v>5</v>
      </c>
      <c r="AH22" s="247">
        <f t="shared" ca="1" si="54"/>
        <v>5.0505099999999992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5.0508999999999995</v>
      </c>
      <c r="Y23" s="13">
        <v>0</v>
      </c>
      <c r="Z23" s="1">
        <f t="shared" ca="1" si="47"/>
        <v>5.9</v>
      </c>
      <c r="AA23" s="1">
        <f t="shared" ca="1" si="48"/>
        <v>0</v>
      </c>
      <c r="AB23" s="1">
        <f t="shared" ca="1" si="49"/>
        <v>0</v>
      </c>
      <c r="AC23" s="1">
        <f t="shared" ca="1" si="50"/>
        <v>0</v>
      </c>
      <c r="AD23" s="244">
        <f t="shared" ca="1" si="51"/>
        <v>5</v>
      </c>
      <c r="AE23" s="30">
        <v>0</v>
      </c>
      <c r="AF23" s="1">
        <f t="shared" ca="1" si="52"/>
        <v>5</v>
      </c>
      <c r="AG23" s="1">
        <f t="shared" ca="1" si="53"/>
        <v>5</v>
      </c>
      <c r="AH23" s="247">
        <f t="shared" ca="1" si="54"/>
        <v>5.0505099999999992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5.0508999999999995</v>
      </c>
      <c r="Y24" s="13">
        <v>0</v>
      </c>
      <c r="Z24" s="1">
        <f t="shared" ca="1" si="47"/>
        <v>5.9</v>
      </c>
      <c r="AA24" s="1">
        <f t="shared" ca="1" si="48"/>
        <v>0</v>
      </c>
      <c r="AB24" s="1">
        <f t="shared" ca="1" si="49"/>
        <v>0</v>
      </c>
      <c r="AC24" s="1">
        <f t="shared" ca="1" si="50"/>
        <v>0</v>
      </c>
      <c r="AD24" s="244">
        <f t="shared" ca="1" si="51"/>
        <v>5</v>
      </c>
      <c r="AE24" s="30">
        <v>0</v>
      </c>
      <c r="AF24" s="1">
        <f t="shared" ca="1" si="52"/>
        <v>5</v>
      </c>
      <c r="AG24" s="1">
        <f t="shared" ca="1" si="53"/>
        <v>5</v>
      </c>
      <c r="AH24" s="247">
        <f t="shared" ca="1" si="54"/>
        <v>5.0505099999999992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5.0508999999999995</v>
      </c>
      <c r="Y25" s="13">
        <v>0</v>
      </c>
      <c r="Z25" s="1">
        <f t="shared" ca="1" si="47"/>
        <v>5.9</v>
      </c>
      <c r="AA25" s="1">
        <f t="shared" ca="1" si="48"/>
        <v>0</v>
      </c>
      <c r="AB25" s="1">
        <f t="shared" ca="1" si="49"/>
        <v>0</v>
      </c>
      <c r="AC25" s="1">
        <f t="shared" ca="1" si="50"/>
        <v>0</v>
      </c>
      <c r="AD25" s="244">
        <f t="shared" ca="1" si="51"/>
        <v>5</v>
      </c>
      <c r="AE25" s="30">
        <v>0</v>
      </c>
      <c r="AF25" s="1">
        <f t="shared" ca="1" si="52"/>
        <v>5</v>
      </c>
      <c r="AG25" s="1">
        <f t="shared" ca="1" si="53"/>
        <v>5</v>
      </c>
      <c r="AH25" s="248">
        <f t="shared" ca="1" si="5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Knock Out Rangers</v>
      </c>
      <c r="BT29" s="2" t="str">
        <f ca="1">$F$5</f>
        <v>Borussia Heine</v>
      </c>
      <c r="BU29" s="2" t="str">
        <f ca="1">$F$6</f>
        <v>Maibach 1822 eV</v>
      </c>
      <c r="BV29" s="2" t="str">
        <f ca="1">$F$7</f>
        <v>FC Grönlingen</v>
      </c>
      <c r="BW29" s="2" t="str">
        <f>$F$8</f>
        <v/>
      </c>
      <c r="BX29" s="2" t="str">
        <f>$F$9</f>
        <v/>
      </c>
      <c r="BY29" s="2" t="str">
        <f>$F$10</f>
        <v/>
      </c>
      <c r="BZ29" s="2" t="str">
        <f>$F$11</f>
        <v/>
      </c>
      <c r="CA29" s="2" t="str">
        <f>$F$12</f>
        <v/>
      </c>
      <c r="CB29" s="53"/>
    </row>
    <row r="30" spans="2:80" s="2" customFormat="1" x14ac:dyDescent="0.2">
      <c r="C30" s="2" t="str">
        <f ca="1">$Q64</f>
        <v>Knock Out Rangers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Knock Out Rangers</v>
      </c>
      <c r="BS30" s="7"/>
      <c r="BT30" s="8">
        <f t="shared" ref="BT30:CA32" ca="1" si="56">SUMIFS($X$64:$X$135,$V$64:$V$135,$BR30,$W$64:$W$135,BT$29)+SUMIFS($Y$64:$Y$135,$W$64:$W$135,$BR30,$V$64:$V$135,BT$29)</f>
        <v>8</v>
      </c>
      <c r="BU30" s="8">
        <f t="shared" ca="1" si="56"/>
        <v>4</v>
      </c>
      <c r="BV30" s="8">
        <f t="shared" ca="1" si="56"/>
        <v>2</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Borussia Heine</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Borussia Heine</v>
      </c>
      <c r="BS31" s="9">
        <f t="shared" ref="BS31:BU38" ca="1" si="58">SUMIFS($X$64:$X$135,$V$64:$V$135,$BR31,$W$64:$W$135,BS$29)+SUMIFS($Y$64:$Y$135,$W$64:$W$135,$BR31,$V$64:$V$135,BS$29)</f>
        <v>14</v>
      </c>
      <c r="BT31" s="7"/>
      <c r="BU31" s="8">
        <f t="shared" ca="1" si="56"/>
        <v>1</v>
      </c>
      <c r="BV31" s="8">
        <f t="shared" ca="1" si="56"/>
        <v>4</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Maibach 1822 eV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Maibach 1822 eV</v>
      </c>
      <c r="BS32" s="9">
        <f t="shared" ca="1" si="58"/>
        <v>2</v>
      </c>
      <c r="BT32" s="9">
        <f t="shared" ca="1" si="58"/>
        <v>2</v>
      </c>
      <c r="BU32" s="7"/>
      <c r="BV32" s="8">
        <f t="shared" ca="1" si="56"/>
        <v>4</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FC Grönlingen</v>
      </c>
      <c r="BS33" s="9">
        <f t="shared" ca="1" si="58"/>
        <v>1</v>
      </c>
      <c r="BT33" s="9">
        <f t="shared" ca="1" si="58"/>
        <v>4</v>
      </c>
      <c r="BU33" s="9">
        <f t="shared" ca="1" si="58"/>
        <v>10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Knock Out Rangers</v>
      </c>
      <c r="BT40" s="2" t="str">
        <f ca="1">$F$5</f>
        <v>Borussia Heine</v>
      </c>
      <c r="BU40" s="2" t="str">
        <f ca="1">$F$6</f>
        <v>Maibach 1822 eV</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Knock Out Rangers</v>
      </c>
      <c r="BS41" s="7"/>
      <c r="BT41" s="8">
        <f ca="1">BT30-BS31</f>
        <v>-6</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Borussia Heine</v>
      </c>
      <c r="BS42" s="9">
        <f ca="1">IF(BT41="","",-1*BT41)</f>
        <v>6</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Maibach 1822 eV</v>
      </c>
      <c r="BS43" s="9">
        <f ca="1">IF(BU41="","",-1*BU41)</f>
        <v>-2</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FC Grönlingen</v>
      </c>
      <c r="BS44" s="9">
        <f ca="1">IF(BV41="","",-1*BV41)</f>
        <v>-1</v>
      </c>
      <c r="BT44" s="9">
        <f ca="1">IF(BV42="","",-1*BV42)</f>
        <v>0</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Knock Out Rangers</v>
      </c>
      <c r="BT51" s="2" t="str">
        <f ca="1">$F$5</f>
        <v>Borussia Heine</v>
      </c>
      <c r="BU51" s="2" t="str">
        <f ca="1">$F$6</f>
        <v>Maibach 1822 eV</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Knock Out Rangers</v>
      </c>
      <c r="BS52" s="7"/>
      <c r="BT52" s="8">
        <f t="shared" ref="BT52:CA58" ca="1" si="62">SUMIFS($AE$64:$AE$135,$V$64:$V$135,$BR52,$W$64:$W$135,BT$51)+SUMIFS($AF$64:$AF$135,$W$64:$W$135,$BR52,$V$64:$V$135,BT$51)</f>
        <v>0</v>
      </c>
      <c r="BU52" s="8">
        <f t="shared" ca="1" si="62"/>
        <v>3</v>
      </c>
      <c r="BV52" s="8">
        <f t="shared" ca="1" si="62"/>
        <v>3</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Borussia Heine</v>
      </c>
      <c r="BS53" s="9">
        <f t="shared" ref="BS53:BU60" ca="1" si="63">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Maibach 1822 eV</v>
      </c>
      <c r="BS54" s="9">
        <f t="shared" ca="1" si="63"/>
        <v>0</v>
      </c>
      <c r="BT54" s="9">
        <f t="shared" ca="1" si="63"/>
        <v>3</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FC Grönlingen</v>
      </c>
      <c r="BS55" s="9">
        <f t="shared" ca="1" si="63"/>
        <v>0</v>
      </c>
      <c r="BT55" s="9">
        <f t="shared" ca="1" si="63"/>
        <v>1</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484" t="s">
        <v>163</v>
      </c>
      <c r="AD63" s="161" t="s">
        <v>161</v>
      </c>
      <c r="AE63" s="764" t="s">
        <v>112</v>
      </c>
      <c r="AF63" s="764"/>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IF('Endrunde 4'!$AE26="","",'Endrunde 4'!$AE26)</f>
        <v>Knock Out Rangers</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IF(AA64&gt;0,X64&amp;Sprache!$E$73&amp;Y64,"")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316</v>
      </c>
      <c r="P65" s="47" t="s">
        <v>8</v>
      </c>
      <c r="Q65" s="62" t="str">
        <f ca="1">IF('Endrunde 4'!$AE27="","",'Endrunde 4'!$AE27)</f>
        <v>Borussia Heine</v>
      </c>
      <c r="U65" s="68"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4">V65&amp;W65</f>
        <v>VFB EssenheimSSV Wildbach</v>
      </c>
      <c r="AA65" s="13">
        <f t="shared" ref="AA65:AA88" ca="1" si="65">IF(AND(V65&lt;&gt;"",W65&lt;&gt;"",V65&lt;&gt;W65,X65&lt;&gt;"",Y65&lt;&gt;""),1,0)</f>
        <v>1</v>
      </c>
      <c r="AB65" s="13" t="str">
        <f ca="1">IF(AA65&gt;0,X65&amp;Sprache!$E$73&amp;Y65,"")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IF('Endrunde 4'!$AE28="","",'Endrunde 4'!$AE28)</f>
        <v>Maibach 1822 eV</v>
      </c>
      <c r="U66" s="68"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4"/>
        <v>Knock Out RangersFC Grönlingen</v>
      </c>
      <c r="AA66" s="13">
        <f t="shared" ca="1" si="65"/>
        <v>1</v>
      </c>
      <c r="AB66" s="13" t="str">
        <f ca="1">IF(AA66&gt;0,X66&amp;Sprache!$E$73&amp;Y66,"")</f>
        <v>2:1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4'!$AE29="","",'Endrunde 4'!$AE29)</f>
        <v>FC Grönlingen</v>
      </c>
      <c r="U67" s="68"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64"/>
        <v>Raslo WinnersMainz 05</v>
      </c>
      <c r="AA67" s="13">
        <f t="shared" ca="1" si="65"/>
        <v>1</v>
      </c>
      <c r="AB67" s="13" t="str">
        <f ca="1">IF(AA67&gt;0,X67&amp;Sprache!$E$73&amp;Y67,"")</f>
        <v>1:1</v>
      </c>
      <c r="AD67" s="145"/>
      <c r="AE67" s="150">
        <f ca="1">IF($AA67=0,"",IF($X67&gt;$Y67,Einstellungen!$C$4,IF($X67=$Y67,1,0)))</f>
        <v>1</v>
      </c>
      <c r="AF67" s="145">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64"/>
        <v>FC BarcelonaAC Roma</v>
      </c>
      <c r="AA68" s="13">
        <f t="shared" ca="1" si="65"/>
        <v>1</v>
      </c>
      <c r="AB68" s="13" t="str">
        <f ca="1">IF(AA68&gt;0,X68&amp;Sprache!$E$73&amp;Y68,"")</f>
        <v>5:1</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64"/>
        <v>VFL Ronsdorf1. FC Riedwald</v>
      </c>
      <c r="AA69" s="13">
        <f t="shared" ca="1" si="65"/>
        <v>1</v>
      </c>
      <c r="AB69" s="13" t="str">
        <f ca="1">IF(AA69&gt;0,X69&amp;Sprache!$E$73&amp;Y69,"")</f>
        <v>2:0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64"/>
        <v>Borussia HeineMaibach 1822 eV</v>
      </c>
      <c r="AA70" s="13">
        <f t="shared" ca="1" si="65"/>
        <v>1</v>
      </c>
      <c r="AB70" s="13" t="str">
        <f ca="1">IF(AA70&gt;0,X70&amp;Sprache!$E$73&amp;Y70,"")</f>
        <v>1:2</v>
      </c>
      <c r="AD70" s="145"/>
      <c r="AE70" s="150">
        <f ca="1">IF($AA70=0,"",IF($X70&gt;$Y70,Einstellungen!$C$4,IF($X70=$Y70,1,0)))</f>
        <v>0</v>
      </c>
      <c r="AF70" s="145">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64"/>
        <v>Inter MailandFun Kickers Oes</v>
      </c>
      <c r="AA71" s="13">
        <f t="shared" ca="1" si="65"/>
        <v>1</v>
      </c>
      <c r="AB71" s="13" t="str">
        <f ca="1">IF(AA71&gt;0,X71&amp;Sprache!$E$73&amp;Y71,"")</f>
        <v>5:3</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64"/>
        <v>Manchester CityEintracht Frankfurt</v>
      </c>
      <c r="AA72" s="13">
        <f t="shared" ca="1" si="65"/>
        <v>1</v>
      </c>
      <c r="AB72" s="13" t="str">
        <f ca="1">IF(AA72&gt;0,X72&amp;Sprache!$E$73&amp;Y72,"")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64"/>
        <v>VFB Essenheim1. FC Riedwald</v>
      </c>
      <c r="AA73" s="13">
        <f t="shared" ca="1" si="65"/>
        <v>1</v>
      </c>
      <c r="AB73" s="13" t="str">
        <f ca="1">IF(AA73&gt;0,X73&amp;Sprache!$E$73&amp;Y73,"")</f>
        <v>2:2</v>
      </c>
      <c r="AD73" s="145"/>
      <c r="AE73" s="150">
        <f ca="1">IF($AA73=0,"",IF($X73&gt;$Y73,Einstellungen!$C$4,IF($X73=$Y73,1,0)))</f>
        <v>1</v>
      </c>
      <c r="AF73" s="145">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65"/>
        <v>1</v>
      </c>
      <c r="AB74" s="13" t="str">
        <f ca="1">IF(AA74&gt;0,X74&amp;Sprache!$E$73&amp;Y74,"")</f>
        <v>4:2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88" ca="1" si="66">V75&amp;W75</f>
        <v>Raslo WinnersFun Kickers Oes</v>
      </c>
      <c r="AA75" s="13">
        <f t="shared" ca="1" si="65"/>
        <v>1</v>
      </c>
      <c r="AB75" s="13" t="str">
        <f ca="1">IF(AA75&gt;0,X75&amp;Sprache!$E$73&amp;Y75,"")</f>
        <v>4:3</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66"/>
        <v>FC BarcelonaEintracht Frankfurt</v>
      </c>
      <c r="AA76" s="13">
        <f t="shared" ca="1" si="65"/>
        <v>1</v>
      </c>
      <c r="AB76" s="13" t="str">
        <f ca="1">IF(AA76&gt;0,X76&amp;Sprache!$E$73&amp;Y76,"")</f>
        <v>0:0</v>
      </c>
      <c r="AD76" s="145"/>
      <c r="AE76" s="150">
        <f ca="1">IF($AA76=0,"",IF($X76&gt;$Y76,Einstellungen!$C$4,IF($X76=$Y76,1,0)))</f>
        <v>1</v>
      </c>
      <c r="AF76" s="145">
        <f ca="1">IF($AA76=0,"",IF($X76&lt;$Y76,Einstellungen!$C$4,IF($X76=$Y76,1,0)))</f>
        <v>1</v>
      </c>
    </row>
    <row r="77" spans="2:43" s="2" customFormat="1" x14ac:dyDescent="0.2">
      <c r="B77" s="4"/>
      <c r="C77" s="4"/>
      <c r="D77" s="4"/>
      <c r="E77" s="4"/>
      <c r="F77" s="13"/>
      <c r="G77" s="13"/>
      <c r="H77" s="13"/>
      <c r="I77" s="13"/>
      <c r="J77" s="13"/>
      <c r="K77" s="13"/>
      <c r="L77" s="13"/>
      <c r="M77" s="13"/>
      <c r="U77" s="68"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66"/>
        <v>VFL RonsdorfSSV Wildbach</v>
      </c>
      <c r="AA77" s="13">
        <f t="shared" ca="1" si="65"/>
        <v>1</v>
      </c>
      <c r="AB77" s="13" t="str">
        <f ca="1">IF(AA77&gt;0,X77&amp;Sprache!$E$73&amp;Y77,"")</f>
        <v>1:5</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66"/>
        <v>Borussia HeineFC Grönlingen</v>
      </c>
      <c r="AA78" s="13">
        <f t="shared" ca="1" si="65"/>
        <v>1</v>
      </c>
      <c r="AB78" s="13" t="str">
        <f ca="1">IF(AA78&gt;0,X78&amp;Sprache!$E$73&amp;Y78,"")</f>
        <v>4:4</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66"/>
        <v>Inter MailandMainz 05</v>
      </c>
      <c r="AA79" s="13">
        <f t="shared" ca="1" si="65"/>
        <v>1</v>
      </c>
      <c r="AB79" s="13" t="str">
        <f ca="1">IF(AA79&gt;0,X79&amp;Sprache!$E$73&amp;Y79,"")</f>
        <v>0:7</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66"/>
        <v>Manchester CityAC Roma</v>
      </c>
      <c r="AA80" s="13">
        <f t="shared" ca="1" si="65"/>
        <v>1</v>
      </c>
      <c r="AB80" s="13" t="str">
        <f ca="1">IF(AA80&gt;0,X80&amp;Sprache!$E$73&amp;Y80,"")</f>
        <v>2:8</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66"/>
        <v>1. FC RiedwaldSSV Wildbach</v>
      </c>
      <c r="AA81" s="13">
        <f t="shared" ca="1" si="65"/>
        <v>1</v>
      </c>
      <c r="AB81" s="13" t="str">
        <f ca="1">IF(AA81&gt;0,X81&amp;Sprache!$E$73&amp;Y81,"")</f>
        <v>3:9</v>
      </c>
      <c r="AC81" s="4"/>
      <c r="AD81" s="145"/>
      <c r="AE81" s="150">
        <f ca="1">IF($AA81=0,"",IF($X81&gt;$Y81,Einstellungen!$C$4,IF($X81=$Y81,1,0)))</f>
        <v>0</v>
      </c>
      <c r="AF81" s="145">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66"/>
        <v>Maibach 1822 eVFC Grönlingen</v>
      </c>
      <c r="AA82" s="13">
        <f t="shared" ca="1" si="65"/>
        <v>1</v>
      </c>
      <c r="AB82" s="13" t="str">
        <f ca="1">IF(AA82&gt;0,X82&amp;Sprache!$E$73&amp;Y82,"")</f>
        <v>4:10</v>
      </c>
      <c r="AC82" s="4"/>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66"/>
        <v>Fun Kickers OesMainz 05</v>
      </c>
      <c r="AA83" s="13">
        <f t="shared" ca="1" si="65"/>
        <v>1</v>
      </c>
      <c r="AB83" s="13" t="str">
        <f ca="1">IF(AA83&gt;0,X83&amp;Sprache!$E$73&amp;Y83,"")</f>
        <v>5:11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66"/>
        <v>Eintracht FrankfurtAC Roma</v>
      </c>
      <c r="AA84" s="13">
        <f t="shared" ca="1" si="65"/>
        <v>1</v>
      </c>
      <c r="AB84" s="13" t="str">
        <f ca="1">IF(AA84&gt;0,X84&amp;Sprache!$E$73&amp;Y84,"")</f>
        <v>6:12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66"/>
        <v>VFB EssenheimVFL Ronsdorf</v>
      </c>
      <c r="AA85" s="13">
        <f t="shared" ca="1" si="65"/>
        <v>1</v>
      </c>
      <c r="AB85" s="13" t="str">
        <f ca="1">IF(AA85&gt;0,X85&amp;Sprache!$E$73&amp;Y85,"")</f>
        <v>7:13</v>
      </c>
      <c r="AD85" s="145"/>
      <c r="AE85" s="150">
        <f ca="1">IF($AA85=0,"",IF($X85&gt;$Y85,Einstellungen!$C$4,IF($X85=$Y85,1,0)))</f>
        <v>0</v>
      </c>
      <c r="AF85" s="145">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66"/>
        <v>Knock Out RangersBorussia Heine</v>
      </c>
      <c r="AA86" s="13">
        <f t="shared" ca="1" si="65"/>
        <v>1</v>
      </c>
      <c r="AB86" s="13" t="str">
        <f ca="1">IF(AA86&gt;0,X86&amp;Sprache!$E$73&amp;Y86,"")</f>
        <v>8:14</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66"/>
        <v>Raslo WinnersInter Mailand</v>
      </c>
      <c r="AA87" s="13">
        <f t="shared" ca="1" si="65"/>
        <v>1</v>
      </c>
      <c r="AB87" s="13" t="str">
        <f ca="1">IF(AA87&gt;0,X87&amp;Sprache!$E$73&amp;Y87,"")</f>
        <v>9:15</v>
      </c>
      <c r="AD87" s="145"/>
      <c r="AE87" s="150">
        <f ca="1">IF($AA87=0,"",IF($X87&gt;$Y87,Einstellungen!$C$4,IF($X87=$Y87,1,0)))</f>
        <v>0</v>
      </c>
      <c r="AF87" s="145">
        <f ca="1">IF($AA87=0,"",IF($X87&lt;$Y87,Einstellungen!$C$4,IF($X87=$Y87,1,0)))</f>
        <v>3</v>
      </c>
    </row>
    <row r="88" spans="2:32" s="2" customFormat="1" x14ac:dyDescent="0.2">
      <c r="B88" s="4"/>
      <c r="C88" s="4"/>
      <c r="D88" s="4"/>
      <c r="E88" s="4"/>
      <c r="F88" s="13"/>
      <c r="G88" s="13"/>
      <c r="H88" s="13"/>
      <c r="I88" s="13"/>
      <c r="J88" s="13"/>
      <c r="K88" s="13"/>
      <c r="L88" s="13"/>
      <c r="M88" s="13"/>
      <c r="U88" s="68"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66"/>
        <v>FC BarcelonaManchester City</v>
      </c>
      <c r="AA88" s="13">
        <f t="shared" ca="1" si="65"/>
        <v>1</v>
      </c>
      <c r="AB88" s="13" t="str">
        <f ca="1">IF(AA88&gt;0,X88&amp;Sprache!$E$73&amp;Y88,"")</f>
        <v>4:0</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ref="Z89:Z93" si="67">V89&amp;W89</f>
        <v/>
      </c>
      <c r="AA89" s="13">
        <f t="shared" ref="AA89:AA128" si="68">IF(AND(V89&lt;&gt;"",W89&lt;&gt;"",V89&lt;&gt;W89,X89&lt;&gt;"",Y89&lt;&gt;""),1,0)</f>
        <v>0</v>
      </c>
      <c r="AB89" s="13" t="str">
        <f>IF(AA89&gt;0,X89&amp;Sprache!$E$73&amp;Y89,"")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7"/>
        <v/>
      </c>
      <c r="AA90" s="13">
        <f t="shared" si="68"/>
        <v>0</v>
      </c>
      <c r="AB90" s="13" t="str">
        <f>IF(AA90&gt;0,X90&amp;Sprache!$E$73&amp;Y90,"")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7"/>
        <v/>
      </c>
      <c r="AA91" s="13">
        <f t="shared" si="68"/>
        <v>0</v>
      </c>
      <c r="AB91" s="13" t="str">
        <f>IF(AA91&gt;0,X91&amp;Sprache!$E$73&amp;Y91,"")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7"/>
        <v/>
      </c>
      <c r="AA92" s="13">
        <f t="shared" si="68"/>
        <v>0</v>
      </c>
      <c r="AB92" s="13" t="str">
        <f>IF(AA92&gt;0,X92&amp;Sprache!$E$73&amp;Y92,"")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7"/>
        <v/>
      </c>
      <c r="AA93" s="13">
        <f t="shared" si="68"/>
        <v>0</v>
      </c>
      <c r="AB93" s="13" t="str">
        <f>IF(AA93&gt;0,X93&amp;Sprache!$E$73&amp;Y93,"")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8"/>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8"/>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8"/>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8"/>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8"/>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8"/>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8"/>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8"/>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8"/>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8"/>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8"/>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8"/>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8"/>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8"/>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8"/>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8"/>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8"/>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8"/>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8"/>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8"/>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8"/>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8"/>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8"/>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8"/>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8"/>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8"/>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8"/>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8"/>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8"/>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8"/>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8"/>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8"/>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8"/>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8"/>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8"/>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IF(AA136&gt;0,Y64&amp;Sprache!$E$73&amp;X64,"")</f>
        <v/>
      </c>
      <c r="AD136" s="145"/>
    </row>
    <row r="137" spans="2:32" x14ac:dyDescent="0.2">
      <c r="Y137" s="68" t="s">
        <v>8</v>
      </c>
      <c r="Z137" s="35" t="str">
        <f ca="1">W65&amp;V65</f>
        <v>SSV WildbachVFB Essenheim</v>
      </c>
      <c r="AA137" s="13">
        <f t="shared" ref="AA137:AA200" ca="1" si="70">AA65</f>
        <v>1</v>
      </c>
      <c r="AB137" s="13" t="str">
        <f ca="1">IF(AA137&gt;0,Y65&amp;Sprache!$E$73&amp;X65,"")</f>
        <v>4:2</v>
      </c>
      <c r="AC137" s="2"/>
      <c r="AD137" s="145"/>
    </row>
    <row r="138" spans="2:32" x14ac:dyDescent="0.2">
      <c r="Y138" s="68" t="s">
        <v>9</v>
      </c>
      <c r="Z138" s="35" t="str">
        <f t="shared" ref="Z138:Z201" ca="1" si="71">W66&amp;V66</f>
        <v>FC GrönlingenKnock Out Rangers</v>
      </c>
      <c r="AA138" s="13">
        <f t="shared" ca="1" si="70"/>
        <v>1</v>
      </c>
      <c r="AB138" s="13" t="str">
        <f ca="1">IF(AA138&gt;0,Y66&amp;Sprache!$E$73&amp;X66,"")</f>
        <v>1:2</v>
      </c>
      <c r="AC138" s="2"/>
      <c r="AD138" s="145"/>
    </row>
    <row r="139" spans="2:32" x14ac:dyDescent="0.2">
      <c r="Y139" s="68" t="s">
        <v>10</v>
      </c>
      <c r="Z139" s="35" t="str">
        <f t="shared" ca="1" si="71"/>
        <v>Mainz 05Raslo Winners</v>
      </c>
      <c r="AA139" s="13">
        <f t="shared" ca="1" si="70"/>
        <v>1</v>
      </c>
      <c r="AB139" s="13" t="str">
        <f ca="1">IF(AA139&gt;0,Y67&amp;Sprache!$E$73&amp;X67,"")</f>
        <v>1:1</v>
      </c>
      <c r="AC139" s="2"/>
      <c r="AD139" s="145"/>
    </row>
    <row r="140" spans="2:32" x14ac:dyDescent="0.2">
      <c r="Y140" s="68" t="s">
        <v>11</v>
      </c>
      <c r="Z140" s="35" t="str">
        <f t="shared" ca="1" si="71"/>
        <v>AC RomaFC Barcelona</v>
      </c>
      <c r="AA140" s="13">
        <f t="shared" ca="1" si="70"/>
        <v>1</v>
      </c>
      <c r="AB140" s="13" t="str">
        <f ca="1">IF(AA140&gt;0,Y68&amp;Sprache!$E$73&amp;X68,"")</f>
        <v>1:5</v>
      </c>
      <c r="AC140" s="2"/>
      <c r="AD140" s="145"/>
    </row>
    <row r="141" spans="2:32" x14ac:dyDescent="0.2">
      <c r="Y141" s="68" t="s">
        <v>12</v>
      </c>
      <c r="Z141" s="35" t="str">
        <f t="shared" ca="1" si="71"/>
        <v>1. FC RiedwaldVFL Ronsdorf</v>
      </c>
      <c r="AA141" s="13">
        <f t="shared" ca="1" si="70"/>
        <v>1</v>
      </c>
      <c r="AB141" s="13" t="str">
        <f ca="1">IF(AA141&gt;0,Y69&amp;Sprache!$E$73&amp;X69,"")</f>
        <v>0:2</v>
      </c>
      <c r="AC141" s="2"/>
      <c r="AD141" s="145"/>
    </row>
    <row r="142" spans="2:32" x14ac:dyDescent="0.2">
      <c r="Y142" s="68" t="s">
        <v>17</v>
      </c>
      <c r="Z142" s="35" t="str">
        <f t="shared" ca="1" si="71"/>
        <v>Maibach 1822 eVBorussia Heine</v>
      </c>
      <c r="AA142" s="13">
        <f t="shared" ca="1" si="70"/>
        <v>1</v>
      </c>
      <c r="AB142" s="13" t="str">
        <f ca="1">IF(AA142&gt;0,Y70&amp;Sprache!$E$73&amp;X70,"")</f>
        <v>2:1</v>
      </c>
      <c r="AC142" s="2"/>
      <c r="AD142" s="145"/>
    </row>
    <row r="143" spans="2:32" x14ac:dyDescent="0.2">
      <c r="Y143" s="68" t="s">
        <v>18</v>
      </c>
      <c r="Z143" s="35" t="str">
        <f t="shared" ca="1" si="71"/>
        <v>Fun Kickers OesInter Mailand</v>
      </c>
      <c r="AA143" s="13">
        <f t="shared" ca="1" si="70"/>
        <v>1</v>
      </c>
      <c r="AB143" s="13" t="str">
        <f ca="1">IF(AA143&gt;0,Y71&amp;Sprache!$E$73&amp;X71,"")</f>
        <v>3:5</v>
      </c>
      <c r="AC143" s="2"/>
      <c r="AD143" s="145"/>
    </row>
    <row r="144" spans="2:32" x14ac:dyDescent="0.2">
      <c r="Y144" s="68" t="s">
        <v>19</v>
      </c>
      <c r="Z144" s="35" t="str">
        <f t="shared" ca="1" si="71"/>
        <v>Eintracht FrankfurtManchester City</v>
      </c>
      <c r="AA144" s="13">
        <f t="shared" ca="1" si="70"/>
        <v>1</v>
      </c>
      <c r="AB144" s="13" t="str">
        <f ca="1">IF(AA144&gt;0,Y72&amp;Sprache!$E$73&amp;X72,"")</f>
        <v>1:2</v>
      </c>
      <c r="AC144" s="2"/>
      <c r="AD144" s="145"/>
    </row>
    <row r="145" spans="25:30" x14ac:dyDescent="0.2">
      <c r="Y145" s="68" t="s">
        <v>25</v>
      </c>
      <c r="Z145" s="35" t="str">
        <f t="shared" ca="1" si="71"/>
        <v>1. FC RiedwaldVFB Essenheim</v>
      </c>
      <c r="AA145" s="13">
        <f t="shared" ca="1" si="70"/>
        <v>1</v>
      </c>
      <c r="AB145" s="13" t="str">
        <f ca="1">IF(AA145&gt;0,Y73&amp;Sprache!$E$73&amp;X73,"")</f>
        <v>2:2</v>
      </c>
      <c r="AC145" s="2"/>
      <c r="AD145" s="145"/>
    </row>
    <row r="146" spans="25:30" x14ac:dyDescent="0.2">
      <c r="Y146" s="68" t="s">
        <v>26</v>
      </c>
      <c r="Z146" s="35" t="str">
        <f t="shared" ca="1" si="71"/>
        <v>Maibach 1822 eVKnock Out Rangers</v>
      </c>
      <c r="AA146" s="13">
        <f t="shared" ca="1" si="70"/>
        <v>1</v>
      </c>
      <c r="AB146" s="13" t="str">
        <f ca="1">IF(AA146&gt;0,Y74&amp;Sprache!$E$73&amp;X74,"")</f>
        <v>2:4</v>
      </c>
      <c r="AC146" s="2"/>
      <c r="AD146" s="145"/>
    </row>
    <row r="147" spans="25:30" x14ac:dyDescent="0.2">
      <c r="Y147" s="68" t="s">
        <v>27</v>
      </c>
      <c r="Z147" s="35" t="str">
        <f t="shared" ca="1" si="71"/>
        <v>Fun Kickers OesRaslo Winners</v>
      </c>
      <c r="AA147" s="13">
        <f t="shared" ca="1" si="70"/>
        <v>1</v>
      </c>
      <c r="AB147" s="13" t="str">
        <f ca="1">IF(AA147&gt;0,Y75&amp;Sprache!$E$73&amp;X75,"")</f>
        <v>3:4</v>
      </c>
      <c r="AC147" s="2"/>
      <c r="AD147" s="145"/>
    </row>
    <row r="148" spans="25:30" x14ac:dyDescent="0.2">
      <c r="Y148" s="68" t="s">
        <v>28</v>
      </c>
      <c r="Z148" s="35" t="str">
        <f t="shared" ca="1" si="71"/>
        <v>Eintracht FrankfurtFC Barcelona</v>
      </c>
      <c r="AA148" s="13">
        <f t="shared" ca="1" si="70"/>
        <v>1</v>
      </c>
      <c r="AB148" s="13" t="str">
        <f ca="1">IF(AA148&gt;0,Y76&amp;Sprache!$E$73&amp;X76,"")</f>
        <v>0:0</v>
      </c>
      <c r="AC148" s="2"/>
      <c r="AD148" s="145"/>
    </row>
    <row r="149" spans="25:30" x14ac:dyDescent="0.2">
      <c r="Y149" s="68" t="s">
        <v>29</v>
      </c>
      <c r="Z149" s="35" t="str">
        <f t="shared" ca="1" si="71"/>
        <v>SSV WildbachVFL Ronsdorf</v>
      </c>
      <c r="AA149" s="13">
        <f t="shared" ca="1" si="70"/>
        <v>1</v>
      </c>
      <c r="AB149" s="13" t="str">
        <f ca="1">IF(AA149&gt;0,Y77&amp;Sprache!$E$73&amp;X77,"")</f>
        <v>5:1</v>
      </c>
      <c r="AC149" s="2"/>
      <c r="AD149" s="145"/>
    </row>
    <row r="150" spans="25:30" x14ac:dyDescent="0.2">
      <c r="Y150" s="68" t="s">
        <v>30</v>
      </c>
      <c r="Z150" s="35" t="str">
        <f t="shared" ca="1" si="71"/>
        <v>FC GrönlingenBorussia Heine</v>
      </c>
      <c r="AA150" s="13">
        <f t="shared" ca="1" si="70"/>
        <v>1</v>
      </c>
      <c r="AB150" s="13" t="str">
        <f ca="1">IF(AA150&gt;0,Y78&amp;Sprache!$E$73&amp;X78,"")</f>
        <v>4:4</v>
      </c>
      <c r="AC150" s="2"/>
      <c r="AD150" s="145"/>
    </row>
    <row r="151" spans="25:30" x14ac:dyDescent="0.2">
      <c r="Y151" s="68" t="s">
        <v>31</v>
      </c>
      <c r="Z151" s="35" t="str">
        <f t="shared" ca="1" si="71"/>
        <v>Mainz 05Inter Mailand</v>
      </c>
      <c r="AA151" s="13">
        <f t="shared" ca="1" si="70"/>
        <v>1</v>
      </c>
      <c r="AB151" s="13" t="str">
        <f ca="1">IF(AA151&gt;0,Y79&amp;Sprache!$E$73&amp;X79,"")</f>
        <v>7:0</v>
      </c>
      <c r="AC151" s="2"/>
      <c r="AD151" s="145"/>
    </row>
    <row r="152" spans="25:30" x14ac:dyDescent="0.2">
      <c r="Y152" s="68" t="s">
        <v>32</v>
      </c>
      <c r="Z152" s="35" t="str">
        <f t="shared" ca="1" si="71"/>
        <v>AC RomaManchester City</v>
      </c>
      <c r="AA152" s="13">
        <f t="shared" ca="1" si="70"/>
        <v>1</v>
      </c>
      <c r="AB152" s="13" t="str">
        <f ca="1">IF(AA152&gt;0,Y80&amp;Sprache!$E$73&amp;X80,"")</f>
        <v>8:2</v>
      </c>
      <c r="AC152" s="2"/>
      <c r="AD152" s="145"/>
    </row>
    <row r="153" spans="25:30" x14ac:dyDescent="0.2">
      <c r="Y153" s="68" t="s">
        <v>33</v>
      </c>
      <c r="Z153" s="35" t="str">
        <f t="shared" ca="1" si="71"/>
        <v>SSV Wildbach1. FC Riedwald</v>
      </c>
      <c r="AA153" s="13">
        <f t="shared" ca="1" si="70"/>
        <v>1</v>
      </c>
      <c r="AB153" s="13" t="str">
        <f ca="1">IF(AA153&gt;0,Y81&amp;Sprache!$E$73&amp;X81,"")</f>
        <v>9:3</v>
      </c>
      <c r="AC153" s="2"/>
      <c r="AD153" s="145"/>
    </row>
    <row r="154" spans="25:30" x14ac:dyDescent="0.2">
      <c r="Y154" s="68" t="s">
        <v>34</v>
      </c>
      <c r="Z154" s="35" t="str">
        <f t="shared" ca="1" si="71"/>
        <v>FC GrönlingenMaibach 1822 eV</v>
      </c>
      <c r="AA154" s="13">
        <f t="shared" ca="1" si="70"/>
        <v>1</v>
      </c>
      <c r="AB154" s="13" t="str">
        <f ca="1">IF(AA154&gt;0,Y82&amp;Sprache!$E$73&amp;X82,"")</f>
        <v>10:4</v>
      </c>
      <c r="AC154" s="2"/>
      <c r="AD154" s="145"/>
    </row>
    <row r="155" spans="25:30" x14ac:dyDescent="0.2">
      <c r="Y155" s="68" t="s">
        <v>35</v>
      </c>
      <c r="Z155" s="35" t="str">
        <f t="shared" ca="1" si="71"/>
        <v>Mainz 05Fun Kickers Oes</v>
      </c>
      <c r="AA155" s="13">
        <f t="shared" ca="1" si="70"/>
        <v>1</v>
      </c>
      <c r="AB155" s="13" t="str">
        <f ca="1">IF(AA155&gt;0,Y83&amp;Sprache!$E$73&amp;X83,"")</f>
        <v>11:5</v>
      </c>
      <c r="AC155" s="2"/>
      <c r="AD155" s="145"/>
    </row>
    <row r="156" spans="25:30" x14ac:dyDescent="0.2">
      <c r="Y156" s="68" t="s">
        <v>36</v>
      </c>
      <c r="Z156" s="35" t="str">
        <f t="shared" ca="1" si="71"/>
        <v>AC RomaEintracht Frankfurt</v>
      </c>
      <c r="AA156" s="13">
        <f t="shared" ca="1" si="70"/>
        <v>1</v>
      </c>
      <c r="AB156" s="13" t="str">
        <f ca="1">IF(AA156&gt;0,Y84&amp;Sprache!$E$73&amp;X84,"")</f>
        <v>12:6</v>
      </c>
      <c r="AC156" s="2"/>
      <c r="AD156" s="145"/>
    </row>
    <row r="157" spans="25:30" x14ac:dyDescent="0.2">
      <c r="Y157" s="68" t="s">
        <v>37</v>
      </c>
      <c r="Z157" s="35" t="str">
        <f t="shared" ca="1" si="71"/>
        <v>VFL RonsdorfVFB Essenheim</v>
      </c>
      <c r="AA157" s="13">
        <f t="shared" ca="1" si="70"/>
        <v>1</v>
      </c>
      <c r="AB157" s="13" t="str">
        <f ca="1">IF(AA157&gt;0,Y85&amp;Sprache!$E$73&amp;X85,"")</f>
        <v>13:7</v>
      </c>
      <c r="AC157" s="2"/>
      <c r="AD157" s="145"/>
    </row>
    <row r="158" spans="25:30" x14ac:dyDescent="0.2">
      <c r="Y158" s="68" t="s">
        <v>38</v>
      </c>
      <c r="Z158" s="35" t="str">
        <f t="shared" ca="1" si="71"/>
        <v>Borussia HeineKnock Out Rangers</v>
      </c>
      <c r="AA158" s="13">
        <f t="shared" ca="1" si="70"/>
        <v>1</v>
      </c>
      <c r="AB158" s="13" t="str">
        <f ca="1">IF(AA158&gt;0,Y86&amp;Sprache!$E$73&amp;X86,"")</f>
        <v>14:8</v>
      </c>
      <c r="AC158" s="2"/>
      <c r="AD158" s="145"/>
    </row>
    <row r="159" spans="25:30" x14ac:dyDescent="0.2">
      <c r="Y159" s="68" t="s">
        <v>39</v>
      </c>
      <c r="Z159" s="35" t="str">
        <f t="shared" ca="1" si="71"/>
        <v>Inter MailandRaslo Winners</v>
      </c>
      <c r="AA159" s="13">
        <f t="shared" ca="1" si="70"/>
        <v>1</v>
      </c>
      <c r="AB159" s="13" t="str">
        <f ca="1">IF(AA159&gt;0,Y87&amp;Sprache!$E$73&amp;X87,"")</f>
        <v>15:9</v>
      </c>
      <c r="AC159" s="2"/>
      <c r="AD159" s="145"/>
    </row>
    <row r="160" spans="25:30" x14ac:dyDescent="0.2">
      <c r="Y160" s="68" t="s">
        <v>40</v>
      </c>
      <c r="Z160" s="35" t="str">
        <f t="shared" ca="1" si="71"/>
        <v>Manchester CityFC Barcelona</v>
      </c>
      <c r="AA160" s="13">
        <f t="shared" ca="1" si="70"/>
        <v>1</v>
      </c>
      <c r="AB160" s="13" t="str">
        <f ca="1">IF(AA160&gt;0,Y88&amp;Sprache!$E$73&amp;X88,"")</f>
        <v>0:4</v>
      </c>
      <c r="AC160" s="2"/>
      <c r="AD160" s="145"/>
    </row>
    <row r="161" spans="25:30" x14ac:dyDescent="0.2">
      <c r="Y161" s="68" t="s">
        <v>41</v>
      </c>
      <c r="Z161" s="35" t="str">
        <f t="shared" si="71"/>
        <v/>
      </c>
      <c r="AA161" s="13">
        <f t="shared" si="70"/>
        <v>0</v>
      </c>
      <c r="AB161" s="13" t="str">
        <f>IF(AA161&gt;0,Y89&amp;Sprache!$E$73&amp;X89,"")</f>
        <v/>
      </c>
      <c r="AC161" s="2"/>
      <c r="AD161" s="145"/>
    </row>
    <row r="162" spans="25:30" x14ac:dyDescent="0.2">
      <c r="Y162" s="68" t="s">
        <v>42</v>
      </c>
      <c r="Z162" s="35" t="str">
        <f t="shared" si="71"/>
        <v/>
      </c>
      <c r="AA162" s="13">
        <f t="shared" si="70"/>
        <v>0</v>
      </c>
      <c r="AB162" s="13" t="str">
        <f>IF(AA162&gt;0,Y90&amp;Sprache!$E$73&amp;X90,"")</f>
        <v/>
      </c>
      <c r="AC162" s="2"/>
      <c r="AD162" s="145"/>
    </row>
    <row r="163" spans="25:30" x14ac:dyDescent="0.2">
      <c r="Y163" s="68" t="s">
        <v>43</v>
      </c>
      <c r="Z163" s="35" t="str">
        <f t="shared" si="71"/>
        <v/>
      </c>
      <c r="AA163" s="13">
        <f t="shared" si="70"/>
        <v>0</v>
      </c>
      <c r="AB163" s="13" t="str">
        <f>IF(AA163&gt;0,Y91&amp;Sprache!$E$73&amp;X91,"")</f>
        <v/>
      </c>
      <c r="AC163" s="2"/>
      <c r="AD163" s="145"/>
    </row>
    <row r="164" spans="25:30" x14ac:dyDescent="0.2">
      <c r="Y164" s="68" t="s">
        <v>44</v>
      </c>
      <c r="Z164" s="35" t="str">
        <f t="shared" si="71"/>
        <v/>
      </c>
      <c r="AA164" s="13">
        <f t="shared" si="70"/>
        <v>0</v>
      </c>
      <c r="AB164" s="13" t="str">
        <f>IF(AA164&gt;0,Y92&amp;Sprache!$E$73&amp;X92,"")</f>
        <v/>
      </c>
      <c r="AC164" s="2"/>
      <c r="AD164" s="145"/>
    </row>
    <row r="165" spans="25:30" x14ac:dyDescent="0.2">
      <c r="Y165" s="68" t="s">
        <v>45</v>
      </c>
      <c r="Z165" s="35" t="str">
        <f t="shared" si="71"/>
        <v/>
      </c>
      <c r="AA165" s="13">
        <f t="shared" si="70"/>
        <v>0</v>
      </c>
      <c r="AB165" s="13" t="str">
        <f>IF(AA165&gt;0,Y93&amp;Sprache!$E$73&amp;X93,"")</f>
        <v/>
      </c>
      <c r="AC165" s="2"/>
      <c r="AD165" s="145"/>
    </row>
    <row r="166" spans="25:30" x14ac:dyDescent="0.2">
      <c r="Y166" s="68" t="s">
        <v>46</v>
      </c>
      <c r="Z166" s="35" t="str">
        <f t="shared" si="71"/>
        <v/>
      </c>
      <c r="AA166" s="13">
        <f t="shared" si="70"/>
        <v>0</v>
      </c>
      <c r="AB166" s="13" t="str">
        <f>IF(AA166&gt;0,Y94&amp;Sprache!$E$73&amp;X94,"")</f>
        <v/>
      </c>
      <c r="AC166" s="2"/>
      <c r="AD166" s="145"/>
    </row>
    <row r="167" spans="25:30" x14ac:dyDescent="0.2">
      <c r="Y167" s="68" t="s">
        <v>47</v>
      </c>
      <c r="Z167" s="35" t="str">
        <f t="shared" si="71"/>
        <v/>
      </c>
      <c r="AA167" s="13">
        <f t="shared" si="70"/>
        <v>0</v>
      </c>
      <c r="AB167" s="13" t="str">
        <f>IF(AA167&gt;0,Y95&amp;Sprache!$E$73&amp;X95,"")</f>
        <v/>
      </c>
      <c r="AC167" s="2"/>
      <c r="AD167" s="145"/>
    </row>
    <row r="168" spans="25:30" x14ac:dyDescent="0.2">
      <c r="Y168" s="68" t="s">
        <v>48</v>
      </c>
      <c r="Z168" s="35" t="str">
        <f t="shared" si="71"/>
        <v/>
      </c>
      <c r="AA168" s="13">
        <f t="shared" si="70"/>
        <v>0</v>
      </c>
      <c r="AB168" s="13" t="str">
        <f>IF(AA168&gt;0,Y96&amp;Sprache!$E$73&amp;X96,"")</f>
        <v/>
      </c>
      <c r="AC168" s="2"/>
      <c r="AD168" s="145"/>
    </row>
    <row r="169" spans="25:30" x14ac:dyDescent="0.2">
      <c r="Y169" s="68" t="s">
        <v>49</v>
      </c>
      <c r="Z169" s="35" t="str">
        <f t="shared" si="71"/>
        <v/>
      </c>
      <c r="AA169" s="13">
        <f t="shared" si="70"/>
        <v>0</v>
      </c>
      <c r="AB169" s="13" t="str">
        <f>IF(AA169&gt;0,Y97&amp;Sprache!$E$73&amp;X97,"")</f>
        <v/>
      </c>
      <c r="AC169" s="2"/>
      <c r="AD169" s="145"/>
    </row>
    <row r="170" spans="25:30" x14ac:dyDescent="0.2">
      <c r="Y170" s="68" t="s">
        <v>50</v>
      </c>
      <c r="Z170" s="35" t="str">
        <f t="shared" si="71"/>
        <v/>
      </c>
      <c r="AA170" s="13">
        <f t="shared" si="70"/>
        <v>0</v>
      </c>
      <c r="AB170" s="13" t="str">
        <f>IF(AA170&gt;0,Y98&amp;Sprache!$E$73&amp;X98,"")</f>
        <v/>
      </c>
      <c r="AC170" s="2"/>
      <c r="AD170" s="145"/>
    </row>
    <row r="171" spans="25:30" x14ac:dyDescent="0.2">
      <c r="Y171" s="68" t="s">
        <v>51</v>
      </c>
      <c r="Z171" s="35" t="str">
        <f t="shared" si="71"/>
        <v/>
      </c>
      <c r="AA171" s="13">
        <f t="shared" si="70"/>
        <v>0</v>
      </c>
      <c r="AB171" s="13" t="str">
        <f>IF(AA171&gt;0,Y99&amp;Sprache!$E$73&amp;X99,"")</f>
        <v/>
      </c>
      <c r="AC171" s="2"/>
      <c r="AD171" s="145"/>
    </row>
    <row r="172" spans="25:30" x14ac:dyDescent="0.2">
      <c r="Y172" s="68" t="s">
        <v>60</v>
      </c>
      <c r="Z172" s="35" t="str">
        <f t="shared" si="71"/>
        <v/>
      </c>
      <c r="AA172" s="13">
        <f t="shared" si="70"/>
        <v>0</v>
      </c>
      <c r="AB172" s="13" t="str">
        <f>IF(AA172&gt;0,Y100&amp;Sprache!$E$73&amp;X100,"")</f>
        <v/>
      </c>
      <c r="AC172" s="2"/>
      <c r="AD172" s="145"/>
    </row>
    <row r="173" spans="25:30" x14ac:dyDescent="0.2">
      <c r="Y173" s="68" t="s">
        <v>61</v>
      </c>
      <c r="Z173" s="35" t="str">
        <f t="shared" si="71"/>
        <v/>
      </c>
      <c r="AA173" s="13">
        <f t="shared" si="70"/>
        <v>0</v>
      </c>
      <c r="AB173" s="13" t="str">
        <f>IF(AA173&gt;0,Y101&amp;Sprache!$E$73&amp;X101,"")</f>
        <v/>
      </c>
      <c r="AC173" s="2"/>
      <c r="AD173" s="145"/>
    </row>
    <row r="174" spans="25:30" x14ac:dyDescent="0.2">
      <c r="Y174" s="68" t="s">
        <v>62</v>
      </c>
      <c r="Z174" s="35" t="str">
        <f t="shared" si="71"/>
        <v/>
      </c>
      <c r="AA174" s="13">
        <f t="shared" si="70"/>
        <v>0</v>
      </c>
      <c r="AB174" s="13" t="str">
        <f>IF(AA174&gt;0,Y102&amp;Sprache!$E$73&amp;X102,"")</f>
        <v/>
      </c>
      <c r="AC174" s="2"/>
      <c r="AD174" s="145"/>
    </row>
    <row r="175" spans="25:30" x14ac:dyDescent="0.2">
      <c r="Y175" s="68" t="s">
        <v>63</v>
      </c>
      <c r="Z175" s="35" t="str">
        <f t="shared" si="71"/>
        <v/>
      </c>
      <c r="AA175" s="13">
        <f t="shared" si="70"/>
        <v>0</v>
      </c>
      <c r="AB175" s="13" t="str">
        <f>IF(AA175&gt;0,Y103&amp;Sprache!$E$73&amp;X103,"")</f>
        <v/>
      </c>
      <c r="AC175" s="2"/>
      <c r="AD175" s="145"/>
    </row>
    <row r="176" spans="25:30" x14ac:dyDescent="0.2">
      <c r="Y176" s="68" t="s">
        <v>64</v>
      </c>
      <c r="Z176" s="35" t="str">
        <f t="shared" si="71"/>
        <v/>
      </c>
      <c r="AA176" s="13">
        <f t="shared" si="70"/>
        <v>0</v>
      </c>
      <c r="AB176" s="13" t="str">
        <f>IF(AA176&gt;0,Y104&amp;Sprache!$E$73&amp;X104,"")</f>
        <v/>
      </c>
      <c r="AC176" s="2"/>
      <c r="AD176" s="145"/>
    </row>
    <row r="177" spans="25:30" x14ac:dyDescent="0.2">
      <c r="Y177" s="68" t="s">
        <v>65</v>
      </c>
      <c r="Z177" s="35" t="str">
        <f t="shared" si="71"/>
        <v/>
      </c>
      <c r="AA177" s="13">
        <f t="shared" si="70"/>
        <v>0</v>
      </c>
      <c r="AB177" s="13" t="str">
        <f>IF(AA177&gt;0,Y105&amp;Sprache!$E$73&amp;X105,"")</f>
        <v/>
      </c>
      <c r="AC177" s="2"/>
      <c r="AD177" s="145"/>
    </row>
    <row r="178" spans="25:30" x14ac:dyDescent="0.2">
      <c r="Y178" s="68" t="s">
        <v>66</v>
      </c>
      <c r="Z178" s="35" t="str">
        <f t="shared" si="71"/>
        <v/>
      </c>
      <c r="AA178" s="13">
        <f t="shared" si="70"/>
        <v>0</v>
      </c>
      <c r="AB178" s="13" t="str">
        <f>IF(AA178&gt;0,Y106&amp;Sprache!$E$73&amp;X106,"")</f>
        <v/>
      </c>
      <c r="AC178" s="2"/>
      <c r="AD178" s="145"/>
    </row>
    <row r="179" spans="25:30" x14ac:dyDescent="0.2">
      <c r="Y179" s="68" t="s">
        <v>67</v>
      </c>
      <c r="Z179" s="35" t="str">
        <f t="shared" si="71"/>
        <v/>
      </c>
      <c r="AA179" s="13">
        <f t="shared" si="70"/>
        <v>0</v>
      </c>
      <c r="AB179" s="13" t="str">
        <f>IF(AA179&gt;0,Y107&amp;Sprache!$E$73&amp;X107,"")</f>
        <v/>
      </c>
      <c r="AC179" s="2"/>
      <c r="AD179" s="145"/>
    </row>
    <row r="180" spans="25:30" x14ac:dyDescent="0.2">
      <c r="Y180" s="68" t="s">
        <v>68</v>
      </c>
      <c r="Z180" s="35" t="str">
        <f t="shared" si="71"/>
        <v/>
      </c>
      <c r="AA180" s="13">
        <f t="shared" si="70"/>
        <v>0</v>
      </c>
      <c r="AB180" s="13" t="str">
        <f>IF(AA180&gt;0,Y108&amp;Sprache!$E$73&amp;X108,"")</f>
        <v/>
      </c>
      <c r="AC180" s="2"/>
      <c r="AD180" s="145"/>
    </row>
    <row r="181" spans="25:30" x14ac:dyDescent="0.2">
      <c r="Y181" s="68" t="s">
        <v>69</v>
      </c>
      <c r="Z181" s="35" t="str">
        <f t="shared" si="71"/>
        <v/>
      </c>
      <c r="AA181" s="13">
        <f t="shared" si="70"/>
        <v>0</v>
      </c>
      <c r="AB181" s="13" t="str">
        <f>IF(AA181&gt;0,Y109&amp;Sprache!$E$73&amp;X109,"")</f>
        <v/>
      </c>
      <c r="AC181" s="2"/>
      <c r="AD181" s="145"/>
    </row>
    <row r="182" spans="25:30" x14ac:dyDescent="0.2">
      <c r="Y182" s="68" t="s">
        <v>70</v>
      </c>
      <c r="Z182" s="35" t="str">
        <f t="shared" si="71"/>
        <v/>
      </c>
      <c r="AA182" s="13">
        <f t="shared" si="70"/>
        <v>0</v>
      </c>
      <c r="AB182" s="13" t="str">
        <f>IF(AA182&gt;0,Y110&amp;Sprache!$E$73&amp;X110,"")</f>
        <v/>
      </c>
      <c r="AC182" s="2"/>
      <c r="AD182" s="145"/>
    </row>
    <row r="183" spans="25:30" x14ac:dyDescent="0.2">
      <c r="Y183" s="68" t="s">
        <v>71</v>
      </c>
      <c r="Z183" s="35" t="str">
        <f t="shared" si="71"/>
        <v/>
      </c>
      <c r="AA183" s="13">
        <f t="shared" si="70"/>
        <v>0</v>
      </c>
      <c r="AB183" s="13" t="str">
        <f>IF(AA183&gt;0,Y111&amp;Sprache!$E$73&amp;X111,"")</f>
        <v/>
      </c>
      <c r="AC183" s="2"/>
      <c r="AD183" s="145"/>
    </row>
    <row r="184" spans="25:30" x14ac:dyDescent="0.2">
      <c r="Y184" s="68" t="s">
        <v>72</v>
      </c>
      <c r="Z184" s="35" t="str">
        <f t="shared" si="71"/>
        <v/>
      </c>
      <c r="AA184" s="13">
        <f t="shared" si="70"/>
        <v>0</v>
      </c>
      <c r="AB184" s="13" t="str">
        <f>IF(AA184&gt;0,Y112&amp;Sprache!$E$73&amp;X112,"")</f>
        <v/>
      </c>
      <c r="AC184" s="2"/>
      <c r="AD184" s="145"/>
    </row>
    <row r="185" spans="25:30" x14ac:dyDescent="0.2">
      <c r="Y185" s="68" t="s">
        <v>73</v>
      </c>
      <c r="Z185" s="35" t="str">
        <f t="shared" si="71"/>
        <v/>
      </c>
      <c r="AA185" s="13">
        <f t="shared" si="70"/>
        <v>0</v>
      </c>
      <c r="AB185" s="13" t="str">
        <f>IF(AA185&gt;0,Y113&amp;Sprache!$E$73&amp;X113,"")</f>
        <v/>
      </c>
      <c r="AC185" s="2"/>
      <c r="AD185" s="145"/>
    </row>
    <row r="186" spans="25:30" x14ac:dyDescent="0.2">
      <c r="Y186" s="68" t="s">
        <v>74</v>
      </c>
      <c r="Z186" s="35" t="str">
        <f t="shared" si="71"/>
        <v/>
      </c>
      <c r="AA186" s="13">
        <f t="shared" si="70"/>
        <v>0</v>
      </c>
      <c r="AB186" s="13" t="str">
        <f>IF(AA186&gt;0,Y114&amp;Sprache!$E$73&amp;X114,"")</f>
        <v/>
      </c>
      <c r="AC186" s="2"/>
      <c r="AD186" s="145"/>
    </row>
    <row r="187" spans="25:30" x14ac:dyDescent="0.2">
      <c r="Y187" s="68" t="s">
        <v>75</v>
      </c>
      <c r="Z187" s="35" t="str">
        <f t="shared" si="71"/>
        <v/>
      </c>
      <c r="AA187" s="13">
        <f t="shared" si="70"/>
        <v>0</v>
      </c>
      <c r="AB187" s="13" t="str">
        <f>IF(AA187&gt;0,Y115&amp;Sprache!$E$73&amp;X115,"")</f>
        <v/>
      </c>
      <c r="AC187" s="2"/>
      <c r="AD187" s="145"/>
    </row>
    <row r="188" spans="25:30" x14ac:dyDescent="0.2">
      <c r="Y188" s="68" t="s">
        <v>76</v>
      </c>
      <c r="Z188" s="35" t="str">
        <f t="shared" si="71"/>
        <v/>
      </c>
      <c r="AA188" s="13">
        <f t="shared" si="70"/>
        <v>0</v>
      </c>
      <c r="AB188" s="13" t="str">
        <f>IF(AA188&gt;0,Y116&amp;Sprache!$E$73&amp;X116,"")</f>
        <v/>
      </c>
      <c r="AC188" s="2"/>
      <c r="AD188" s="145"/>
    </row>
    <row r="189" spans="25:30" x14ac:dyDescent="0.2">
      <c r="Y189" s="68" t="s">
        <v>77</v>
      </c>
      <c r="Z189" s="35" t="str">
        <f t="shared" si="71"/>
        <v/>
      </c>
      <c r="AA189" s="13">
        <f t="shared" si="70"/>
        <v>0</v>
      </c>
      <c r="AB189" s="13" t="str">
        <f>IF(AA189&gt;0,Y117&amp;Sprache!$E$73&amp;X117,"")</f>
        <v/>
      </c>
      <c r="AC189" s="2"/>
      <c r="AD189" s="145"/>
    </row>
    <row r="190" spans="25:30" x14ac:dyDescent="0.2">
      <c r="Y190" s="68" t="s">
        <v>78</v>
      </c>
      <c r="Z190" s="35" t="str">
        <f t="shared" si="71"/>
        <v/>
      </c>
      <c r="AA190" s="13">
        <f t="shared" si="70"/>
        <v>0</v>
      </c>
      <c r="AB190" s="13" t="str">
        <f>IF(AA190&gt;0,Y118&amp;Sprache!$E$73&amp;X118,"")</f>
        <v/>
      </c>
      <c r="AC190" s="2"/>
      <c r="AD190" s="145"/>
    </row>
    <row r="191" spans="25:30" x14ac:dyDescent="0.2">
      <c r="Y191" s="68" t="s">
        <v>79</v>
      </c>
      <c r="Z191" s="35" t="str">
        <f t="shared" si="71"/>
        <v/>
      </c>
      <c r="AA191" s="13">
        <f t="shared" si="70"/>
        <v>0</v>
      </c>
      <c r="AB191" s="13" t="str">
        <f>IF(AA191&gt;0,Y119&amp;Sprache!$E$73&amp;X119,"")</f>
        <v/>
      </c>
      <c r="AC191" s="2"/>
      <c r="AD191" s="145"/>
    </row>
    <row r="192" spans="25:30" x14ac:dyDescent="0.2">
      <c r="Y192" s="68" t="s">
        <v>80</v>
      </c>
      <c r="Z192" s="35" t="str">
        <f t="shared" si="71"/>
        <v/>
      </c>
      <c r="AA192" s="13">
        <f t="shared" si="70"/>
        <v>0</v>
      </c>
      <c r="AB192" s="13" t="str">
        <f>IF(AA192&gt;0,Y120&amp;Sprache!$E$73&amp;X120,"")</f>
        <v/>
      </c>
      <c r="AC192" s="2"/>
      <c r="AD192" s="145"/>
    </row>
    <row r="193" spans="25:30" x14ac:dyDescent="0.2">
      <c r="Y193" s="68" t="s">
        <v>81</v>
      </c>
      <c r="Z193" s="35" t="str">
        <f t="shared" si="71"/>
        <v/>
      </c>
      <c r="AA193" s="13">
        <f t="shared" si="70"/>
        <v>0</v>
      </c>
      <c r="AB193" s="13" t="str">
        <f>IF(AA193&gt;0,Y121&amp;Sprache!$E$73&amp;X121,"")</f>
        <v/>
      </c>
      <c r="AC193" s="2"/>
      <c r="AD193" s="145"/>
    </row>
    <row r="194" spans="25:30" x14ac:dyDescent="0.2">
      <c r="Y194" s="68" t="s">
        <v>82</v>
      </c>
      <c r="Z194" s="35" t="str">
        <f t="shared" si="71"/>
        <v/>
      </c>
      <c r="AA194" s="13">
        <f t="shared" si="70"/>
        <v>0</v>
      </c>
      <c r="AB194" s="13" t="str">
        <f>IF(AA194&gt;0,Y122&amp;Sprache!$E$73&amp;X122,"")</f>
        <v/>
      </c>
      <c r="AC194" s="2"/>
      <c r="AD194" s="145"/>
    </row>
    <row r="195" spans="25:30" x14ac:dyDescent="0.2">
      <c r="Y195" s="68" t="s">
        <v>83</v>
      </c>
      <c r="Z195" s="35" t="str">
        <f t="shared" si="71"/>
        <v/>
      </c>
      <c r="AA195" s="13">
        <f t="shared" si="70"/>
        <v>0</v>
      </c>
      <c r="AB195" s="13" t="str">
        <f>IF(AA195&gt;0,Y123&amp;Sprache!$E$73&amp;X123,"")</f>
        <v/>
      </c>
      <c r="AC195" s="2"/>
      <c r="AD195" s="145"/>
    </row>
    <row r="196" spans="25:30" x14ac:dyDescent="0.2">
      <c r="Y196" s="68" t="s">
        <v>84</v>
      </c>
      <c r="Z196" s="35" t="str">
        <f t="shared" si="71"/>
        <v/>
      </c>
      <c r="AA196" s="13">
        <f t="shared" si="70"/>
        <v>0</v>
      </c>
      <c r="AB196" s="13" t="str">
        <f>IF(AA196&gt;0,Y124&amp;Sprache!$E$73&amp;X124,"")</f>
        <v/>
      </c>
      <c r="AC196" s="2"/>
      <c r="AD196" s="145"/>
    </row>
    <row r="197" spans="25:30" x14ac:dyDescent="0.2">
      <c r="Y197" s="68" t="s">
        <v>85</v>
      </c>
      <c r="Z197" s="35" t="str">
        <f t="shared" si="71"/>
        <v/>
      </c>
      <c r="AA197" s="13">
        <f t="shared" si="70"/>
        <v>0</v>
      </c>
      <c r="AB197" s="13" t="str">
        <f>IF(AA197&gt;0,Y125&amp;Sprache!$E$73&amp;X125,"")</f>
        <v/>
      </c>
      <c r="AC197" s="2"/>
      <c r="AD197" s="145"/>
    </row>
    <row r="198" spans="25:30" x14ac:dyDescent="0.2">
      <c r="Y198" s="68" t="s">
        <v>86</v>
      </c>
      <c r="Z198" s="35" t="str">
        <f t="shared" si="71"/>
        <v/>
      </c>
      <c r="AA198" s="13">
        <f t="shared" si="70"/>
        <v>0</v>
      </c>
      <c r="AB198" s="13" t="str">
        <f>IF(AA198&gt;0,Y126&amp;Sprache!$E$73&amp;X126,"")</f>
        <v/>
      </c>
      <c r="AC198" s="2"/>
      <c r="AD198" s="145"/>
    </row>
    <row r="199" spans="25:30" x14ac:dyDescent="0.2">
      <c r="Y199" s="68" t="s">
        <v>87</v>
      </c>
      <c r="Z199" s="35" t="str">
        <f t="shared" si="71"/>
        <v/>
      </c>
      <c r="AA199" s="13">
        <f t="shared" si="70"/>
        <v>0</v>
      </c>
      <c r="AB199" s="13" t="str">
        <f>IF(AA199&gt;0,Y127&amp;Sprache!$E$73&amp;X127,"")</f>
        <v/>
      </c>
      <c r="AC199" s="2"/>
      <c r="AD199" s="145"/>
    </row>
    <row r="200" spans="25:30" x14ac:dyDescent="0.2">
      <c r="Y200" s="68" t="s">
        <v>88</v>
      </c>
      <c r="Z200" s="35" t="str">
        <f t="shared" si="71"/>
        <v/>
      </c>
      <c r="AA200" s="13">
        <f t="shared" si="70"/>
        <v>0</v>
      </c>
      <c r="AB200" s="13" t="str">
        <f>IF(AA200&gt;0,Y128&amp;Sprache!$E$73&amp;X128,"")</f>
        <v/>
      </c>
      <c r="AC200" s="2"/>
      <c r="AD200" s="145"/>
    </row>
    <row r="201" spans="25:30" x14ac:dyDescent="0.2">
      <c r="Y201" s="68" t="s">
        <v>89</v>
      </c>
      <c r="Z201" s="35" t="str">
        <f t="shared" si="71"/>
        <v/>
      </c>
      <c r="AA201" s="13">
        <f t="shared" ref="AA201:AA207" si="72">AA129</f>
        <v>0</v>
      </c>
      <c r="AB201" s="13" t="str">
        <f>IF(AA201&gt;0,Y129&amp;Sprache!$E$73&amp;X129,"")</f>
        <v/>
      </c>
      <c r="AC201" s="2"/>
      <c r="AD201" s="145"/>
    </row>
    <row r="202" spans="25:30" x14ac:dyDescent="0.2">
      <c r="Y202" s="68" t="s">
        <v>90</v>
      </c>
      <c r="Z202" s="35" t="str">
        <f t="shared" ref="Z202:Z206" si="73">W130&amp;V130</f>
        <v/>
      </c>
      <c r="AA202" s="13">
        <f t="shared" si="72"/>
        <v>0</v>
      </c>
      <c r="AB202" s="13" t="str">
        <f>IF(AA202&gt;0,Y130&amp;Sprache!$E$73&amp;X130,"")</f>
        <v/>
      </c>
      <c r="AC202" s="2"/>
      <c r="AD202" s="145"/>
    </row>
    <row r="203" spans="25:30" x14ac:dyDescent="0.2">
      <c r="Y203" s="68" t="s">
        <v>91</v>
      </c>
      <c r="Z203" s="35" t="str">
        <f t="shared" si="73"/>
        <v/>
      </c>
      <c r="AA203" s="13">
        <f t="shared" si="72"/>
        <v>0</v>
      </c>
      <c r="AB203" s="13" t="str">
        <f>IF(AA203&gt;0,Y131&amp;Sprache!$E$73&amp;X131,"")</f>
        <v/>
      </c>
      <c r="AC203" s="2"/>
      <c r="AD203" s="145"/>
    </row>
    <row r="204" spans="25:30" x14ac:dyDescent="0.2">
      <c r="Y204" s="68" t="s">
        <v>92</v>
      </c>
      <c r="Z204" s="35" t="str">
        <f t="shared" si="73"/>
        <v/>
      </c>
      <c r="AA204" s="13">
        <f t="shared" si="72"/>
        <v>0</v>
      </c>
      <c r="AB204" s="13" t="str">
        <f>IF(AA204&gt;0,Y132&amp;Sprache!$E$73&amp;X132,"")</f>
        <v/>
      </c>
      <c r="AC204" s="2"/>
      <c r="AD204" s="145"/>
    </row>
    <row r="205" spans="25:30" x14ac:dyDescent="0.2">
      <c r="Y205" s="68" t="s">
        <v>93</v>
      </c>
      <c r="Z205" s="35" t="str">
        <f t="shared" si="73"/>
        <v/>
      </c>
      <c r="AA205" s="13">
        <f t="shared" si="72"/>
        <v>0</v>
      </c>
      <c r="AB205" s="13" t="str">
        <f>IF(AA205&gt;0,Y133&amp;Sprache!$E$73&amp;X133,"")</f>
        <v/>
      </c>
      <c r="AC205" s="2"/>
      <c r="AD205" s="145"/>
    </row>
    <row r="206" spans="25:30" x14ac:dyDescent="0.2">
      <c r="Y206" s="68" t="s">
        <v>94</v>
      </c>
      <c r="Z206" s="35" t="str">
        <f t="shared" si="73"/>
        <v/>
      </c>
      <c r="AA206" s="13">
        <f t="shared" si="72"/>
        <v>0</v>
      </c>
      <c r="AB206" s="13" t="str">
        <f>IF(AA206&gt;0,Y134&amp;Sprache!$E$73&amp;X134,"")</f>
        <v/>
      </c>
      <c r="AC206" s="2"/>
      <c r="AD206" s="145"/>
    </row>
    <row r="207" spans="25:30" ht="12.75" thickBot="1" x14ac:dyDescent="0.25">
      <c r="Y207" s="69" t="s">
        <v>95</v>
      </c>
      <c r="Z207" s="37" t="str">
        <f>W135&amp;V135</f>
        <v/>
      </c>
      <c r="AA207" s="38">
        <f t="shared" si="72"/>
        <v>0</v>
      </c>
      <c r="AB207" s="146" t="str">
        <f>IF(AA207&gt;0,Y135&amp;Sprache!$E$73&amp;X135,"")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639C-05DC-465C-8A1D-6F507C994F6A}">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65">
        <f ca="1">IF($O$4&lt;10,$O$4,0)</f>
        <v>0</v>
      </c>
      <c r="X3" s="766"/>
      <c r="Y3" s="766"/>
      <c r="Z3" s="766"/>
      <c r="AA3" s="766"/>
      <c r="AB3" s="765">
        <f ca="1">IF($P$4&lt;10,$P$4,0)</f>
        <v>0</v>
      </c>
      <c r="AC3" s="766"/>
      <c r="AD3" s="766"/>
      <c r="AE3" s="766"/>
      <c r="AF3" s="766"/>
      <c r="AG3" s="765">
        <f ca="1">IF($Q$4&lt;10,$Q$4,0)</f>
        <v>0</v>
      </c>
      <c r="AH3" s="766"/>
      <c r="AI3" s="766"/>
      <c r="AJ3" s="766"/>
      <c r="AK3" s="766"/>
      <c r="AL3" s="765">
        <f ca="1">IF($R$4&lt;10,$R$4,0)</f>
        <v>0</v>
      </c>
      <c r="AM3" s="766"/>
      <c r="AN3" s="766"/>
      <c r="AO3" s="766"/>
      <c r="AP3" s="766"/>
    </row>
    <row r="4" spans="1:42" s="2" customFormat="1" ht="12.75" thickTop="1" x14ac:dyDescent="0.2">
      <c r="A4" s="239"/>
      <c r="B4" s="1">
        <v>1</v>
      </c>
      <c r="C4" s="21">
        <f ca="1">RANK(D4,$D$4:$D$12,1)</f>
        <v>3</v>
      </c>
      <c r="D4" s="13">
        <f ca="1">E4+ROW()/1000+(F4="")*10</f>
        <v>3.004</v>
      </c>
      <c r="E4" s="250">
        <f ca="1">IF($AI$15,RANK(AH17,AH$17:AH$25,1),RANK(X17,X$17:X$25,1))</f>
        <v>3</v>
      </c>
      <c r="F4" s="1" t="str">
        <f ca="1">$Q64</f>
        <v>VFB Essenheim</v>
      </c>
      <c r="G4" s="1">
        <f t="shared" ref="G4:G12" ca="1" si="1">SUMIFS($X$64:$X$135,$V$64:$V$135,$F4)+SUMIFS($Y$64:$Y$135,$W$64:$W$135,$F4)</f>
        <v>11</v>
      </c>
      <c r="H4" s="1">
        <f t="shared" ref="H4:H12" ca="1" si="2">SUMIFS($Y$64:$Y$135,$V$64:$V$135,$F4)+SUMIFS($X$64:$X$135,$W$64:$W$135,$F4)</f>
        <v>19</v>
      </c>
      <c r="I4" s="13">
        <f t="shared" ref="I4:I12" ca="1" si="3">G4-H4</f>
        <v>-8</v>
      </c>
      <c r="J4" s="1">
        <f ca="1">SUMIF($V$64:$V$135,F4,$AE$64:$AE$135)+SUMIF($W$64:$W$135,F4,$AF$64:$AF$135)</f>
        <v>1</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1.0504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1.0504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1.0504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1.0504</v>
      </c>
      <c r="AP4" s="544">
        <f ca="1">RANK($AO4,$AO$4:$AO$12,1)</f>
        <v>1</v>
      </c>
    </row>
    <row r="5" spans="1:42" s="2" customFormat="1" x14ac:dyDescent="0.2">
      <c r="A5" s="239"/>
      <c r="B5" s="1">
        <v>2</v>
      </c>
      <c r="C5" s="22">
        <f t="shared" ref="C5:C12" ca="1" si="11">RANK(D5,$D$4:$D$12,1)</f>
        <v>2</v>
      </c>
      <c r="D5" s="13">
        <f t="shared" ref="D5:D12" ca="1" si="12">E5+ROW()/1000+(F5="")*10</f>
        <v>2.0049999999999999</v>
      </c>
      <c r="E5" s="250">
        <f t="shared" ref="E5:E12" ca="1" si="13">IF($AI$15,RANK(AH18,AH$17:AH$25,1),RANK(X18,X$17:X$25,1))</f>
        <v>2</v>
      </c>
      <c r="F5" s="1" t="str">
        <f t="shared" ref="F5:F12" ca="1" si="14">$Q65</f>
        <v>VFL Ronsdorf</v>
      </c>
      <c r="G5" s="1">
        <f t="shared" ca="1" si="1"/>
        <v>16</v>
      </c>
      <c r="H5" s="1">
        <f t="shared" ca="1" si="2"/>
        <v>12</v>
      </c>
      <c r="I5" s="13">
        <f t="shared" ca="1" si="3"/>
        <v>4</v>
      </c>
      <c r="J5" s="1">
        <f t="shared" ref="J5:J12" ca="1" si="15">SUMIF($V$64:$V$135,F5,$AE$64:$AE$135)+SUMIF($W$64:$W$135,F5,$AF$64:$AF$135)</f>
        <v>6</v>
      </c>
      <c r="K5" s="1">
        <f t="shared" ca="1" si="4"/>
        <v>3</v>
      </c>
      <c r="L5" s="1">
        <f t="shared" ca="1" si="5"/>
        <v>2</v>
      </c>
      <c r="M5" s="1">
        <f t="shared" ca="1" si="6"/>
        <v>0</v>
      </c>
      <c r="N5" s="1">
        <f t="shared" ca="1" si="7"/>
        <v>1</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1.0505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1.0505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1.0505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1.0505</v>
      </c>
      <c r="AP5" s="544">
        <f t="shared" ref="AP5:AP12" ca="1" si="28">RANK($AO5,$AO$4:$AO$12,1)</f>
        <v>2</v>
      </c>
    </row>
    <row r="6" spans="1:42" s="2" customFormat="1" x14ac:dyDescent="0.2">
      <c r="A6" s="239"/>
      <c r="B6" s="1">
        <v>3</v>
      </c>
      <c r="C6" s="22">
        <f t="shared" ca="1" si="11"/>
        <v>4</v>
      </c>
      <c r="D6" s="13">
        <f t="shared" ca="1" si="12"/>
        <v>4.0060000000000002</v>
      </c>
      <c r="E6" s="250">
        <f t="shared" ca="1" si="13"/>
        <v>4</v>
      </c>
      <c r="F6" s="1" t="str">
        <f t="shared" ca="1" si="14"/>
        <v>1. FC Riedwald</v>
      </c>
      <c r="G6" s="1">
        <f t="shared" ca="1" si="1"/>
        <v>5</v>
      </c>
      <c r="H6" s="1">
        <f t="shared" ca="1" si="2"/>
        <v>13</v>
      </c>
      <c r="I6" s="13">
        <f t="shared" ca="1" si="3"/>
        <v>-8</v>
      </c>
      <c r="J6" s="1">
        <f t="shared" ca="1" si="15"/>
        <v>1</v>
      </c>
      <c r="K6" s="1">
        <f t="shared" ca="1" si="4"/>
        <v>3</v>
      </c>
      <c r="L6" s="1">
        <f t="shared" ca="1" si="5"/>
        <v>0</v>
      </c>
      <c r="M6" s="1">
        <f t="shared" ca="1" si="6"/>
        <v>1</v>
      </c>
      <c r="N6" s="1">
        <f t="shared" ca="1" si="7"/>
        <v>2</v>
      </c>
      <c r="O6" s="24"/>
      <c r="P6" s="25"/>
      <c r="V6" s="1"/>
      <c r="W6" s="541" t="str">
        <f t="shared" ca="1" si="16"/>
        <v/>
      </c>
      <c r="X6" s="542" t="str">
        <f t="shared" ca="1" si="17"/>
        <v/>
      </c>
      <c r="Y6" s="539">
        <f t="shared" ca="1" si="18"/>
        <v>99999</v>
      </c>
      <c r="Z6" s="539">
        <f ca="1">RANK(Y6,Y$4:Y$12,1)+INDEX($E$4:$E$12,MATCH(W6,$F$4:$F$12,0))/100+ROW()/10000</f>
        <v>1.0506</v>
      </c>
      <c r="AA6" s="544">
        <f t="shared" ca="1" si="19"/>
        <v>3</v>
      </c>
      <c r="AB6" s="541" t="str">
        <f t="shared" ca="1" si="8"/>
        <v/>
      </c>
      <c r="AC6" s="542" t="str">
        <f t="shared" ca="1" si="20"/>
        <v/>
      </c>
      <c r="AD6" s="543">
        <f t="shared" ca="1" si="21"/>
        <v>99999</v>
      </c>
      <c r="AE6" s="539">
        <f ca="1">RANK(AD6,AD$4:AD$12,1)+INDEX($E$4:$E$12,MATCH(AB6,$F$4:$F$12,0))/100+ROW()/10000</f>
        <v>1.0506</v>
      </c>
      <c r="AF6" s="539">
        <f t="shared" ca="1" si="22"/>
        <v>3</v>
      </c>
      <c r="AG6" s="541" t="str">
        <f t="shared" ca="1" si="9"/>
        <v/>
      </c>
      <c r="AH6" s="542" t="str">
        <f t="shared" ca="1" si="23"/>
        <v/>
      </c>
      <c r="AI6" s="543">
        <f t="shared" ca="1" si="24"/>
        <v>99999</v>
      </c>
      <c r="AJ6" s="539">
        <f ca="1">RANK(AI6,AI$4:AI$12,1)+INDEX($E$4:$E$12,MATCH(AG6,$F$4:$F$12,0))/100+ROW()/10000</f>
        <v>1.0506</v>
      </c>
      <c r="AK6" s="544">
        <f t="shared" ca="1" si="25"/>
        <v>3</v>
      </c>
      <c r="AL6" s="542" t="str">
        <f t="shared" ca="1" si="10"/>
        <v/>
      </c>
      <c r="AM6" s="542" t="str">
        <f t="shared" ca="1" si="26"/>
        <v/>
      </c>
      <c r="AN6" s="543">
        <f t="shared" ca="1" si="27"/>
        <v>99999</v>
      </c>
      <c r="AO6" s="539">
        <f ca="1">RANK(AN6,AN$4:AN$12,1)+INDEX($E$4:$E$12,MATCH(AL6,$F$4:$F$12,0))/100+ROW()/10000</f>
        <v>1.0506</v>
      </c>
      <c r="AP6" s="544">
        <f t="shared" ca="1" si="28"/>
        <v>3</v>
      </c>
    </row>
    <row r="7" spans="1:42" s="2" customFormat="1" x14ac:dyDescent="0.2">
      <c r="A7" s="239"/>
      <c r="B7" s="1">
        <v>4</v>
      </c>
      <c r="C7" s="22">
        <f t="shared" ca="1" si="11"/>
        <v>1</v>
      </c>
      <c r="D7" s="13">
        <f t="shared" ca="1" si="12"/>
        <v>1.0069999999999999</v>
      </c>
      <c r="E7" s="250">
        <f t="shared" ca="1" si="13"/>
        <v>1</v>
      </c>
      <c r="F7" s="1" t="str">
        <f t="shared" ca="1" si="14"/>
        <v>SSV Wildbach</v>
      </c>
      <c r="G7" s="1">
        <f t="shared" ca="1" si="1"/>
        <v>18</v>
      </c>
      <c r="H7" s="1">
        <f t="shared" ca="1" si="2"/>
        <v>6</v>
      </c>
      <c r="I7" s="13">
        <f t="shared" ca="1" si="3"/>
        <v>12</v>
      </c>
      <c r="J7" s="1">
        <f t="shared" ca="1" si="15"/>
        <v>9</v>
      </c>
      <c r="K7" s="1">
        <f t="shared" ca="1" si="4"/>
        <v>3</v>
      </c>
      <c r="L7" s="1">
        <f t="shared" ca="1" si="5"/>
        <v>3</v>
      </c>
      <c r="M7" s="1">
        <f t="shared" ca="1" si="6"/>
        <v>0</v>
      </c>
      <c r="N7" s="1">
        <f t="shared" ca="1" si="7"/>
        <v>0</v>
      </c>
      <c r="O7" s="24"/>
      <c r="P7" s="25"/>
      <c r="V7" s="1"/>
      <c r="W7" s="541" t="str">
        <f t="shared" ca="1" si="16"/>
        <v/>
      </c>
      <c r="X7" s="542" t="str">
        <f t="shared" ca="1" si="17"/>
        <v/>
      </c>
      <c r="Y7" s="539">
        <f t="shared" ca="1" si="18"/>
        <v>99999</v>
      </c>
      <c r="Z7" s="539">
        <f ca="1">RANK(Y7,Y$4:Y$12,1)+INDEX($E$4:$E$12,MATCH(W7,$F$4:$F$12,0))/100+ROW()/10000</f>
        <v>1.0507</v>
      </c>
      <c r="AA7" s="544">
        <f t="shared" ca="1" si="19"/>
        <v>4</v>
      </c>
      <c r="AB7" s="541" t="str">
        <f t="shared" ca="1" si="8"/>
        <v/>
      </c>
      <c r="AC7" s="542" t="str">
        <f t="shared" ca="1" si="20"/>
        <v/>
      </c>
      <c r="AD7" s="543">
        <f t="shared" ca="1" si="21"/>
        <v>99999</v>
      </c>
      <c r="AE7" s="539">
        <f ca="1">RANK(AD7,AD$4:AD$12,1)+INDEX($E$4:$E$12,MATCH(AB7,$F$4:$F$12,0))/100+ROW()/10000</f>
        <v>1.0507</v>
      </c>
      <c r="AF7" s="539">
        <f t="shared" ca="1" si="22"/>
        <v>4</v>
      </c>
      <c r="AG7" s="541" t="str">
        <f t="shared" ca="1" si="9"/>
        <v/>
      </c>
      <c r="AH7" s="542" t="str">
        <f t="shared" ca="1" si="23"/>
        <v/>
      </c>
      <c r="AI7" s="543">
        <f t="shared" ca="1" si="24"/>
        <v>99999</v>
      </c>
      <c r="AJ7" s="539">
        <f ca="1">RANK(AI7,AI$4:AI$12,1)+INDEX($E$4:$E$12,MATCH(AG7,$F$4:$F$12,0))/100+ROW()/10000</f>
        <v>1.0507</v>
      </c>
      <c r="AK7" s="544">
        <f t="shared" ca="1" si="25"/>
        <v>4</v>
      </c>
      <c r="AL7" s="542" t="str">
        <f t="shared" ca="1" si="10"/>
        <v/>
      </c>
      <c r="AM7" s="542" t="str">
        <f t="shared" ca="1" si="26"/>
        <v/>
      </c>
      <c r="AN7" s="543">
        <f t="shared" ca="1" si="27"/>
        <v>99999</v>
      </c>
      <c r="AO7" s="539">
        <f ca="1">RANK(AN7,AN$4:AN$12,1)+INDEX($E$4:$E$12,MATCH(AL7,$F$4:$F$12,0))/100+ROW()/10000</f>
        <v>1.0507</v>
      </c>
      <c r="AP7" s="544">
        <f t="shared" ca="1" si="28"/>
        <v>4</v>
      </c>
    </row>
    <row r="8" spans="1:42" s="2" customFormat="1" x14ac:dyDescent="0.2">
      <c r="A8" s="239"/>
      <c r="B8" s="1">
        <v>5</v>
      </c>
      <c r="C8" s="22">
        <f t="shared" ca="1" si="11"/>
        <v>5</v>
      </c>
      <c r="D8" s="13">
        <f t="shared" ca="1" si="12"/>
        <v>15.007999999999999</v>
      </c>
      <c r="E8" s="250">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1.0508</v>
      </c>
      <c r="AA8" s="544">
        <f t="shared" ca="1" si="19"/>
        <v>5</v>
      </c>
      <c r="AB8" s="541" t="str">
        <f t="shared" ca="1" si="8"/>
        <v/>
      </c>
      <c r="AC8" s="542" t="str">
        <f t="shared" ca="1" si="20"/>
        <v/>
      </c>
      <c r="AD8" s="543">
        <f t="shared" ca="1" si="21"/>
        <v>99999</v>
      </c>
      <c r="AE8" s="539">
        <f t="shared" ref="AE8:AE12" ca="1" si="30">RANK(AD8,AD$4:AD$12,1)+INDEX($E$4:$E$12,MATCH(AB8,$F$4:$F$12,0))/100+ROW()/10000</f>
        <v>1.0508</v>
      </c>
      <c r="AF8" s="539">
        <f t="shared" ca="1" si="22"/>
        <v>5</v>
      </c>
      <c r="AG8" s="541" t="str">
        <f t="shared" ca="1" si="9"/>
        <v/>
      </c>
      <c r="AH8" s="542" t="str">
        <f t="shared" ca="1" si="23"/>
        <v/>
      </c>
      <c r="AI8" s="543">
        <f t="shared" ca="1" si="24"/>
        <v>99999</v>
      </c>
      <c r="AJ8" s="539">
        <f t="shared" ref="AJ8:AJ12" ca="1" si="31">RANK(AI8,AI$4:AI$12,1)+INDEX($E$4:$E$12,MATCH(AG8,$F$4:$F$12,0))/100+ROW()/10000</f>
        <v>1.0508</v>
      </c>
      <c r="AK8" s="544">
        <f t="shared" ca="1" si="25"/>
        <v>5</v>
      </c>
      <c r="AL8" s="542" t="str">
        <f t="shared" ca="1" si="10"/>
        <v/>
      </c>
      <c r="AM8" s="542" t="str">
        <f t="shared" ca="1" si="26"/>
        <v/>
      </c>
      <c r="AN8" s="543">
        <f t="shared" ca="1" si="27"/>
        <v>99999</v>
      </c>
      <c r="AO8" s="539">
        <f t="shared" ref="AO8:AO12" ca="1" si="32">RANK(AN8,AN$4:AN$12,1)+INDEX($E$4:$E$12,MATCH(AL8,$F$4:$F$12,0))/100+ROW()/10000</f>
        <v>1.0508</v>
      </c>
      <c r="AP8" s="544">
        <f t="shared" ca="1" si="28"/>
        <v>5</v>
      </c>
    </row>
    <row r="9" spans="1:42" s="2" customFormat="1" x14ac:dyDescent="0.2">
      <c r="A9" s="239"/>
      <c r="B9" s="1">
        <v>6</v>
      </c>
      <c r="C9" s="22">
        <f t="shared" ca="1" si="11"/>
        <v>6</v>
      </c>
      <c r="D9" s="13">
        <f t="shared" ca="1" si="12"/>
        <v>15.009</v>
      </c>
      <c r="E9" s="250">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1.0508999999999999</v>
      </c>
      <c r="AA9" s="544">
        <f t="shared" ca="1" si="19"/>
        <v>6</v>
      </c>
      <c r="AB9" s="541" t="str">
        <f t="shared" ca="1" si="8"/>
        <v/>
      </c>
      <c r="AC9" s="542" t="str">
        <f t="shared" ca="1" si="20"/>
        <v/>
      </c>
      <c r="AD9" s="543">
        <f t="shared" ca="1" si="21"/>
        <v>99999</v>
      </c>
      <c r="AE9" s="539">
        <f t="shared" ca="1" si="30"/>
        <v>1.0508999999999999</v>
      </c>
      <c r="AF9" s="539">
        <f t="shared" ca="1" si="22"/>
        <v>6</v>
      </c>
      <c r="AG9" s="541" t="str">
        <f t="shared" ca="1" si="9"/>
        <v/>
      </c>
      <c r="AH9" s="542" t="str">
        <f t="shared" ca="1" si="23"/>
        <v/>
      </c>
      <c r="AI9" s="543">
        <f t="shared" ca="1" si="24"/>
        <v>99999</v>
      </c>
      <c r="AJ9" s="539">
        <f t="shared" ca="1" si="31"/>
        <v>1.0508999999999999</v>
      </c>
      <c r="AK9" s="544">
        <f t="shared" ca="1" si="25"/>
        <v>6</v>
      </c>
      <c r="AL9" s="542" t="str">
        <f t="shared" ca="1" si="10"/>
        <v/>
      </c>
      <c r="AM9" s="542" t="str">
        <f t="shared" ca="1" si="26"/>
        <v/>
      </c>
      <c r="AN9" s="543">
        <f t="shared" ca="1" si="27"/>
        <v>99999</v>
      </c>
      <c r="AO9" s="539">
        <f t="shared" ca="1" si="32"/>
        <v>1.0508999999999999</v>
      </c>
      <c r="AP9" s="544">
        <f t="shared" ca="1" si="28"/>
        <v>6</v>
      </c>
    </row>
    <row r="10" spans="1:42" s="2" customFormat="1" x14ac:dyDescent="0.2">
      <c r="A10" s="239"/>
      <c r="B10" s="1">
        <v>7</v>
      </c>
      <c r="C10" s="22">
        <f t="shared" ca="1" si="11"/>
        <v>7</v>
      </c>
      <c r="D10" s="13">
        <f t="shared" ca="1" si="12"/>
        <v>15.01</v>
      </c>
      <c r="E10" s="250">
        <f t="shared" ca="1" si="13"/>
        <v>5</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1.0509999999999999</v>
      </c>
      <c r="AA10" s="544">
        <f t="shared" ca="1" si="19"/>
        <v>7</v>
      </c>
      <c r="AB10" s="541" t="str">
        <f t="shared" ca="1" si="8"/>
        <v/>
      </c>
      <c r="AC10" s="542" t="str">
        <f t="shared" ca="1" si="20"/>
        <v/>
      </c>
      <c r="AD10" s="543">
        <f t="shared" ca="1" si="21"/>
        <v>99999</v>
      </c>
      <c r="AE10" s="539">
        <f t="shared" ca="1" si="30"/>
        <v>1.0509999999999999</v>
      </c>
      <c r="AF10" s="539">
        <f t="shared" ca="1" si="22"/>
        <v>7</v>
      </c>
      <c r="AG10" s="541" t="str">
        <f t="shared" ca="1" si="9"/>
        <v/>
      </c>
      <c r="AH10" s="542" t="str">
        <f t="shared" ca="1" si="23"/>
        <v/>
      </c>
      <c r="AI10" s="543">
        <f t="shared" ca="1" si="24"/>
        <v>99999</v>
      </c>
      <c r="AJ10" s="539">
        <f t="shared" ca="1" si="31"/>
        <v>1.0509999999999999</v>
      </c>
      <c r="AK10" s="544">
        <f t="shared" ca="1" si="25"/>
        <v>7</v>
      </c>
      <c r="AL10" s="542" t="str">
        <f t="shared" ca="1" si="10"/>
        <v/>
      </c>
      <c r="AM10" s="542" t="str">
        <f t="shared" ca="1" si="26"/>
        <v/>
      </c>
      <c r="AN10" s="543">
        <f t="shared" ca="1" si="27"/>
        <v>99999</v>
      </c>
      <c r="AO10" s="539">
        <f t="shared" ca="1" si="32"/>
        <v>1.0509999999999999</v>
      </c>
      <c r="AP10" s="544">
        <f t="shared" ca="1" si="28"/>
        <v>7</v>
      </c>
    </row>
    <row r="11" spans="1:42" s="2" customFormat="1" x14ac:dyDescent="0.2">
      <c r="A11" s="239"/>
      <c r="B11" s="1">
        <v>8</v>
      </c>
      <c r="C11" s="22">
        <f t="shared" ca="1" si="11"/>
        <v>8</v>
      </c>
      <c r="D11" s="13">
        <f t="shared" ca="1" si="12"/>
        <v>15.010999999999999</v>
      </c>
      <c r="E11" s="250">
        <f t="shared" ca="1" si="13"/>
        <v>5</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1.0511000000000001</v>
      </c>
      <c r="AA11" s="544">
        <f t="shared" ca="1" si="19"/>
        <v>8</v>
      </c>
      <c r="AB11" s="541" t="str">
        <f t="shared" ca="1" si="8"/>
        <v/>
      </c>
      <c r="AC11" s="542" t="str">
        <f t="shared" ca="1" si="20"/>
        <v/>
      </c>
      <c r="AD11" s="543">
        <f t="shared" ca="1" si="21"/>
        <v>99999</v>
      </c>
      <c r="AE11" s="539">
        <f t="shared" ca="1" si="30"/>
        <v>1.0511000000000001</v>
      </c>
      <c r="AF11" s="539">
        <f t="shared" ca="1" si="22"/>
        <v>8</v>
      </c>
      <c r="AG11" s="541" t="str">
        <f t="shared" ca="1" si="9"/>
        <v/>
      </c>
      <c r="AH11" s="542" t="str">
        <f t="shared" ca="1" si="23"/>
        <v/>
      </c>
      <c r="AI11" s="543">
        <f t="shared" ca="1" si="24"/>
        <v>99999</v>
      </c>
      <c r="AJ11" s="539">
        <f t="shared" ca="1" si="31"/>
        <v>1.0511000000000001</v>
      </c>
      <c r="AK11" s="544">
        <f t="shared" ca="1" si="25"/>
        <v>8</v>
      </c>
      <c r="AL11" s="542" t="str">
        <f t="shared" ca="1" si="10"/>
        <v/>
      </c>
      <c r="AM11" s="542" t="str">
        <f t="shared" ca="1" si="26"/>
        <v/>
      </c>
      <c r="AN11" s="543">
        <f t="shared" ca="1" si="27"/>
        <v>99999</v>
      </c>
      <c r="AO11" s="539">
        <f t="shared" ca="1" si="32"/>
        <v>1.0511000000000001</v>
      </c>
      <c r="AP11" s="544">
        <f t="shared" ca="1" si="28"/>
        <v>8</v>
      </c>
    </row>
    <row r="12" spans="1:42" s="2" customFormat="1" ht="12.75" thickBot="1" x14ac:dyDescent="0.25">
      <c r="A12" s="239"/>
      <c r="B12" s="1">
        <v>9</v>
      </c>
      <c r="C12" s="23">
        <f t="shared" ca="1" si="11"/>
        <v>9</v>
      </c>
      <c r="D12" s="13">
        <f t="shared" ca="1" si="12"/>
        <v>15.012</v>
      </c>
      <c r="E12" s="250">
        <f t="shared" ca="1" si="13"/>
        <v>5</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1.0512000000000001</v>
      </c>
      <c r="AA12" s="548">
        <f t="shared" ca="1" si="19"/>
        <v>9</v>
      </c>
      <c r="AB12" s="545" t="str">
        <f t="shared" ca="1" si="8"/>
        <v/>
      </c>
      <c r="AC12" s="546" t="str">
        <f t="shared" ca="1" si="20"/>
        <v/>
      </c>
      <c r="AD12" s="549">
        <f t="shared" ca="1" si="21"/>
        <v>99999</v>
      </c>
      <c r="AE12" s="547">
        <f t="shared" ca="1" si="30"/>
        <v>1.0512000000000001</v>
      </c>
      <c r="AF12" s="547">
        <f t="shared" ca="1" si="22"/>
        <v>9</v>
      </c>
      <c r="AG12" s="545" t="str">
        <f t="shared" ca="1" si="9"/>
        <v/>
      </c>
      <c r="AH12" s="546" t="str">
        <f t="shared" ca="1" si="23"/>
        <v/>
      </c>
      <c r="AI12" s="549">
        <f t="shared" ca="1" si="24"/>
        <v>99999</v>
      </c>
      <c r="AJ12" s="547">
        <f t="shared" ca="1" si="31"/>
        <v>1.0512000000000001</v>
      </c>
      <c r="AK12" s="548">
        <f t="shared" ca="1" si="25"/>
        <v>9</v>
      </c>
      <c r="AL12" s="546" t="str">
        <f t="shared" ca="1" si="10"/>
        <v/>
      </c>
      <c r="AM12" s="546" t="str">
        <f t="shared" ca="1" si="26"/>
        <v/>
      </c>
      <c r="AN12" s="549">
        <f t="shared" ca="1" si="27"/>
        <v>99999</v>
      </c>
      <c r="AO12" s="547">
        <f t="shared" ca="1" si="32"/>
        <v>1.0512000000000001</v>
      </c>
      <c r="AP12" s="548">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7" t="s">
        <v>190</v>
      </c>
      <c r="AE15" s="768"/>
      <c r="AF15" s="768"/>
      <c r="AG15" s="768"/>
      <c r="AH15" s="769"/>
      <c r="AI15" s="2" t="b">
        <f>(Einstellungen!$B$9=Sprache!$E$78)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VFB Essenheim</v>
      </c>
      <c r="D17" s="1">
        <f t="shared" ref="D17:G25" ca="1" si="33">K4</f>
        <v>3</v>
      </c>
      <c r="E17" s="1">
        <f t="shared" ca="1" si="33"/>
        <v>0</v>
      </c>
      <c r="F17" s="1">
        <f t="shared" ca="1" si="33"/>
        <v>1</v>
      </c>
      <c r="G17" s="1">
        <f t="shared" ca="1" si="33"/>
        <v>2</v>
      </c>
      <c r="H17" s="1">
        <f t="shared" ref="H17:K25" ca="1" si="34">G4</f>
        <v>11</v>
      </c>
      <c r="I17" s="1">
        <f t="shared" ca="1" si="34"/>
        <v>19</v>
      </c>
      <c r="J17" s="13">
        <f t="shared" ca="1" si="34"/>
        <v>-8</v>
      </c>
      <c r="K17" s="1">
        <f t="shared" ca="1" si="34"/>
        <v>1</v>
      </c>
      <c r="L17" s="30">
        <f t="shared" ref="L17:L25" ca="1" si="35">K17*$F$64+(J17+$H$65)*$F$65+H17*$F$66</f>
        <v>1492011</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'Endrunde 4'!$AF33</f>
        <v>0</v>
      </c>
      <c r="Z17" s="1">
        <f ca="1">RANK($W17,$W$17:$W$25)+(9-$Y17)/10</f>
        <v>1.9</v>
      </c>
      <c r="AA17" s="1">
        <f ca="1">SUM(E30:BP30)</f>
        <v>0</v>
      </c>
      <c r="AB17" s="1">
        <f ca="1">SUM(E41:BP41)</f>
        <v>0</v>
      </c>
      <c r="AC17" s="1">
        <f ca="1">SUM(E52:BP52)</f>
        <v>0</v>
      </c>
      <c r="AD17" s="244">
        <f ca="1">RANK($K17,$K$17:$K$25)</f>
        <v>3</v>
      </c>
      <c r="AE17" s="30">
        <f ca="1">(J17+$H$65)*$F$65+H17*$F$66</f>
        <v>492011</v>
      </c>
      <c r="AF17" s="1">
        <f ca="1">RANK($AE17,$AE$17:$AE$25)</f>
        <v>3</v>
      </c>
      <c r="AG17" s="1">
        <f ca="1">RANK($W17,$W$17:$W$25)</f>
        <v>1</v>
      </c>
      <c r="AH17" s="246">
        <f ca="1">AD17+AG17/100+AF17/10000+(10-Y17)/1000000</f>
        <v>3.01031</v>
      </c>
      <c r="AI17" s="1"/>
    </row>
    <row r="18" spans="2:80" s="2" customFormat="1" x14ac:dyDescent="0.2">
      <c r="C18" s="2" t="str">
        <f t="shared" ref="C18:C25" ca="1" si="44">$Q65</f>
        <v>VFL Ronsdorf</v>
      </c>
      <c r="D18" s="1">
        <f t="shared" ca="1" si="33"/>
        <v>3</v>
      </c>
      <c r="E18" s="1">
        <f t="shared" ca="1" si="33"/>
        <v>2</v>
      </c>
      <c r="F18" s="1">
        <f t="shared" ca="1" si="33"/>
        <v>0</v>
      </c>
      <c r="G18" s="1">
        <f t="shared" ca="1" si="33"/>
        <v>1</v>
      </c>
      <c r="H18" s="1">
        <f t="shared" ca="1" si="34"/>
        <v>16</v>
      </c>
      <c r="I18" s="1">
        <f t="shared" ca="1" si="34"/>
        <v>12</v>
      </c>
      <c r="J18" s="13">
        <f t="shared" ca="1" si="34"/>
        <v>4</v>
      </c>
      <c r="K18" s="1">
        <f t="shared" ca="1" si="34"/>
        <v>6</v>
      </c>
      <c r="L18" s="30">
        <f t="shared" ca="1" si="35"/>
        <v>6504016</v>
      </c>
      <c r="M18" s="14">
        <f t="shared" ref="M18:M25" ca="1" si="45">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2.0108999999999999</v>
      </c>
      <c r="Y18" s="13">
        <f>'Endrunde 4'!$AF34</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2</v>
      </c>
      <c r="AE18" s="30">
        <f ca="1">(J18+$H$65)*$F$65+H18*$F$66</f>
        <v>504016</v>
      </c>
      <c r="AF18" s="1">
        <f t="shared" ref="AF18:AF25" ca="1" si="52">RANK($AE18,$AE$17:$AE$25)</f>
        <v>2</v>
      </c>
      <c r="AG18" s="1">
        <f t="shared" ref="AG18:AG25" ca="1" si="53">RANK($W18,$W$17:$W$25)</f>
        <v>1</v>
      </c>
      <c r="AH18" s="247">
        <f t="shared" ref="AH18:AH25" ca="1" si="54">AD18+AG18/100+AF18/10000+(10-Y18)/1000000</f>
        <v>2.0102099999999998</v>
      </c>
      <c r="AI18" s="1"/>
    </row>
    <row r="19" spans="2:80" s="2" customFormat="1" x14ac:dyDescent="0.2">
      <c r="C19" s="2" t="str">
        <f t="shared" ca="1" si="44"/>
        <v>1. FC Riedwald</v>
      </c>
      <c r="D19" s="1">
        <f t="shared" ca="1" si="33"/>
        <v>3</v>
      </c>
      <c r="E19" s="1">
        <f t="shared" ca="1" si="33"/>
        <v>0</v>
      </c>
      <c r="F19" s="1">
        <f t="shared" ca="1" si="33"/>
        <v>1</v>
      </c>
      <c r="G19" s="1">
        <f t="shared" ca="1" si="33"/>
        <v>2</v>
      </c>
      <c r="H19" s="1">
        <f t="shared" ca="1" si="34"/>
        <v>5</v>
      </c>
      <c r="I19" s="1">
        <f t="shared" ca="1" si="34"/>
        <v>13</v>
      </c>
      <c r="J19" s="13">
        <f t="shared" ca="1" si="34"/>
        <v>-8</v>
      </c>
      <c r="K19" s="1">
        <f t="shared" ca="1" si="34"/>
        <v>1</v>
      </c>
      <c r="L19" s="30">
        <f t="shared" ca="1" si="35"/>
        <v>1492005</v>
      </c>
      <c r="M19" s="14">
        <f t="shared" ca="1" si="45"/>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4.0108999999999995</v>
      </c>
      <c r="Y19" s="13">
        <f>'Endrunde 4'!$AF35</f>
        <v>0</v>
      </c>
      <c r="Z19" s="1">
        <f t="shared" ca="1" si="47"/>
        <v>1.9</v>
      </c>
      <c r="AA19" s="1">
        <f t="shared" ca="1" si="48"/>
        <v>0</v>
      </c>
      <c r="AB19" s="1">
        <f t="shared" ca="1" si="49"/>
        <v>0</v>
      </c>
      <c r="AC19" s="1">
        <f t="shared" ca="1" si="50"/>
        <v>0</v>
      </c>
      <c r="AD19" s="244">
        <f t="shared" ca="1" si="51"/>
        <v>3</v>
      </c>
      <c r="AE19" s="30">
        <f ca="1">(J19+$H$65)*$F$65+H19*$F$66</f>
        <v>492005</v>
      </c>
      <c r="AF19" s="1">
        <f t="shared" ca="1" si="52"/>
        <v>4</v>
      </c>
      <c r="AG19" s="1">
        <f t="shared" ca="1" si="53"/>
        <v>1</v>
      </c>
      <c r="AH19" s="247">
        <f t="shared" ca="1" si="54"/>
        <v>3.0104099999999998</v>
      </c>
      <c r="AI19" s="1"/>
    </row>
    <row r="20" spans="2:80" s="2" customFormat="1" x14ac:dyDescent="0.2">
      <c r="C20" s="2" t="str">
        <f t="shared" ca="1" si="44"/>
        <v>SSV Wildbach</v>
      </c>
      <c r="D20" s="1">
        <f t="shared" ca="1" si="33"/>
        <v>3</v>
      </c>
      <c r="E20" s="1">
        <f t="shared" ca="1" si="33"/>
        <v>3</v>
      </c>
      <c r="F20" s="1">
        <f t="shared" ca="1" si="33"/>
        <v>0</v>
      </c>
      <c r="G20" s="1">
        <f t="shared" ca="1" si="33"/>
        <v>0</v>
      </c>
      <c r="H20" s="1">
        <f t="shared" ca="1" si="34"/>
        <v>18</v>
      </c>
      <c r="I20" s="1">
        <f t="shared" ca="1" si="34"/>
        <v>6</v>
      </c>
      <c r="J20" s="13">
        <f t="shared" ca="1" si="34"/>
        <v>12</v>
      </c>
      <c r="K20" s="1">
        <f t="shared" ca="1" si="34"/>
        <v>9</v>
      </c>
      <c r="L20" s="30">
        <f t="shared" ca="1" si="35"/>
        <v>9512018</v>
      </c>
      <c r="M20" s="14">
        <f t="shared" ca="1" si="45"/>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1.0108999999999999</v>
      </c>
      <c r="Y20" s="13">
        <f>'Endrunde 4'!$AF36</f>
        <v>0</v>
      </c>
      <c r="Z20" s="1">
        <f t="shared" ca="1" si="47"/>
        <v>1.9</v>
      </c>
      <c r="AA20" s="1">
        <f t="shared" ca="1" si="48"/>
        <v>0</v>
      </c>
      <c r="AB20" s="1">
        <f t="shared" ca="1" si="49"/>
        <v>0</v>
      </c>
      <c r="AC20" s="1">
        <f t="shared" ca="1" si="50"/>
        <v>0</v>
      </c>
      <c r="AD20" s="244">
        <f t="shared" ca="1" si="51"/>
        <v>1</v>
      </c>
      <c r="AE20" s="30">
        <f ca="1">(J20+$H$65)*$F$65+H20*$F$66</f>
        <v>512018</v>
      </c>
      <c r="AF20" s="1">
        <f t="shared" ca="1" si="52"/>
        <v>1</v>
      </c>
      <c r="AG20" s="1">
        <f t="shared" ca="1" si="53"/>
        <v>1</v>
      </c>
      <c r="AH20" s="247">
        <f t="shared" ca="1" si="54"/>
        <v>1.0101100000000001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5.0508999999999995</v>
      </c>
      <c r="Y21" s="13">
        <v>0</v>
      </c>
      <c r="Z21" s="1">
        <f t="shared" ca="1" si="47"/>
        <v>5.9</v>
      </c>
      <c r="AA21" s="1">
        <f t="shared" ca="1" si="48"/>
        <v>0</v>
      </c>
      <c r="AB21" s="1">
        <f t="shared" ca="1" si="49"/>
        <v>0</v>
      </c>
      <c r="AC21" s="1">
        <f t="shared" ca="1" si="50"/>
        <v>0</v>
      </c>
      <c r="AD21" s="244">
        <f t="shared" ca="1" si="51"/>
        <v>5</v>
      </c>
      <c r="AE21" s="30">
        <v>0</v>
      </c>
      <c r="AF21" s="1">
        <f t="shared" ca="1" si="52"/>
        <v>5</v>
      </c>
      <c r="AG21" s="1">
        <f t="shared" ca="1" si="53"/>
        <v>5</v>
      </c>
      <c r="AH21" s="247">
        <f t="shared" ca="1" si="54"/>
        <v>5.0505099999999992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5.0508999999999995</v>
      </c>
      <c r="Y22" s="13">
        <v>0</v>
      </c>
      <c r="Z22" s="1">
        <f t="shared" ca="1" si="47"/>
        <v>5.9</v>
      </c>
      <c r="AA22" s="1">
        <f t="shared" ca="1" si="48"/>
        <v>0</v>
      </c>
      <c r="AB22" s="1">
        <f t="shared" ca="1" si="49"/>
        <v>0</v>
      </c>
      <c r="AC22" s="1">
        <f t="shared" ca="1" si="50"/>
        <v>0</v>
      </c>
      <c r="AD22" s="244">
        <f t="shared" ca="1" si="51"/>
        <v>5</v>
      </c>
      <c r="AE22" s="30">
        <v>0</v>
      </c>
      <c r="AF22" s="1">
        <f t="shared" ca="1" si="52"/>
        <v>5</v>
      </c>
      <c r="AG22" s="1">
        <f t="shared" ca="1" si="53"/>
        <v>5</v>
      </c>
      <c r="AH22" s="247">
        <f t="shared" ca="1" si="54"/>
        <v>5.0505099999999992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5.0508999999999995</v>
      </c>
      <c r="Y23" s="13">
        <v>0</v>
      </c>
      <c r="Z23" s="1">
        <f t="shared" ca="1" si="47"/>
        <v>5.9</v>
      </c>
      <c r="AA23" s="1">
        <f t="shared" ca="1" si="48"/>
        <v>0</v>
      </c>
      <c r="AB23" s="1">
        <f t="shared" ca="1" si="49"/>
        <v>0</v>
      </c>
      <c r="AC23" s="1">
        <f t="shared" ca="1" si="50"/>
        <v>0</v>
      </c>
      <c r="AD23" s="244">
        <f t="shared" ca="1" si="51"/>
        <v>5</v>
      </c>
      <c r="AE23" s="30">
        <v>0</v>
      </c>
      <c r="AF23" s="1">
        <f t="shared" ca="1" si="52"/>
        <v>5</v>
      </c>
      <c r="AG23" s="1">
        <f t="shared" ca="1" si="53"/>
        <v>5</v>
      </c>
      <c r="AH23" s="247">
        <f t="shared" ca="1" si="54"/>
        <v>5.0505099999999992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5.0508999999999995</v>
      </c>
      <c r="Y24" s="13">
        <v>0</v>
      </c>
      <c r="Z24" s="1">
        <f t="shared" ca="1" si="47"/>
        <v>5.9</v>
      </c>
      <c r="AA24" s="1">
        <f t="shared" ca="1" si="48"/>
        <v>0</v>
      </c>
      <c r="AB24" s="1">
        <f t="shared" ca="1" si="49"/>
        <v>0</v>
      </c>
      <c r="AC24" s="1">
        <f t="shared" ca="1" si="50"/>
        <v>0</v>
      </c>
      <c r="AD24" s="244">
        <f t="shared" ca="1" si="51"/>
        <v>5</v>
      </c>
      <c r="AE24" s="30">
        <v>0</v>
      </c>
      <c r="AF24" s="1">
        <f t="shared" ca="1" si="52"/>
        <v>5</v>
      </c>
      <c r="AG24" s="1">
        <f t="shared" ca="1" si="53"/>
        <v>5</v>
      </c>
      <c r="AH24" s="247">
        <f t="shared" ca="1" si="54"/>
        <v>5.0505099999999992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5.0508999999999995</v>
      </c>
      <c r="Y25" s="13">
        <v>0</v>
      </c>
      <c r="Z25" s="1">
        <f t="shared" ca="1" si="47"/>
        <v>5.9</v>
      </c>
      <c r="AA25" s="1">
        <f t="shared" ca="1" si="48"/>
        <v>0</v>
      </c>
      <c r="AB25" s="1">
        <f t="shared" ca="1" si="49"/>
        <v>0</v>
      </c>
      <c r="AC25" s="1">
        <f t="shared" ca="1" si="50"/>
        <v>0</v>
      </c>
      <c r="AD25" s="244">
        <f t="shared" ca="1" si="51"/>
        <v>5</v>
      </c>
      <c r="AE25" s="30">
        <v>0</v>
      </c>
      <c r="AF25" s="1">
        <f t="shared" ca="1" si="52"/>
        <v>5</v>
      </c>
      <c r="AG25" s="1">
        <f t="shared" ca="1" si="53"/>
        <v>5</v>
      </c>
      <c r="AH25" s="248">
        <f t="shared" ca="1" si="5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VFB Essenheim</v>
      </c>
      <c r="BT29" s="2" t="str">
        <f ca="1">$F$5</f>
        <v>VFL Ronsdorf</v>
      </c>
      <c r="BU29" s="2" t="str">
        <f ca="1">$F$6</f>
        <v>1. FC Riedwald</v>
      </c>
      <c r="BV29" s="2" t="str">
        <f ca="1">$F$7</f>
        <v>SSV Wildbach</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VFB Essenheim</v>
      </c>
      <c r="BS30" s="7"/>
      <c r="BT30" s="8">
        <f t="shared" ref="BT30:CA32" ca="1" si="56">SUMIFS($X$64:$X$135,$V$64:$V$135,$BR30,$W$64:$W$135,BT$29)+SUMIFS($Y$64:$Y$135,$W$64:$W$135,$BR30,$V$64:$V$135,BT$29)</f>
        <v>7</v>
      </c>
      <c r="BU30" s="8">
        <f t="shared" ca="1" si="56"/>
        <v>2</v>
      </c>
      <c r="BV30" s="8">
        <f t="shared" ca="1" si="56"/>
        <v>2</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VFL Ronsdorf</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VFL Ronsdorf</v>
      </c>
      <c r="BS31" s="9">
        <f t="shared" ref="BS31:BU38" ca="1" si="58">SUMIFS($X$64:$X$135,$V$64:$V$135,$BR31,$W$64:$W$135,BS$29)+SUMIFS($Y$64:$Y$135,$W$64:$W$135,$BR31,$V$64:$V$135,BS$29)</f>
        <v>13</v>
      </c>
      <c r="BT31" s="7"/>
      <c r="BU31" s="8">
        <f t="shared" ca="1" si="56"/>
        <v>2</v>
      </c>
      <c r="BV31" s="8">
        <f t="shared" ca="1" si="56"/>
        <v>1</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1. FC Riedwald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1. FC Riedwald</v>
      </c>
      <c r="BS32" s="9">
        <f t="shared" ca="1" si="58"/>
        <v>2</v>
      </c>
      <c r="BT32" s="9">
        <f t="shared" ca="1" si="58"/>
        <v>0</v>
      </c>
      <c r="BU32" s="7"/>
      <c r="BV32" s="8">
        <f t="shared" ca="1" si="56"/>
        <v>3</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SSV Wildbach</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SSV Wildbach</v>
      </c>
      <c r="BS33" s="9">
        <f t="shared" ca="1" si="58"/>
        <v>4</v>
      </c>
      <c r="BT33" s="9">
        <f t="shared" ca="1" si="58"/>
        <v>5</v>
      </c>
      <c r="BU33" s="9">
        <f t="shared" ca="1" si="58"/>
        <v>9</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VFL Ronsdorf</v>
      </c>
      <c r="BU40" s="2" t="str">
        <f ca="1">$F$6</f>
        <v>1. FC Riedwald</v>
      </c>
      <c r="BV40" s="2" t="str">
        <f ca="1">$F$7</f>
        <v>SSV Wildbach</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VFB Essenheim</v>
      </c>
      <c r="BS41" s="7"/>
      <c r="BT41" s="8">
        <f ca="1">BT30-BS31</f>
        <v>-6</v>
      </c>
      <c r="BU41" s="8">
        <f ca="1">BU30-BS32</f>
        <v>0</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VFL Ronsdorf</v>
      </c>
      <c r="BS42" s="9">
        <f ca="1">IF(BT41="","",-1*BT41)</f>
        <v>6</v>
      </c>
      <c r="BT42" s="7"/>
      <c r="BU42" s="8">
        <f ca="1">BU31-BT32</f>
        <v>2</v>
      </c>
      <c r="BV42" s="8">
        <f ca="1">BV31-BT33</f>
        <v>-4</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1. FC Riedwald</v>
      </c>
      <c r="BS43" s="9">
        <f ca="1">IF(BU41="","",-1*BU41)</f>
        <v>0</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SSV Wildbach</v>
      </c>
      <c r="BS44" s="9">
        <f ca="1">IF(BV41="","",-1*BV41)</f>
        <v>2</v>
      </c>
      <c r="BT44" s="9">
        <f ca="1">IF(BV42="","",-1*BV42)</f>
        <v>4</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VFL Ronsdorf</v>
      </c>
      <c r="BU51" s="2" t="str">
        <f ca="1">$F$6</f>
        <v>1. FC Riedwald</v>
      </c>
      <c r="BV51" s="2" t="str">
        <f ca="1">$F$7</f>
        <v>SSV Wildbach</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VFB Essenheim</v>
      </c>
      <c r="BS52" s="7"/>
      <c r="BT52" s="8">
        <f t="shared" ref="BT52:CA58" ca="1" si="62">SUMIFS($AE$64:$AE$135,$V$64:$V$135,$BR52,$W$64:$W$135,BT$51)+SUMIFS($AF$64:$AF$135,$W$64:$W$135,$BR52,$V$64:$V$135,BT$51)</f>
        <v>0</v>
      </c>
      <c r="BU52" s="8">
        <f t="shared" ca="1" si="62"/>
        <v>1</v>
      </c>
      <c r="BV52" s="8">
        <f t="shared" ca="1" si="62"/>
        <v>0</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VFL Ronsdorf</v>
      </c>
      <c r="BS53" s="9">
        <f t="shared" ref="BS53:BU60" ca="1" si="63">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1. FC Riedwald</v>
      </c>
      <c r="BS54" s="9">
        <f t="shared" ca="1" si="63"/>
        <v>1</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SSV Wildbach</v>
      </c>
      <c r="BS55" s="9">
        <f t="shared" ca="1" si="63"/>
        <v>3</v>
      </c>
      <c r="BT55" s="9">
        <f t="shared" ca="1" si="63"/>
        <v>3</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591" t="s">
        <v>163</v>
      </c>
      <c r="AD63" s="161" t="s">
        <v>161</v>
      </c>
      <c r="AE63" s="764" t="s">
        <v>112</v>
      </c>
      <c r="AF63" s="764"/>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IF('Endrunde 4'!$AE33="","",'Endrunde 4'!$AE33)</f>
        <v>VFB Essenheim</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IF(AA64&gt;0,X64&amp;Sprache!$E$73&amp;Y64,"")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316</v>
      </c>
      <c r="P65" s="47" t="s">
        <v>8</v>
      </c>
      <c r="Q65" s="62" t="str">
        <f ca="1">IF('Endrunde 4'!$AE34="","",'Endrunde 4'!$AE34)</f>
        <v>VFL Ronsdorf</v>
      </c>
      <c r="U65" s="68"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4">V65&amp;W65</f>
        <v>VFB EssenheimSSV Wildbach</v>
      </c>
      <c r="AA65" s="13">
        <f t="shared" ref="AA65:AA128" ca="1" si="65">IF(AND(V65&lt;&gt;"",W65&lt;&gt;"",V65&lt;&gt;W65,X65&lt;&gt;"",Y65&lt;&gt;""),1,0)</f>
        <v>1</v>
      </c>
      <c r="AB65" s="13" t="str">
        <f ca="1">IF(AA65&gt;0,X65&amp;Sprache!$E$73&amp;Y65,"")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IF('Endrunde 4'!$AE35="","",'Endrunde 4'!$AE35)</f>
        <v>1. FC Riedwald</v>
      </c>
      <c r="U66" s="68"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4"/>
        <v>Knock Out RangersFC Grönlingen</v>
      </c>
      <c r="AA66" s="13">
        <f t="shared" ca="1" si="65"/>
        <v>1</v>
      </c>
      <c r="AB66" s="13" t="str">
        <f ca="1">IF(AA66&gt;0,X66&amp;Sprache!$E$73&amp;Y66,"")</f>
        <v>2:1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4'!$AE36="","",'Endrunde 4'!$AE36)</f>
        <v>SSV Wildbach</v>
      </c>
      <c r="U67" s="68"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64"/>
        <v>Raslo WinnersMainz 05</v>
      </c>
      <c r="AA67" s="13">
        <f t="shared" ca="1" si="65"/>
        <v>1</v>
      </c>
      <c r="AB67" s="13" t="str">
        <f ca="1">IF(AA67&gt;0,X67&amp;Sprache!$E$73&amp;Y67,"")</f>
        <v>1:1</v>
      </c>
      <c r="AD67" s="145"/>
      <c r="AE67" s="150">
        <f ca="1">IF($AA67=0,"",IF($X67&gt;$Y67,Einstellungen!$C$4,IF($X67=$Y67,1,0)))</f>
        <v>1</v>
      </c>
      <c r="AF67" s="145">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64"/>
        <v>FC BarcelonaAC Roma</v>
      </c>
      <c r="AA68" s="13">
        <f t="shared" ca="1" si="65"/>
        <v>1</v>
      </c>
      <c r="AB68" s="13" t="str">
        <f ca="1">IF(AA68&gt;0,X68&amp;Sprache!$E$73&amp;Y68,"")</f>
        <v>5:1</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64"/>
        <v>VFL Ronsdorf1. FC Riedwald</v>
      </c>
      <c r="AA69" s="13">
        <f t="shared" ca="1" si="65"/>
        <v>1</v>
      </c>
      <c r="AB69" s="13" t="str">
        <f ca="1">IF(AA69&gt;0,X69&amp;Sprache!$E$73&amp;Y69,"")</f>
        <v>2:0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64"/>
        <v>Borussia HeineMaibach 1822 eV</v>
      </c>
      <c r="AA70" s="13">
        <f t="shared" ca="1" si="65"/>
        <v>1</v>
      </c>
      <c r="AB70" s="13" t="str">
        <f ca="1">IF(AA70&gt;0,X70&amp;Sprache!$E$73&amp;Y70,"")</f>
        <v>1:2</v>
      </c>
      <c r="AD70" s="145"/>
      <c r="AE70" s="150">
        <f ca="1">IF($AA70=0,"",IF($X70&gt;$Y70,Einstellungen!$C$4,IF($X70=$Y70,1,0)))</f>
        <v>0</v>
      </c>
      <c r="AF70" s="145">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64"/>
        <v>Inter MailandFun Kickers Oes</v>
      </c>
      <c r="AA71" s="13">
        <f t="shared" ca="1" si="65"/>
        <v>1</v>
      </c>
      <c r="AB71" s="13" t="str">
        <f ca="1">IF(AA71&gt;0,X71&amp;Sprache!$E$73&amp;Y71,"")</f>
        <v>5:3</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64"/>
        <v>Manchester CityEintracht Frankfurt</v>
      </c>
      <c r="AA72" s="13">
        <f t="shared" ca="1" si="65"/>
        <v>1</v>
      </c>
      <c r="AB72" s="13" t="str">
        <f ca="1">IF(AA72&gt;0,X72&amp;Sprache!$E$73&amp;Y72,"")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64"/>
        <v>VFB Essenheim1. FC Riedwald</v>
      </c>
      <c r="AA73" s="13">
        <f t="shared" ca="1" si="65"/>
        <v>1</v>
      </c>
      <c r="AB73" s="13" t="str">
        <f ca="1">IF(AA73&gt;0,X73&amp;Sprache!$E$73&amp;Y73,"")</f>
        <v>2:2</v>
      </c>
      <c r="AD73" s="145"/>
      <c r="AE73" s="150">
        <f ca="1">IF($AA73=0,"",IF($X73&gt;$Y73,Einstellungen!$C$4,IF($X73=$Y73,1,0)))</f>
        <v>1</v>
      </c>
      <c r="AF73" s="145">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65"/>
        <v>1</v>
      </c>
      <c r="AB74" s="13" t="str">
        <f ca="1">IF(AA74&gt;0,X74&amp;Sprache!$E$73&amp;Y74,"")</f>
        <v>4:2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93" ca="1" si="66">V75&amp;W75</f>
        <v>Raslo WinnersFun Kickers Oes</v>
      </c>
      <c r="AA75" s="13">
        <f t="shared" ca="1" si="65"/>
        <v>1</v>
      </c>
      <c r="AB75" s="13" t="str">
        <f ca="1">IF(AA75&gt;0,X75&amp;Sprache!$E$73&amp;Y75,"")</f>
        <v>4:3</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66"/>
        <v>FC BarcelonaEintracht Frankfurt</v>
      </c>
      <c r="AA76" s="13">
        <f t="shared" ca="1" si="65"/>
        <v>1</v>
      </c>
      <c r="AB76" s="13" t="str">
        <f ca="1">IF(AA76&gt;0,X76&amp;Sprache!$E$73&amp;Y76,"")</f>
        <v>0:0</v>
      </c>
      <c r="AD76" s="145"/>
      <c r="AE76" s="150">
        <f ca="1">IF($AA76=0,"",IF($X76&gt;$Y76,Einstellungen!$C$4,IF($X76=$Y76,1,0)))</f>
        <v>1</v>
      </c>
      <c r="AF76" s="145">
        <f ca="1">IF($AA76=0,"",IF($X76&lt;$Y76,Einstellungen!$C$4,IF($X76=$Y76,1,0)))</f>
        <v>1</v>
      </c>
    </row>
    <row r="77" spans="2:43" s="2" customFormat="1" x14ac:dyDescent="0.2">
      <c r="B77" s="4"/>
      <c r="C77" s="4"/>
      <c r="D77" s="4"/>
      <c r="E77" s="4"/>
      <c r="F77" s="13"/>
      <c r="G77" s="13"/>
      <c r="H77" s="13"/>
      <c r="I77" s="13"/>
      <c r="J77" s="13"/>
      <c r="K77" s="13"/>
      <c r="L77" s="13"/>
      <c r="M77" s="13"/>
      <c r="U77" s="68"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66"/>
        <v>VFL RonsdorfSSV Wildbach</v>
      </c>
      <c r="AA77" s="13">
        <f t="shared" ca="1" si="65"/>
        <v>1</v>
      </c>
      <c r="AB77" s="13" t="str">
        <f ca="1">IF(AA77&gt;0,X77&amp;Sprache!$E$73&amp;Y77,"")</f>
        <v>1:5</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66"/>
        <v>Borussia HeineFC Grönlingen</v>
      </c>
      <c r="AA78" s="13">
        <f t="shared" ca="1" si="65"/>
        <v>1</v>
      </c>
      <c r="AB78" s="13" t="str">
        <f ca="1">IF(AA78&gt;0,X78&amp;Sprache!$E$73&amp;Y78,"")</f>
        <v>4:4</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66"/>
        <v>Inter MailandMainz 05</v>
      </c>
      <c r="AA79" s="13">
        <f t="shared" ca="1" si="65"/>
        <v>1</v>
      </c>
      <c r="AB79" s="13" t="str">
        <f ca="1">IF(AA79&gt;0,X79&amp;Sprache!$E$73&amp;Y79,"")</f>
        <v>0:7</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66"/>
        <v>Manchester CityAC Roma</v>
      </c>
      <c r="AA80" s="13">
        <f t="shared" ca="1" si="65"/>
        <v>1</v>
      </c>
      <c r="AB80" s="13" t="str">
        <f ca="1">IF(AA80&gt;0,X80&amp;Sprache!$E$73&amp;Y80,"")</f>
        <v>2:8</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66"/>
        <v>1. FC RiedwaldSSV Wildbach</v>
      </c>
      <c r="AA81" s="13">
        <f t="shared" ca="1" si="65"/>
        <v>1</v>
      </c>
      <c r="AB81" s="13" t="str">
        <f ca="1">IF(AA81&gt;0,X81&amp;Sprache!$E$73&amp;Y81,"")</f>
        <v>3:9</v>
      </c>
      <c r="AC81" s="4"/>
      <c r="AD81" s="145"/>
      <c r="AE81" s="150">
        <f ca="1">IF($AA81=0,"",IF($X81&gt;$Y81,Einstellungen!$C$4,IF($X81=$Y81,1,0)))</f>
        <v>0</v>
      </c>
      <c r="AF81" s="145">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66"/>
        <v>Maibach 1822 eVFC Grönlingen</v>
      </c>
      <c r="AA82" s="13">
        <f t="shared" ca="1" si="65"/>
        <v>1</v>
      </c>
      <c r="AB82" s="13" t="str">
        <f ca="1">IF(AA82&gt;0,X82&amp;Sprache!$E$73&amp;Y82,"")</f>
        <v>4:10</v>
      </c>
      <c r="AC82" s="4"/>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66"/>
        <v>Fun Kickers OesMainz 05</v>
      </c>
      <c r="AA83" s="13">
        <f t="shared" ca="1" si="65"/>
        <v>1</v>
      </c>
      <c r="AB83" s="13" t="str">
        <f ca="1">IF(AA83&gt;0,X83&amp;Sprache!$E$73&amp;Y83,"")</f>
        <v>5:11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66"/>
        <v>Eintracht FrankfurtAC Roma</v>
      </c>
      <c r="AA84" s="13">
        <f t="shared" ca="1" si="65"/>
        <v>1</v>
      </c>
      <c r="AB84" s="13" t="str">
        <f ca="1">IF(AA84&gt;0,X84&amp;Sprache!$E$73&amp;Y84,"")</f>
        <v>6:12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66"/>
        <v>VFB EssenheimVFL Ronsdorf</v>
      </c>
      <c r="AA85" s="13">
        <f t="shared" ca="1" si="65"/>
        <v>1</v>
      </c>
      <c r="AB85" s="13" t="str">
        <f ca="1">IF(AA85&gt;0,X85&amp;Sprache!$E$73&amp;Y85,"")</f>
        <v>7:13</v>
      </c>
      <c r="AD85" s="145"/>
      <c r="AE85" s="150">
        <f ca="1">IF($AA85=0,"",IF($X85&gt;$Y85,Einstellungen!$C$4,IF($X85=$Y85,1,0)))</f>
        <v>0</v>
      </c>
      <c r="AF85" s="145">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66"/>
        <v>Knock Out RangersBorussia Heine</v>
      </c>
      <c r="AA86" s="13">
        <f t="shared" ca="1" si="65"/>
        <v>1</v>
      </c>
      <c r="AB86" s="13" t="str">
        <f ca="1">IF(AA86&gt;0,X86&amp;Sprache!$E$73&amp;Y86,"")</f>
        <v>8:14</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66"/>
        <v>Raslo WinnersInter Mailand</v>
      </c>
      <c r="AA87" s="13">
        <f t="shared" ca="1" si="65"/>
        <v>1</v>
      </c>
      <c r="AB87" s="13" t="str">
        <f ca="1">IF(AA87&gt;0,X87&amp;Sprache!$E$73&amp;Y87,"")</f>
        <v>9:15</v>
      </c>
      <c r="AD87" s="145"/>
      <c r="AE87" s="150">
        <f ca="1">IF($AA87=0,"",IF($X87&gt;$Y87,Einstellungen!$C$4,IF($X87=$Y87,1,0)))</f>
        <v>0</v>
      </c>
      <c r="AF87" s="145">
        <f ca="1">IF($AA87=0,"",IF($X87&lt;$Y87,Einstellungen!$C$4,IF($X87=$Y87,1,0)))</f>
        <v>3</v>
      </c>
    </row>
    <row r="88" spans="2:32" s="2" customFormat="1" x14ac:dyDescent="0.2">
      <c r="B88" s="4"/>
      <c r="C88" s="4"/>
      <c r="D88" s="4"/>
      <c r="E88" s="4"/>
      <c r="F88" s="13"/>
      <c r="G88" s="13"/>
      <c r="H88" s="13"/>
      <c r="I88" s="13"/>
      <c r="J88" s="13"/>
      <c r="K88" s="13"/>
      <c r="L88" s="13"/>
      <c r="M88" s="13"/>
      <c r="U88" s="68"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66"/>
        <v>FC BarcelonaManchester City</v>
      </c>
      <c r="AA88" s="13">
        <f t="shared" ca="1" si="65"/>
        <v>1</v>
      </c>
      <c r="AB88" s="13" t="str">
        <f ca="1">IF(AA88&gt;0,X88&amp;Sprache!$E$73&amp;Y88,"")</f>
        <v>4:0</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IF(AA89&gt;0,X89&amp;Sprache!$E$73&amp;Y89,"")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IF(AA90&gt;0,X90&amp;Sprache!$E$73&amp;Y90,"")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IF(AA91&gt;0,X91&amp;Sprache!$E$73&amp;Y91,"")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IF(AA92&gt;0,X92&amp;Sprache!$E$73&amp;Y92,"")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IF(AA93&gt;0,X93&amp;Sprache!$E$73&amp;Y93,"")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IF(AA136&gt;0,Y64&amp;Sprache!$E$73&amp;X64,"")</f>
        <v/>
      </c>
      <c r="AD136" s="145"/>
    </row>
    <row r="137" spans="2:32" x14ac:dyDescent="0.2">
      <c r="Y137" s="68" t="s">
        <v>8</v>
      </c>
      <c r="Z137" s="35" t="str">
        <f ca="1">W65&amp;V65</f>
        <v>SSV WildbachVFB Essenheim</v>
      </c>
      <c r="AA137" s="13">
        <f t="shared" ref="AA137:AA200" ca="1" si="68">AA65</f>
        <v>1</v>
      </c>
      <c r="AB137" s="13" t="str">
        <f ca="1">IF(AA137&gt;0,Y65&amp;Sprache!$E$73&amp;X65,"")</f>
        <v>4:2</v>
      </c>
      <c r="AC137" s="2"/>
      <c r="AD137" s="145"/>
    </row>
    <row r="138" spans="2:32" x14ac:dyDescent="0.2">
      <c r="Y138" s="68" t="s">
        <v>9</v>
      </c>
      <c r="Z138" s="35" t="str">
        <f t="shared" ref="Z138:Z201" ca="1" si="69">W66&amp;V66</f>
        <v>FC GrönlingenKnock Out Rangers</v>
      </c>
      <c r="AA138" s="13">
        <f t="shared" ca="1" si="68"/>
        <v>1</v>
      </c>
      <c r="AB138" s="13" t="str">
        <f ca="1">IF(AA138&gt;0,Y66&amp;Sprache!$E$73&amp;X66,"")</f>
        <v>1:2</v>
      </c>
      <c r="AC138" s="2"/>
      <c r="AD138" s="145"/>
    </row>
    <row r="139" spans="2:32" x14ac:dyDescent="0.2">
      <c r="Y139" s="68" t="s">
        <v>10</v>
      </c>
      <c r="Z139" s="35" t="str">
        <f t="shared" ca="1" si="69"/>
        <v>Mainz 05Raslo Winners</v>
      </c>
      <c r="AA139" s="13">
        <f t="shared" ca="1" si="68"/>
        <v>1</v>
      </c>
      <c r="AB139" s="13" t="str">
        <f ca="1">IF(AA139&gt;0,Y67&amp;Sprache!$E$73&amp;X67,"")</f>
        <v>1:1</v>
      </c>
      <c r="AC139" s="2"/>
      <c r="AD139" s="145"/>
    </row>
    <row r="140" spans="2:32" x14ac:dyDescent="0.2">
      <c r="Y140" s="68" t="s">
        <v>11</v>
      </c>
      <c r="Z140" s="35" t="str">
        <f t="shared" ca="1" si="69"/>
        <v>AC RomaFC Barcelona</v>
      </c>
      <c r="AA140" s="13">
        <f t="shared" ca="1" si="68"/>
        <v>1</v>
      </c>
      <c r="AB140" s="13" t="str">
        <f ca="1">IF(AA140&gt;0,Y68&amp;Sprache!$E$73&amp;X68,"")</f>
        <v>1:5</v>
      </c>
      <c r="AC140" s="2"/>
      <c r="AD140" s="145"/>
    </row>
    <row r="141" spans="2:32" x14ac:dyDescent="0.2">
      <c r="Y141" s="68" t="s">
        <v>12</v>
      </c>
      <c r="Z141" s="35" t="str">
        <f t="shared" ca="1" si="69"/>
        <v>1. FC RiedwaldVFL Ronsdorf</v>
      </c>
      <c r="AA141" s="13">
        <f t="shared" ca="1" si="68"/>
        <v>1</v>
      </c>
      <c r="AB141" s="13" t="str">
        <f ca="1">IF(AA141&gt;0,Y69&amp;Sprache!$E$73&amp;X69,"")</f>
        <v>0:2</v>
      </c>
      <c r="AC141" s="2"/>
      <c r="AD141" s="145"/>
    </row>
    <row r="142" spans="2:32" x14ac:dyDescent="0.2">
      <c r="Y142" s="68" t="s">
        <v>17</v>
      </c>
      <c r="Z142" s="35" t="str">
        <f t="shared" ca="1" si="69"/>
        <v>Maibach 1822 eVBorussia Heine</v>
      </c>
      <c r="AA142" s="13">
        <f t="shared" ca="1" si="68"/>
        <v>1</v>
      </c>
      <c r="AB142" s="13" t="str">
        <f ca="1">IF(AA142&gt;0,Y70&amp;Sprache!$E$73&amp;X70,"")</f>
        <v>2:1</v>
      </c>
      <c r="AC142" s="2"/>
      <c r="AD142" s="145"/>
    </row>
    <row r="143" spans="2:32" x14ac:dyDescent="0.2">
      <c r="Y143" s="68" t="s">
        <v>18</v>
      </c>
      <c r="Z143" s="35" t="str">
        <f t="shared" ca="1" si="69"/>
        <v>Fun Kickers OesInter Mailand</v>
      </c>
      <c r="AA143" s="13">
        <f t="shared" ca="1" si="68"/>
        <v>1</v>
      </c>
      <c r="AB143" s="13" t="str">
        <f ca="1">IF(AA143&gt;0,Y71&amp;Sprache!$E$73&amp;X71,"")</f>
        <v>3:5</v>
      </c>
      <c r="AC143" s="2"/>
      <c r="AD143" s="145"/>
    </row>
    <row r="144" spans="2:32" x14ac:dyDescent="0.2">
      <c r="Y144" s="68" t="s">
        <v>19</v>
      </c>
      <c r="Z144" s="35" t="str">
        <f t="shared" ca="1" si="69"/>
        <v>Eintracht FrankfurtManchester City</v>
      </c>
      <c r="AA144" s="13">
        <f t="shared" ca="1" si="68"/>
        <v>1</v>
      </c>
      <c r="AB144" s="13" t="str">
        <f ca="1">IF(AA144&gt;0,Y72&amp;Sprache!$E$73&amp;X72,"")</f>
        <v>1:2</v>
      </c>
      <c r="AC144" s="2"/>
      <c r="AD144" s="145"/>
    </row>
    <row r="145" spans="25:30" x14ac:dyDescent="0.2">
      <c r="Y145" s="68" t="s">
        <v>25</v>
      </c>
      <c r="Z145" s="35" t="str">
        <f t="shared" ca="1" si="69"/>
        <v>1. FC RiedwaldVFB Essenheim</v>
      </c>
      <c r="AA145" s="13">
        <f t="shared" ca="1" si="68"/>
        <v>1</v>
      </c>
      <c r="AB145" s="13" t="str">
        <f ca="1">IF(AA145&gt;0,Y73&amp;Sprache!$E$73&amp;X73,"")</f>
        <v>2:2</v>
      </c>
      <c r="AC145" s="2"/>
      <c r="AD145" s="145"/>
    </row>
    <row r="146" spans="25:30" x14ac:dyDescent="0.2">
      <c r="Y146" s="68" t="s">
        <v>26</v>
      </c>
      <c r="Z146" s="35" t="str">
        <f t="shared" ca="1" si="69"/>
        <v>Maibach 1822 eVKnock Out Rangers</v>
      </c>
      <c r="AA146" s="13">
        <f t="shared" ca="1" si="68"/>
        <v>1</v>
      </c>
      <c r="AB146" s="13" t="str">
        <f ca="1">IF(AA146&gt;0,Y74&amp;Sprache!$E$73&amp;X74,"")</f>
        <v>2:4</v>
      </c>
      <c r="AC146" s="2"/>
      <c r="AD146" s="145"/>
    </row>
    <row r="147" spans="25:30" x14ac:dyDescent="0.2">
      <c r="Y147" s="68" t="s">
        <v>27</v>
      </c>
      <c r="Z147" s="35" t="str">
        <f t="shared" ca="1" si="69"/>
        <v>Fun Kickers OesRaslo Winners</v>
      </c>
      <c r="AA147" s="13">
        <f t="shared" ca="1" si="68"/>
        <v>1</v>
      </c>
      <c r="AB147" s="13" t="str">
        <f ca="1">IF(AA147&gt;0,Y75&amp;Sprache!$E$73&amp;X75,"")</f>
        <v>3:4</v>
      </c>
      <c r="AC147" s="2"/>
      <c r="AD147" s="145"/>
    </row>
    <row r="148" spans="25:30" x14ac:dyDescent="0.2">
      <c r="Y148" s="68" t="s">
        <v>28</v>
      </c>
      <c r="Z148" s="35" t="str">
        <f t="shared" ca="1" si="69"/>
        <v>Eintracht FrankfurtFC Barcelona</v>
      </c>
      <c r="AA148" s="13">
        <f t="shared" ca="1" si="68"/>
        <v>1</v>
      </c>
      <c r="AB148" s="13" t="str">
        <f ca="1">IF(AA148&gt;0,Y76&amp;Sprache!$E$73&amp;X76,"")</f>
        <v>0:0</v>
      </c>
      <c r="AC148" s="2"/>
      <c r="AD148" s="145"/>
    </row>
    <row r="149" spans="25:30" x14ac:dyDescent="0.2">
      <c r="Y149" s="68" t="s">
        <v>29</v>
      </c>
      <c r="Z149" s="35" t="str">
        <f t="shared" ca="1" si="69"/>
        <v>SSV WildbachVFL Ronsdorf</v>
      </c>
      <c r="AA149" s="13">
        <f t="shared" ca="1" si="68"/>
        <v>1</v>
      </c>
      <c r="AB149" s="13" t="str">
        <f ca="1">IF(AA149&gt;0,Y77&amp;Sprache!$E$73&amp;X77,"")</f>
        <v>5:1</v>
      </c>
      <c r="AC149" s="2"/>
      <c r="AD149" s="145"/>
    </row>
    <row r="150" spans="25:30" x14ac:dyDescent="0.2">
      <c r="Y150" s="68" t="s">
        <v>30</v>
      </c>
      <c r="Z150" s="35" t="str">
        <f t="shared" ca="1" si="69"/>
        <v>FC GrönlingenBorussia Heine</v>
      </c>
      <c r="AA150" s="13">
        <f t="shared" ca="1" si="68"/>
        <v>1</v>
      </c>
      <c r="AB150" s="13" t="str">
        <f ca="1">IF(AA150&gt;0,Y78&amp;Sprache!$E$73&amp;X78,"")</f>
        <v>4:4</v>
      </c>
      <c r="AC150" s="2"/>
      <c r="AD150" s="145"/>
    </row>
    <row r="151" spans="25:30" x14ac:dyDescent="0.2">
      <c r="Y151" s="68" t="s">
        <v>31</v>
      </c>
      <c r="Z151" s="35" t="str">
        <f t="shared" ca="1" si="69"/>
        <v>Mainz 05Inter Mailand</v>
      </c>
      <c r="AA151" s="13">
        <f t="shared" ca="1" si="68"/>
        <v>1</v>
      </c>
      <c r="AB151" s="13" t="str">
        <f ca="1">IF(AA151&gt;0,Y79&amp;Sprache!$E$73&amp;X79,"")</f>
        <v>7:0</v>
      </c>
      <c r="AC151" s="2"/>
      <c r="AD151" s="145"/>
    </row>
    <row r="152" spans="25:30" x14ac:dyDescent="0.2">
      <c r="Y152" s="68" t="s">
        <v>32</v>
      </c>
      <c r="Z152" s="35" t="str">
        <f t="shared" ca="1" si="69"/>
        <v>AC RomaManchester City</v>
      </c>
      <c r="AA152" s="13">
        <f t="shared" ca="1" si="68"/>
        <v>1</v>
      </c>
      <c r="AB152" s="13" t="str">
        <f ca="1">IF(AA152&gt;0,Y80&amp;Sprache!$E$73&amp;X80,"")</f>
        <v>8:2</v>
      </c>
      <c r="AC152" s="2"/>
      <c r="AD152" s="145"/>
    </row>
    <row r="153" spans="25:30" x14ac:dyDescent="0.2">
      <c r="Y153" s="68" t="s">
        <v>33</v>
      </c>
      <c r="Z153" s="35" t="str">
        <f t="shared" ca="1" si="69"/>
        <v>SSV Wildbach1. FC Riedwald</v>
      </c>
      <c r="AA153" s="13">
        <f t="shared" ca="1" si="68"/>
        <v>1</v>
      </c>
      <c r="AB153" s="13" t="str">
        <f ca="1">IF(AA153&gt;0,Y81&amp;Sprache!$E$73&amp;X81,"")</f>
        <v>9:3</v>
      </c>
      <c r="AC153" s="2"/>
      <c r="AD153" s="145"/>
    </row>
    <row r="154" spans="25:30" x14ac:dyDescent="0.2">
      <c r="Y154" s="68" t="s">
        <v>34</v>
      </c>
      <c r="Z154" s="35" t="str">
        <f t="shared" ca="1" si="69"/>
        <v>FC GrönlingenMaibach 1822 eV</v>
      </c>
      <c r="AA154" s="13">
        <f t="shared" ca="1" si="68"/>
        <v>1</v>
      </c>
      <c r="AB154" s="13" t="str">
        <f ca="1">IF(AA154&gt;0,Y82&amp;Sprache!$E$73&amp;X82,"")</f>
        <v>10:4</v>
      </c>
      <c r="AC154" s="2"/>
      <c r="AD154" s="145"/>
    </row>
    <row r="155" spans="25:30" x14ac:dyDescent="0.2">
      <c r="Y155" s="68" t="s">
        <v>35</v>
      </c>
      <c r="Z155" s="35" t="str">
        <f t="shared" ca="1" si="69"/>
        <v>Mainz 05Fun Kickers Oes</v>
      </c>
      <c r="AA155" s="13">
        <f t="shared" ca="1" si="68"/>
        <v>1</v>
      </c>
      <c r="AB155" s="13" t="str">
        <f ca="1">IF(AA155&gt;0,Y83&amp;Sprache!$E$73&amp;X83,"")</f>
        <v>11:5</v>
      </c>
      <c r="AC155" s="2"/>
      <c r="AD155" s="145"/>
    </row>
    <row r="156" spans="25:30" x14ac:dyDescent="0.2">
      <c r="Y156" s="68" t="s">
        <v>36</v>
      </c>
      <c r="Z156" s="35" t="str">
        <f t="shared" ca="1" si="69"/>
        <v>AC RomaEintracht Frankfurt</v>
      </c>
      <c r="AA156" s="13">
        <f t="shared" ca="1" si="68"/>
        <v>1</v>
      </c>
      <c r="AB156" s="13" t="str">
        <f ca="1">IF(AA156&gt;0,Y84&amp;Sprache!$E$73&amp;X84,"")</f>
        <v>12:6</v>
      </c>
      <c r="AC156" s="2"/>
      <c r="AD156" s="145"/>
    </row>
    <row r="157" spans="25:30" x14ac:dyDescent="0.2">
      <c r="Y157" s="68" t="s">
        <v>37</v>
      </c>
      <c r="Z157" s="35" t="str">
        <f t="shared" ca="1" si="69"/>
        <v>VFL RonsdorfVFB Essenheim</v>
      </c>
      <c r="AA157" s="13">
        <f t="shared" ca="1" si="68"/>
        <v>1</v>
      </c>
      <c r="AB157" s="13" t="str">
        <f ca="1">IF(AA157&gt;0,Y85&amp;Sprache!$E$73&amp;X85,"")</f>
        <v>13:7</v>
      </c>
      <c r="AC157" s="2"/>
      <c r="AD157" s="145"/>
    </row>
    <row r="158" spans="25:30" x14ac:dyDescent="0.2">
      <c r="Y158" s="68" t="s">
        <v>38</v>
      </c>
      <c r="Z158" s="35" t="str">
        <f t="shared" ca="1" si="69"/>
        <v>Borussia HeineKnock Out Rangers</v>
      </c>
      <c r="AA158" s="13">
        <f t="shared" ca="1" si="68"/>
        <v>1</v>
      </c>
      <c r="AB158" s="13" t="str">
        <f ca="1">IF(AA158&gt;0,Y86&amp;Sprache!$E$73&amp;X86,"")</f>
        <v>14:8</v>
      </c>
      <c r="AC158" s="2"/>
      <c r="AD158" s="145"/>
    </row>
    <row r="159" spans="25:30" x14ac:dyDescent="0.2">
      <c r="Y159" s="68" t="s">
        <v>39</v>
      </c>
      <c r="Z159" s="35" t="str">
        <f t="shared" ca="1" si="69"/>
        <v>Inter MailandRaslo Winners</v>
      </c>
      <c r="AA159" s="13">
        <f t="shared" ca="1" si="68"/>
        <v>1</v>
      </c>
      <c r="AB159" s="13" t="str">
        <f ca="1">IF(AA159&gt;0,Y87&amp;Sprache!$E$73&amp;X87,"")</f>
        <v>15:9</v>
      </c>
      <c r="AC159" s="2"/>
      <c r="AD159" s="145"/>
    </row>
    <row r="160" spans="25:30" x14ac:dyDescent="0.2">
      <c r="Y160" s="68" t="s">
        <v>40</v>
      </c>
      <c r="Z160" s="35" t="str">
        <f t="shared" ca="1" si="69"/>
        <v>Manchester CityFC Barcelona</v>
      </c>
      <c r="AA160" s="13">
        <f t="shared" ca="1" si="68"/>
        <v>1</v>
      </c>
      <c r="AB160" s="13" t="str">
        <f ca="1">IF(AA160&gt;0,Y88&amp;Sprache!$E$73&amp;X88,"")</f>
        <v>0:4</v>
      </c>
      <c r="AC160" s="2"/>
      <c r="AD160" s="145"/>
    </row>
    <row r="161" spans="25:30" x14ac:dyDescent="0.2">
      <c r="Y161" s="68" t="s">
        <v>41</v>
      </c>
      <c r="Z161" s="35" t="str">
        <f t="shared" si="69"/>
        <v/>
      </c>
      <c r="AA161" s="13">
        <f t="shared" si="68"/>
        <v>0</v>
      </c>
      <c r="AB161" s="13" t="str">
        <f>IF(AA161&gt;0,Y89&amp;Sprache!$E$73&amp;X89,"")</f>
        <v/>
      </c>
      <c r="AC161" s="2"/>
      <c r="AD161" s="145"/>
    </row>
    <row r="162" spans="25:30" x14ac:dyDescent="0.2">
      <c r="Y162" s="68" t="s">
        <v>42</v>
      </c>
      <c r="Z162" s="35" t="str">
        <f t="shared" si="69"/>
        <v/>
      </c>
      <c r="AA162" s="13">
        <f t="shared" si="68"/>
        <v>0</v>
      </c>
      <c r="AB162" s="13" t="str">
        <f>IF(AA162&gt;0,Y90&amp;Sprache!$E$73&amp;X90,"")</f>
        <v/>
      </c>
      <c r="AC162" s="2"/>
      <c r="AD162" s="145"/>
    </row>
    <row r="163" spans="25:30" x14ac:dyDescent="0.2">
      <c r="Y163" s="68" t="s">
        <v>43</v>
      </c>
      <c r="Z163" s="35" t="str">
        <f t="shared" si="69"/>
        <v/>
      </c>
      <c r="AA163" s="13">
        <f t="shared" si="68"/>
        <v>0</v>
      </c>
      <c r="AB163" s="13" t="str">
        <f>IF(AA163&gt;0,Y91&amp;Sprache!$E$73&amp;X91,"")</f>
        <v/>
      </c>
      <c r="AC163" s="2"/>
      <c r="AD163" s="145"/>
    </row>
    <row r="164" spans="25:30" x14ac:dyDescent="0.2">
      <c r="Y164" s="68" t="s">
        <v>44</v>
      </c>
      <c r="Z164" s="35" t="str">
        <f t="shared" si="69"/>
        <v/>
      </c>
      <c r="AA164" s="13">
        <f t="shared" si="68"/>
        <v>0</v>
      </c>
      <c r="AB164" s="13" t="str">
        <f>IF(AA164&gt;0,Y92&amp;Sprache!$E$73&amp;X92,"")</f>
        <v/>
      </c>
      <c r="AC164" s="2"/>
      <c r="AD164" s="145"/>
    </row>
    <row r="165" spans="25:30" x14ac:dyDescent="0.2">
      <c r="Y165" s="68" t="s">
        <v>45</v>
      </c>
      <c r="Z165" s="35" t="str">
        <f t="shared" si="69"/>
        <v/>
      </c>
      <c r="AA165" s="13">
        <f t="shared" si="68"/>
        <v>0</v>
      </c>
      <c r="AB165" s="13" t="str">
        <f>IF(AA165&gt;0,Y93&amp;Sprache!$E$73&amp;X93,"")</f>
        <v/>
      </c>
      <c r="AC165" s="2"/>
      <c r="AD165" s="145"/>
    </row>
    <row r="166" spans="25:30" x14ac:dyDescent="0.2">
      <c r="Y166" s="68" t="s">
        <v>46</v>
      </c>
      <c r="Z166" s="35" t="str">
        <f t="shared" si="69"/>
        <v/>
      </c>
      <c r="AA166" s="13">
        <f t="shared" si="68"/>
        <v>0</v>
      </c>
      <c r="AB166" s="13" t="str">
        <f>IF(AA166&gt;0,Y94&amp;Sprache!$E$73&amp;X94,"")</f>
        <v/>
      </c>
      <c r="AC166" s="2"/>
      <c r="AD166" s="145"/>
    </row>
    <row r="167" spans="25:30" x14ac:dyDescent="0.2">
      <c r="Y167" s="68" t="s">
        <v>47</v>
      </c>
      <c r="Z167" s="35" t="str">
        <f t="shared" si="69"/>
        <v/>
      </c>
      <c r="AA167" s="13">
        <f t="shared" si="68"/>
        <v>0</v>
      </c>
      <c r="AB167" s="13" t="str">
        <f>IF(AA167&gt;0,Y95&amp;Sprache!$E$73&amp;X95,"")</f>
        <v/>
      </c>
      <c r="AC167" s="2"/>
      <c r="AD167" s="145"/>
    </row>
    <row r="168" spans="25:30" x14ac:dyDescent="0.2">
      <c r="Y168" s="68" t="s">
        <v>48</v>
      </c>
      <c r="Z168" s="35" t="str">
        <f t="shared" si="69"/>
        <v/>
      </c>
      <c r="AA168" s="13">
        <f t="shared" si="68"/>
        <v>0</v>
      </c>
      <c r="AB168" s="13" t="str">
        <f>IF(AA168&gt;0,Y96&amp;Sprache!$E$73&amp;X96,"")</f>
        <v/>
      </c>
      <c r="AC168" s="2"/>
      <c r="AD168" s="145"/>
    </row>
    <row r="169" spans="25:30" x14ac:dyDescent="0.2">
      <c r="Y169" s="68" t="s">
        <v>49</v>
      </c>
      <c r="Z169" s="35" t="str">
        <f t="shared" si="69"/>
        <v/>
      </c>
      <c r="AA169" s="13">
        <f t="shared" si="68"/>
        <v>0</v>
      </c>
      <c r="AB169" s="13" t="str">
        <f>IF(AA169&gt;0,Y97&amp;Sprache!$E$73&amp;X97,"")</f>
        <v/>
      </c>
      <c r="AC169" s="2"/>
      <c r="AD169" s="145"/>
    </row>
    <row r="170" spans="25:30" x14ac:dyDescent="0.2">
      <c r="Y170" s="68" t="s">
        <v>50</v>
      </c>
      <c r="Z170" s="35" t="str">
        <f t="shared" si="69"/>
        <v/>
      </c>
      <c r="AA170" s="13">
        <f t="shared" si="68"/>
        <v>0</v>
      </c>
      <c r="AB170" s="13" t="str">
        <f>IF(AA170&gt;0,Y98&amp;Sprache!$E$73&amp;X98,"")</f>
        <v/>
      </c>
      <c r="AC170" s="2"/>
      <c r="AD170" s="145"/>
    </row>
    <row r="171" spans="25:30" x14ac:dyDescent="0.2">
      <c r="Y171" s="68" t="s">
        <v>51</v>
      </c>
      <c r="Z171" s="35" t="str">
        <f t="shared" si="69"/>
        <v/>
      </c>
      <c r="AA171" s="13">
        <f t="shared" si="68"/>
        <v>0</v>
      </c>
      <c r="AB171" s="13" t="str">
        <f>IF(AA171&gt;0,Y99&amp;Sprache!$E$73&amp;X99,"")</f>
        <v/>
      </c>
      <c r="AC171" s="2"/>
      <c r="AD171" s="145"/>
    </row>
    <row r="172" spans="25:30" x14ac:dyDescent="0.2">
      <c r="Y172" s="68" t="s">
        <v>60</v>
      </c>
      <c r="Z172" s="35" t="str">
        <f t="shared" si="69"/>
        <v/>
      </c>
      <c r="AA172" s="13">
        <f t="shared" si="68"/>
        <v>0</v>
      </c>
      <c r="AB172" s="13" t="str">
        <f>IF(AA172&gt;0,Y100&amp;Sprache!$E$73&amp;X100,"")</f>
        <v/>
      </c>
      <c r="AC172" s="2"/>
      <c r="AD172" s="145"/>
    </row>
    <row r="173" spans="25:30" x14ac:dyDescent="0.2">
      <c r="Y173" s="68" t="s">
        <v>61</v>
      </c>
      <c r="Z173" s="35" t="str">
        <f t="shared" si="69"/>
        <v/>
      </c>
      <c r="AA173" s="13">
        <f t="shared" si="68"/>
        <v>0</v>
      </c>
      <c r="AB173" s="13" t="str">
        <f>IF(AA173&gt;0,Y101&amp;Sprache!$E$73&amp;X101,"")</f>
        <v/>
      </c>
      <c r="AC173" s="2"/>
      <c r="AD173" s="145"/>
    </row>
    <row r="174" spans="25:30" x14ac:dyDescent="0.2">
      <c r="Y174" s="68" t="s">
        <v>62</v>
      </c>
      <c r="Z174" s="35" t="str">
        <f t="shared" si="69"/>
        <v/>
      </c>
      <c r="AA174" s="13">
        <f t="shared" si="68"/>
        <v>0</v>
      </c>
      <c r="AB174" s="13" t="str">
        <f>IF(AA174&gt;0,Y102&amp;Sprache!$E$73&amp;X102,"")</f>
        <v/>
      </c>
      <c r="AC174" s="2"/>
      <c r="AD174" s="145"/>
    </row>
    <row r="175" spans="25:30" x14ac:dyDescent="0.2">
      <c r="Y175" s="68" t="s">
        <v>63</v>
      </c>
      <c r="Z175" s="35" t="str">
        <f t="shared" si="69"/>
        <v/>
      </c>
      <c r="AA175" s="13">
        <f t="shared" si="68"/>
        <v>0</v>
      </c>
      <c r="AB175" s="13" t="str">
        <f>IF(AA175&gt;0,Y103&amp;Sprache!$E$73&amp;X103,"")</f>
        <v/>
      </c>
      <c r="AC175" s="2"/>
      <c r="AD175" s="145"/>
    </row>
    <row r="176" spans="25:30" x14ac:dyDescent="0.2">
      <c r="Y176" s="68" t="s">
        <v>64</v>
      </c>
      <c r="Z176" s="35" t="str">
        <f t="shared" si="69"/>
        <v/>
      </c>
      <c r="AA176" s="13">
        <f t="shared" si="68"/>
        <v>0</v>
      </c>
      <c r="AB176" s="13" t="str">
        <f>IF(AA176&gt;0,Y104&amp;Sprache!$E$73&amp;X104,"")</f>
        <v/>
      </c>
      <c r="AC176" s="2"/>
      <c r="AD176" s="145"/>
    </row>
    <row r="177" spans="25:30" x14ac:dyDescent="0.2">
      <c r="Y177" s="68" t="s">
        <v>65</v>
      </c>
      <c r="Z177" s="35" t="str">
        <f t="shared" si="69"/>
        <v/>
      </c>
      <c r="AA177" s="13">
        <f t="shared" si="68"/>
        <v>0</v>
      </c>
      <c r="AB177" s="13" t="str">
        <f>IF(AA177&gt;0,Y105&amp;Sprache!$E$73&amp;X105,"")</f>
        <v/>
      </c>
      <c r="AC177" s="2"/>
      <c r="AD177" s="145"/>
    </row>
    <row r="178" spans="25:30" x14ac:dyDescent="0.2">
      <c r="Y178" s="68" t="s">
        <v>66</v>
      </c>
      <c r="Z178" s="35" t="str">
        <f t="shared" si="69"/>
        <v/>
      </c>
      <c r="AA178" s="13">
        <f t="shared" si="68"/>
        <v>0</v>
      </c>
      <c r="AB178" s="13" t="str">
        <f>IF(AA178&gt;0,Y106&amp;Sprache!$E$73&amp;X106,"")</f>
        <v/>
      </c>
      <c r="AC178" s="2"/>
      <c r="AD178" s="145"/>
    </row>
    <row r="179" spans="25:30" x14ac:dyDescent="0.2">
      <c r="Y179" s="68" t="s">
        <v>67</v>
      </c>
      <c r="Z179" s="35" t="str">
        <f t="shared" si="69"/>
        <v/>
      </c>
      <c r="AA179" s="13">
        <f t="shared" si="68"/>
        <v>0</v>
      </c>
      <c r="AB179" s="13" t="str">
        <f>IF(AA179&gt;0,Y107&amp;Sprache!$E$73&amp;X107,"")</f>
        <v/>
      </c>
      <c r="AC179" s="2"/>
      <c r="AD179" s="145"/>
    </row>
    <row r="180" spans="25:30" x14ac:dyDescent="0.2">
      <c r="Y180" s="68" t="s">
        <v>68</v>
      </c>
      <c r="Z180" s="35" t="str">
        <f t="shared" si="69"/>
        <v/>
      </c>
      <c r="AA180" s="13">
        <f t="shared" si="68"/>
        <v>0</v>
      </c>
      <c r="AB180" s="13" t="str">
        <f>IF(AA180&gt;0,Y108&amp;Sprache!$E$73&amp;X108,"")</f>
        <v/>
      </c>
      <c r="AC180" s="2"/>
      <c r="AD180" s="145"/>
    </row>
    <row r="181" spans="25:30" x14ac:dyDescent="0.2">
      <c r="Y181" s="68" t="s">
        <v>69</v>
      </c>
      <c r="Z181" s="35" t="str">
        <f t="shared" si="69"/>
        <v/>
      </c>
      <c r="AA181" s="13">
        <f t="shared" si="68"/>
        <v>0</v>
      </c>
      <c r="AB181" s="13" t="str">
        <f>IF(AA181&gt;0,Y109&amp;Sprache!$E$73&amp;X109,"")</f>
        <v/>
      </c>
      <c r="AC181" s="2"/>
      <c r="AD181" s="145"/>
    </row>
    <row r="182" spans="25:30" x14ac:dyDescent="0.2">
      <c r="Y182" s="68" t="s">
        <v>70</v>
      </c>
      <c r="Z182" s="35" t="str">
        <f t="shared" si="69"/>
        <v/>
      </c>
      <c r="AA182" s="13">
        <f t="shared" si="68"/>
        <v>0</v>
      </c>
      <c r="AB182" s="13" t="str">
        <f>IF(AA182&gt;0,Y110&amp;Sprache!$E$73&amp;X110,"")</f>
        <v/>
      </c>
      <c r="AC182" s="2"/>
      <c r="AD182" s="145"/>
    </row>
    <row r="183" spans="25:30" x14ac:dyDescent="0.2">
      <c r="Y183" s="68" t="s">
        <v>71</v>
      </c>
      <c r="Z183" s="35" t="str">
        <f t="shared" si="69"/>
        <v/>
      </c>
      <c r="AA183" s="13">
        <f t="shared" si="68"/>
        <v>0</v>
      </c>
      <c r="AB183" s="13" t="str">
        <f>IF(AA183&gt;0,Y111&amp;Sprache!$E$73&amp;X111,"")</f>
        <v/>
      </c>
      <c r="AC183" s="2"/>
      <c r="AD183" s="145"/>
    </row>
    <row r="184" spans="25:30" x14ac:dyDescent="0.2">
      <c r="Y184" s="68" t="s">
        <v>72</v>
      </c>
      <c r="Z184" s="35" t="str">
        <f t="shared" si="69"/>
        <v/>
      </c>
      <c r="AA184" s="13">
        <f t="shared" si="68"/>
        <v>0</v>
      </c>
      <c r="AB184" s="13" t="str">
        <f>IF(AA184&gt;0,Y112&amp;Sprache!$E$73&amp;X112,"")</f>
        <v/>
      </c>
      <c r="AC184" s="2"/>
      <c r="AD184" s="145"/>
    </row>
    <row r="185" spans="25:30" x14ac:dyDescent="0.2">
      <c r="Y185" s="68" t="s">
        <v>73</v>
      </c>
      <c r="Z185" s="35" t="str">
        <f t="shared" si="69"/>
        <v/>
      </c>
      <c r="AA185" s="13">
        <f t="shared" si="68"/>
        <v>0</v>
      </c>
      <c r="AB185" s="13" t="str">
        <f>IF(AA185&gt;0,Y113&amp;Sprache!$E$73&amp;X113,"")</f>
        <v/>
      </c>
      <c r="AC185" s="2"/>
      <c r="AD185" s="145"/>
    </row>
    <row r="186" spans="25:30" x14ac:dyDescent="0.2">
      <c r="Y186" s="68" t="s">
        <v>74</v>
      </c>
      <c r="Z186" s="35" t="str">
        <f t="shared" si="69"/>
        <v/>
      </c>
      <c r="AA186" s="13">
        <f t="shared" si="68"/>
        <v>0</v>
      </c>
      <c r="AB186" s="13" t="str">
        <f>IF(AA186&gt;0,Y114&amp;Sprache!$E$73&amp;X114,"")</f>
        <v/>
      </c>
      <c r="AC186" s="2"/>
      <c r="AD186" s="145"/>
    </row>
    <row r="187" spans="25:30" x14ac:dyDescent="0.2">
      <c r="Y187" s="68" t="s">
        <v>75</v>
      </c>
      <c r="Z187" s="35" t="str">
        <f t="shared" si="69"/>
        <v/>
      </c>
      <c r="AA187" s="13">
        <f t="shared" si="68"/>
        <v>0</v>
      </c>
      <c r="AB187" s="13" t="str">
        <f>IF(AA187&gt;0,Y115&amp;Sprache!$E$73&amp;X115,"")</f>
        <v/>
      </c>
      <c r="AC187" s="2"/>
      <c r="AD187" s="145"/>
    </row>
    <row r="188" spans="25:30" x14ac:dyDescent="0.2">
      <c r="Y188" s="68" t="s">
        <v>76</v>
      </c>
      <c r="Z188" s="35" t="str">
        <f t="shared" si="69"/>
        <v/>
      </c>
      <c r="AA188" s="13">
        <f t="shared" si="68"/>
        <v>0</v>
      </c>
      <c r="AB188" s="13" t="str">
        <f>IF(AA188&gt;0,Y116&amp;Sprache!$E$73&amp;X116,"")</f>
        <v/>
      </c>
      <c r="AC188" s="2"/>
      <c r="AD188" s="145"/>
    </row>
    <row r="189" spans="25:30" x14ac:dyDescent="0.2">
      <c r="Y189" s="68" t="s">
        <v>77</v>
      </c>
      <c r="Z189" s="35" t="str">
        <f t="shared" si="69"/>
        <v/>
      </c>
      <c r="AA189" s="13">
        <f t="shared" si="68"/>
        <v>0</v>
      </c>
      <c r="AB189" s="13" t="str">
        <f>IF(AA189&gt;0,Y117&amp;Sprache!$E$73&amp;X117,"")</f>
        <v/>
      </c>
      <c r="AC189" s="2"/>
      <c r="AD189" s="145"/>
    </row>
    <row r="190" spans="25:30" x14ac:dyDescent="0.2">
      <c r="Y190" s="68" t="s">
        <v>78</v>
      </c>
      <c r="Z190" s="35" t="str">
        <f t="shared" si="69"/>
        <v/>
      </c>
      <c r="AA190" s="13">
        <f t="shared" si="68"/>
        <v>0</v>
      </c>
      <c r="AB190" s="13" t="str">
        <f>IF(AA190&gt;0,Y118&amp;Sprache!$E$73&amp;X118,"")</f>
        <v/>
      </c>
      <c r="AC190" s="2"/>
      <c r="AD190" s="145"/>
    </row>
    <row r="191" spans="25:30" x14ac:dyDescent="0.2">
      <c r="Y191" s="68" t="s">
        <v>79</v>
      </c>
      <c r="Z191" s="35" t="str">
        <f t="shared" si="69"/>
        <v/>
      </c>
      <c r="AA191" s="13">
        <f t="shared" si="68"/>
        <v>0</v>
      </c>
      <c r="AB191" s="13" t="str">
        <f>IF(AA191&gt;0,Y119&amp;Sprache!$E$73&amp;X119,"")</f>
        <v/>
      </c>
      <c r="AC191" s="2"/>
      <c r="AD191" s="145"/>
    </row>
    <row r="192" spans="25:30" x14ac:dyDescent="0.2">
      <c r="Y192" s="68" t="s">
        <v>80</v>
      </c>
      <c r="Z192" s="35" t="str">
        <f t="shared" si="69"/>
        <v/>
      </c>
      <c r="AA192" s="13">
        <f t="shared" si="68"/>
        <v>0</v>
      </c>
      <c r="AB192" s="13" t="str">
        <f>IF(AA192&gt;0,Y120&amp;Sprache!$E$73&amp;X120,"")</f>
        <v/>
      </c>
      <c r="AC192" s="2"/>
      <c r="AD192" s="145"/>
    </row>
    <row r="193" spans="25:30" x14ac:dyDescent="0.2">
      <c r="Y193" s="68" t="s">
        <v>81</v>
      </c>
      <c r="Z193" s="35" t="str">
        <f t="shared" si="69"/>
        <v/>
      </c>
      <c r="AA193" s="13">
        <f t="shared" si="68"/>
        <v>0</v>
      </c>
      <c r="AB193" s="13" t="str">
        <f>IF(AA193&gt;0,Y121&amp;Sprache!$E$73&amp;X121,"")</f>
        <v/>
      </c>
      <c r="AC193" s="2"/>
      <c r="AD193" s="145"/>
    </row>
    <row r="194" spans="25:30" x14ac:dyDescent="0.2">
      <c r="Y194" s="68" t="s">
        <v>82</v>
      </c>
      <c r="Z194" s="35" t="str">
        <f t="shared" si="69"/>
        <v/>
      </c>
      <c r="AA194" s="13">
        <f t="shared" si="68"/>
        <v>0</v>
      </c>
      <c r="AB194" s="13" t="str">
        <f>IF(AA194&gt;0,Y122&amp;Sprache!$E$73&amp;X122,"")</f>
        <v/>
      </c>
      <c r="AC194" s="2"/>
      <c r="AD194" s="145"/>
    </row>
    <row r="195" spans="25:30" x14ac:dyDescent="0.2">
      <c r="Y195" s="68" t="s">
        <v>83</v>
      </c>
      <c r="Z195" s="35" t="str">
        <f t="shared" si="69"/>
        <v/>
      </c>
      <c r="AA195" s="13">
        <f t="shared" si="68"/>
        <v>0</v>
      </c>
      <c r="AB195" s="13" t="str">
        <f>IF(AA195&gt;0,Y123&amp;Sprache!$E$73&amp;X123,"")</f>
        <v/>
      </c>
      <c r="AC195" s="2"/>
      <c r="AD195" s="145"/>
    </row>
    <row r="196" spans="25:30" x14ac:dyDescent="0.2">
      <c r="Y196" s="68" t="s">
        <v>84</v>
      </c>
      <c r="Z196" s="35" t="str">
        <f t="shared" si="69"/>
        <v/>
      </c>
      <c r="AA196" s="13">
        <f t="shared" si="68"/>
        <v>0</v>
      </c>
      <c r="AB196" s="13" t="str">
        <f>IF(AA196&gt;0,Y124&amp;Sprache!$E$73&amp;X124,"")</f>
        <v/>
      </c>
      <c r="AC196" s="2"/>
      <c r="AD196" s="145"/>
    </row>
    <row r="197" spans="25:30" x14ac:dyDescent="0.2">
      <c r="Y197" s="68" t="s">
        <v>85</v>
      </c>
      <c r="Z197" s="35" t="str">
        <f t="shared" si="69"/>
        <v/>
      </c>
      <c r="AA197" s="13">
        <f t="shared" si="68"/>
        <v>0</v>
      </c>
      <c r="AB197" s="13" t="str">
        <f>IF(AA197&gt;0,Y125&amp;Sprache!$E$73&amp;X125,"")</f>
        <v/>
      </c>
      <c r="AC197" s="2"/>
      <c r="AD197" s="145"/>
    </row>
    <row r="198" spans="25:30" x14ac:dyDescent="0.2">
      <c r="Y198" s="68" t="s">
        <v>86</v>
      </c>
      <c r="Z198" s="35" t="str">
        <f t="shared" si="69"/>
        <v/>
      </c>
      <c r="AA198" s="13">
        <f t="shared" si="68"/>
        <v>0</v>
      </c>
      <c r="AB198" s="13" t="str">
        <f>IF(AA198&gt;0,Y126&amp;Sprache!$E$73&amp;X126,"")</f>
        <v/>
      </c>
      <c r="AC198" s="2"/>
      <c r="AD198" s="145"/>
    </row>
    <row r="199" spans="25:30" x14ac:dyDescent="0.2">
      <c r="Y199" s="68" t="s">
        <v>87</v>
      </c>
      <c r="Z199" s="35" t="str">
        <f t="shared" si="69"/>
        <v/>
      </c>
      <c r="AA199" s="13">
        <f t="shared" si="68"/>
        <v>0</v>
      </c>
      <c r="AB199" s="13" t="str">
        <f>IF(AA199&gt;0,Y127&amp;Sprache!$E$73&amp;X127,"")</f>
        <v/>
      </c>
      <c r="AC199" s="2"/>
      <c r="AD199" s="145"/>
    </row>
    <row r="200" spans="25:30" x14ac:dyDescent="0.2">
      <c r="Y200" s="68" t="s">
        <v>88</v>
      </c>
      <c r="Z200" s="35" t="str">
        <f t="shared" si="69"/>
        <v/>
      </c>
      <c r="AA200" s="13">
        <f t="shared" si="68"/>
        <v>0</v>
      </c>
      <c r="AB200" s="13" t="str">
        <f>IF(AA200&gt;0,Y128&amp;Sprache!$E$73&amp;X128,"")</f>
        <v/>
      </c>
      <c r="AC200" s="2"/>
      <c r="AD200" s="145"/>
    </row>
    <row r="201" spans="25:30" x14ac:dyDescent="0.2">
      <c r="Y201" s="68" t="s">
        <v>89</v>
      </c>
      <c r="Z201" s="35" t="str">
        <f t="shared" si="69"/>
        <v/>
      </c>
      <c r="AA201" s="13">
        <f t="shared" ref="AA201:AA207" si="70">AA129</f>
        <v>0</v>
      </c>
      <c r="AB201" s="13" t="str">
        <f>IF(AA201&gt;0,Y129&amp;Sprache!$E$73&amp;X129,"")</f>
        <v/>
      </c>
      <c r="AC201" s="2"/>
      <c r="AD201" s="145"/>
    </row>
    <row r="202" spans="25:30" x14ac:dyDescent="0.2">
      <c r="Y202" s="68" t="s">
        <v>90</v>
      </c>
      <c r="Z202" s="35" t="str">
        <f t="shared" ref="Z202:Z206" si="71">W130&amp;V130</f>
        <v/>
      </c>
      <c r="AA202" s="13">
        <f t="shared" si="70"/>
        <v>0</v>
      </c>
      <c r="AB202" s="13" t="str">
        <f>IF(AA202&gt;0,Y130&amp;Sprache!$E$73&amp;X130,"")</f>
        <v/>
      </c>
      <c r="AC202" s="2"/>
      <c r="AD202" s="145"/>
    </row>
    <row r="203" spans="25:30" x14ac:dyDescent="0.2">
      <c r="Y203" s="68" t="s">
        <v>91</v>
      </c>
      <c r="Z203" s="35" t="str">
        <f t="shared" si="71"/>
        <v/>
      </c>
      <c r="AA203" s="13">
        <f t="shared" si="70"/>
        <v>0</v>
      </c>
      <c r="AB203" s="13" t="str">
        <f>IF(AA203&gt;0,Y131&amp;Sprache!$E$73&amp;X131,"")</f>
        <v/>
      </c>
      <c r="AC203" s="2"/>
      <c r="AD203" s="145"/>
    </row>
    <row r="204" spans="25:30" x14ac:dyDescent="0.2">
      <c r="Y204" s="68" t="s">
        <v>92</v>
      </c>
      <c r="Z204" s="35" t="str">
        <f t="shared" si="71"/>
        <v/>
      </c>
      <c r="AA204" s="13">
        <f t="shared" si="70"/>
        <v>0</v>
      </c>
      <c r="AB204" s="13" t="str">
        <f>IF(AA204&gt;0,Y132&amp;Sprache!$E$73&amp;X132,"")</f>
        <v/>
      </c>
      <c r="AC204" s="2"/>
      <c r="AD204" s="145"/>
    </row>
    <row r="205" spans="25:30" x14ac:dyDescent="0.2">
      <c r="Y205" s="68" t="s">
        <v>93</v>
      </c>
      <c r="Z205" s="35" t="str">
        <f t="shared" si="71"/>
        <v/>
      </c>
      <c r="AA205" s="13">
        <f t="shared" si="70"/>
        <v>0</v>
      </c>
      <c r="AB205" s="13" t="str">
        <f>IF(AA205&gt;0,Y133&amp;Sprache!$E$73&amp;X133,"")</f>
        <v/>
      </c>
      <c r="AC205" s="2"/>
      <c r="AD205" s="145"/>
    </row>
    <row r="206" spans="25:30" x14ac:dyDescent="0.2">
      <c r="Y206" s="68" t="s">
        <v>94</v>
      </c>
      <c r="Z206" s="35" t="str">
        <f t="shared" si="71"/>
        <v/>
      </c>
      <c r="AA206" s="13">
        <f t="shared" si="70"/>
        <v>0</v>
      </c>
      <c r="AB206" s="13" t="str">
        <f>IF(AA206&gt;0,Y134&amp;Sprache!$E$73&amp;X134,"")</f>
        <v/>
      </c>
      <c r="AC206" s="2"/>
      <c r="AD206" s="145"/>
    </row>
    <row r="207" spans="25:30" ht="12.75" thickBot="1" x14ac:dyDescent="0.25">
      <c r="Y207" s="69" t="s">
        <v>95</v>
      </c>
      <c r="Z207" s="37" t="str">
        <f>W135&amp;V135</f>
        <v/>
      </c>
      <c r="AA207" s="38">
        <f t="shared" si="70"/>
        <v>0</v>
      </c>
      <c r="AB207" s="146" t="str">
        <f>IF(AA207&gt;0,Y135&amp;Sprache!$E$73&amp;X135,"")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7BC5-DC8D-4E89-A35F-44F2E910242E}">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65">
        <f ca="1">IF($O$4&lt;10,$O$4,0)</f>
        <v>0</v>
      </c>
      <c r="X3" s="766"/>
      <c r="Y3" s="766"/>
      <c r="Z3" s="766"/>
      <c r="AA3" s="766"/>
      <c r="AB3" s="765">
        <f ca="1">IF($P$4&lt;10,$P$4,0)</f>
        <v>0</v>
      </c>
      <c r="AC3" s="766"/>
      <c r="AD3" s="766"/>
      <c r="AE3" s="766"/>
      <c r="AF3" s="766"/>
      <c r="AG3" s="765">
        <f ca="1">IF($Q$4&lt;10,$Q$4,0)</f>
        <v>0</v>
      </c>
      <c r="AH3" s="766"/>
      <c r="AI3" s="766"/>
      <c r="AJ3" s="766"/>
      <c r="AK3" s="766"/>
      <c r="AL3" s="765">
        <f ca="1">IF($R$4&lt;10,$R$4,0)</f>
        <v>0</v>
      </c>
      <c r="AM3" s="766"/>
      <c r="AN3" s="766"/>
      <c r="AO3" s="766"/>
      <c r="AP3" s="766"/>
    </row>
    <row r="4" spans="1:42" s="2" customFormat="1" ht="12.75" thickTop="1" x14ac:dyDescent="0.2">
      <c r="A4" s="239"/>
      <c r="B4" s="1">
        <v>1</v>
      </c>
      <c r="C4" s="21">
        <f ca="1">RANK(D4,$D$4:$D$12,1)</f>
        <v>1</v>
      </c>
      <c r="D4" s="13">
        <f ca="1">E4+ROW()/1000+(F4="")*10</f>
        <v>11.004</v>
      </c>
      <c r="E4" s="250">
        <f ca="1">IF($AI$15,RANK(AH17,AH$17:AH$25,1),RANK(X17,X$17:X$25,1))</f>
        <v>1</v>
      </c>
      <c r="F4" s="1" t="str">
        <f ca="1">$Q64</f>
        <v/>
      </c>
      <c r="G4" s="1">
        <f t="shared" ref="G4:G12" ca="1" si="1">SUMIFS($X$64:$X$135,$V$64:$V$135,$F4)+SUMIFS($Y$64:$Y$135,$W$64:$W$135,$F4)</f>
        <v>0</v>
      </c>
      <c r="H4" s="1">
        <f t="shared" ref="H4:H12" ca="1" si="2">SUMIFS($Y$64:$Y$135,$V$64:$V$135,$F4)+SUMIFS($X$64:$X$135,$W$64:$W$135,$F4)</f>
        <v>0</v>
      </c>
      <c r="I4" s="13">
        <f t="shared" ref="I4:I12" ca="1" si="3">G4-H4</f>
        <v>0</v>
      </c>
      <c r="J4" s="1">
        <f ca="1">SUMIF($V$64:$V$135,F4,$AE$64:$AE$135)+SUMIF($W$64:$W$135,F4,$AF$64:$AF$135)</f>
        <v>0</v>
      </c>
      <c r="K4" s="1">
        <f t="shared" ref="K4:K12" ca="1" si="4">SUMPRODUCT(($V$64:$V$135=F4)*($X$64:$X$135&lt;&gt;""))+SUMPRODUCT(($W$64:$W$135=F4)*($Y$64:$Y$135&lt;&gt;""))</f>
        <v>0</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1.0104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1.0104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1.0104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1.0104</v>
      </c>
      <c r="AP4" s="544">
        <f ca="1">RANK($AO4,$AO$4:$AO$12,1)</f>
        <v>1</v>
      </c>
    </row>
    <row r="5" spans="1:42" s="2" customFormat="1" x14ac:dyDescent="0.2">
      <c r="A5" s="239"/>
      <c r="B5" s="1">
        <v>2</v>
      </c>
      <c r="C5" s="22">
        <f t="shared" ref="C5:C12" ca="1" si="11">RANK(D5,$D$4:$D$12,1)</f>
        <v>2</v>
      </c>
      <c r="D5" s="13">
        <f t="shared" ref="D5:D12" ca="1" si="12">E5+ROW()/1000+(F5="")*10</f>
        <v>11.004999999999999</v>
      </c>
      <c r="E5" s="250">
        <f t="shared" ref="E5:E12" ca="1" si="13">IF($AI$15,RANK(AH18,AH$17:AH$25,1),RANK(X18,X$17:X$25,1))</f>
        <v>1</v>
      </c>
      <c r="F5" s="1" t="str">
        <f t="shared" ref="F5:F12" ca="1" si="14">$Q65</f>
        <v/>
      </c>
      <c r="G5" s="1">
        <f t="shared" ca="1" si="1"/>
        <v>0</v>
      </c>
      <c r="H5" s="1">
        <f t="shared" ca="1" si="2"/>
        <v>0</v>
      </c>
      <c r="I5" s="13">
        <f t="shared" ca="1" si="3"/>
        <v>0</v>
      </c>
      <c r="J5" s="1">
        <f t="shared" ref="J5:J12" ca="1" si="15">SUMIF($V$64:$V$135,F5,$AE$64:$AE$135)+SUMIF($W$64:$W$135,F5,$AF$64:$AF$135)</f>
        <v>0</v>
      </c>
      <c r="K5" s="1">
        <f t="shared" ca="1" si="4"/>
        <v>0</v>
      </c>
      <c r="L5" s="1">
        <f t="shared" ca="1" si="5"/>
        <v>0</v>
      </c>
      <c r="M5" s="1">
        <f t="shared" ca="1" si="6"/>
        <v>0</v>
      </c>
      <c r="N5" s="1">
        <f t="shared" ca="1" si="7"/>
        <v>0</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1.0105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1.0105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1.0105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1.0105</v>
      </c>
      <c r="AP5" s="544">
        <f t="shared" ref="AP5:AP12" ca="1" si="28">RANK($AO5,$AO$4:$AO$12,1)</f>
        <v>2</v>
      </c>
    </row>
    <row r="6" spans="1:42" s="2" customFormat="1" x14ac:dyDescent="0.2">
      <c r="A6" s="239"/>
      <c r="B6" s="1">
        <v>3</v>
      </c>
      <c r="C6" s="22">
        <f t="shared" ca="1" si="11"/>
        <v>3</v>
      </c>
      <c r="D6" s="13">
        <f t="shared" ca="1" si="12"/>
        <v>13.006</v>
      </c>
      <c r="E6" s="250">
        <f t="shared" ca="1" si="13"/>
        <v>3</v>
      </c>
      <c r="F6" s="1" t="str">
        <f t="shared"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541" t="str">
        <f t="shared" ca="1" si="16"/>
        <v/>
      </c>
      <c r="X6" s="542" t="str">
        <f t="shared" ca="1" si="17"/>
        <v/>
      </c>
      <c r="Y6" s="539">
        <f t="shared" ca="1" si="18"/>
        <v>99999</v>
      </c>
      <c r="Z6" s="539">
        <f ca="1">RANK(Y6,Y$4:Y$12,1)+INDEX($E$4:$E$12,MATCH(W6,$F$4:$F$12,0))/100+ROW()/10000</f>
        <v>1.0105999999999999</v>
      </c>
      <c r="AA6" s="544">
        <f t="shared" ca="1" si="19"/>
        <v>3</v>
      </c>
      <c r="AB6" s="541" t="str">
        <f t="shared" ca="1" si="8"/>
        <v/>
      </c>
      <c r="AC6" s="542" t="str">
        <f t="shared" ca="1" si="20"/>
        <v/>
      </c>
      <c r="AD6" s="543">
        <f t="shared" ca="1" si="21"/>
        <v>99999</v>
      </c>
      <c r="AE6" s="539">
        <f ca="1">RANK(AD6,AD$4:AD$12,1)+INDEX($E$4:$E$12,MATCH(AB6,$F$4:$F$12,0))/100+ROW()/10000</f>
        <v>1.0105999999999999</v>
      </c>
      <c r="AF6" s="539">
        <f t="shared" ca="1" si="22"/>
        <v>3</v>
      </c>
      <c r="AG6" s="541" t="str">
        <f t="shared" ca="1" si="9"/>
        <v/>
      </c>
      <c r="AH6" s="542" t="str">
        <f t="shared" ca="1" si="23"/>
        <v/>
      </c>
      <c r="AI6" s="543">
        <f t="shared" ca="1" si="24"/>
        <v>99999</v>
      </c>
      <c r="AJ6" s="539">
        <f ca="1">RANK(AI6,AI$4:AI$12,1)+INDEX($E$4:$E$12,MATCH(AG6,$F$4:$F$12,0))/100+ROW()/10000</f>
        <v>1.0105999999999999</v>
      </c>
      <c r="AK6" s="544">
        <f t="shared" ca="1" si="25"/>
        <v>3</v>
      </c>
      <c r="AL6" s="542" t="str">
        <f t="shared" ca="1" si="10"/>
        <v/>
      </c>
      <c r="AM6" s="542" t="str">
        <f t="shared" ca="1" si="26"/>
        <v/>
      </c>
      <c r="AN6" s="543">
        <f t="shared" ca="1" si="27"/>
        <v>99999</v>
      </c>
      <c r="AO6" s="539">
        <f ca="1">RANK(AN6,AN$4:AN$12,1)+INDEX($E$4:$E$12,MATCH(AL6,$F$4:$F$12,0))/100+ROW()/10000</f>
        <v>1.0105999999999999</v>
      </c>
      <c r="AP6" s="544">
        <f t="shared" ca="1" si="28"/>
        <v>3</v>
      </c>
    </row>
    <row r="7" spans="1:42" s="2" customFormat="1" x14ac:dyDescent="0.2">
      <c r="A7" s="239"/>
      <c r="B7" s="1">
        <v>4</v>
      </c>
      <c r="C7" s="22">
        <f t="shared" ca="1" si="11"/>
        <v>4</v>
      </c>
      <c r="D7" s="13">
        <f t="shared" ca="1" si="12"/>
        <v>13.007</v>
      </c>
      <c r="E7" s="250">
        <f t="shared" ca="1" si="13"/>
        <v>3</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541" t="str">
        <f t="shared" ca="1" si="16"/>
        <v/>
      </c>
      <c r="X7" s="542" t="str">
        <f t="shared" ca="1" si="17"/>
        <v/>
      </c>
      <c r="Y7" s="539">
        <f t="shared" ca="1" si="18"/>
        <v>99999</v>
      </c>
      <c r="Z7" s="539">
        <f ca="1">RANK(Y7,Y$4:Y$12,1)+INDEX($E$4:$E$12,MATCH(W7,$F$4:$F$12,0))/100+ROW()/10000</f>
        <v>1.0106999999999999</v>
      </c>
      <c r="AA7" s="544">
        <f t="shared" ca="1" si="19"/>
        <v>4</v>
      </c>
      <c r="AB7" s="541" t="str">
        <f t="shared" ca="1" si="8"/>
        <v/>
      </c>
      <c r="AC7" s="542" t="str">
        <f t="shared" ca="1" si="20"/>
        <v/>
      </c>
      <c r="AD7" s="543">
        <f t="shared" ca="1" si="21"/>
        <v>99999</v>
      </c>
      <c r="AE7" s="539">
        <f ca="1">RANK(AD7,AD$4:AD$12,1)+INDEX($E$4:$E$12,MATCH(AB7,$F$4:$F$12,0))/100+ROW()/10000</f>
        <v>1.0106999999999999</v>
      </c>
      <c r="AF7" s="539">
        <f t="shared" ca="1" si="22"/>
        <v>4</v>
      </c>
      <c r="AG7" s="541" t="str">
        <f t="shared" ca="1" si="9"/>
        <v/>
      </c>
      <c r="AH7" s="542" t="str">
        <f t="shared" ca="1" si="23"/>
        <v/>
      </c>
      <c r="AI7" s="543">
        <f t="shared" ca="1" si="24"/>
        <v>99999</v>
      </c>
      <c r="AJ7" s="539">
        <f ca="1">RANK(AI7,AI$4:AI$12,1)+INDEX($E$4:$E$12,MATCH(AG7,$F$4:$F$12,0))/100+ROW()/10000</f>
        <v>1.0106999999999999</v>
      </c>
      <c r="AK7" s="544">
        <f t="shared" ca="1" si="25"/>
        <v>4</v>
      </c>
      <c r="AL7" s="542" t="str">
        <f t="shared" ca="1" si="10"/>
        <v/>
      </c>
      <c r="AM7" s="542" t="str">
        <f t="shared" ca="1" si="26"/>
        <v/>
      </c>
      <c r="AN7" s="543">
        <f t="shared" ca="1" si="27"/>
        <v>99999</v>
      </c>
      <c r="AO7" s="539">
        <f ca="1">RANK(AN7,AN$4:AN$12,1)+INDEX($E$4:$E$12,MATCH(AL7,$F$4:$F$12,0))/100+ROW()/10000</f>
        <v>1.0106999999999999</v>
      </c>
      <c r="AP7" s="544">
        <f t="shared" ca="1" si="28"/>
        <v>4</v>
      </c>
    </row>
    <row r="8" spans="1:42" s="2" customFormat="1" x14ac:dyDescent="0.2">
      <c r="A8" s="239"/>
      <c r="B8" s="1">
        <v>5</v>
      </c>
      <c r="C8" s="22">
        <f t="shared" ca="1" si="11"/>
        <v>5</v>
      </c>
      <c r="D8" s="13">
        <f t="shared" ca="1" si="12"/>
        <v>13.007999999999999</v>
      </c>
      <c r="E8" s="250">
        <f t="shared" ca="1" si="13"/>
        <v>3</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1.0107999999999999</v>
      </c>
      <c r="AA8" s="544">
        <f t="shared" ca="1" si="19"/>
        <v>5</v>
      </c>
      <c r="AB8" s="541" t="str">
        <f t="shared" ca="1" si="8"/>
        <v/>
      </c>
      <c r="AC8" s="542" t="str">
        <f t="shared" ca="1" si="20"/>
        <v/>
      </c>
      <c r="AD8" s="543">
        <f t="shared" ca="1" si="21"/>
        <v>99999</v>
      </c>
      <c r="AE8" s="539">
        <f t="shared" ref="AE8:AE12" ca="1" si="30">RANK(AD8,AD$4:AD$12,1)+INDEX($E$4:$E$12,MATCH(AB8,$F$4:$F$12,0))/100+ROW()/10000</f>
        <v>1.0107999999999999</v>
      </c>
      <c r="AF8" s="539">
        <f t="shared" ca="1" si="22"/>
        <v>5</v>
      </c>
      <c r="AG8" s="541" t="str">
        <f t="shared" ca="1" si="9"/>
        <v/>
      </c>
      <c r="AH8" s="542" t="str">
        <f t="shared" ca="1" si="23"/>
        <v/>
      </c>
      <c r="AI8" s="543">
        <f t="shared" ca="1" si="24"/>
        <v>99999</v>
      </c>
      <c r="AJ8" s="539">
        <f t="shared" ref="AJ8:AJ12" ca="1" si="31">RANK(AI8,AI$4:AI$12,1)+INDEX($E$4:$E$12,MATCH(AG8,$F$4:$F$12,0))/100+ROW()/10000</f>
        <v>1.0107999999999999</v>
      </c>
      <c r="AK8" s="544">
        <f t="shared" ca="1" si="25"/>
        <v>5</v>
      </c>
      <c r="AL8" s="542" t="str">
        <f t="shared" ca="1" si="10"/>
        <v/>
      </c>
      <c r="AM8" s="542" t="str">
        <f t="shared" ca="1" si="26"/>
        <v/>
      </c>
      <c r="AN8" s="543">
        <f t="shared" ca="1" si="27"/>
        <v>99999</v>
      </c>
      <c r="AO8" s="539">
        <f t="shared" ref="AO8:AO12" ca="1" si="32">RANK(AN8,AN$4:AN$12,1)+INDEX($E$4:$E$12,MATCH(AL8,$F$4:$F$12,0))/100+ROW()/10000</f>
        <v>1.0107999999999999</v>
      </c>
      <c r="AP8" s="544">
        <f t="shared" ca="1" si="28"/>
        <v>5</v>
      </c>
    </row>
    <row r="9" spans="1:42" s="2" customFormat="1" x14ac:dyDescent="0.2">
      <c r="A9" s="239"/>
      <c r="B9" s="1">
        <v>6</v>
      </c>
      <c r="C9" s="22">
        <f t="shared" ca="1" si="11"/>
        <v>6</v>
      </c>
      <c r="D9" s="13">
        <f t="shared" ca="1" si="12"/>
        <v>13.009</v>
      </c>
      <c r="E9" s="250">
        <f t="shared" ca="1" si="13"/>
        <v>3</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1.0108999999999999</v>
      </c>
      <c r="AA9" s="544">
        <f t="shared" ca="1" si="19"/>
        <v>6</v>
      </c>
      <c r="AB9" s="541" t="str">
        <f t="shared" ca="1" si="8"/>
        <v/>
      </c>
      <c r="AC9" s="542" t="str">
        <f t="shared" ca="1" si="20"/>
        <v/>
      </c>
      <c r="AD9" s="543">
        <f t="shared" ca="1" si="21"/>
        <v>99999</v>
      </c>
      <c r="AE9" s="539">
        <f t="shared" ca="1" si="30"/>
        <v>1.0108999999999999</v>
      </c>
      <c r="AF9" s="539">
        <f t="shared" ca="1" si="22"/>
        <v>6</v>
      </c>
      <c r="AG9" s="541" t="str">
        <f t="shared" ca="1" si="9"/>
        <v/>
      </c>
      <c r="AH9" s="542" t="str">
        <f t="shared" ca="1" si="23"/>
        <v/>
      </c>
      <c r="AI9" s="543">
        <f t="shared" ca="1" si="24"/>
        <v>99999</v>
      </c>
      <c r="AJ9" s="539">
        <f t="shared" ca="1" si="31"/>
        <v>1.0108999999999999</v>
      </c>
      <c r="AK9" s="544">
        <f t="shared" ca="1" si="25"/>
        <v>6</v>
      </c>
      <c r="AL9" s="542" t="str">
        <f t="shared" ca="1" si="10"/>
        <v/>
      </c>
      <c r="AM9" s="542" t="str">
        <f t="shared" ca="1" si="26"/>
        <v/>
      </c>
      <c r="AN9" s="543">
        <f t="shared" ca="1" si="27"/>
        <v>99999</v>
      </c>
      <c r="AO9" s="539">
        <f t="shared" ca="1" si="32"/>
        <v>1.0108999999999999</v>
      </c>
      <c r="AP9" s="544">
        <f t="shared" ca="1" si="28"/>
        <v>6</v>
      </c>
    </row>
    <row r="10" spans="1:42" s="2" customFormat="1" x14ac:dyDescent="0.2">
      <c r="A10" s="239"/>
      <c r="B10" s="1">
        <v>7</v>
      </c>
      <c r="C10" s="22">
        <f t="shared" ca="1" si="11"/>
        <v>7</v>
      </c>
      <c r="D10" s="13">
        <f t="shared" ca="1" si="12"/>
        <v>13.01</v>
      </c>
      <c r="E10" s="250">
        <f t="shared" ca="1" si="13"/>
        <v>3</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1.0109999999999999</v>
      </c>
      <c r="AA10" s="544">
        <f t="shared" ca="1" si="19"/>
        <v>7</v>
      </c>
      <c r="AB10" s="541" t="str">
        <f t="shared" ca="1" si="8"/>
        <v/>
      </c>
      <c r="AC10" s="542" t="str">
        <f t="shared" ca="1" si="20"/>
        <v/>
      </c>
      <c r="AD10" s="543">
        <f t="shared" ca="1" si="21"/>
        <v>99999</v>
      </c>
      <c r="AE10" s="539">
        <f t="shared" ca="1" si="30"/>
        <v>1.0109999999999999</v>
      </c>
      <c r="AF10" s="539">
        <f t="shared" ca="1" si="22"/>
        <v>7</v>
      </c>
      <c r="AG10" s="541" t="str">
        <f t="shared" ca="1" si="9"/>
        <v/>
      </c>
      <c r="AH10" s="542" t="str">
        <f t="shared" ca="1" si="23"/>
        <v/>
      </c>
      <c r="AI10" s="543">
        <f t="shared" ca="1" si="24"/>
        <v>99999</v>
      </c>
      <c r="AJ10" s="539">
        <f t="shared" ca="1" si="31"/>
        <v>1.0109999999999999</v>
      </c>
      <c r="AK10" s="544">
        <f t="shared" ca="1" si="25"/>
        <v>7</v>
      </c>
      <c r="AL10" s="542" t="str">
        <f t="shared" ca="1" si="10"/>
        <v/>
      </c>
      <c r="AM10" s="542" t="str">
        <f t="shared" ca="1" si="26"/>
        <v/>
      </c>
      <c r="AN10" s="543">
        <f t="shared" ca="1" si="27"/>
        <v>99999</v>
      </c>
      <c r="AO10" s="539">
        <f t="shared" ca="1" si="32"/>
        <v>1.0109999999999999</v>
      </c>
      <c r="AP10" s="544">
        <f t="shared" ca="1" si="28"/>
        <v>7</v>
      </c>
    </row>
    <row r="11" spans="1:42" s="2" customFormat="1" x14ac:dyDescent="0.2">
      <c r="A11" s="239"/>
      <c r="B11" s="1">
        <v>8</v>
      </c>
      <c r="C11" s="22">
        <f t="shared" ca="1" si="11"/>
        <v>8</v>
      </c>
      <c r="D11" s="13">
        <f t="shared" ca="1" si="12"/>
        <v>13.010999999999999</v>
      </c>
      <c r="E11" s="250">
        <f t="shared" ca="1" si="13"/>
        <v>3</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1.0111000000000001</v>
      </c>
      <c r="AA11" s="544">
        <f t="shared" ca="1" si="19"/>
        <v>8</v>
      </c>
      <c r="AB11" s="541" t="str">
        <f t="shared" ca="1" si="8"/>
        <v/>
      </c>
      <c r="AC11" s="542" t="str">
        <f t="shared" ca="1" si="20"/>
        <v/>
      </c>
      <c r="AD11" s="543">
        <f t="shared" ca="1" si="21"/>
        <v>99999</v>
      </c>
      <c r="AE11" s="539">
        <f t="shared" ca="1" si="30"/>
        <v>1.0111000000000001</v>
      </c>
      <c r="AF11" s="539">
        <f t="shared" ca="1" si="22"/>
        <v>8</v>
      </c>
      <c r="AG11" s="541" t="str">
        <f t="shared" ca="1" si="9"/>
        <v/>
      </c>
      <c r="AH11" s="542" t="str">
        <f t="shared" ca="1" si="23"/>
        <v/>
      </c>
      <c r="AI11" s="543">
        <f t="shared" ca="1" si="24"/>
        <v>99999</v>
      </c>
      <c r="AJ11" s="539">
        <f t="shared" ca="1" si="31"/>
        <v>1.0111000000000001</v>
      </c>
      <c r="AK11" s="544">
        <f t="shared" ca="1" si="25"/>
        <v>8</v>
      </c>
      <c r="AL11" s="542" t="str">
        <f t="shared" ca="1" si="10"/>
        <v/>
      </c>
      <c r="AM11" s="542" t="str">
        <f t="shared" ca="1" si="26"/>
        <v/>
      </c>
      <c r="AN11" s="543">
        <f t="shared" ca="1" si="27"/>
        <v>99999</v>
      </c>
      <c r="AO11" s="539">
        <f t="shared" ca="1" si="32"/>
        <v>1.0111000000000001</v>
      </c>
      <c r="AP11" s="544">
        <f t="shared" ca="1" si="28"/>
        <v>8</v>
      </c>
    </row>
    <row r="12" spans="1:42" s="2" customFormat="1" ht="12.75" thickBot="1" x14ac:dyDescent="0.25">
      <c r="A12" s="239"/>
      <c r="B12" s="1">
        <v>9</v>
      </c>
      <c r="C12" s="23">
        <f t="shared" ca="1" si="11"/>
        <v>9</v>
      </c>
      <c r="D12" s="13">
        <f t="shared" ca="1" si="12"/>
        <v>13.012</v>
      </c>
      <c r="E12" s="250">
        <f t="shared" ca="1" si="13"/>
        <v>3</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1.0112000000000001</v>
      </c>
      <c r="AA12" s="548">
        <f t="shared" ca="1" si="19"/>
        <v>9</v>
      </c>
      <c r="AB12" s="545" t="str">
        <f t="shared" ca="1" si="8"/>
        <v/>
      </c>
      <c r="AC12" s="546" t="str">
        <f t="shared" ca="1" si="20"/>
        <v/>
      </c>
      <c r="AD12" s="549">
        <f t="shared" ca="1" si="21"/>
        <v>99999</v>
      </c>
      <c r="AE12" s="547">
        <f t="shared" ca="1" si="30"/>
        <v>1.0112000000000001</v>
      </c>
      <c r="AF12" s="547">
        <f t="shared" ca="1" si="22"/>
        <v>9</v>
      </c>
      <c r="AG12" s="545" t="str">
        <f t="shared" ca="1" si="9"/>
        <v/>
      </c>
      <c r="AH12" s="546" t="str">
        <f t="shared" ca="1" si="23"/>
        <v/>
      </c>
      <c r="AI12" s="549">
        <f t="shared" ca="1" si="24"/>
        <v>99999</v>
      </c>
      <c r="AJ12" s="547">
        <f t="shared" ca="1" si="31"/>
        <v>1.0112000000000001</v>
      </c>
      <c r="AK12" s="548">
        <f t="shared" ca="1" si="25"/>
        <v>9</v>
      </c>
      <c r="AL12" s="546" t="str">
        <f t="shared" ca="1" si="10"/>
        <v/>
      </c>
      <c r="AM12" s="546" t="str">
        <f t="shared" ca="1" si="26"/>
        <v/>
      </c>
      <c r="AN12" s="549">
        <f t="shared" ca="1" si="27"/>
        <v>99999</v>
      </c>
      <c r="AO12" s="547">
        <f t="shared" ca="1" si="32"/>
        <v>1.0112000000000001</v>
      </c>
      <c r="AP12" s="548">
        <f t="shared" ca="1" si="28"/>
        <v>9</v>
      </c>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7" t="s">
        <v>190</v>
      </c>
      <c r="AE15" s="768"/>
      <c r="AF15" s="768"/>
      <c r="AG15" s="768"/>
      <c r="AH15" s="769"/>
      <c r="AI15" s="2" t="b">
        <f>(Einstellungen!$B$9=Sprache!$E$78)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
      </c>
      <c r="D17" s="1">
        <f t="shared" ref="D17:G25" ca="1" si="33">K4</f>
        <v>0</v>
      </c>
      <c r="E17" s="1">
        <f t="shared" ca="1" si="33"/>
        <v>0</v>
      </c>
      <c r="F17" s="1">
        <f t="shared" ca="1" si="33"/>
        <v>0</v>
      </c>
      <c r="G17" s="1">
        <f t="shared" ca="1" si="33"/>
        <v>0</v>
      </c>
      <c r="H17" s="1">
        <f t="shared" ref="H17:K25" ca="1" si="34">G4</f>
        <v>0</v>
      </c>
      <c r="I17" s="1">
        <f t="shared" ca="1" si="34"/>
        <v>0</v>
      </c>
      <c r="J17" s="13">
        <f t="shared" ca="1" si="34"/>
        <v>0</v>
      </c>
      <c r="K17" s="1">
        <f t="shared" ca="1" si="34"/>
        <v>0</v>
      </c>
      <c r="L17" s="30">
        <f t="shared" ref="L17:L25" ca="1" si="35">K17*$F$64+(J17+$H$65)*$F$65+H17*$F$66</f>
        <v>500000</v>
      </c>
      <c r="M17" s="14">
        <f ca="1">IF($AI$15,COUNTIF($K$17:$K$25,K17),COUNTIF($L$17:$L$25,L17))</f>
        <v>9</v>
      </c>
      <c r="N17" s="14">
        <f t="array" aca="1" ref="N17" ca="1">IF($AI$15,SUM(($K$17:$K$25&gt;=K17)/COUNTIF($K$17:$K$25,$K$17:$K$25)),SUM(($L$17:$L$25&gt;=L17)/COUNTIF($L$17:$L$25,$L$17:$L$25)))</f>
        <v>1.0000000000000002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'Endrunde 4'!$AF40</f>
        <v>0</v>
      </c>
      <c r="Z17" s="1">
        <f ca="1">RANK($W17,$W$17:$W$25)+(9-$Y17)/10</f>
        <v>1.9</v>
      </c>
      <c r="AA17" s="1">
        <f ca="1">SUM(E30:BP30)</f>
        <v>0</v>
      </c>
      <c r="AB17" s="1">
        <f ca="1">SUM(E41:BP41)</f>
        <v>0</v>
      </c>
      <c r="AC17" s="1">
        <f ca="1">SUM(E52:BP52)</f>
        <v>0</v>
      </c>
      <c r="AD17" s="244">
        <f ca="1">RANK($K17,$K$17:$K$25)</f>
        <v>1</v>
      </c>
      <c r="AE17" s="30">
        <f ca="1">(J17+$H$65)*$F$65+H17*$F$66</f>
        <v>500000</v>
      </c>
      <c r="AF17" s="1">
        <f ca="1">RANK($AE17,$AE$17:$AE$25)</f>
        <v>1</v>
      </c>
      <c r="AG17" s="1">
        <f ca="1">RANK($W17,$W$17:$W$25)</f>
        <v>1</v>
      </c>
      <c r="AH17" s="246">
        <f ca="1">AD17+AG17/100+AF17/10000+(10-Y17)/1000000</f>
        <v>1.0101100000000001</v>
      </c>
      <c r="AI17" s="1"/>
    </row>
    <row r="18" spans="2:80" s="2" customFormat="1" x14ac:dyDescent="0.2">
      <c r="C18" s="2" t="str">
        <f t="shared" ref="C18:C25" ca="1" si="44">$Q65</f>
        <v/>
      </c>
      <c r="D18" s="1">
        <f t="shared" ca="1" si="33"/>
        <v>0</v>
      </c>
      <c r="E18" s="1">
        <f t="shared" ca="1" si="33"/>
        <v>0</v>
      </c>
      <c r="F18" s="1">
        <f t="shared" ca="1" si="33"/>
        <v>0</v>
      </c>
      <c r="G18" s="1">
        <f t="shared" ca="1" si="33"/>
        <v>0</v>
      </c>
      <c r="H18" s="1">
        <f t="shared" ca="1" si="34"/>
        <v>0</v>
      </c>
      <c r="I18" s="1">
        <f t="shared" ca="1" si="34"/>
        <v>0</v>
      </c>
      <c r="J18" s="13">
        <f t="shared" ca="1" si="34"/>
        <v>0</v>
      </c>
      <c r="K18" s="1">
        <f t="shared" ca="1" si="34"/>
        <v>0</v>
      </c>
      <c r="L18" s="30">
        <f t="shared" ca="1" si="35"/>
        <v>500000</v>
      </c>
      <c r="M18" s="14">
        <f t="shared" ref="M18:M25" ca="1" si="45">IF($AI$15,COUNTIF($K$17:$K$25,K18),COUNTIF($L$17:$L$25,L18))</f>
        <v>9</v>
      </c>
      <c r="N18" s="14">
        <f t="array" aca="1" ref="N18" ca="1">IF($AI$15,SUM(($K$17:$K$25&gt;=K18)/COUNTIF($K$17:$K$25,$K$17:$K$25)),SUM(($L$17:$L$25&gt;=L18)/COUNTIF($L$17:$L$25,$L$17:$L$25)))</f>
        <v>1.0000000000000002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1.0108999999999999</v>
      </c>
      <c r="Y18" s="13">
        <f>'Endrunde 4'!$AF41</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1</v>
      </c>
      <c r="AE18" s="30">
        <f ca="1">(J18+$H$65)*$F$65+H18*$F$66</f>
        <v>500000</v>
      </c>
      <c r="AF18" s="1">
        <f t="shared" ref="AF18:AF25" ca="1" si="52">RANK($AE18,$AE$17:$AE$25)</f>
        <v>1</v>
      </c>
      <c r="AG18" s="1">
        <f t="shared" ref="AG18:AG25" ca="1" si="53">RANK($W18,$W$17:$W$25)</f>
        <v>1</v>
      </c>
      <c r="AH18" s="247">
        <f t="shared" ref="AH18:AH25" ca="1" si="54">AD18+AG18/100+AF18/10000+(10-Y18)/1000000</f>
        <v>1.0101100000000001</v>
      </c>
      <c r="AI18" s="1"/>
    </row>
    <row r="19" spans="2:80" s="2" customFormat="1" x14ac:dyDescent="0.2">
      <c r="C19" s="2" t="str">
        <f t="shared" si="44"/>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5"/>
        <v>9</v>
      </c>
      <c r="N19" s="14">
        <f t="array" aca="1" ref="N19" ca="1">IF($AI$15,SUM(($K$17:$K$25&gt;=K19)/COUNTIF($K$17:$K$25,$K$17:$K$25)),SUM(($L$17:$L$25&gt;=L19)/COUNTIF($L$17:$L$25,$L$17:$L$25)))</f>
        <v>1.0000000000000002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v>0</v>
      </c>
      <c r="X19" s="22">
        <f t="shared" ca="1" si="46"/>
        <v>1.0308999999999999</v>
      </c>
      <c r="Y19" s="13">
        <v>0</v>
      </c>
      <c r="Z19" s="1">
        <f t="shared" ca="1" si="47"/>
        <v>3.9</v>
      </c>
      <c r="AA19" s="1">
        <f t="shared" ca="1" si="48"/>
        <v>0</v>
      </c>
      <c r="AB19" s="1">
        <f t="shared" ca="1" si="49"/>
        <v>0</v>
      </c>
      <c r="AC19" s="1">
        <f t="shared" ca="1" si="50"/>
        <v>0</v>
      </c>
      <c r="AD19" s="244">
        <f t="shared" ca="1" si="51"/>
        <v>1</v>
      </c>
      <c r="AE19" s="30">
        <f ca="1">(J19+$H$65)*$F$65+H19*$F$66</f>
        <v>500000</v>
      </c>
      <c r="AF19" s="1">
        <f t="shared" ca="1" si="52"/>
        <v>1</v>
      </c>
      <c r="AG19" s="1">
        <f t="shared" ca="1" si="53"/>
        <v>3</v>
      </c>
      <c r="AH19" s="247">
        <f t="shared" ca="1" si="54"/>
        <v>1.0301100000000001</v>
      </c>
      <c r="AI19" s="1"/>
    </row>
    <row r="20" spans="2:80" s="2" customFormat="1" x14ac:dyDescent="0.2">
      <c r="C20" s="2" t="str">
        <f t="shared" si="44"/>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5"/>
        <v>9</v>
      </c>
      <c r="N20" s="14">
        <f t="array" aca="1" ref="N20" ca="1">IF($AI$15,SUM(($K$17:$K$25&gt;=K20)/COUNTIF($K$17:$K$25,$K$17:$K$25)),SUM(($L$17:$L$25&gt;=L20)/COUNTIF($L$17:$L$25,$L$17:$L$25)))</f>
        <v>1.0000000000000002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v>0</v>
      </c>
      <c r="X20" s="22">
        <f t="shared" ca="1" si="46"/>
        <v>1.0308999999999999</v>
      </c>
      <c r="Y20" s="13">
        <v>0</v>
      </c>
      <c r="Z20" s="1">
        <f t="shared" ca="1" si="47"/>
        <v>3.9</v>
      </c>
      <c r="AA20" s="1">
        <f t="shared" ca="1" si="48"/>
        <v>0</v>
      </c>
      <c r="AB20" s="1">
        <f t="shared" ca="1" si="49"/>
        <v>0</v>
      </c>
      <c r="AC20" s="1">
        <f t="shared" ca="1" si="50"/>
        <v>0</v>
      </c>
      <c r="AD20" s="244">
        <f t="shared" ca="1" si="51"/>
        <v>1</v>
      </c>
      <c r="AE20" s="30">
        <f ca="1">(J20+$H$65)*$F$65+H20*$F$66</f>
        <v>500000</v>
      </c>
      <c r="AF20" s="1">
        <f t="shared" ca="1" si="52"/>
        <v>1</v>
      </c>
      <c r="AG20" s="1">
        <f t="shared" ca="1" si="53"/>
        <v>3</v>
      </c>
      <c r="AH20" s="247">
        <f t="shared" ca="1" si="54"/>
        <v>1.0301100000000001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9</v>
      </c>
      <c r="N21" s="14">
        <f t="array" aca="1" ref="N21" ca="1">IF($AI$15,SUM(($K$17:$K$25&gt;=K21)/COUNTIF($K$17:$K$25,$K$17:$K$25)),SUM(($L$17:$L$25&gt;=L21)/COUNTIF($L$17:$L$25,$L$17:$L$25)))</f>
        <v>1.0000000000000002</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1.0308999999999999</v>
      </c>
      <c r="Y21" s="13">
        <v>0</v>
      </c>
      <c r="Z21" s="1">
        <f t="shared" ca="1" si="47"/>
        <v>3.9</v>
      </c>
      <c r="AA21" s="1">
        <f t="shared" ca="1" si="48"/>
        <v>0</v>
      </c>
      <c r="AB21" s="1">
        <f t="shared" ca="1" si="49"/>
        <v>0</v>
      </c>
      <c r="AC21" s="1">
        <f t="shared" ca="1" si="50"/>
        <v>0</v>
      </c>
      <c r="AD21" s="244">
        <f t="shared" ca="1" si="51"/>
        <v>1</v>
      </c>
      <c r="AE21" s="30">
        <v>0</v>
      </c>
      <c r="AF21" s="1">
        <f t="shared" ca="1" si="52"/>
        <v>5</v>
      </c>
      <c r="AG21" s="1">
        <f t="shared" ca="1" si="53"/>
        <v>3</v>
      </c>
      <c r="AH21" s="247">
        <f t="shared" ca="1" si="54"/>
        <v>1.03051</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9</v>
      </c>
      <c r="N22" s="14">
        <f t="array" aca="1" ref="N22" ca="1">IF($AI$15,SUM(($K$17:$K$25&gt;=K22)/COUNTIF($K$17:$K$25,$K$17:$K$25)),SUM(($L$17:$L$25&gt;=L22)/COUNTIF($L$17:$L$25,$L$17:$L$25)))</f>
        <v>1.0000000000000002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1.0308999999999999</v>
      </c>
      <c r="Y22" s="13">
        <v>0</v>
      </c>
      <c r="Z22" s="1">
        <f t="shared" ca="1" si="47"/>
        <v>3.9</v>
      </c>
      <c r="AA22" s="1">
        <f t="shared" ca="1" si="48"/>
        <v>0</v>
      </c>
      <c r="AB22" s="1">
        <f t="shared" ca="1" si="49"/>
        <v>0</v>
      </c>
      <c r="AC22" s="1">
        <f t="shared" ca="1" si="50"/>
        <v>0</v>
      </c>
      <c r="AD22" s="244">
        <f t="shared" ca="1" si="51"/>
        <v>1</v>
      </c>
      <c r="AE22" s="30">
        <v>0</v>
      </c>
      <c r="AF22" s="1">
        <f t="shared" ca="1" si="52"/>
        <v>5</v>
      </c>
      <c r="AG22" s="1">
        <f t="shared" ca="1" si="53"/>
        <v>3</v>
      </c>
      <c r="AH22" s="247">
        <f t="shared" ca="1" si="54"/>
        <v>1.03051</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9</v>
      </c>
      <c r="N23" s="14">
        <f t="array" aca="1" ref="N23" ca="1">IF($AI$15,SUM(($K$17:$K$25&gt;=K23)/COUNTIF($K$17:$K$25,$K$17:$K$25)),SUM(($L$17:$L$25&gt;=L23)/COUNTIF($L$17:$L$25,$L$17:$L$25)))</f>
        <v>1.0000000000000002</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1.0308999999999999</v>
      </c>
      <c r="Y23" s="13">
        <v>0</v>
      </c>
      <c r="Z23" s="1">
        <f t="shared" ca="1" si="47"/>
        <v>3.9</v>
      </c>
      <c r="AA23" s="1">
        <f t="shared" ca="1" si="48"/>
        <v>0</v>
      </c>
      <c r="AB23" s="1">
        <f t="shared" ca="1" si="49"/>
        <v>0</v>
      </c>
      <c r="AC23" s="1">
        <f t="shared" ca="1" si="50"/>
        <v>0</v>
      </c>
      <c r="AD23" s="244">
        <f t="shared" ca="1" si="51"/>
        <v>1</v>
      </c>
      <c r="AE23" s="30">
        <v>0</v>
      </c>
      <c r="AF23" s="1">
        <f t="shared" ca="1" si="52"/>
        <v>5</v>
      </c>
      <c r="AG23" s="1">
        <f t="shared" ca="1" si="53"/>
        <v>3</v>
      </c>
      <c r="AH23" s="247">
        <f t="shared" ca="1" si="54"/>
        <v>1.03051</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9</v>
      </c>
      <c r="N24" s="14">
        <f t="array" aca="1" ref="N24" ca="1">IF($AI$15,SUM(($K$17:$K$25&gt;=K24)/COUNTIF($K$17:$K$25,$K$17:$K$25)),SUM(($L$17:$L$25&gt;=L24)/COUNTIF($L$17:$L$25,$L$17:$L$25)))</f>
        <v>1.0000000000000002</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1.0308999999999999</v>
      </c>
      <c r="Y24" s="13">
        <v>0</v>
      </c>
      <c r="Z24" s="1">
        <f t="shared" ca="1" si="47"/>
        <v>3.9</v>
      </c>
      <c r="AA24" s="1">
        <f t="shared" ca="1" si="48"/>
        <v>0</v>
      </c>
      <c r="AB24" s="1">
        <f t="shared" ca="1" si="49"/>
        <v>0</v>
      </c>
      <c r="AC24" s="1">
        <f t="shared" ca="1" si="50"/>
        <v>0</v>
      </c>
      <c r="AD24" s="244">
        <f t="shared" ca="1" si="51"/>
        <v>1</v>
      </c>
      <c r="AE24" s="30">
        <v>0</v>
      </c>
      <c r="AF24" s="1">
        <f t="shared" ca="1" si="52"/>
        <v>5</v>
      </c>
      <c r="AG24" s="1">
        <f t="shared" ca="1" si="53"/>
        <v>3</v>
      </c>
      <c r="AH24" s="247">
        <f t="shared" ca="1" si="54"/>
        <v>1.03051</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9</v>
      </c>
      <c r="N25" s="14">
        <f t="array" aca="1" ref="N25" ca="1">IF($AI$15,SUM(($K$17:$K$25&gt;=K25)/COUNTIF($K$17:$K$25,$K$17:$K$25)),SUM(($L$17:$L$25&gt;=L25)/COUNTIF($L$17:$L$25,$L$17:$L$25)))</f>
        <v>1.0000000000000002</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1.0308999999999999</v>
      </c>
      <c r="Y25" s="13">
        <v>0</v>
      </c>
      <c r="Z25" s="1">
        <f t="shared" ca="1" si="47"/>
        <v>3.9</v>
      </c>
      <c r="AA25" s="1">
        <f t="shared" ca="1" si="48"/>
        <v>0</v>
      </c>
      <c r="AB25" s="1">
        <f t="shared" ca="1" si="49"/>
        <v>0</v>
      </c>
      <c r="AC25" s="1">
        <f t="shared" ca="1" si="50"/>
        <v>0</v>
      </c>
      <c r="AD25" s="244">
        <f t="shared" ca="1" si="51"/>
        <v>1</v>
      </c>
      <c r="AE25" s="30">
        <v>0</v>
      </c>
      <c r="AF25" s="1">
        <f t="shared" ca="1" si="52"/>
        <v>5</v>
      </c>
      <c r="AG25" s="1">
        <f t="shared" ca="1" si="53"/>
        <v>3</v>
      </c>
      <c r="AH25" s="248">
        <f t="shared" ca="1" si="54"/>
        <v>1.03051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
      </c>
      <c r="BT29" s="2" t="str">
        <f ca="1">$F$5</f>
        <v/>
      </c>
      <c r="BU29" s="2" t="str">
        <f>$F$6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
      </c>
      <c r="BS30" s="7"/>
      <c r="BT30" s="8">
        <f t="shared" ref="BT30:CA32" ca="1" si="56">SUMIFS($X$64:$X$135,$V$64:$V$135,$BR30,$W$64:$W$135,BT$29)+SUMIFS($Y$64:$Y$135,$W$64:$W$135,$BR30,$V$64:$V$135,BT$29)</f>
        <v>0</v>
      </c>
      <c r="BU30" s="8">
        <f t="shared" ca="1" si="56"/>
        <v>0</v>
      </c>
      <c r="BV30" s="8">
        <f t="shared" ca="1" si="56"/>
        <v>0</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
      </c>
      <c r="BS31" s="9">
        <f t="shared" ref="BS31:BU38" ca="1" si="58">SUMIFS($X$64:$X$135,$V$64:$V$135,$BR31,$W$64:$W$135,BS$29)+SUMIFS($Y$64:$Y$135,$W$64:$W$135,$BR31,$V$64:$V$135,BS$29)</f>
        <v>0</v>
      </c>
      <c r="BT31" s="7"/>
      <c r="BU31" s="8">
        <f t="shared" ca="1" si="56"/>
        <v>0</v>
      </c>
      <c r="BV31" s="8">
        <f t="shared" ca="1" si="56"/>
        <v>0</v>
      </c>
      <c r="BW31" s="8">
        <f t="shared" ca="1" si="56"/>
        <v>0</v>
      </c>
      <c r="BX31" s="8">
        <f t="shared" ca="1" si="56"/>
        <v>0</v>
      </c>
      <c r="BY31" s="8">
        <f t="shared" ca="1" si="56"/>
        <v>0</v>
      </c>
      <c r="BZ31" s="8">
        <f t="shared" ca="1" si="56"/>
        <v>0</v>
      </c>
      <c r="CA31" s="8">
        <f t="shared" ca="1" si="56"/>
        <v>0</v>
      </c>
      <c r="CB31" s="4"/>
    </row>
    <row r="32" spans="2:80" s="2" customFormat="1" x14ac:dyDescent="0.2">
      <c r="C32" s="2" t="str">
        <f t="shared" si="5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5"/>
        <v/>
      </c>
      <c r="BS32" s="9">
        <f t="shared" ca="1" si="58"/>
        <v>0</v>
      </c>
      <c r="BT32" s="9">
        <f t="shared" ca="1" si="58"/>
        <v>0</v>
      </c>
      <c r="BU32" s="7"/>
      <c r="BV32" s="8">
        <f t="shared" ca="1" si="56"/>
        <v>0</v>
      </c>
      <c r="BW32" s="8">
        <f t="shared" ca="1" si="56"/>
        <v>0</v>
      </c>
      <c r="BX32" s="8">
        <f t="shared" ca="1" si="56"/>
        <v>0</v>
      </c>
      <c r="BY32" s="8">
        <f t="shared" ca="1" si="56"/>
        <v>0</v>
      </c>
      <c r="BZ32" s="8">
        <f t="shared" ca="1" si="56"/>
        <v>0</v>
      </c>
      <c r="CA32" s="8">
        <f t="shared" ca="1" si="56"/>
        <v>0</v>
      </c>
      <c r="CB32" s="4"/>
    </row>
    <row r="33" spans="2:80" s="2" customFormat="1" x14ac:dyDescent="0.2">
      <c r="C33" s="2" t="str">
        <f t="shared" si="5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5"/>
        <v/>
      </c>
      <c r="BS33" s="9">
        <f t="shared" ca="1" si="58"/>
        <v>0</v>
      </c>
      <c r="BT33" s="9">
        <f t="shared" ca="1" si="58"/>
        <v>0</v>
      </c>
      <c r="BU33" s="9">
        <f t="shared" ca="1" si="5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5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5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
      </c>
      <c r="BS52" s="7"/>
      <c r="BT52" s="8">
        <f t="shared" ref="BT52:CA58" ca="1" si="62">SUMIFS($AE$64:$AE$135,$V$64:$V$135,$BR52,$W$64:$W$135,BT$51)+SUMIFS($AF$64:$AF$135,$W$64:$W$135,$BR52,$V$64:$V$135,BT$51)</f>
        <v>0</v>
      </c>
      <c r="BU52" s="8">
        <f t="shared" ca="1" si="62"/>
        <v>0</v>
      </c>
      <c r="BV52" s="8">
        <f t="shared" ca="1" si="62"/>
        <v>0</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
      </c>
      <c r="BS53" s="9">
        <f t="shared" ref="BS53:BU60" ca="1" si="6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1"/>
        <v/>
      </c>
      <c r="BS54" s="9">
        <f t="shared" ca="1" si="63"/>
        <v>0</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1"/>
        <v/>
      </c>
      <c r="BS55" s="9">
        <f t="shared" ca="1" si="63"/>
        <v>0</v>
      </c>
      <c r="BT55" s="9">
        <f t="shared" ca="1" si="63"/>
        <v>0</v>
      </c>
      <c r="BU55" s="9">
        <f t="shared" ca="1" si="6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591" t="s">
        <v>163</v>
      </c>
      <c r="AD63" s="161" t="s">
        <v>161</v>
      </c>
      <c r="AE63" s="764" t="s">
        <v>112</v>
      </c>
      <c r="AF63" s="764"/>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IF('Endrunde 4'!$AE40="","",'Endrunde 4'!$AE40)</f>
        <v/>
      </c>
      <c r="U64" s="67"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3" t="str">
        <f ca="1">IF(AA64&gt;0,X64&amp;Sprache!$E$73&amp;Y64,"")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316</v>
      </c>
      <c r="P65" s="47" t="s">
        <v>8</v>
      </c>
      <c r="Q65" s="62" t="str">
        <f ca="1">IF('Endrunde 4'!$AE41="","",'Endrunde 4'!$AE41)</f>
        <v/>
      </c>
      <c r="U65" s="68"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64">V65&amp;W65</f>
        <v>VFB EssenheimSSV Wildbach</v>
      </c>
      <c r="AA65" s="13">
        <f t="shared" ref="AA65:AA128" ca="1" si="65">IF(AND(V65&lt;&gt;"",W65&lt;&gt;"",V65&lt;&gt;W65,X65&lt;&gt;"",Y65&lt;&gt;""),1,0)</f>
        <v>1</v>
      </c>
      <c r="AB65" s="13" t="str">
        <f ca="1">IF(AA65&gt;0,X65&amp;Sprache!$E$73&amp;Y65,"")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4">
        <v>1</v>
      </c>
      <c r="G66" s="195" t="s">
        <v>109</v>
      </c>
      <c r="P66" s="47"/>
      <c r="Q66" s="62" t="str">
        <f>""</f>
        <v/>
      </c>
      <c r="U66" s="68"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64"/>
        <v>Knock Out RangersFC Grönlingen</v>
      </c>
      <c r="AA66" s="13">
        <f t="shared" ca="1" si="65"/>
        <v>1</v>
      </c>
      <c r="AB66" s="13" t="str">
        <f ca="1">IF(AA66&gt;0,X66&amp;Sprache!$E$73&amp;Y66,"")</f>
        <v>2:1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c r="Q67" s="62" t="str">
        <f>""</f>
        <v/>
      </c>
      <c r="U67" s="68"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64"/>
        <v>Raslo WinnersMainz 05</v>
      </c>
      <c r="AA67" s="13">
        <f t="shared" ca="1" si="65"/>
        <v>1</v>
      </c>
      <c r="AB67" s="13" t="str">
        <f ca="1">IF(AA67&gt;0,X67&amp;Sprache!$E$73&amp;Y67,"")</f>
        <v>1:1</v>
      </c>
      <c r="AD67" s="145"/>
      <c r="AE67" s="150">
        <f ca="1">IF($AA67=0,"",IF($X67&gt;$Y67,Einstellungen!$C$4,IF($X67=$Y67,1,0)))</f>
        <v>1</v>
      </c>
      <c r="AF67" s="145">
        <f ca="1">IF($AA67=0,"",IF($X67&lt;$Y67,Einstellungen!$C$4,IF($X67=$Y67,1,0)))</f>
        <v>1</v>
      </c>
      <c r="AH67" s="4"/>
      <c r="AI67" s="13"/>
      <c r="AJ67" s="13"/>
      <c r="AK67" s="4"/>
      <c r="AL67" s="13"/>
      <c r="AM67" s="13"/>
      <c r="AN67" s="13"/>
      <c r="AO67" s="13"/>
      <c r="AP67" s="13"/>
      <c r="AQ67" s="13"/>
    </row>
    <row r="68" spans="2:43" s="2" customFormat="1" x14ac:dyDescent="0.2">
      <c r="P68" s="47"/>
      <c r="Q68" s="62" t="str">
        <f>""</f>
        <v/>
      </c>
      <c r="U68" s="68"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64"/>
        <v>FC BarcelonaAC Roma</v>
      </c>
      <c r="AA68" s="13">
        <f t="shared" ca="1" si="65"/>
        <v>1</v>
      </c>
      <c r="AB68" s="13" t="str">
        <f ca="1">IF(AA68&gt;0,X68&amp;Sprache!$E$73&amp;Y68,"")</f>
        <v>5:1</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64"/>
        <v>VFL Ronsdorf1. FC Riedwald</v>
      </c>
      <c r="AA69" s="13">
        <f t="shared" ca="1" si="65"/>
        <v>1</v>
      </c>
      <c r="AB69" s="13" t="str">
        <f ca="1">IF(AA69&gt;0,X69&amp;Sprache!$E$73&amp;Y69,"")</f>
        <v>2:0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64"/>
        <v>Borussia HeineMaibach 1822 eV</v>
      </c>
      <c r="AA70" s="13">
        <f t="shared" ca="1" si="65"/>
        <v>1</v>
      </c>
      <c r="AB70" s="13" t="str">
        <f ca="1">IF(AA70&gt;0,X70&amp;Sprache!$E$73&amp;Y70,"")</f>
        <v>1:2</v>
      </c>
      <c r="AD70" s="145"/>
      <c r="AE70" s="150">
        <f ca="1">IF($AA70=0,"",IF($X70&gt;$Y70,Einstellungen!$C$4,IF($X70=$Y70,1,0)))</f>
        <v>0</v>
      </c>
      <c r="AF70" s="145">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64"/>
        <v>Inter MailandFun Kickers Oes</v>
      </c>
      <c r="AA71" s="13">
        <f t="shared" ca="1" si="65"/>
        <v>1</v>
      </c>
      <c r="AB71" s="13" t="str">
        <f ca="1">IF(AA71&gt;0,X71&amp;Sprache!$E$73&amp;Y71,"")</f>
        <v>5:3</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64"/>
        <v>Manchester CityEintracht Frankfurt</v>
      </c>
      <c r="AA72" s="13">
        <f t="shared" ca="1" si="65"/>
        <v>1</v>
      </c>
      <c r="AB72" s="13" t="str">
        <f ca="1">IF(AA72&gt;0,X72&amp;Sprache!$E$73&amp;Y72,"")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64"/>
        <v>VFB Essenheim1. FC Riedwald</v>
      </c>
      <c r="AA73" s="13">
        <f t="shared" ca="1" si="65"/>
        <v>1</v>
      </c>
      <c r="AB73" s="13" t="str">
        <f ca="1">IF(AA73&gt;0,X73&amp;Sprache!$E$73&amp;Y73,"")</f>
        <v>2:2</v>
      </c>
      <c r="AD73" s="145"/>
      <c r="AE73" s="150">
        <f ca="1">IF($AA73=0,"",IF($X73&gt;$Y73,Einstellungen!$C$4,IF($X73=$Y73,1,0)))</f>
        <v>1</v>
      </c>
      <c r="AF73" s="145">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65"/>
        <v>1</v>
      </c>
      <c r="AB74" s="13" t="str">
        <f ca="1">IF(AA74&gt;0,X74&amp;Sprache!$E$73&amp;Y74,"")</f>
        <v>4:2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93" ca="1" si="66">V75&amp;W75</f>
        <v>Raslo WinnersFun Kickers Oes</v>
      </c>
      <c r="AA75" s="13">
        <f t="shared" ca="1" si="65"/>
        <v>1</v>
      </c>
      <c r="AB75" s="13" t="str">
        <f ca="1">IF(AA75&gt;0,X75&amp;Sprache!$E$73&amp;Y75,"")</f>
        <v>4:3</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66"/>
        <v>FC BarcelonaEintracht Frankfurt</v>
      </c>
      <c r="AA76" s="13">
        <f t="shared" ca="1" si="65"/>
        <v>1</v>
      </c>
      <c r="AB76" s="13" t="str">
        <f ca="1">IF(AA76&gt;0,X76&amp;Sprache!$E$73&amp;Y76,"")</f>
        <v>0:0</v>
      </c>
      <c r="AD76" s="145"/>
      <c r="AE76" s="150">
        <f ca="1">IF($AA76=0,"",IF($X76&gt;$Y76,Einstellungen!$C$4,IF($X76=$Y76,1,0)))</f>
        <v>1</v>
      </c>
      <c r="AF76" s="145">
        <f ca="1">IF($AA76=0,"",IF($X76&lt;$Y76,Einstellungen!$C$4,IF($X76=$Y76,1,0)))</f>
        <v>1</v>
      </c>
    </row>
    <row r="77" spans="2:43" s="2" customFormat="1" x14ac:dyDescent="0.2">
      <c r="B77" s="4"/>
      <c r="C77" s="4"/>
      <c r="D77" s="4"/>
      <c r="E77" s="4"/>
      <c r="F77" s="13"/>
      <c r="G77" s="13"/>
      <c r="H77" s="13"/>
      <c r="I77" s="13"/>
      <c r="J77" s="13"/>
      <c r="K77" s="13"/>
      <c r="L77" s="13"/>
      <c r="M77" s="13"/>
      <c r="U77" s="68"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66"/>
        <v>VFL RonsdorfSSV Wildbach</v>
      </c>
      <c r="AA77" s="13">
        <f t="shared" ca="1" si="65"/>
        <v>1</v>
      </c>
      <c r="AB77" s="13" t="str">
        <f ca="1">IF(AA77&gt;0,X77&amp;Sprache!$E$73&amp;Y77,"")</f>
        <v>1:5</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66"/>
        <v>Borussia HeineFC Grönlingen</v>
      </c>
      <c r="AA78" s="13">
        <f t="shared" ca="1" si="65"/>
        <v>1</v>
      </c>
      <c r="AB78" s="13" t="str">
        <f ca="1">IF(AA78&gt;0,X78&amp;Sprache!$E$73&amp;Y78,"")</f>
        <v>4:4</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66"/>
        <v>Inter MailandMainz 05</v>
      </c>
      <c r="AA79" s="13">
        <f t="shared" ca="1" si="65"/>
        <v>1</v>
      </c>
      <c r="AB79" s="13" t="str">
        <f ca="1">IF(AA79&gt;0,X79&amp;Sprache!$E$73&amp;Y79,"")</f>
        <v>0:7</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66"/>
        <v>Manchester CityAC Roma</v>
      </c>
      <c r="AA80" s="13">
        <f t="shared" ca="1" si="65"/>
        <v>1</v>
      </c>
      <c r="AB80" s="13" t="str">
        <f ca="1">IF(AA80&gt;0,X80&amp;Sprache!$E$73&amp;Y80,"")</f>
        <v>2:8</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66"/>
        <v>1. FC RiedwaldSSV Wildbach</v>
      </c>
      <c r="AA81" s="13">
        <f t="shared" ca="1" si="65"/>
        <v>1</v>
      </c>
      <c r="AB81" s="13" t="str">
        <f ca="1">IF(AA81&gt;0,X81&amp;Sprache!$E$73&amp;Y81,"")</f>
        <v>3:9</v>
      </c>
      <c r="AC81" s="4"/>
      <c r="AD81" s="145"/>
      <c r="AE81" s="150">
        <f ca="1">IF($AA81=0,"",IF($X81&gt;$Y81,Einstellungen!$C$4,IF($X81=$Y81,1,0)))</f>
        <v>0</v>
      </c>
      <c r="AF81" s="145">
        <f ca="1">IF($AA81=0,"",IF($X81&lt;$Y81,Einstellungen!$C$4,IF($X81=$Y81,1,0)))</f>
        <v>3</v>
      </c>
    </row>
    <row r="82" spans="2:32" s="2" customFormat="1" x14ac:dyDescent="0.2">
      <c r="B82" s="4"/>
      <c r="C82" s="4"/>
      <c r="D82" s="4"/>
      <c r="E82" s="4"/>
      <c r="F82" s="13"/>
      <c r="G82" s="13"/>
      <c r="H82" s="13"/>
      <c r="I82" s="13"/>
      <c r="J82" s="13"/>
      <c r="K82" s="13"/>
      <c r="L82" s="13"/>
      <c r="M82" s="13"/>
      <c r="U82" s="68"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66"/>
        <v>Maibach 1822 eVFC Grönlingen</v>
      </c>
      <c r="AA82" s="13">
        <f t="shared" ca="1" si="65"/>
        <v>1</v>
      </c>
      <c r="AB82" s="13" t="str">
        <f ca="1">IF(AA82&gt;0,X82&amp;Sprache!$E$73&amp;Y82,"")</f>
        <v>4:10</v>
      </c>
      <c r="AC82" s="4"/>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66"/>
        <v>Fun Kickers OesMainz 05</v>
      </c>
      <c r="AA83" s="13">
        <f t="shared" ca="1" si="65"/>
        <v>1</v>
      </c>
      <c r="AB83" s="13" t="str">
        <f ca="1">IF(AA83&gt;0,X83&amp;Sprache!$E$73&amp;Y83,"")</f>
        <v>5:11</v>
      </c>
      <c r="AD83" s="145"/>
      <c r="AE83" s="150">
        <f ca="1">IF($AA83=0,"",IF($X83&gt;$Y83,Einstellungen!$C$4,IF($X83=$Y83,1,0)))</f>
        <v>0</v>
      </c>
      <c r="AF83" s="145">
        <f ca="1">IF($AA83=0,"",IF($X83&lt;$Y83,Einstellungen!$C$4,IF($X83=$Y83,1,0)))</f>
        <v>3</v>
      </c>
    </row>
    <row r="84" spans="2:32" s="2" customFormat="1" x14ac:dyDescent="0.2">
      <c r="B84" s="4"/>
      <c r="C84" s="4"/>
      <c r="D84" s="4"/>
      <c r="E84" s="4"/>
      <c r="F84" s="13"/>
      <c r="G84" s="13"/>
      <c r="H84" s="13"/>
      <c r="I84" s="13"/>
      <c r="J84" s="13"/>
      <c r="K84" s="13"/>
      <c r="L84" s="13"/>
      <c r="M84" s="13"/>
      <c r="U84" s="68"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66"/>
        <v>Eintracht FrankfurtAC Roma</v>
      </c>
      <c r="AA84" s="13">
        <f t="shared" ca="1" si="65"/>
        <v>1</v>
      </c>
      <c r="AB84" s="13" t="str">
        <f ca="1">IF(AA84&gt;0,X84&amp;Sprache!$E$73&amp;Y84,"")</f>
        <v>6:12</v>
      </c>
      <c r="AD84" s="145"/>
      <c r="AE84" s="150">
        <f ca="1">IF($AA84=0,"",IF($X84&gt;$Y84,Einstellungen!$C$4,IF($X84=$Y84,1,0)))</f>
        <v>0</v>
      </c>
      <c r="AF84" s="145">
        <f ca="1">IF($AA84=0,"",IF($X84&lt;$Y84,Einstellungen!$C$4,IF($X84=$Y84,1,0)))</f>
        <v>3</v>
      </c>
    </row>
    <row r="85" spans="2:32" s="2" customFormat="1" x14ac:dyDescent="0.2">
      <c r="B85" s="4"/>
      <c r="C85" s="4"/>
      <c r="D85" s="4"/>
      <c r="E85" s="4"/>
      <c r="F85" s="13"/>
      <c r="G85" s="13"/>
      <c r="H85" s="13"/>
      <c r="I85" s="13"/>
      <c r="J85" s="13"/>
      <c r="K85" s="13"/>
      <c r="L85" s="13"/>
      <c r="M85" s="13"/>
      <c r="U85" s="68"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66"/>
        <v>VFB EssenheimVFL Ronsdorf</v>
      </c>
      <c r="AA85" s="13">
        <f t="shared" ca="1" si="65"/>
        <v>1</v>
      </c>
      <c r="AB85" s="13" t="str">
        <f ca="1">IF(AA85&gt;0,X85&amp;Sprache!$E$73&amp;Y85,"")</f>
        <v>7:13</v>
      </c>
      <c r="AD85" s="145"/>
      <c r="AE85" s="150">
        <f ca="1">IF($AA85=0,"",IF($X85&gt;$Y85,Einstellungen!$C$4,IF($X85=$Y85,1,0)))</f>
        <v>0</v>
      </c>
      <c r="AF85" s="145">
        <f ca="1">IF($AA85=0,"",IF($X85&lt;$Y85,Einstellungen!$C$4,IF($X85=$Y85,1,0)))</f>
        <v>3</v>
      </c>
    </row>
    <row r="86" spans="2:32" s="2" customFormat="1" x14ac:dyDescent="0.2">
      <c r="B86" s="4"/>
      <c r="C86" s="4"/>
      <c r="D86" s="4"/>
      <c r="E86" s="4"/>
      <c r="F86" s="13"/>
      <c r="G86" s="13"/>
      <c r="H86" s="13"/>
      <c r="I86" s="13"/>
      <c r="J86" s="13"/>
      <c r="K86" s="13"/>
      <c r="L86" s="13"/>
      <c r="M86" s="13"/>
      <c r="U86" s="68"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66"/>
        <v>Knock Out RangersBorussia Heine</v>
      </c>
      <c r="AA86" s="13">
        <f t="shared" ca="1" si="65"/>
        <v>1</v>
      </c>
      <c r="AB86" s="13" t="str">
        <f ca="1">IF(AA86&gt;0,X86&amp;Sprache!$E$73&amp;Y86,"")</f>
        <v>8:14</v>
      </c>
      <c r="AD86" s="145"/>
      <c r="AE86" s="150">
        <f ca="1">IF($AA86=0,"",IF($X86&gt;$Y86,Einstellungen!$C$4,IF($X86=$Y86,1,0)))</f>
        <v>0</v>
      </c>
      <c r="AF86" s="145">
        <f ca="1">IF($AA86=0,"",IF($X86&lt;$Y86,Einstellungen!$C$4,IF($X86=$Y86,1,0)))</f>
        <v>3</v>
      </c>
    </row>
    <row r="87" spans="2:32" s="2" customFormat="1" x14ac:dyDescent="0.2">
      <c r="B87" s="4"/>
      <c r="C87" s="4"/>
      <c r="D87" s="4"/>
      <c r="E87" s="4"/>
      <c r="F87" s="13"/>
      <c r="G87" s="13"/>
      <c r="H87" s="13"/>
      <c r="I87" s="13"/>
      <c r="J87" s="13"/>
      <c r="K87" s="13"/>
      <c r="L87" s="13"/>
      <c r="M87" s="13"/>
      <c r="U87" s="68"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66"/>
        <v>Raslo WinnersInter Mailand</v>
      </c>
      <c r="AA87" s="13">
        <f t="shared" ca="1" si="65"/>
        <v>1</v>
      </c>
      <c r="AB87" s="13" t="str">
        <f ca="1">IF(AA87&gt;0,X87&amp;Sprache!$E$73&amp;Y87,"")</f>
        <v>9:15</v>
      </c>
      <c r="AD87" s="145"/>
      <c r="AE87" s="150">
        <f ca="1">IF($AA87=0,"",IF($X87&gt;$Y87,Einstellungen!$C$4,IF($X87=$Y87,1,0)))</f>
        <v>0</v>
      </c>
      <c r="AF87" s="145">
        <f ca="1">IF($AA87=0,"",IF($X87&lt;$Y87,Einstellungen!$C$4,IF($X87=$Y87,1,0)))</f>
        <v>3</v>
      </c>
    </row>
    <row r="88" spans="2:32" s="2" customFormat="1" x14ac:dyDescent="0.2">
      <c r="B88" s="4"/>
      <c r="C88" s="4"/>
      <c r="D88" s="4"/>
      <c r="E88" s="4"/>
      <c r="F88" s="13"/>
      <c r="G88" s="13"/>
      <c r="H88" s="13"/>
      <c r="I88" s="13"/>
      <c r="J88" s="13"/>
      <c r="K88" s="13"/>
      <c r="L88" s="13"/>
      <c r="M88" s="13"/>
      <c r="U88" s="68"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66"/>
        <v>FC BarcelonaManchester City</v>
      </c>
      <c r="AA88" s="13">
        <f t="shared" ca="1" si="65"/>
        <v>1</v>
      </c>
      <c r="AB88" s="13" t="str">
        <f ca="1">IF(AA88&gt;0,X88&amp;Sprache!$E$73&amp;Y88,"")</f>
        <v>4:0</v>
      </c>
      <c r="AD88" s="145"/>
      <c r="AE88" s="150">
        <f ca="1">IF($AA88=0,"",IF($X88&gt;$Y88,Einstellungen!$C$4,IF($X88=$Y88,1,0)))</f>
        <v>3</v>
      </c>
      <c r="AF88" s="145">
        <f ca="1">IF($AA88=0,"",IF($X88&lt;$Y88,Einstellungen!$C$4,IF($X88=$Y88,1,0)))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IF(AA89&gt;0,X89&amp;Sprache!$E$73&amp;Y89,"")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IF(AA90&gt;0,X90&amp;Sprache!$E$73&amp;Y90,"")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IF(AA91&gt;0,X91&amp;Sprache!$E$73&amp;Y91,"")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IF(AA92&gt;0,X92&amp;Sprache!$E$73&amp;Y92,"")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IF(AA93&gt;0,X93&amp;Sprache!$E$73&amp;Y93,"")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IF(AA136&gt;0,Y64&amp;Sprache!$E$73&amp;X64,"")</f>
        <v/>
      </c>
      <c r="AD136" s="145"/>
    </row>
    <row r="137" spans="2:32" x14ac:dyDescent="0.2">
      <c r="Y137" s="68" t="s">
        <v>8</v>
      </c>
      <c r="Z137" s="35" t="str">
        <f ca="1">W65&amp;V65</f>
        <v>SSV WildbachVFB Essenheim</v>
      </c>
      <c r="AA137" s="13">
        <f t="shared" ref="AA137:AA200" ca="1" si="68">AA65</f>
        <v>1</v>
      </c>
      <c r="AB137" s="13" t="str">
        <f ca="1">IF(AA137&gt;0,Y65&amp;Sprache!$E$73&amp;X65,"")</f>
        <v>4:2</v>
      </c>
      <c r="AC137" s="2"/>
      <c r="AD137" s="145"/>
    </row>
    <row r="138" spans="2:32" x14ac:dyDescent="0.2">
      <c r="Y138" s="68" t="s">
        <v>9</v>
      </c>
      <c r="Z138" s="35" t="str">
        <f t="shared" ref="Z138:Z201" ca="1" si="69">W66&amp;V66</f>
        <v>FC GrönlingenKnock Out Rangers</v>
      </c>
      <c r="AA138" s="13">
        <f t="shared" ca="1" si="68"/>
        <v>1</v>
      </c>
      <c r="AB138" s="13" t="str">
        <f ca="1">IF(AA138&gt;0,Y66&amp;Sprache!$E$73&amp;X66,"")</f>
        <v>1:2</v>
      </c>
      <c r="AC138" s="2"/>
      <c r="AD138" s="145"/>
    </row>
    <row r="139" spans="2:32" x14ac:dyDescent="0.2">
      <c r="Y139" s="68" t="s">
        <v>10</v>
      </c>
      <c r="Z139" s="35" t="str">
        <f t="shared" ca="1" si="69"/>
        <v>Mainz 05Raslo Winners</v>
      </c>
      <c r="AA139" s="13">
        <f t="shared" ca="1" si="68"/>
        <v>1</v>
      </c>
      <c r="AB139" s="13" t="str">
        <f ca="1">IF(AA139&gt;0,Y67&amp;Sprache!$E$73&amp;X67,"")</f>
        <v>1:1</v>
      </c>
      <c r="AC139" s="2"/>
      <c r="AD139" s="145"/>
    </row>
    <row r="140" spans="2:32" x14ac:dyDescent="0.2">
      <c r="Y140" s="68" t="s">
        <v>11</v>
      </c>
      <c r="Z140" s="35" t="str">
        <f t="shared" ca="1" si="69"/>
        <v>AC RomaFC Barcelona</v>
      </c>
      <c r="AA140" s="13">
        <f t="shared" ca="1" si="68"/>
        <v>1</v>
      </c>
      <c r="AB140" s="13" t="str">
        <f ca="1">IF(AA140&gt;0,Y68&amp;Sprache!$E$73&amp;X68,"")</f>
        <v>1:5</v>
      </c>
      <c r="AC140" s="2"/>
      <c r="AD140" s="145"/>
    </row>
    <row r="141" spans="2:32" x14ac:dyDescent="0.2">
      <c r="Y141" s="68" t="s">
        <v>12</v>
      </c>
      <c r="Z141" s="35" t="str">
        <f t="shared" ca="1" si="69"/>
        <v>1. FC RiedwaldVFL Ronsdorf</v>
      </c>
      <c r="AA141" s="13">
        <f t="shared" ca="1" si="68"/>
        <v>1</v>
      </c>
      <c r="AB141" s="13" t="str">
        <f ca="1">IF(AA141&gt;0,Y69&amp;Sprache!$E$73&amp;X69,"")</f>
        <v>0:2</v>
      </c>
      <c r="AC141" s="2"/>
      <c r="AD141" s="145"/>
    </row>
    <row r="142" spans="2:32" x14ac:dyDescent="0.2">
      <c r="Y142" s="68" t="s">
        <v>17</v>
      </c>
      <c r="Z142" s="35" t="str">
        <f t="shared" ca="1" si="69"/>
        <v>Maibach 1822 eVBorussia Heine</v>
      </c>
      <c r="AA142" s="13">
        <f t="shared" ca="1" si="68"/>
        <v>1</v>
      </c>
      <c r="AB142" s="13" t="str">
        <f ca="1">IF(AA142&gt;0,Y70&amp;Sprache!$E$73&amp;X70,"")</f>
        <v>2:1</v>
      </c>
      <c r="AC142" s="2"/>
      <c r="AD142" s="145"/>
    </row>
    <row r="143" spans="2:32" x14ac:dyDescent="0.2">
      <c r="Y143" s="68" t="s">
        <v>18</v>
      </c>
      <c r="Z143" s="35" t="str">
        <f t="shared" ca="1" si="69"/>
        <v>Fun Kickers OesInter Mailand</v>
      </c>
      <c r="AA143" s="13">
        <f t="shared" ca="1" si="68"/>
        <v>1</v>
      </c>
      <c r="AB143" s="13" t="str">
        <f ca="1">IF(AA143&gt;0,Y71&amp;Sprache!$E$73&amp;X71,"")</f>
        <v>3:5</v>
      </c>
      <c r="AC143" s="2"/>
      <c r="AD143" s="145"/>
    </row>
    <row r="144" spans="2:32" x14ac:dyDescent="0.2">
      <c r="Y144" s="68" t="s">
        <v>19</v>
      </c>
      <c r="Z144" s="35" t="str">
        <f t="shared" ca="1" si="69"/>
        <v>Eintracht FrankfurtManchester City</v>
      </c>
      <c r="AA144" s="13">
        <f t="shared" ca="1" si="68"/>
        <v>1</v>
      </c>
      <c r="AB144" s="13" t="str">
        <f ca="1">IF(AA144&gt;0,Y72&amp;Sprache!$E$73&amp;X72,"")</f>
        <v>1:2</v>
      </c>
      <c r="AC144" s="2"/>
      <c r="AD144" s="145"/>
    </row>
    <row r="145" spans="25:30" x14ac:dyDescent="0.2">
      <c r="Y145" s="68" t="s">
        <v>25</v>
      </c>
      <c r="Z145" s="35" t="str">
        <f t="shared" ca="1" si="69"/>
        <v>1. FC RiedwaldVFB Essenheim</v>
      </c>
      <c r="AA145" s="13">
        <f t="shared" ca="1" si="68"/>
        <v>1</v>
      </c>
      <c r="AB145" s="13" t="str">
        <f ca="1">IF(AA145&gt;0,Y73&amp;Sprache!$E$73&amp;X73,"")</f>
        <v>2:2</v>
      </c>
      <c r="AC145" s="2"/>
      <c r="AD145" s="145"/>
    </row>
    <row r="146" spans="25:30" x14ac:dyDescent="0.2">
      <c r="Y146" s="68" t="s">
        <v>26</v>
      </c>
      <c r="Z146" s="35" t="str">
        <f t="shared" ca="1" si="69"/>
        <v>Maibach 1822 eVKnock Out Rangers</v>
      </c>
      <c r="AA146" s="13">
        <f t="shared" ca="1" si="68"/>
        <v>1</v>
      </c>
      <c r="AB146" s="13" t="str">
        <f ca="1">IF(AA146&gt;0,Y74&amp;Sprache!$E$73&amp;X74,"")</f>
        <v>2:4</v>
      </c>
      <c r="AC146" s="2"/>
      <c r="AD146" s="145"/>
    </row>
    <row r="147" spans="25:30" x14ac:dyDescent="0.2">
      <c r="Y147" s="68" t="s">
        <v>27</v>
      </c>
      <c r="Z147" s="35" t="str">
        <f t="shared" ca="1" si="69"/>
        <v>Fun Kickers OesRaslo Winners</v>
      </c>
      <c r="AA147" s="13">
        <f t="shared" ca="1" si="68"/>
        <v>1</v>
      </c>
      <c r="AB147" s="13" t="str">
        <f ca="1">IF(AA147&gt;0,Y75&amp;Sprache!$E$73&amp;X75,"")</f>
        <v>3:4</v>
      </c>
      <c r="AC147" s="2"/>
      <c r="AD147" s="145"/>
    </row>
    <row r="148" spans="25:30" x14ac:dyDescent="0.2">
      <c r="Y148" s="68" t="s">
        <v>28</v>
      </c>
      <c r="Z148" s="35" t="str">
        <f t="shared" ca="1" si="69"/>
        <v>Eintracht FrankfurtFC Barcelona</v>
      </c>
      <c r="AA148" s="13">
        <f t="shared" ca="1" si="68"/>
        <v>1</v>
      </c>
      <c r="AB148" s="13" t="str">
        <f ca="1">IF(AA148&gt;0,Y76&amp;Sprache!$E$73&amp;X76,"")</f>
        <v>0:0</v>
      </c>
      <c r="AC148" s="2"/>
      <c r="AD148" s="145"/>
    </row>
    <row r="149" spans="25:30" x14ac:dyDescent="0.2">
      <c r="Y149" s="68" t="s">
        <v>29</v>
      </c>
      <c r="Z149" s="35" t="str">
        <f t="shared" ca="1" si="69"/>
        <v>SSV WildbachVFL Ronsdorf</v>
      </c>
      <c r="AA149" s="13">
        <f t="shared" ca="1" si="68"/>
        <v>1</v>
      </c>
      <c r="AB149" s="13" t="str">
        <f ca="1">IF(AA149&gt;0,Y77&amp;Sprache!$E$73&amp;X77,"")</f>
        <v>5:1</v>
      </c>
      <c r="AC149" s="2"/>
      <c r="AD149" s="145"/>
    </row>
    <row r="150" spans="25:30" x14ac:dyDescent="0.2">
      <c r="Y150" s="68" t="s">
        <v>30</v>
      </c>
      <c r="Z150" s="35" t="str">
        <f t="shared" ca="1" si="69"/>
        <v>FC GrönlingenBorussia Heine</v>
      </c>
      <c r="AA150" s="13">
        <f t="shared" ca="1" si="68"/>
        <v>1</v>
      </c>
      <c r="AB150" s="13" t="str">
        <f ca="1">IF(AA150&gt;0,Y78&amp;Sprache!$E$73&amp;X78,"")</f>
        <v>4:4</v>
      </c>
      <c r="AC150" s="2"/>
      <c r="AD150" s="145"/>
    </row>
    <row r="151" spans="25:30" x14ac:dyDescent="0.2">
      <c r="Y151" s="68" t="s">
        <v>31</v>
      </c>
      <c r="Z151" s="35" t="str">
        <f t="shared" ca="1" si="69"/>
        <v>Mainz 05Inter Mailand</v>
      </c>
      <c r="AA151" s="13">
        <f t="shared" ca="1" si="68"/>
        <v>1</v>
      </c>
      <c r="AB151" s="13" t="str">
        <f ca="1">IF(AA151&gt;0,Y79&amp;Sprache!$E$73&amp;X79,"")</f>
        <v>7:0</v>
      </c>
      <c r="AC151" s="2"/>
      <c r="AD151" s="145"/>
    </row>
    <row r="152" spans="25:30" x14ac:dyDescent="0.2">
      <c r="Y152" s="68" t="s">
        <v>32</v>
      </c>
      <c r="Z152" s="35" t="str">
        <f t="shared" ca="1" si="69"/>
        <v>AC RomaManchester City</v>
      </c>
      <c r="AA152" s="13">
        <f t="shared" ca="1" si="68"/>
        <v>1</v>
      </c>
      <c r="AB152" s="13" t="str">
        <f ca="1">IF(AA152&gt;0,Y80&amp;Sprache!$E$73&amp;X80,"")</f>
        <v>8:2</v>
      </c>
      <c r="AC152" s="2"/>
      <c r="AD152" s="145"/>
    </row>
    <row r="153" spans="25:30" x14ac:dyDescent="0.2">
      <c r="Y153" s="68" t="s">
        <v>33</v>
      </c>
      <c r="Z153" s="35" t="str">
        <f t="shared" ca="1" si="69"/>
        <v>SSV Wildbach1. FC Riedwald</v>
      </c>
      <c r="AA153" s="13">
        <f t="shared" ca="1" si="68"/>
        <v>1</v>
      </c>
      <c r="AB153" s="13" t="str">
        <f ca="1">IF(AA153&gt;0,Y81&amp;Sprache!$E$73&amp;X81,"")</f>
        <v>9:3</v>
      </c>
      <c r="AC153" s="2"/>
      <c r="AD153" s="145"/>
    </row>
    <row r="154" spans="25:30" x14ac:dyDescent="0.2">
      <c r="Y154" s="68" t="s">
        <v>34</v>
      </c>
      <c r="Z154" s="35" t="str">
        <f t="shared" ca="1" si="69"/>
        <v>FC GrönlingenMaibach 1822 eV</v>
      </c>
      <c r="AA154" s="13">
        <f t="shared" ca="1" si="68"/>
        <v>1</v>
      </c>
      <c r="AB154" s="13" t="str">
        <f ca="1">IF(AA154&gt;0,Y82&amp;Sprache!$E$73&amp;X82,"")</f>
        <v>10:4</v>
      </c>
      <c r="AC154" s="2"/>
      <c r="AD154" s="145"/>
    </row>
    <row r="155" spans="25:30" x14ac:dyDescent="0.2">
      <c r="Y155" s="68" t="s">
        <v>35</v>
      </c>
      <c r="Z155" s="35" t="str">
        <f t="shared" ca="1" si="69"/>
        <v>Mainz 05Fun Kickers Oes</v>
      </c>
      <c r="AA155" s="13">
        <f t="shared" ca="1" si="68"/>
        <v>1</v>
      </c>
      <c r="AB155" s="13" t="str">
        <f ca="1">IF(AA155&gt;0,Y83&amp;Sprache!$E$73&amp;X83,"")</f>
        <v>11:5</v>
      </c>
      <c r="AC155" s="2"/>
      <c r="AD155" s="145"/>
    </row>
    <row r="156" spans="25:30" x14ac:dyDescent="0.2">
      <c r="Y156" s="68" t="s">
        <v>36</v>
      </c>
      <c r="Z156" s="35" t="str">
        <f t="shared" ca="1" si="69"/>
        <v>AC RomaEintracht Frankfurt</v>
      </c>
      <c r="AA156" s="13">
        <f t="shared" ca="1" si="68"/>
        <v>1</v>
      </c>
      <c r="AB156" s="13" t="str">
        <f ca="1">IF(AA156&gt;0,Y84&amp;Sprache!$E$73&amp;X84,"")</f>
        <v>12:6</v>
      </c>
      <c r="AC156" s="2"/>
      <c r="AD156" s="145"/>
    </row>
    <row r="157" spans="25:30" x14ac:dyDescent="0.2">
      <c r="Y157" s="68" t="s">
        <v>37</v>
      </c>
      <c r="Z157" s="35" t="str">
        <f t="shared" ca="1" si="69"/>
        <v>VFL RonsdorfVFB Essenheim</v>
      </c>
      <c r="AA157" s="13">
        <f t="shared" ca="1" si="68"/>
        <v>1</v>
      </c>
      <c r="AB157" s="13" t="str">
        <f ca="1">IF(AA157&gt;0,Y85&amp;Sprache!$E$73&amp;X85,"")</f>
        <v>13:7</v>
      </c>
      <c r="AC157" s="2"/>
      <c r="AD157" s="145"/>
    </row>
    <row r="158" spans="25:30" x14ac:dyDescent="0.2">
      <c r="Y158" s="68" t="s">
        <v>38</v>
      </c>
      <c r="Z158" s="35" t="str">
        <f t="shared" ca="1" si="69"/>
        <v>Borussia HeineKnock Out Rangers</v>
      </c>
      <c r="AA158" s="13">
        <f t="shared" ca="1" si="68"/>
        <v>1</v>
      </c>
      <c r="AB158" s="13" t="str">
        <f ca="1">IF(AA158&gt;0,Y86&amp;Sprache!$E$73&amp;X86,"")</f>
        <v>14:8</v>
      </c>
      <c r="AC158" s="2"/>
      <c r="AD158" s="145"/>
    </row>
    <row r="159" spans="25:30" x14ac:dyDescent="0.2">
      <c r="Y159" s="68" t="s">
        <v>39</v>
      </c>
      <c r="Z159" s="35" t="str">
        <f t="shared" ca="1" si="69"/>
        <v>Inter MailandRaslo Winners</v>
      </c>
      <c r="AA159" s="13">
        <f t="shared" ca="1" si="68"/>
        <v>1</v>
      </c>
      <c r="AB159" s="13" t="str">
        <f ca="1">IF(AA159&gt;0,Y87&amp;Sprache!$E$73&amp;X87,"")</f>
        <v>15:9</v>
      </c>
      <c r="AC159" s="2"/>
      <c r="AD159" s="145"/>
    </row>
    <row r="160" spans="25:30" x14ac:dyDescent="0.2">
      <c r="Y160" s="68" t="s">
        <v>40</v>
      </c>
      <c r="Z160" s="35" t="str">
        <f t="shared" ca="1" si="69"/>
        <v>Manchester CityFC Barcelona</v>
      </c>
      <c r="AA160" s="13">
        <f t="shared" ca="1" si="68"/>
        <v>1</v>
      </c>
      <c r="AB160" s="13" t="str">
        <f ca="1">IF(AA160&gt;0,Y88&amp;Sprache!$E$73&amp;X88,"")</f>
        <v>0:4</v>
      </c>
      <c r="AC160" s="2"/>
      <c r="AD160" s="145"/>
    </row>
    <row r="161" spans="25:30" x14ac:dyDescent="0.2">
      <c r="Y161" s="68" t="s">
        <v>41</v>
      </c>
      <c r="Z161" s="35" t="str">
        <f t="shared" si="69"/>
        <v/>
      </c>
      <c r="AA161" s="13">
        <f t="shared" si="68"/>
        <v>0</v>
      </c>
      <c r="AB161" s="13" t="str">
        <f>IF(AA161&gt;0,Y89&amp;Sprache!$E$73&amp;X89,"")</f>
        <v/>
      </c>
      <c r="AC161" s="2"/>
      <c r="AD161" s="145"/>
    </row>
    <row r="162" spans="25:30" x14ac:dyDescent="0.2">
      <c r="Y162" s="68" t="s">
        <v>42</v>
      </c>
      <c r="Z162" s="35" t="str">
        <f t="shared" si="69"/>
        <v/>
      </c>
      <c r="AA162" s="13">
        <f t="shared" si="68"/>
        <v>0</v>
      </c>
      <c r="AB162" s="13" t="str">
        <f>IF(AA162&gt;0,Y90&amp;Sprache!$E$73&amp;X90,"")</f>
        <v/>
      </c>
      <c r="AC162" s="2"/>
      <c r="AD162" s="145"/>
    </row>
    <row r="163" spans="25:30" x14ac:dyDescent="0.2">
      <c r="Y163" s="68" t="s">
        <v>43</v>
      </c>
      <c r="Z163" s="35" t="str">
        <f t="shared" si="69"/>
        <v/>
      </c>
      <c r="AA163" s="13">
        <f t="shared" si="68"/>
        <v>0</v>
      </c>
      <c r="AB163" s="13" t="str">
        <f>IF(AA163&gt;0,Y91&amp;Sprache!$E$73&amp;X91,"")</f>
        <v/>
      </c>
      <c r="AC163" s="2"/>
      <c r="AD163" s="145"/>
    </row>
    <row r="164" spans="25:30" x14ac:dyDescent="0.2">
      <c r="Y164" s="68" t="s">
        <v>44</v>
      </c>
      <c r="Z164" s="35" t="str">
        <f t="shared" si="69"/>
        <v/>
      </c>
      <c r="AA164" s="13">
        <f t="shared" si="68"/>
        <v>0</v>
      </c>
      <c r="AB164" s="13" t="str">
        <f>IF(AA164&gt;0,Y92&amp;Sprache!$E$73&amp;X92,"")</f>
        <v/>
      </c>
      <c r="AC164" s="2"/>
      <c r="AD164" s="145"/>
    </row>
    <row r="165" spans="25:30" x14ac:dyDescent="0.2">
      <c r="Y165" s="68" t="s">
        <v>45</v>
      </c>
      <c r="Z165" s="35" t="str">
        <f t="shared" si="69"/>
        <v/>
      </c>
      <c r="AA165" s="13">
        <f t="shared" si="68"/>
        <v>0</v>
      </c>
      <c r="AB165" s="13" t="str">
        <f>IF(AA165&gt;0,Y93&amp;Sprache!$E$73&amp;X93,"")</f>
        <v/>
      </c>
      <c r="AC165" s="2"/>
      <c r="AD165" s="145"/>
    </row>
    <row r="166" spans="25:30" x14ac:dyDescent="0.2">
      <c r="Y166" s="68" t="s">
        <v>46</v>
      </c>
      <c r="Z166" s="35" t="str">
        <f t="shared" si="69"/>
        <v/>
      </c>
      <c r="AA166" s="13">
        <f t="shared" si="68"/>
        <v>0</v>
      </c>
      <c r="AB166" s="13" t="str">
        <f>IF(AA166&gt;0,Y94&amp;Sprache!$E$73&amp;X94,"")</f>
        <v/>
      </c>
      <c r="AC166" s="2"/>
      <c r="AD166" s="145"/>
    </row>
    <row r="167" spans="25:30" x14ac:dyDescent="0.2">
      <c r="Y167" s="68" t="s">
        <v>47</v>
      </c>
      <c r="Z167" s="35" t="str">
        <f t="shared" si="69"/>
        <v/>
      </c>
      <c r="AA167" s="13">
        <f t="shared" si="68"/>
        <v>0</v>
      </c>
      <c r="AB167" s="13" t="str">
        <f>IF(AA167&gt;0,Y95&amp;Sprache!$E$73&amp;X95,"")</f>
        <v/>
      </c>
      <c r="AC167" s="2"/>
      <c r="AD167" s="145"/>
    </row>
    <row r="168" spans="25:30" x14ac:dyDescent="0.2">
      <c r="Y168" s="68" t="s">
        <v>48</v>
      </c>
      <c r="Z168" s="35" t="str">
        <f t="shared" si="69"/>
        <v/>
      </c>
      <c r="AA168" s="13">
        <f t="shared" si="68"/>
        <v>0</v>
      </c>
      <c r="AB168" s="13" t="str">
        <f>IF(AA168&gt;0,Y96&amp;Sprache!$E$73&amp;X96,"")</f>
        <v/>
      </c>
      <c r="AC168" s="2"/>
      <c r="AD168" s="145"/>
    </row>
    <row r="169" spans="25:30" x14ac:dyDescent="0.2">
      <c r="Y169" s="68" t="s">
        <v>49</v>
      </c>
      <c r="Z169" s="35" t="str">
        <f t="shared" si="69"/>
        <v/>
      </c>
      <c r="AA169" s="13">
        <f t="shared" si="68"/>
        <v>0</v>
      </c>
      <c r="AB169" s="13" t="str">
        <f>IF(AA169&gt;0,Y97&amp;Sprache!$E$73&amp;X97,"")</f>
        <v/>
      </c>
      <c r="AC169" s="2"/>
      <c r="AD169" s="145"/>
    </row>
    <row r="170" spans="25:30" x14ac:dyDescent="0.2">
      <c r="Y170" s="68" t="s">
        <v>50</v>
      </c>
      <c r="Z170" s="35" t="str">
        <f t="shared" si="69"/>
        <v/>
      </c>
      <c r="AA170" s="13">
        <f t="shared" si="68"/>
        <v>0</v>
      </c>
      <c r="AB170" s="13" t="str">
        <f>IF(AA170&gt;0,Y98&amp;Sprache!$E$73&amp;X98,"")</f>
        <v/>
      </c>
      <c r="AC170" s="2"/>
      <c r="AD170" s="145"/>
    </row>
    <row r="171" spans="25:30" x14ac:dyDescent="0.2">
      <c r="Y171" s="68" t="s">
        <v>51</v>
      </c>
      <c r="Z171" s="35" t="str">
        <f t="shared" si="69"/>
        <v/>
      </c>
      <c r="AA171" s="13">
        <f t="shared" si="68"/>
        <v>0</v>
      </c>
      <c r="AB171" s="13" t="str">
        <f>IF(AA171&gt;0,Y99&amp;Sprache!$E$73&amp;X99,"")</f>
        <v/>
      </c>
      <c r="AC171" s="2"/>
      <c r="AD171" s="145"/>
    </row>
    <row r="172" spans="25:30" x14ac:dyDescent="0.2">
      <c r="Y172" s="68" t="s">
        <v>60</v>
      </c>
      <c r="Z172" s="35" t="str">
        <f t="shared" si="69"/>
        <v/>
      </c>
      <c r="AA172" s="13">
        <f t="shared" si="68"/>
        <v>0</v>
      </c>
      <c r="AB172" s="13" t="str">
        <f>IF(AA172&gt;0,Y100&amp;Sprache!$E$73&amp;X100,"")</f>
        <v/>
      </c>
      <c r="AC172" s="2"/>
      <c r="AD172" s="145"/>
    </row>
    <row r="173" spans="25:30" x14ac:dyDescent="0.2">
      <c r="Y173" s="68" t="s">
        <v>61</v>
      </c>
      <c r="Z173" s="35" t="str">
        <f t="shared" si="69"/>
        <v/>
      </c>
      <c r="AA173" s="13">
        <f t="shared" si="68"/>
        <v>0</v>
      </c>
      <c r="AB173" s="13" t="str">
        <f>IF(AA173&gt;0,Y101&amp;Sprache!$E$73&amp;X101,"")</f>
        <v/>
      </c>
      <c r="AC173" s="2"/>
      <c r="AD173" s="145"/>
    </row>
    <row r="174" spans="25:30" x14ac:dyDescent="0.2">
      <c r="Y174" s="68" t="s">
        <v>62</v>
      </c>
      <c r="Z174" s="35" t="str">
        <f t="shared" si="69"/>
        <v/>
      </c>
      <c r="AA174" s="13">
        <f t="shared" si="68"/>
        <v>0</v>
      </c>
      <c r="AB174" s="13" t="str">
        <f>IF(AA174&gt;0,Y102&amp;Sprache!$E$73&amp;X102,"")</f>
        <v/>
      </c>
      <c r="AC174" s="2"/>
      <c r="AD174" s="145"/>
    </row>
    <row r="175" spans="25:30" x14ac:dyDescent="0.2">
      <c r="Y175" s="68" t="s">
        <v>63</v>
      </c>
      <c r="Z175" s="35" t="str">
        <f t="shared" si="69"/>
        <v/>
      </c>
      <c r="AA175" s="13">
        <f t="shared" si="68"/>
        <v>0</v>
      </c>
      <c r="AB175" s="13" t="str">
        <f>IF(AA175&gt;0,Y103&amp;Sprache!$E$73&amp;X103,"")</f>
        <v/>
      </c>
      <c r="AC175" s="2"/>
      <c r="AD175" s="145"/>
    </row>
    <row r="176" spans="25:30" x14ac:dyDescent="0.2">
      <c r="Y176" s="68" t="s">
        <v>64</v>
      </c>
      <c r="Z176" s="35" t="str">
        <f t="shared" si="69"/>
        <v/>
      </c>
      <c r="AA176" s="13">
        <f t="shared" si="68"/>
        <v>0</v>
      </c>
      <c r="AB176" s="13" t="str">
        <f>IF(AA176&gt;0,Y104&amp;Sprache!$E$73&amp;X104,"")</f>
        <v/>
      </c>
      <c r="AC176" s="2"/>
      <c r="AD176" s="145"/>
    </row>
    <row r="177" spans="25:30" x14ac:dyDescent="0.2">
      <c r="Y177" s="68" t="s">
        <v>65</v>
      </c>
      <c r="Z177" s="35" t="str">
        <f t="shared" si="69"/>
        <v/>
      </c>
      <c r="AA177" s="13">
        <f t="shared" si="68"/>
        <v>0</v>
      </c>
      <c r="AB177" s="13" t="str">
        <f>IF(AA177&gt;0,Y105&amp;Sprache!$E$73&amp;X105,"")</f>
        <v/>
      </c>
      <c r="AC177" s="2"/>
      <c r="AD177" s="145"/>
    </row>
    <row r="178" spans="25:30" x14ac:dyDescent="0.2">
      <c r="Y178" s="68" t="s">
        <v>66</v>
      </c>
      <c r="Z178" s="35" t="str">
        <f t="shared" si="69"/>
        <v/>
      </c>
      <c r="AA178" s="13">
        <f t="shared" si="68"/>
        <v>0</v>
      </c>
      <c r="AB178" s="13" t="str">
        <f>IF(AA178&gt;0,Y106&amp;Sprache!$E$73&amp;X106,"")</f>
        <v/>
      </c>
      <c r="AC178" s="2"/>
      <c r="AD178" s="145"/>
    </row>
    <row r="179" spans="25:30" x14ac:dyDescent="0.2">
      <c r="Y179" s="68" t="s">
        <v>67</v>
      </c>
      <c r="Z179" s="35" t="str">
        <f t="shared" si="69"/>
        <v/>
      </c>
      <c r="AA179" s="13">
        <f t="shared" si="68"/>
        <v>0</v>
      </c>
      <c r="AB179" s="13" t="str">
        <f>IF(AA179&gt;0,Y107&amp;Sprache!$E$73&amp;X107,"")</f>
        <v/>
      </c>
      <c r="AC179" s="2"/>
      <c r="AD179" s="145"/>
    </row>
    <row r="180" spans="25:30" x14ac:dyDescent="0.2">
      <c r="Y180" s="68" t="s">
        <v>68</v>
      </c>
      <c r="Z180" s="35" t="str">
        <f t="shared" si="69"/>
        <v/>
      </c>
      <c r="AA180" s="13">
        <f t="shared" si="68"/>
        <v>0</v>
      </c>
      <c r="AB180" s="13" t="str">
        <f>IF(AA180&gt;0,Y108&amp;Sprache!$E$73&amp;X108,"")</f>
        <v/>
      </c>
      <c r="AC180" s="2"/>
      <c r="AD180" s="145"/>
    </row>
    <row r="181" spans="25:30" x14ac:dyDescent="0.2">
      <c r="Y181" s="68" t="s">
        <v>69</v>
      </c>
      <c r="Z181" s="35" t="str">
        <f t="shared" si="69"/>
        <v/>
      </c>
      <c r="AA181" s="13">
        <f t="shared" si="68"/>
        <v>0</v>
      </c>
      <c r="AB181" s="13" t="str">
        <f>IF(AA181&gt;0,Y109&amp;Sprache!$E$73&amp;X109,"")</f>
        <v/>
      </c>
      <c r="AC181" s="2"/>
      <c r="AD181" s="145"/>
    </row>
    <row r="182" spans="25:30" x14ac:dyDescent="0.2">
      <c r="Y182" s="68" t="s">
        <v>70</v>
      </c>
      <c r="Z182" s="35" t="str">
        <f t="shared" si="69"/>
        <v/>
      </c>
      <c r="AA182" s="13">
        <f t="shared" si="68"/>
        <v>0</v>
      </c>
      <c r="AB182" s="13" t="str">
        <f>IF(AA182&gt;0,Y110&amp;Sprache!$E$73&amp;X110,"")</f>
        <v/>
      </c>
      <c r="AC182" s="2"/>
      <c r="AD182" s="145"/>
    </row>
    <row r="183" spans="25:30" x14ac:dyDescent="0.2">
      <c r="Y183" s="68" t="s">
        <v>71</v>
      </c>
      <c r="Z183" s="35" t="str">
        <f t="shared" si="69"/>
        <v/>
      </c>
      <c r="AA183" s="13">
        <f t="shared" si="68"/>
        <v>0</v>
      </c>
      <c r="AB183" s="13" t="str">
        <f>IF(AA183&gt;0,Y111&amp;Sprache!$E$73&amp;X111,"")</f>
        <v/>
      </c>
      <c r="AC183" s="2"/>
      <c r="AD183" s="145"/>
    </row>
    <row r="184" spans="25:30" x14ac:dyDescent="0.2">
      <c r="Y184" s="68" t="s">
        <v>72</v>
      </c>
      <c r="Z184" s="35" t="str">
        <f t="shared" si="69"/>
        <v/>
      </c>
      <c r="AA184" s="13">
        <f t="shared" si="68"/>
        <v>0</v>
      </c>
      <c r="AB184" s="13" t="str">
        <f>IF(AA184&gt;0,Y112&amp;Sprache!$E$73&amp;X112,"")</f>
        <v/>
      </c>
      <c r="AC184" s="2"/>
      <c r="AD184" s="145"/>
    </row>
    <row r="185" spans="25:30" x14ac:dyDescent="0.2">
      <c r="Y185" s="68" t="s">
        <v>73</v>
      </c>
      <c r="Z185" s="35" t="str">
        <f t="shared" si="69"/>
        <v/>
      </c>
      <c r="AA185" s="13">
        <f t="shared" si="68"/>
        <v>0</v>
      </c>
      <c r="AB185" s="13" t="str">
        <f>IF(AA185&gt;0,Y113&amp;Sprache!$E$73&amp;X113,"")</f>
        <v/>
      </c>
      <c r="AC185" s="2"/>
      <c r="AD185" s="145"/>
    </row>
    <row r="186" spans="25:30" x14ac:dyDescent="0.2">
      <c r="Y186" s="68" t="s">
        <v>74</v>
      </c>
      <c r="Z186" s="35" t="str">
        <f t="shared" si="69"/>
        <v/>
      </c>
      <c r="AA186" s="13">
        <f t="shared" si="68"/>
        <v>0</v>
      </c>
      <c r="AB186" s="13" t="str">
        <f>IF(AA186&gt;0,Y114&amp;Sprache!$E$73&amp;X114,"")</f>
        <v/>
      </c>
      <c r="AC186" s="2"/>
      <c r="AD186" s="145"/>
    </row>
    <row r="187" spans="25:30" x14ac:dyDescent="0.2">
      <c r="Y187" s="68" t="s">
        <v>75</v>
      </c>
      <c r="Z187" s="35" t="str">
        <f t="shared" si="69"/>
        <v/>
      </c>
      <c r="AA187" s="13">
        <f t="shared" si="68"/>
        <v>0</v>
      </c>
      <c r="AB187" s="13" t="str">
        <f>IF(AA187&gt;0,Y115&amp;Sprache!$E$73&amp;X115,"")</f>
        <v/>
      </c>
      <c r="AC187" s="2"/>
      <c r="AD187" s="145"/>
    </row>
    <row r="188" spans="25:30" x14ac:dyDescent="0.2">
      <c r="Y188" s="68" t="s">
        <v>76</v>
      </c>
      <c r="Z188" s="35" t="str">
        <f t="shared" si="69"/>
        <v/>
      </c>
      <c r="AA188" s="13">
        <f t="shared" si="68"/>
        <v>0</v>
      </c>
      <c r="AB188" s="13" t="str">
        <f>IF(AA188&gt;0,Y116&amp;Sprache!$E$73&amp;X116,"")</f>
        <v/>
      </c>
      <c r="AC188" s="2"/>
      <c r="AD188" s="145"/>
    </row>
    <row r="189" spans="25:30" x14ac:dyDescent="0.2">
      <c r="Y189" s="68" t="s">
        <v>77</v>
      </c>
      <c r="Z189" s="35" t="str">
        <f t="shared" si="69"/>
        <v/>
      </c>
      <c r="AA189" s="13">
        <f t="shared" si="68"/>
        <v>0</v>
      </c>
      <c r="AB189" s="13" t="str">
        <f>IF(AA189&gt;0,Y117&amp;Sprache!$E$73&amp;X117,"")</f>
        <v/>
      </c>
      <c r="AC189" s="2"/>
      <c r="AD189" s="145"/>
    </row>
    <row r="190" spans="25:30" x14ac:dyDescent="0.2">
      <c r="Y190" s="68" t="s">
        <v>78</v>
      </c>
      <c r="Z190" s="35" t="str">
        <f t="shared" si="69"/>
        <v/>
      </c>
      <c r="AA190" s="13">
        <f t="shared" si="68"/>
        <v>0</v>
      </c>
      <c r="AB190" s="13" t="str">
        <f>IF(AA190&gt;0,Y118&amp;Sprache!$E$73&amp;X118,"")</f>
        <v/>
      </c>
      <c r="AC190" s="2"/>
      <c r="AD190" s="145"/>
    </row>
    <row r="191" spans="25:30" x14ac:dyDescent="0.2">
      <c r="Y191" s="68" t="s">
        <v>79</v>
      </c>
      <c r="Z191" s="35" t="str">
        <f t="shared" si="69"/>
        <v/>
      </c>
      <c r="AA191" s="13">
        <f t="shared" si="68"/>
        <v>0</v>
      </c>
      <c r="AB191" s="13" t="str">
        <f>IF(AA191&gt;0,Y119&amp;Sprache!$E$73&amp;X119,"")</f>
        <v/>
      </c>
      <c r="AC191" s="2"/>
      <c r="AD191" s="145"/>
    </row>
    <row r="192" spans="25:30" x14ac:dyDescent="0.2">
      <c r="Y192" s="68" t="s">
        <v>80</v>
      </c>
      <c r="Z192" s="35" t="str">
        <f t="shared" si="69"/>
        <v/>
      </c>
      <c r="AA192" s="13">
        <f t="shared" si="68"/>
        <v>0</v>
      </c>
      <c r="AB192" s="13" t="str">
        <f>IF(AA192&gt;0,Y120&amp;Sprache!$E$73&amp;X120,"")</f>
        <v/>
      </c>
      <c r="AC192" s="2"/>
      <c r="AD192" s="145"/>
    </row>
    <row r="193" spans="25:30" x14ac:dyDescent="0.2">
      <c r="Y193" s="68" t="s">
        <v>81</v>
      </c>
      <c r="Z193" s="35" t="str">
        <f t="shared" si="69"/>
        <v/>
      </c>
      <c r="AA193" s="13">
        <f t="shared" si="68"/>
        <v>0</v>
      </c>
      <c r="AB193" s="13" t="str">
        <f>IF(AA193&gt;0,Y121&amp;Sprache!$E$73&amp;X121,"")</f>
        <v/>
      </c>
      <c r="AC193" s="2"/>
      <c r="AD193" s="145"/>
    </row>
    <row r="194" spans="25:30" x14ac:dyDescent="0.2">
      <c r="Y194" s="68" t="s">
        <v>82</v>
      </c>
      <c r="Z194" s="35" t="str">
        <f t="shared" si="69"/>
        <v/>
      </c>
      <c r="AA194" s="13">
        <f t="shared" si="68"/>
        <v>0</v>
      </c>
      <c r="AB194" s="13" t="str">
        <f>IF(AA194&gt;0,Y122&amp;Sprache!$E$73&amp;X122,"")</f>
        <v/>
      </c>
      <c r="AC194" s="2"/>
      <c r="AD194" s="145"/>
    </row>
    <row r="195" spans="25:30" x14ac:dyDescent="0.2">
      <c r="Y195" s="68" t="s">
        <v>83</v>
      </c>
      <c r="Z195" s="35" t="str">
        <f t="shared" si="69"/>
        <v/>
      </c>
      <c r="AA195" s="13">
        <f t="shared" si="68"/>
        <v>0</v>
      </c>
      <c r="AB195" s="13" t="str">
        <f>IF(AA195&gt;0,Y123&amp;Sprache!$E$73&amp;X123,"")</f>
        <v/>
      </c>
      <c r="AC195" s="2"/>
      <c r="AD195" s="145"/>
    </row>
    <row r="196" spans="25:30" x14ac:dyDescent="0.2">
      <c r="Y196" s="68" t="s">
        <v>84</v>
      </c>
      <c r="Z196" s="35" t="str">
        <f t="shared" si="69"/>
        <v/>
      </c>
      <c r="AA196" s="13">
        <f t="shared" si="68"/>
        <v>0</v>
      </c>
      <c r="AB196" s="13" t="str">
        <f>IF(AA196&gt;0,Y124&amp;Sprache!$E$73&amp;X124,"")</f>
        <v/>
      </c>
      <c r="AC196" s="2"/>
      <c r="AD196" s="145"/>
    </row>
    <row r="197" spans="25:30" x14ac:dyDescent="0.2">
      <c r="Y197" s="68" t="s">
        <v>85</v>
      </c>
      <c r="Z197" s="35" t="str">
        <f t="shared" si="69"/>
        <v/>
      </c>
      <c r="AA197" s="13">
        <f t="shared" si="68"/>
        <v>0</v>
      </c>
      <c r="AB197" s="13" t="str">
        <f>IF(AA197&gt;0,Y125&amp;Sprache!$E$73&amp;X125,"")</f>
        <v/>
      </c>
      <c r="AC197" s="2"/>
      <c r="AD197" s="145"/>
    </row>
    <row r="198" spans="25:30" x14ac:dyDescent="0.2">
      <c r="Y198" s="68" t="s">
        <v>86</v>
      </c>
      <c r="Z198" s="35" t="str">
        <f t="shared" si="69"/>
        <v/>
      </c>
      <c r="AA198" s="13">
        <f t="shared" si="68"/>
        <v>0</v>
      </c>
      <c r="AB198" s="13" t="str">
        <f>IF(AA198&gt;0,Y126&amp;Sprache!$E$73&amp;X126,"")</f>
        <v/>
      </c>
      <c r="AC198" s="2"/>
      <c r="AD198" s="145"/>
    </row>
    <row r="199" spans="25:30" x14ac:dyDescent="0.2">
      <c r="Y199" s="68" t="s">
        <v>87</v>
      </c>
      <c r="Z199" s="35" t="str">
        <f t="shared" si="69"/>
        <v/>
      </c>
      <c r="AA199" s="13">
        <f t="shared" si="68"/>
        <v>0</v>
      </c>
      <c r="AB199" s="13" t="str">
        <f>IF(AA199&gt;0,Y127&amp;Sprache!$E$73&amp;X127,"")</f>
        <v/>
      </c>
      <c r="AC199" s="2"/>
      <c r="AD199" s="145"/>
    </row>
    <row r="200" spans="25:30" x14ac:dyDescent="0.2">
      <c r="Y200" s="68" t="s">
        <v>88</v>
      </c>
      <c r="Z200" s="35" t="str">
        <f t="shared" si="69"/>
        <v/>
      </c>
      <c r="AA200" s="13">
        <f t="shared" si="68"/>
        <v>0</v>
      </c>
      <c r="AB200" s="13" t="str">
        <f>IF(AA200&gt;0,Y128&amp;Sprache!$E$73&amp;X128,"")</f>
        <v/>
      </c>
      <c r="AC200" s="2"/>
      <c r="AD200" s="145"/>
    </row>
    <row r="201" spans="25:30" x14ac:dyDescent="0.2">
      <c r="Y201" s="68" t="s">
        <v>89</v>
      </c>
      <c r="Z201" s="35" t="str">
        <f t="shared" si="69"/>
        <v/>
      </c>
      <c r="AA201" s="13">
        <f t="shared" ref="AA201:AA207" si="70">AA129</f>
        <v>0</v>
      </c>
      <c r="AB201" s="13" t="str">
        <f>IF(AA201&gt;0,Y129&amp;Sprache!$E$73&amp;X129,"")</f>
        <v/>
      </c>
      <c r="AC201" s="2"/>
      <c r="AD201" s="145"/>
    </row>
    <row r="202" spans="25:30" x14ac:dyDescent="0.2">
      <c r="Y202" s="68" t="s">
        <v>90</v>
      </c>
      <c r="Z202" s="35" t="str">
        <f t="shared" ref="Z202:Z206" si="71">W130&amp;V130</f>
        <v/>
      </c>
      <c r="AA202" s="13">
        <f t="shared" si="70"/>
        <v>0</v>
      </c>
      <c r="AB202" s="13" t="str">
        <f>IF(AA202&gt;0,Y130&amp;Sprache!$E$73&amp;X130,"")</f>
        <v/>
      </c>
      <c r="AC202" s="2"/>
      <c r="AD202" s="145"/>
    </row>
    <row r="203" spans="25:30" x14ac:dyDescent="0.2">
      <c r="Y203" s="68" t="s">
        <v>91</v>
      </c>
      <c r="Z203" s="35" t="str">
        <f t="shared" si="71"/>
        <v/>
      </c>
      <c r="AA203" s="13">
        <f t="shared" si="70"/>
        <v>0</v>
      </c>
      <c r="AB203" s="13" t="str">
        <f>IF(AA203&gt;0,Y131&amp;Sprache!$E$73&amp;X131,"")</f>
        <v/>
      </c>
      <c r="AC203" s="2"/>
      <c r="AD203" s="145"/>
    </row>
    <row r="204" spans="25:30" x14ac:dyDescent="0.2">
      <c r="Y204" s="68" t="s">
        <v>92</v>
      </c>
      <c r="Z204" s="35" t="str">
        <f t="shared" si="71"/>
        <v/>
      </c>
      <c r="AA204" s="13">
        <f t="shared" si="70"/>
        <v>0</v>
      </c>
      <c r="AB204" s="13" t="str">
        <f>IF(AA204&gt;0,Y132&amp;Sprache!$E$73&amp;X132,"")</f>
        <v/>
      </c>
      <c r="AC204" s="2"/>
      <c r="AD204" s="145"/>
    </row>
    <row r="205" spans="25:30" x14ac:dyDescent="0.2">
      <c r="Y205" s="68" t="s">
        <v>93</v>
      </c>
      <c r="Z205" s="35" t="str">
        <f t="shared" si="71"/>
        <v/>
      </c>
      <c r="AA205" s="13">
        <f t="shared" si="70"/>
        <v>0</v>
      </c>
      <c r="AB205" s="13" t="str">
        <f>IF(AA205&gt;0,Y133&amp;Sprache!$E$73&amp;X133,"")</f>
        <v/>
      </c>
      <c r="AC205" s="2"/>
      <c r="AD205" s="145"/>
    </row>
    <row r="206" spans="25:30" x14ac:dyDescent="0.2">
      <c r="Y206" s="68" t="s">
        <v>94</v>
      </c>
      <c r="Z206" s="35" t="str">
        <f t="shared" si="71"/>
        <v/>
      </c>
      <c r="AA206" s="13">
        <f t="shared" si="70"/>
        <v>0</v>
      </c>
      <c r="AB206" s="13" t="str">
        <f>IF(AA206&gt;0,Y134&amp;Sprache!$E$73&amp;X134,"")</f>
        <v/>
      </c>
      <c r="AC206" s="2"/>
      <c r="AD206" s="145"/>
    </row>
    <row r="207" spans="25:30" ht="12.75" thickBot="1" x14ac:dyDescent="0.25">
      <c r="Y207" s="69" t="s">
        <v>95</v>
      </c>
      <c r="Z207" s="37" t="str">
        <f>W135&amp;V135</f>
        <v/>
      </c>
      <c r="AA207" s="38">
        <f t="shared" si="70"/>
        <v>0</v>
      </c>
      <c r="AB207" s="146" t="str">
        <f>IF(AA207&gt;0,Y135&amp;Sprache!$E$73&amp;X135,"")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Planung</vt:lpstr>
      <vt:lpstr>proof</vt:lpstr>
      <vt:lpstr>Pairings</vt:lpstr>
      <vt:lpstr>Vorrunde</vt:lpstr>
      <vt:lpstr>Endrunde 1</vt:lpstr>
      <vt:lpstr>Endrunde 2</vt:lpstr>
      <vt:lpstr>DirVergleich_A</vt:lpstr>
      <vt:lpstr>DirVergleich_B</vt:lpstr>
      <vt:lpstr>Endrunde 3</vt:lpstr>
      <vt:lpstr>Endrunde 4</vt:lpstr>
      <vt:lpstr>Sprache</vt:lpstr>
      <vt:lpstr>Einstellungen</vt:lpstr>
      <vt:lpstr>Info</vt:lpstr>
      <vt:lpstr>Calc1</vt:lpstr>
      <vt:lpstr>Calc2</vt:lpstr>
      <vt:lpstr>CalcE1</vt:lpstr>
      <vt:lpstr>CalcE2</vt:lpstr>
      <vt:lpstr>CalcE3</vt:lpstr>
      <vt:lpstr>CalcE4</vt:lpstr>
      <vt:lpstr>CalcE5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2024-05-03T21:43:07Z</dcterms:modified>
</cp:coreProperties>
</file>