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66925"/>
  <mc:AlternateContent xmlns:mc="http://schemas.openxmlformats.org/markup-compatibility/2006">
    <mc:Choice Requires="x15">
      <x15ac:absPath xmlns:x15ac="http://schemas.microsoft.com/office/spreadsheetml/2010/11/ac" url="E:\Excel\Spielpläne\Liga\"/>
    </mc:Choice>
  </mc:AlternateContent>
  <xr:revisionPtr revIDLastSave="0" documentId="13_ncr:1_{58979EAA-B9AD-40F5-926C-E23CC8663F0B}" xr6:coauthVersionLast="36" xr6:coauthVersionMax="36" xr10:uidLastSave="{00000000-0000-0000-0000-000000000000}"/>
  <bookViews>
    <workbookView xWindow="-120" yWindow="-120" windowWidth="29040" windowHeight="15750" tabRatio="597" activeTab="1" xr2:uid="{00000000-000D-0000-FFFF-FFFF00000000}"/>
  </bookViews>
  <sheets>
    <sheet name="Planning" sheetId="7" r:id="rId1"/>
    <sheet name="Results" sheetId="6" r:id="rId2"/>
    <sheet name="Calc2" sheetId="13" state="hidden" r:id="rId3"/>
    <sheet name="Calc" sheetId="3" state="hidden" r:id="rId4"/>
    <sheet name="Tie_Break" sheetId="8" r:id="rId5"/>
    <sheet name="Language" sheetId="9" r:id="rId6"/>
    <sheet name="Matchups" sheetId="14" r:id="rId7"/>
    <sheet name="Settings" sheetId="15" r:id="rId8"/>
    <sheet name="Help" sheetId="11" r:id="rId9"/>
  </sheets>
  <calcPr calcId="191029"/>
</workbook>
</file>

<file path=xl/calcChain.xml><?xml version="1.0" encoding="utf-8"?>
<calcChain xmlns="http://schemas.openxmlformats.org/spreadsheetml/2006/main">
  <c r="AK38" i="6" l="1"/>
  <c r="Y37" i="6" l="1"/>
  <c r="Y36" i="6"/>
  <c r="Y35" i="6"/>
  <c r="BN9" i="6" l="1"/>
  <c r="BQ9" i="6" s="1"/>
  <c r="BO9" i="6"/>
  <c r="BP9" i="6"/>
  <c r="BS9" i="6" s="1"/>
  <c r="BN11" i="6"/>
  <c r="BQ11" i="6" s="1"/>
  <c r="BO11" i="6"/>
  <c r="BR11" i="6" s="1"/>
  <c r="BP11" i="6"/>
  <c r="BS11" i="6" s="1"/>
  <c r="BN12" i="6"/>
  <c r="BQ12" i="6" s="1"/>
  <c r="BO12" i="6"/>
  <c r="BR12" i="6" s="1"/>
  <c r="BP12" i="6"/>
  <c r="BS12" i="6"/>
  <c r="BN13" i="6"/>
  <c r="BQ13" i="6" s="1"/>
  <c r="BO13" i="6"/>
  <c r="BR13" i="6" s="1"/>
  <c r="BP13" i="6"/>
  <c r="BS13" i="6"/>
  <c r="BN14" i="6"/>
  <c r="BO14" i="6"/>
  <c r="BR14" i="6" s="1"/>
  <c r="BP14" i="6"/>
  <c r="BS14" i="6" s="1"/>
  <c r="BN15" i="6"/>
  <c r="BQ15" i="6" s="1"/>
  <c r="BO15" i="6"/>
  <c r="BR15" i="6" s="1"/>
  <c r="BP15" i="6"/>
  <c r="BS15" i="6" s="1"/>
  <c r="BN16" i="6"/>
  <c r="BQ16" i="6" s="1"/>
  <c r="BO16" i="6"/>
  <c r="BR16" i="6" s="1"/>
  <c r="BP16" i="6"/>
  <c r="BN17" i="6"/>
  <c r="BQ17" i="6" s="1"/>
  <c r="BO17" i="6"/>
  <c r="BR17" i="6" s="1"/>
  <c r="BP17" i="6"/>
  <c r="BS17" i="6" s="1"/>
  <c r="BN18" i="6"/>
  <c r="BO18" i="6"/>
  <c r="BR18" i="6" s="1"/>
  <c r="BP18" i="6"/>
  <c r="BS18" i="6"/>
  <c r="BN19" i="6"/>
  <c r="BQ19" i="6" s="1"/>
  <c r="BO19" i="6"/>
  <c r="BR19" i="6" s="1"/>
  <c r="BP19" i="6"/>
  <c r="BS19" i="6" s="1"/>
  <c r="BN20" i="6"/>
  <c r="BQ20" i="6" s="1"/>
  <c r="BO20" i="6"/>
  <c r="BR20" i="6" s="1"/>
  <c r="BP20" i="6"/>
  <c r="BS20" i="6" s="1"/>
  <c r="BN21" i="6"/>
  <c r="BQ21" i="6" s="1"/>
  <c r="BO21" i="6"/>
  <c r="BR21" i="6" s="1"/>
  <c r="BP21" i="6"/>
  <c r="BS21" i="6" s="1"/>
  <c r="BN22" i="6"/>
  <c r="BO22" i="6"/>
  <c r="BR22" i="6" s="1"/>
  <c r="BP22" i="6"/>
  <c r="BS22" i="6" s="1"/>
  <c r="BN23" i="6"/>
  <c r="BQ23" i="6" s="1"/>
  <c r="BO23" i="6"/>
  <c r="BR23" i="6" s="1"/>
  <c r="BP23" i="6"/>
  <c r="BS23" i="6" s="1"/>
  <c r="BN24" i="6"/>
  <c r="BQ24" i="6" s="1"/>
  <c r="BO24" i="6"/>
  <c r="BR24" i="6" s="1"/>
  <c r="BP24" i="6"/>
  <c r="BN25" i="6"/>
  <c r="BQ25" i="6" s="1"/>
  <c r="BO25" i="6"/>
  <c r="BR25" i="6" s="1"/>
  <c r="BP25" i="6"/>
  <c r="BS25" i="6" s="1"/>
  <c r="BN26" i="6"/>
  <c r="BO26" i="6"/>
  <c r="BR26" i="6" s="1"/>
  <c r="BP26" i="6"/>
  <c r="BS26" i="6"/>
  <c r="BN27" i="6"/>
  <c r="BQ27" i="6" s="1"/>
  <c r="BO27" i="6"/>
  <c r="BR27" i="6" s="1"/>
  <c r="BP27" i="6"/>
  <c r="BS27" i="6" s="1"/>
  <c r="BN28" i="6"/>
  <c r="BQ28" i="6" s="1"/>
  <c r="BO28" i="6"/>
  <c r="BR28" i="6" s="1"/>
  <c r="BP28" i="6"/>
  <c r="BS28" i="6" s="1"/>
  <c r="BN29" i="6"/>
  <c r="BQ29" i="6" s="1"/>
  <c r="BO29" i="6"/>
  <c r="BR29" i="6" s="1"/>
  <c r="BP29" i="6"/>
  <c r="BS29" i="6"/>
  <c r="BN30" i="6"/>
  <c r="BO30" i="6"/>
  <c r="BR30" i="6" s="1"/>
  <c r="BP30" i="6"/>
  <c r="BS30" i="6" s="1"/>
  <c r="BN31" i="6"/>
  <c r="BQ31" i="6" s="1"/>
  <c r="BO31" i="6"/>
  <c r="BR31" i="6" s="1"/>
  <c r="BP31" i="6"/>
  <c r="BS31" i="6" s="1"/>
  <c r="BN32" i="6"/>
  <c r="BQ32" i="6" s="1"/>
  <c r="BO32" i="6"/>
  <c r="BR32" i="6" s="1"/>
  <c r="BP32" i="6"/>
  <c r="BN33" i="6"/>
  <c r="BQ33" i="6" s="1"/>
  <c r="BO33" i="6"/>
  <c r="BR33" i="6" s="1"/>
  <c r="BP33" i="6"/>
  <c r="BS33" i="6"/>
  <c r="BN34" i="6"/>
  <c r="BO34" i="6"/>
  <c r="BR34" i="6" s="1"/>
  <c r="BP34" i="6"/>
  <c r="BS34" i="6" s="1"/>
  <c r="BN35" i="6"/>
  <c r="BQ35" i="6" s="1"/>
  <c r="BO35" i="6"/>
  <c r="BR35" i="6" s="1"/>
  <c r="BP35" i="6"/>
  <c r="BS35" i="6"/>
  <c r="BN36" i="6"/>
  <c r="BQ36" i="6" s="1"/>
  <c r="BO36" i="6"/>
  <c r="BR36" i="6" s="1"/>
  <c r="BP36" i="6"/>
  <c r="BS36" i="6" s="1"/>
  <c r="BN37" i="6"/>
  <c r="BQ37" i="6" s="1"/>
  <c r="BO37" i="6"/>
  <c r="BR37" i="6" s="1"/>
  <c r="BP37" i="6"/>
  <c r="BS37" i="6" s="1"/>
  <c r="BN38" i="6"/>
  <c r="BO38" i="6"/>
  <c r="BR38" i="6" s="1"/>
  <c r="BP38" i="6"/>
  <c r="BS38" i="6" s="1"/>
  <c r="BN39" i="6"/>
  <c r="BQ39" i="6" s="1"/>
  <c r="BO39" i="6"/>
  <c r="BP39" i="6"/>
  <c r="BS39" i="6" s="1"/>
  <c r="BN40" i="6"/>
  <c r="BQ40" i="6" s="1"/>
  <c r="BO40" i="6"/>
  <c r="BR40" i="6" s="1"/>
  <c r="BP40" i="6"/>
  <c r="BN41" i="6"/>
  <c r="BQ41" i="6" s="1"/>
  <c r="BO41" i="6"/>
  <c r="BR41" i="6" s="1"/>
  <c r="BP41" i="6"/>
  <c r="BS41" i="6" s="1"/>
  <c r="BN42" i="6"/>
  <c r="BO42" i="6"/>
  <c r="BR42" i="6" s="1"/>
  <c r="BP42" i="6"/>
  <c r="BS42" i="6" s="1"/>
  <c r="BN43" i="6"/>
  <c r="BQ43" i="6" s="1"/>
  <c r="BO43" i="6"/>
  <c r="BR43" i="6" s="1"/>
  <c r="BP43" i="6"/>
  <c r="BS43" i="6" s="1"/>
  <c r="BN44" i="6"/>
  <c r="BQ44" i="6" s="1"/>
  <c r="BO44" i="6"/>
  <c r="BR44" i="6" s="1"/>
  <c r="BP44" i="6"/>
  <c r="BS44" i="6" s="1"/>
  <c r="BN45" i="6"/>
  <c r="BQ45" i="6" s="1"/>
  <c r="BO45" i="6"/>
  <c r="BR45" i="6" s="1"/>
  <c r="BP45" i="6"/>
  <c r="BS45" i="6" s="1"/>
  <c r="BN46" i="6"/>
  <c r="BO46" i="6"/>
  <c r="BR46" i="6" s="1"/>
  <c r="BP46" i="6"/>
  <c r="BS46" i="6" s="1"/>
  <c r="BN47" i="6"/>
  <c r="BQ47" i="6" s="1"/>
  <c r="BO47" i="6"/>
  <c r="BP47" i="6"/>
  <c r="BS47" i="6" s="1"/>
  <c r="BN48" i="6"/>
  <c r="BQ48" i="6" s="1"/>
  <c r="BO48" i="6"/>
  <c r="BR48" i="6" s="1"/>
  <c r="BP48" i="6"/>
  <c r="BN49" i="6"/>
  <c r="BQ49" i="6" s="1"/>
  <c r="BO49" i="6"/>
  <c r="BR49" i="6" s="1"/>
  <c r="BP49" i="6"/>
  <c r="BS49" i="6" s="1"/>
  <c r="BN50" i="6"/>
  <c r="BO50" i="6"/>
  <c r="BR50" i="6" s="1"/>
  <c r="BP50" i="6"/>
  <c r="BS50" i="6" s="1"/>
  <c r="BN51" i="6"/>
  <c r="BQ51" i="6" s="1"/>
  <c r="BO51" i="6"/>
  <c r="BR51" i="6" s="1"/>
  <c r="BP51" i="6"/>
  <c r="BS51" i="6" s="1"/>
  <c r="BN52" i="6"/>
  <c r="BQ52" i="6" s="1"/>
  <c r="BO52" i="6"/>
  <c r="BR52" i="6" s="1"/>
  <c r="BP52" i="6"/>
  <c r="BS52" i="6" s="1"/>
  <c r="BN53" i="6"/>
  <c r="BQ53" i="6" s="1"/>
  <c r="BO53" i="6"/>
  <c r="BR53" i="6" s="1"/>
  <c r="BP53" i="6"/>
  <c r="BS53" i="6"/>
  <c r="BN54" i="6"/>
  <c r="BO54" i="6"/>
  <c r="BR54" i="6" s="1"/>
  <c r="BP54" i="6"/>
  <c r="BS54" i="6" s="1"/>
  <c r="BN55" i="6"/>
  <c r="BQ55" i="6" s="1"/>
  <c r="BO55" i="6"/>
  <c r="BP55" i="6"/>
  <c r="BS55" i="6" s="1"/>
  <c r="BN56" i="6"/>
  <c r="BQ56" i="6" s="1"/>
  <c r="BO56" i="6"/>
  <c r="BP56" i="6"/>
  <c r="BR56" i="6"/>
  <c r="BN57" i="6"/>
  <c r="BQ57" i="6" s="1"/>
  <c r="BO57" i="6"/>
  <c r="BR57" i="6" s="1"/>
  <c r="BP57" i="6"/>
  <c r="BS57" i="6"/>
  <c r="BN58" i="6"/>
  <c r="BO58" i="6"/>
  <c r="BP58" i="6"/>
  <c r="BS58" i="6" s="1"/>
  <c r="BR58" i="6"/>
  <c r="BN59" i="6"/>
  <c r="BQ59" i="6" s="1"/>
  <c r="BO59" i="6"/>
  <c r="BR59" i="6" s="1"/>
  <c r="BP59" i="6"/>
  <c r="BS59" i="6"/>
  <c r="BN60" i="6"/>
  <c r="BQ60" i="6" s="1"/>
  <c r="BO60" i="6"/>
  <c r="BP60" i="6"/>
  <c r="BS60" i="6" s="1"/>
  <c r="BR60" i="6"/>
  <c r="BN61" i="6"/>
  <c r="BQ61" i="6" s="1"/>
  <c r="BO61" i="6"/>
  <c r="BR61" i="6" s="1"/>
  <c r="BP61" i="6"/>
  <c r="BS61" i="6"/>
  <c r="BN62" i="6"/>
  <c r="BO62" i="6"/>
  <c r="BR62" i="6" s="1"/>
  <c r="BP62" i="6"/>
  <c r="BS62" i="6" s="1"/>
  <c r="BN63" i="6"/>
  <c r="BQ63" i="6" s="1"/>
  <c r="BO63" i="6"/>
  <c r="BP63" i="6"/>
  <c r="BS63" i="6" s="1"/>
  <c r="BN64" i="6"/>
  <c r="BQ64" i="6" s="1"/>
  <c r="BO64" i="6"/>
  <c r="BR64" i="6" s="1"/>
  <c r="BP64" i="6"/>
  <c r="BN65" i="6"/>
  <c r="BQ65" i="6" s="1"/>
  <c r="BO65" i="6"/>
  <c r="BR65" i="6" s="1"/>
  <c r="BP65" i="6"/>
  <c r="BS65" i="6"/>
  <c r="BN66" i="6"/>
  <c r="BO66" i="6"/>
  <c r="BR66" i="6" s="1"/>
  <c r="BP66" i="6"/>
  <c r="BS66" i="6" s="1"/>
  <c r="BN67" i="6"/>
  <c r="BO67" i="6"/>
  <c r="BR67" i="6" s="1"/>
  <c r="BP67" i="6"/>
  <c r="BQ67" i="6"/>
  <c r="BS67" i="6"/>
  <c r="BN68" i="6"/>
  <c r="BQ68" i="6" s="1"/>
  <c r="BO68" i="6"/>
  <c r="BP68" i="6"/>
  <c r="BS68" i="6" s="1"/>
  <c r="BR68" i="6"/>
  <c r="BN69" i="6"/>
  <c r="BQ69" i="6" s="1"/>
  <c r="BO69" i="6"/>
  <c r="BR69" i="6" s="1"/>
  <c r="BP69" i="6"/>
  <c r="BS69" i="6"/>
  <c r="BN70" i="6"/>
  <c r="BO70" i="6"/>
  <c r="BP70" i="6"/>
  <c r="BS70" i="6" s="1"/>
  <c r="BR70" i="6"/>
  <c r="BN71" i="6"/>
  <c r="BO71" i="6"/>
  <c r="BP71" i="6"/>
  <c r="BQ71" i="6"/>
  <c r="BS71" i="6"/>
  <c r="BN72" i="6"/>
  <c r="BO72" i="6"/>
  <c r="BP72" i="6"/>
  <c r="BQ72" i="6"/>
  <c r="BR72" i="6"/>
  <c r="BN73" i="6"/>
  <c r="BO73" i="6"/>
  <c r="BP73" i="6"/>
  <c r="BQ73" i="6"/>
  <c r="BR73" i="6"/>
  <c r="BS73" i="6"/>
  <c r="BN74" i="6"/>
  <c r="BO74" i="6"/>
  <c r="BP74" i="6"/>
  <c r="BR74" i="6"/>
  <c r="BS74" i="6"/>
  <c r="BN75" i="6"/>
  <c r="BO75" i="6"/>
  <c r="BR75" i="6" s="1"/>
  <c r="BP75" i="6"/>
  <c r="BQ75" i="6"/>
  <c r="BS75" i="6"/>
  <c r="BN76" i="6"/>
  <c r="BQ76" i="6" s="1"/>
  <c r="BO76" i="6"/>
  <c r="BP76" i="6"/>
  <c r="BS76" i="6" s="1"/>
  <c r="BR76" i="6"/>
  <c r="BN77" i="6"/>
  <c r="BQ77" i="6" s="1"/>
  <c r="BO77" i="6"/>
  <c r="BR77" i="6" s="1"/>
  <c r="BP77" i="6"/>
  <c r="BS77" i="6"/>
  <c r="BN78" i="6"/>
  <c r="BO78" i="6"/>
  <c r="BR78" i="6" s="1"/>
  <c r="BP78" i="6"/>
  <c r="BS78" i="6" s="1"/>
  <c r="BN79" i="6"/>
  <c r="BO79" i="6"/>
  <c r="BP79" i="6"/>
  <c r="BS79" i="6" s="1"/>
  <c r="BQ79" i="6"/>
  <c r="BN80" i="6"/>
  <c r="BO80" i="6"/>
  <c r="BP80" i="6"/>
  <c r="BQ80" i="6"/>
  <c r="BR80" i="6"/>
  <c r="BN81" i="6"/>
  <c r="BO81" i="6"/>
  <c r="BP81" i="6"/>
  <c r="BQ81" i="6"/>
  <c r="BR81" i="6"/>
  <c r="BS81" i="6"/>
  <c r="BN82" i="6"/>
  <c r="BO82" i="6"/>
  <c r="BP82" i="6"/>
  <c r="BR82" i="6"/>
  <c r="BS82" i="6"/>
  <c r="BN83" i="6"/>
  <c r="BO83" i="6"/>
  <c r="BR83" i="6" s="1"/>
  <c r="BP83" i="6"/>
  <c r="BQ83" i="6"/>
  <c r="BS83" i="6"/>
  <c r="BN84" i="6"/>
  <c r="BQ84" i="6" s="1"/>
  <c r="BO84" i="6"/>
  <c r="BP84" i="6"/>
  <c r="BS84" i="6" s="1"/>
  <c r="BR84" i="6"/>
  <c r="BN85" i="6"/>
  <c r="BQ85" i="6" s="1"/>
  <c r="BO85" i="6"/>
  <c r="BR85" i="6" s="1"/>
  <c r="BP85" i="6"/>
  <c r="BS85" i="6"/>
  <c r="BN86" i="6"/>
  <c r="BO86" i="6"/>
  <c r="BR86" i="6" s="1"/>
  <c r="BP86" i="6"/>
  <c r="BS86" i="6" s="1"/>
  <c r="BN87" i="6"/>
  <c r="BO87" i="6"/>
  <c r="BP87" i="6"/>
  <c r="BS87" i="6" s="1"/>
  <c r="BQ87" i="6"/>
  <c r="BN88" i="6"/>
  <c r="BQ88" i="6" s="1"/>
  <c r="BO88" i="6"/>
  <c r="BP88" i="6"/>
  <c r="BR88" i="6"/>
  <c r="BN89" i="6"/>
  <c r="BO89" i="6"/>
  <c r="BR89" i="6" s="1"/>
  <c r="BP89" i="6"/>
  <c r="BQ89" i="6"/>
  <c r="BS89" i="6"/>
  <c r="BN90" i="6"/>
  <c r="BO90" i="6"/>
  <c r="BP90" i="6"/>
  <c r="BS90" i="6" s="1"/>
  <c r="BR90" i="6"/>
  <c r="BN91" i="6"/>
  <c r="BO91" i="6"/>
  <c r="BR91" i="6" s="1"/>
  <c r="BP91" i="6"/>
  <c r="BQ91" i="6"/>
  <c r="BS91" i="6"/>
  <c r="BN92" i="6"/>
  <c r="BQ92" i="6" s="1"/>
  <c r="BO92" i="6"/>
  <c r="BP92" i="6"/>
  <c r="BS92" i="6" s="1"/>
  <c r="BR92" i="6"/>
  <c r="BN93" i="6"/>
  <c r="BQ93" i="6" s="1"/>
  <c r="BO93" i="6"/>
  <c r="BR93" i="6" s="1"/>
  <c r="BP93" i="6"/>
  <c r="BS93" i="6"/>
  <c r="BN94" i="6"/>
  <c r="BO94" i="6"/>
  <c r="BR94" i="6" s="1"/>
  <c r="BP94" i="6"/>
  <c r="BS94" i="6" s="1"/>
  <c r="BN95" i="6"/>
  <c r="BO95" i="6"/>
  <c r="BP95" i="6"/>
  <c r="BS95" i="6" s="1"/>
  <c r="BQ95" i="6"/>
  <c r="BN96" i="6"/>
  <c r="BQ96" i="6" s="1"/>
  <c r="BO96" i="6"/>
  <c r="BP96" i="6"/>
  <c r="BR96" i="6"/>
  <c r="BN97" i="6"/>
  <c r="BO97" i="6"/>
  <c r="BR97" i="6" s="1"/>
  <c r="BP97" i="6"/>
  <c r="BQ97" i="6"/>
  <c r="BS97" i="6"/>
  <c r="BN98" i="6"/>
  <c r="BO98" i="6"/>
  <c r="BP98" i="6"/>
  <c r="BS98" i="6" s="1"/>
  <c r="BR98" i="6"/>
  <c r="BN99" i="6"/>
  <c r="BO99" i="6"/>
  <c r="BR99" i="6" s="1"/>
  <c r="BP99" i="6"/>
  <c r="BQ99" i="6"/>
  <c r="BS99" i="6"/>
  <c r="BN100" i="6"/>
  <c r="BQ100" i="6" s="1"/>
  <c r="BO100" i="6"/>
  <c r="BP100" i="6"/>
  <c r="BS100" i="6" s="1"/>
  <c r="BR100" i="6"/>
  <c r="BN101" i="6"/>
  <c r="BQ101" i="6" s="1"/>
  <c r="BO101" i="6"/>
  <c r="BR101" i="6" s="1"/>
  <c r="BP101" i="6"/>
  <c r="BS101" i="6"/>
  <c r="BN102" i="6"/>
  <c r="BO102" i="6"/>
  <c r="BR102" i="6" s="1"/>
  <c r="BP102" i="6"/>
  <c r="BS102" i="6" s="1"/>
  <c r="BN103" i="6"/>
  <c r="BO103" i="6"/>
  <c r="BP103" i="6"/>
  <c r="BS103" i="6" s="1"/>
  <c r="BQ103" i="6"/>
  <c r="BN104" i="6"/>
  <c r="BQ104" i="6" s="1"/>
  <c r="BO104" i="6"/>
  <c r="BP104" i="6"/>
  <c r="BR104" i="6"/>
  <c r="BN105" i="6"/>
  <c r="BO105" i="6"/>
  <c r="BR105" i="6" s="1"/>
  <c r="BP105" i="6"/>
  <c r="BQ105" i="6"/>
  <c r="BS105" i="6"/>
  <c r="BN106" i="6"/>
  <c r="BO106" i="6"/>
  <c r="BP106" i="6"/>
  <c r="BS106" i="6" s="1"/>
  <c r="BR106" i="6"/>
  <c r="BN107" i="6"/>
  <c r="BO107" i="6"/>
  <c r="BR107" i="6" s="1"/>
  <c r="BP107" i="6"/>
  <c r="BQ107" i="6"/>
  <c r="BS107" i="6"/>
  <c r="BN108" i="6"/>
  <c r="BQ108" i="6" s="1"/>
  <c r="BO108" i="6"/>
  <c r="BP108" i="6"/>
  <c r="BR108" i="6"/>
  <c r="BS108" i="6"/>
  <c r="BN109" i="6"/>
  <c r="BQ109" i="6" s="1"/>
  <c r="BO109" i="6"/>
  <c r="BR109" i="6" s="1"/>
  <c r="BP109" i="6"/>
  <c r="BS109" i="6"/>
  <c r="BN110" i="6"/>
  <c r="BO110" i="6"/>
  <c r="BR110" i="6" s="1"/>
  <c r="BP110" i="6"/>
  <c r="BS110" i="6" s="1"/>
  <c r="BN111" i="6"/>
  <c r="BO111" i="6"/>
  <c r="BP111" i="6"/>
  <c r="BS111" i="6" s="1"/>
  <c r="BQ111" i="6"/>
  <c r="BN112" i="6"/>
  <c r="BQ112" i="6" s="1"/>
  <c r="BO112" i="6"/>
  <c r="BP112" i="6"/>
  <c r="BR112" i="6"/>
  <c r="BN113" i="6"/>
  <c r="BO113" i="6"/>
  <c r="BR113" i="6" s="1"/>
  <c r="BP113" i="6"/>
  <c r="BQ113" i="6"/>
  <c r="BS113" i="6"/>
  <c r="BN114" i="6"/>
  <c r="BQ114" i="6" s="1"/>
  <c r="BO114" i="6"/>
  <c r="BP114" i="6"/>
  <c r="BS114" i="6" s="1"/>
  <c r="BR114" i="6"/>
  <c r="BN115" i="6"/>
  <c r="BO115" i="6"/>
  <c r="BR115" i="6" s="1"/>
  <c r="BP115" i="6"/>
  <c r="BQ115" i="6"/>
  <c r="BS115" i="6"/>
  <c r="BN116" i="6"/>
  <c r="BO116" i="6"/>
  <c r="BP116" i="6"/>
  <c r="BR116" i="6"/>
  <c r="BS116" i="6"/>
  <c r="BN117" i="6"/>
  <c r="BQ117" i="6" s="1"/>
  <c r="BO117" i="6"/>
  <c r="BR117" i="6" s="1"/>
  <c r="BP117" i="6"/>
  <c r="BS117" i="6"/>
  <c r="BN118" i="6"/>
  <c r="BO118" i="6"/>
  <c r="BR118" i="6" s="1"/>
  <c r="BP118" i="6"/>
  <c r="BS118" i="6" s="1"/>
  <c r="BN119" i="6"/>
  <c r="BO119" i="6"/>
  <c r="BP119" i="6"/>
  <c r="BS119" i="6" s="1"/>
  <c r="BQ119" i="6"/>
  <c r="BN120" i="6"/>
  <c r="BQ120" i="6" s="1"/>
  <c r="BO120" i="6"/>
  <c r="BP120" i="6"/>
  <c r="BR120" i="6"/>
  <c r="BN121" i="6"/>
  <c r="BO121" i="6"/>
  <c r="BR121" i="6" s="1"/>
  <c r="BP121" i="6"/>
  <c r="BQ121" i="6"/>
  <c r="BS121" i="6"/>
  <c r="BN122" i="6"/>
  <c r="BQ122" i="6" s="1"/>
  <c r="BO122" i="6"/>
  <c r="BP122" i="6"/>
  <c r="BS122" i="6" s="1"/>
  <c r="BR122" i="6"/>
  <c r="BN123" i="6"/>
  <c r="BO123" i="6"/>
  <c r="BR123" i="6" s="1"/>
  <c r="BP123" i="6"/>
  <c r="BQ123" i="6"/>
  <c r="BS123" i="6"/>
  <c r="BN124" i="6"/>
  <c r="BO124" i="6"/>
  <c r="BP124" i="6"/>
  <c r="BR124" i="6"/>
  <c r="BS124" i="6"/>
  <c r="BN125" i="6"/>
  <c r="BQ125" i="6" s="1"/>
  <c r="BO125" i="6"/>
  <c r="BP125" i="6"/>
  <c r="BS125" i="6"/>
  <c r="BN126" i="6"/>
  <c r="BO126" i="6"/>
  <c r="BR126" i="6" s="1"/>
  <c r="BP126" i="6"/>
  <c r="BS126" i="6" s="1"/>
  <c r="BN127" i="6"/>
  <c r="BO127" i="6"/>
  <c r="BP127" i="6"/>
  <c r="BQ127" i="6"/>
  <c r="BS127" i="6"/>
  <c r="BN128" i="6"/>
  <c r="BQ128" i="6" s="1"/>
  <c r="BO128" i="6"/>
  <c r="BP128" i="6"/>
  <c r="BR128" i="6"/>
  <c r="BN129" i="6"/>
  <c r="BO129" i="6"/>
  <c r="BR129" i="6" s="1"/>
  <c r="BP129" i="6"/>
  <c r="BQ129" i="6"/>
  <c r="BS129" i="6"/>
  <c r="BN130" i="6"/>
  <c r="BO130" i="6"/>
  <c r="BP130" i="6"/>
  <c r="BS130" i="6" s="1"/>
  <c r="BR130" i="6"/>
  <c r="BN131" i="6"/>
  <c r="BO131" i="6"/>
  <c r="BR131" i="6" s="1"/>
  <c r="BP131" i="6"/>
  <c r="BQ131" i="6"/>
  <c r="BS131" i="6"/>
  <c r="BN132" i="6"/>
  <c r="BO132" i="6"/>
  <c r="BP132" i="6"/>
  <c r="BS132" i="6" s="1"/>
  <c r="BR132" i="6"/>
  <c r="BN133" i="6"/>
  <c r="BQ133" i="6" s="1"/>
  <c r="BO133" i="6"/>
  <c r="BR133" i="6" s="1"/>
  <c r="BP133" i="6"/>
  <c r="BS133" i="6"/>
  <c r="BN134" i="6"/>
  <c r="BO134" i="6"/>
  <c r="BR134" i="6" s="1"/>
  <c r="BP134" i="6"/>
  <c r="BS134" i="6" s="1"/>
  <c r="BN135" i="6"/>
  <c r="BO135" i="6"/>
  <c r="BP135" i="6"/>
  <c r="BQ135" i="6"/>
  <c r="BS135" i="6"/>
  <c r="BN136" i="6"/>
  <c r="BQ136" i="6" s="1"/>
  <c r="BO136" i="6"/>
  <c r="BP136" i="6"/>
  <c r="BR136" i="6"/>
  <c r="BN137" i="6"/>
  <c r="BO137" i="6"/>
  <c r="BR137" i="6" s="1"/>
  <c r="BP137" i="6"/>
  <c r="BQ137" i="6"/>
  <c r="BS137" i="6"/>
  <c r="BN138" i="6"/>
  <c r="BO138" i="6"/>
  <c r="BP138" i="6"/>
  <c r="BS138" i="6" s="1"/>
  <c r="BR138" i="6"/>
  <c r="BN139" i="6"/>
  <c r="BO139" i="6"/>
  <c r="BR139" i="6" s="1"/>
  <c r="BP139" i="6"/>
  <c r="BQ139" i="6"/>
  <c r="BS139" i="6"/>
  <c r="BN140" i="6"/>
  <c r="BO140" i="6"/>
  <c r="BP140" i="6"/>
  <c r="BS140" i="6" s="1"/>
  <c r="BR140" i="6"/>
  <c r="BN141" i="6"/>
  <c r="BO141" i="6"/>
  <c r="BP141" i="6"/>
  <c r="BQ141" i="6"/>
  <c r="BR141" i="6"/>
  <c r="BS141" i="6"/>
  <c r="BN142" i="6"/>
  <c r="BO142" i="6"/>
  <c r="BP142" i="6"/>
  <c r="BS142" i="6" s="1"/>
  <c r="BR142" i="6"/>
  <c r="BN143" i="6"/>
  <c r="BO143" i="6"/>
  <c r="BP143" i="6"/>
  <c r="BQ143" i="6"/>
  <c r="BS143" i="6"/>
  <c r="BN144" i="6"/>
  <c r="BQ144" i="6" s="1"/>
  <c r="BO144" i="6"/>
  <c r="BP144" i="6"/>
  <c r="BS144" i="6" s="1"/>
  <c r="BR144" i="6"/>
  <c r="BN145" i="6"/>
  <c r="BO145" i="6"/>
  <c r="BR145" i="6" s="1"/>
  <c r="BP145" i="6"/>
  <c r="BQ145" i="6"/>
  <c r="BS145" i="6"/>
  <c r="BN146" i="6"/>
  <c r="BO146" i="6"/>
  <c r="BP146" i="6"/>
  <c r="BS146" i="6" s="1"/>
  <c r="BR146" i="6"/>
  <c r="BN147" i="6"/>
  <c r="BO147" i="6"/>
  <c r="BR147" i="6" s="1"/>
  <c r="BP147" i="6"/>
  <c r="BS147" i="6" s="1"/>
  <c r="BQ147" i="6"/>
  <c r="BN148" i="6"/>
  <c r="BO148" i="6"/>
  <c r="BP148" i="6"/>
  <c r="BS148" i="6" s="1"/>
  <c r="BR148" i="6"/>
  <c r="BN149" i="6"/>
  <c r="BO149" i="6"/>
  <c r="BP149" i="6"/>
  <c r="BQ149" i="6"/>
  <c r="BR149" i="6"/>
  <c r="BS149" i="6"/>
  <c r="BN150" i="6"/>
  <c r="BO150" i="6"/>
  <c r="BP150" i="6"/>
  <c r="BS150" i="6" s="1"/>
  <c r="BR150" i="6"/>
  <c r="BN151" i="6"/>
  <c r="BO151" i="6"/>
  <c r="BP151" i="6"/>
  <c r="BQ151" i="6"/>
  <c r="BS151" i="6"/>
  <c r="BN152" i="6"/>
  <c r="BQ152" i="6" s="1"/>
  <c r="BO152" i="6"/>
  <c r="BP152" i="6"/>
  <c r="BS152" i="6" s="1"/>
  <c r="BR152" i="6"/>
  <c r="BN153" i="6"/>
  <c r="BO153" i="6"/>
  <c r="BR153" i="6" s="1"/>
  <c r="BP153" i="6"/>
  <c r="BQ153" i="6"/>
  <c r="BS153" i="6"/>
  <c r="BN154" i="6"/>
  <c r="BO154" i="6"/>
  <c r="BR154" i="6" s="1"/>
  <c r="BP154" i="6"/>
  <c r="BS154" i="6" s="1"/>
  <c r="BN155" i="6"/>
  <c r="BO155" i="6"/>
  <c r="BR155" i="6" s="1"/>
  <c r="BP155" i="6"/>
  <c r="BQ155" i="6"/>
  <c r="BS155" i="6"/>
  <c r="BN156" i="6"/>
  <c r="BO156" i="6"/>
  <c r="BP156" i="6"/>
  <c r="BS156" i="6" s="1"/>
  <c r="BR156" i="6"/>
  <c r="BN157" i="6"/>
  <c r="BO157" i="6"/>
  <c r="BP157" i="6"/>
  <c r="BQ157" i="6"/>
  <c r="BR157" i="6"/>
  <c r="BS157" i="6"/>
  <c r="BN158" i="6"/>
  <c r="BO158" i="6"/>
  <c r="BP158" i="6"/>
  <c r="BS158" i="6" s="1"/>
  <c r="BR158" i="6"/>
  <c r="BN159" i="6"/>
  <c r="BO159" i="6"/>
  <c r="BP159" i="6"/>
  <c r="BQ159" i="6"/>
  <c r="BS159" i="6"/>
  <c r="BN160" i="6"/>
  <c r="BQ160" i="6" s="1"/>
  <c r="BO160" i="6"/>
  <c r="BP160" i="6"/>
  <c r="BS160" i="6" s="1"/>
  <c r="BR160" i="6"/>
  <c r="BN161" i="6"/>
  <c r="BO161" i="6"/>
  <c r="BR161" i="6" s="1"/>
  <c r="BP161" i="6"/>
  <c r="BQ161" i="6"/>
  <c r="BS161" i="6"/>
  <c r="BN162" i="6"/>
  <c r="BO162" i="6"/>
  <c r="BR162" i="6" s="1"/>
  <c r="BP162" i="6"/>
  <c r="BS162" i="6" s="1"/>
  <c r="BN163" i="6"/>
  <c r="BQ163" i="6" s="1"/>
  <c r="BO163" i="6"/>
  <c r="BR163" i="6" s="1"/>
  <c r="BP163" i="6"/>
  <c r="BS163" i="6" s="1"/>
  <c r="BN164" i="6"/>
  <c r="BO164" i="6"/>
  <c r="BP164" i="6"/>
  <c r="BS164" i="6" s="1"/>
  <c r="BR164" i="6"/>
  <c r="BN165" i="6"/>
  <c r="BO165" i="6"/>
  <c r="BP165" i="6"/>
  <c r="BQ165" i="6"/>
  <c r="BR165" i="6"/>
  <c r="BS165" i="6"/>
  <c r="BN166" i="6"/>
  <c r="BO166" i="6"/>
  <c r="BP166" i="6"/>
  <c r="BR166" i="6"/>
  <c r="BS166" i="6"/>
  <c r="BN167" i="6"/>
  <c r="BO167" i="6"/>
  <c r="BP167" i="6"/>
  <c r="BQ167" i="6"/>
  <c r="BS167" i="6"/>
  <c r="BN168" i="6"/>
  <c r="BQ168" i="6" s="1"/>
  <c r="BO168" i="6"/>
  <c r="BP168" i="6"/>
  <c r="BS168" i="6" s="1"/>
  <c r="BR168" i="6"/>
  <c r="BN169" i="6"/>
  <c r="BO169" i="6"/>
  <c r="BR169" i="6" s="1"/>
  <c r="BP169" i="6"/>
  <c r="BQ169" i="6"/>
  <c r="BS169" i="6"/>
  <c r="BN170" i="6"/>
  <c r="BO170" i="6"/>
  <c r="BR170" i="6" s="1"/>
  <c r="BP170" i="6"/>
  <c r="BS170" i="6" s="1"/>
  <c r="BN171" i="6"/>
  <c r="BO171" i="6"/>
  <c r="BR171" i="6" s="1"/>
  <c r="BP171" i="6"/>
  <c r="BS171" i="6" s="1"/>
  <c r="BQ171" i="6"/>
  <c r="BN172" i="6"/>
  <c r="BO172" i="6"/>
  <c r="BP172" i="6"/>
  <c r="BS172" i="6" s="1"/>
  <c r="BR172" i="6"/>
  <c r="BN173" i="6"/>
  <c r="BO173" i="6"/>
  <c r="BP173" i="6"/>
  <c r="BQ173" i="6"/>
  <c r="BR173" i="6"/>
  <c r="BS173" i="6"/>
  <c r="BN174" i="6"/>
  <c r="BO174" i="6"/>
  <c r="BP174" i="6"/>
  <c r="BS174" i="6" s="1"/>
  <c r="BR174" i="6"/>
  <c r="BN175" i="6"/>
  <c r="BO175" i="6"/>
  <c r="BP175" i="6"/>
  <c r="BQ175" i="6"/>
  <c r="BS175" i="6"/>
  <c r="BN176" i="6"/>
  <c r="BQ176" i="6" s="1"/>
  <c r="BO176" i="6"/>
  <c r="BP176" i="6"/>
  <c r="BS176" i="6" s="1"/>
  <c r="BR176" i="6"/>
  <c r="BN177" i="6"/>
  <c r="BO177" i="6"/>
  <c r="BR177" i="6" s="1"/>
  <c r="BP177" i="6"/>
  <c r="BQ177" i="6"/>
  <c r="BS177" i="6"/>
  <c r="BN178" i="6"/>
  <c r="BO178" i="6"/>
  <c r="BP178" i="6"/>
  <c r="BS178" i="6" s="1"/>
  <c r="BR178" i="6"/>
  <c r="BN179" i="6"/>
  <c r="BO179" i="6"/>
  <c r="BR179" i="6" s="1"/>
  <c r="BP179" i="6"/>
  <c r="BS179" i="6" s="1"/>
  <c r="BQ179" i="6"/>
  <c r="BN180" i="6"/>
  <c r="BO180" i="6"/>
  <c r="BP180" i="6"/>
  <c r="BS180" i="6" s="1"/>
  <c r="BR180" i="6"/>
  <c r="BN181" i="6"/>
  <c r="BO181" i="6"/>
  <c r="BP181" i="6"/>
  <c r="BQ181" i="6"/>
  <c r="BR181" i="6"/>
  <c r="BS181" i="6"/>
  <c r="BN182" i="6"/>
  <c r="BO182" i="6"/>
  <c r="BP182" i="6"/>
  <c r="BS182" i="6" s="1"/>
  <c r="BR182" i="6"/>
  <c r="BN183" i="6"/>
  <c r="BQ183" i="6" s="1"/>
  <c r="BO183" i="6"/>
  <c r="BP183" i="6"/>
  <c r="BR183" i="6"/>
  <c r="BN184" i="6"/>
  <c r="BO184" i="6"/>
  <c r="BR184" i="6" s="1"/>
  <c r="BP184" i="6"/>
  <c r="BQ184" i="6"/>
  <c r="BS184" i="6"/>
  <c r="BN185" i="6"/>
  <c r="BO185" i="6"/>
  <c r="BP185" i="6"/>
  <c r="BS185" i="6" s="1"/>
  <c r="BR185" i="6"/>
  <c r="BN186" i="6"/>
  <c r="BO186" i="6"/>
  <c r="BR186" i="6" s="1"/>
  <c r="BP186" i="6"/>
  <c r="BQ186" i="6"/>
  <c r="BS186" i="6"/>
  <c r="BN187" i="6"/>
  <c r="BQ187" i="6" s="1"/>
  <c r="BO187" i="6"/>
  <c r="BP187" i="6"/>
  <c r="BS187" i="6" s="1"/>
  <c r="BR187" i="6"/>
  <c r="BN188" i="6"/>
  <c r="BO188" i="6"/>
  <c r="BR188" i="6" s="1"/>
  <c r="BP188" i="6"/>
  <c r="BQ188" i="6"/>
  <c r="BS188" i="6"/>
  <c r="BN189" i="6"/>
  <c r="BO189" i="6"/>
  <c r="BP189" i="6"/>
  <c r="BS189" i="6" s="1"/>
  <c r="BR189" i="6"/>
  <c r="BN190" i="6"/>
  <c r="BO190" i="6"/>
  <c r="BP190" i="6"/>
  <c r="BQ190" i="6"/>
  <c r="BS190" i="6"/>
  <c r="BN191" i="6"/>
  <c r="BQ191" i="6" s="1"/>
  <c r="BO191" i="6"/>
  <c r="BP191" i="6"/>
  <c r="BR191" i="6"/>
  <c r="BN192" i="6"/>
  <c r="BO192" i="6"/>
  <c r="BR192" i="6" s="1"/>
  <c r="BP192" i="6"/>
  <c r="BQ192" i="6"/>
  <c r="BS192" i="6"/>
  <c r="BN193" i="6"/>
  <c r="BO193" i="6"/>
  <c r="BP193" i="6"/>
  <c r="BS193" i="6" s="1"/>
  <c r="BR193" i="6"/>
  <c r="BN194" i="6"/>
  <c r="BO194" i="6"/>
  <c r="BR194" i="6" s="1"/>
  <c r="BP194" i="6"/>
  <c r="BQ194" i="6"/>
  <c r="BS194" i="6"/>
  <c r="BN195" i="6"/>
  <c r="BQ195" i="6" s="1"/>
  <c r="BO195" i="6"/>
  <c r="BP195" i="6"/>
  <c r="BS195" i="6" s="1"/>
  <c r="BR195" i="6"/>
  <c r="BN196" i="6"/>
  <c r="BO196" i="6"/>
  <c r="BR196" i="6" s="1"/>
  <c r="BP196" i="6"/>
  <c r="BQ196" i="6"/>
  <c r="BS196" i="6"/>
  <c r="BN197" i="6"/>
  <c r="BO197" i="6"/>
  <c r="BP197" i="6"/>
  <c r="BS197" i="6" s="1"/>
  <c r="BR197" i="6"/>
  <c r="BN198" i="6"/>
  <c r="BO198" i="6"/>
  <c r="BP198" i="6"/>
  <c r="BQ198" i="6"/>
  <c r="BS198" i="6"/>
  <c r="BN199" i="6"/>
  <c r="BQ199" i="6" s="1"/>
  <c r="BO199" i="6"/>
  <c r="BP199" i="6"/>
  <c r="BR199" i="6"/>
  <c r="BN200" i="6"/>
  <c r="BO200" i="6"/>
  <c r="BR200" i="6" s="1"/>
  <c r="BP200" i="6"/>
  <c r="BQ200" i="6"/>
  <c r="BS200" i="6"/>
  <c r="BN201" i="6"/>
  <c r="BO201" i="6"/>
  <c r="BP201" i="6"/>
  <c r="BS201" i="6" s="1"/>
  <c r="BR201" i="6"/>
  <c r="BN202" i="6"/>
  <c r="BO202" i="6"/>
  <c r="BR202" i="6" s="1"/>
  <c r="BP202" i="6"/>
  <c r="BQ202" i="6"/>
  <c r="BS202" i="6"/>
  <c r="BN203" i="6"/>
  <c r="BQ203" i="6" s="1"/>
  <c r="BO203" i="6"/>
  <c r="BP203" i="6"/>
  <c r="BS203" i="6" s="1"/>
  <c r="BR203" i="6"/>
  <c r="BN204" i="6"/>
  <c r="BO204" i="6"/>
  <c r="BR204" i="6" s="1"/>
  <c r="BP204" i="6"/>
  <c r="BQ204" i="6"/>
  <c r="BS204" i="6"/>
  <c r="BN205" i="6"/>
  <c r="BO205" i="6"/>
  <c r="BP205" i="6"/>
  <c r="BS205" i="6" s="1"/>
  <c r="BR205" i="6"/>
  <c r="BN206" i="6"/>
  <c r="BO206" i="6"/>
  <c r="BP206" i="6"/>
  <c r="BQ206" i="6"/>
  <c r="BS206" i="6"/>
  <c r="BN207" i="6"/>
  <c r="BQ207" i="6" s="1"/>
  <c r="BO207" i="6"/>
  <c r="BP207" i="6"/>
  <c r="BR207" i="6"/>
  <c r="BN208" i="6"/>
  <c r="BO208" i="6"/>
  <c r="BR208" i="6" s="1"/>
  <c r="BP208" i="6"/>
  <c r="BQ208" i="6"/>
  <c r="BS208" i="6"/>
  <c r="BN209" i="6"/>
  <c r="BO209" i="6"/>
  <c r="BP209" i="6"/>
  <c r="BS209" i="6" s="1"/>
  <c r="BR209" i="6"/>
  <c r="BN210" i="6"/>
  <c r="BO210" i="6"/>
  <c r="BR210" i="6" s="1"/>
  <c r="BP210" i="6"/>
  <c r="BQ210" i="6"/>
  <c r="BS210" i="6"/>
  <c r="BN211" i="6"/>
  <c r="BQ211" i="6" s="1"/>
  <c r="BO211" i="6"/>
  <c r="BP211" i="6"/>
  <c r="BS211" i="6" s="1"/>
  <c r="BR211" i="6"/>
  <c r="BN212" i="6"/>
  <c r="BO212" i="6"/>
  <c r="BR212" i="6" s="1"/>
  <c r="BP212" i="6"/>
  <c r="BQ212" i="6"/>
  <c r="BS212" i="6"/>
  <c r="BN213" i="6"/>
  <c r="BO213" i="6"/>
  <c r="BP213" i="6"/>
  <c r="BS213" i="6" s="1"/>
  <c r="BR213" i="6"/>
  <c r="BN214" i="6"/>
  <c r="BO214" i="6"/>
  <c r="BP214" i="6"/>
  <c r="BQ214" i="6"/>
  <c r="BS214" i="6"/>
  <c r="BN215" i="6"/>
  <c r="BQ215" i="6" s="1"/>
  <c r="BO215" i="6"/>
  <c r="BP215" i="6"/>
  <c r="BR215" i="6"/>
  <c r="BN216" i="6"/>
  <c r="BO216" i="6"/>
  <c r="BR216" i="6" s="1"/>
  <c r="BP216" i="6"/>
  <c r="BQ216" i="6"/>
  <c r="BS216" i="6"/>
  <c r="BN217" i="6"/>
  <c r="BO217" i="6"/>
  <c r="BP217" i="6"/>
  <c r="BS217" i="6" s="1"/>
  <c r="BR217" i="6"/>
  <c r="BN218" i="6"/>
  <c r="BO218" i="6"/>
  <c r="BR218" i="6" s="1"/>
  <c r="BP218" i="6"/>
  <c r="BQ218" i="6"/>
  <c r="BS218" i="6"/>
  <c r="BN219" i="6"/>
  <c r="BQ219" i="6" s="1"/>
  <c r="BO219" i="6"/>
  <c r="BP219" i="6"/>
  <c r="BS219" i="6" s="1"/>
  <c r="BR219" i="6"/>
  <c r="BN220" i="6"/>
  <c r="BO220" i="6"/>
  <c r="BR220" i="6" s="1"/>
  <c r="BP220" i="6"/>
  <c r="BQ220" i="6"/>
  <c r="BS220" i="6"/>
  <c r="BN221" i="6"/>
  <c r="BO221" i="6"/>
  <c r="BP221" i="6"/>
  <c r="BS221" i="6" s="1"/>
  <c r="BR221" i="6"/>
  <c r="BN222" i="6"/>
  <c r="BO222" i="6"/>
  <c r="BP222" i="6"/>
  <c r="BQ222" i="6"/>
  <c r="BS222" i="6"/>
  <c r="BN223" i="6"/>
  <c r="BQ223" i="6" s="1"/>
  <c r="BO223" i="6"/>
  <c r="BP223" i="6"/>
  <c r="BR223" i="6"/>
  <c r="BN224" i="6"/>
  <c r="BO224" i="6"/>
  <c r="BR224" i="6" s="1"/>
  <c r="BP224" i="6"/>
  <c r="BQ224" i="6"/>
  <c r="BS224" i="6"/>
  <c r="BN225" i="6"/>
  <c r="BO225" i="6"/>
  <c r="BP225" i="6"/>
  <c r="BS225" i="6" s="1"/>
  <c r="BR225" i="6"/>
  <c r="BN226" i="6"/>
  <c r="BO226" i="6"/>
  <c r="BR226" i="6" s="1"/>
  <c r="BP226" i="6"/>
  <c r="BQ226" i="6"/>
  <c r="BS226" i="6"/>
  <c r="BN227" i="6"/>
  <c r="BQ227" i="6" s="1"/>
  <c r="BO227" i="6"/>
  <c r="BP227" i="6"/>
  <c r="BS227" i="6" s="1"/>
  <c r="BR227" i="6"/>
  <c r="BN228" i="6"/>
  <c r="BO228" i="6"/>
  <c r="BR228" i="6" s="1"/>
  <c r="BP228" i="6"/>
  <c r="BQ228" i="6"/>
  <c r="BS228" i="6"/>
  <c r="BN229" i="6"/>
  <c r="BO229" i="6"/>
  <c r="BP229" i="6"/>
  <c r="BS229" i="6" s="1"/>
  <c r="BR229" i="6"/>
  <c r="BN230" i="6"/>
  <c r="BO230" i="6"/>
  <c r="BP230" i="6"/>
  <c r="BQ230" i="6"/>
  <c r="BS230" i="6"/>
  <c r="BN231" i="6"/>
  <c r="BQ231" i="6" s="1"/>
  <c r="BO231" i="6"/>
  <c r="BP231" i="6"/>
  <c r="BR231" i="6"/>
  <c r="BN232" i="6"/>
  <c r="BO232" i="6"/>
  <c r="BR232" i="6" s="1"/>
  <c r="BP232" i="6"/>
  <c r="BQ232" i="6"/>
  <c r="BS232" i="6"/>
  <c r="BN233" i="6"/>
  <c r="BO233" i="6"/>
  <c r="BP233" i="6"/>
  <c r="BS233" i="6" s="1"/>
  <c r="BR233" i="6"/>
  <c r="BN234" i="6"/>
  <c r="BO234" i="6"/>
  <c r="BR234" i="6" s="1"/>
  <c r="BP234" i="6"/>
  <c r="BQ234" i="6"/>
  <c r="BS234" i="6"/>
  <c r="BN235" i="6"/>
  <c r="BQ235" i="6" s="1"/>
  <c r="BO235" i="6"/>
  <c r="BP235" i="6"/>
  <c r="BS235" i="6" s="1"/>
  <c r="BR235" i="6"/>
  <c r="BN236" i="6"/>
  <c r="BO236" i="6"/>
  <c r="BR236" i="6" s="1"/>
  <c r="BP236" i="6"/>
  <c r="BQ236" i="6"/>
  <c r="BS236" i="6"/>
  <c r="BN237" i="6"/>
  <c r="BO237" i="6"/>
  <c r="BP237" i="6"/>
  <c r="BS237" i="6" s="1"/>
  <c r="BR237" i="6"/>
  <c r="BN238" i="6"/>
  <c r="BO238" i="6"/>
  <c r="BP238" i="6"/>
  <c r="BQ238" i="6"/>
  <c r="BS238" i="6"/>
  <c r="BN239" i="6"/>
  <c r="BQ239" i="6" s="1"/>
  <c r="BO239" i="6"/>
  <c r="BP239" i="6"/>
  <c r="BR239" i="6"/>
  <c r="BN240" i="6"/>
  <c r="BO240" i="6"/>
  <c r="BR240" i="6" s="1"/>
  <c r="BP240" i="6"/>
  <c r="BQ240" i="6"/>
  <c r="BS240" i="6"/>
  <c r="BN241" i="6"/>
  <c r="BO241" i="6"/>
  <c r="BP241" i="6"/>
  <c r="BS241" i="6" s="1"/>
  <c r="BR241" i="6"/>
  <c r="BN242" i="6"/>
  <c r="BO242" i="6"/>
  <c r="BR242" i="6" s="1"/>
  <c r="BP242" i="6"/>
  <c r="BQ242" i="6"/>
  <c r="BS242" i="6"/>
  <c r="BN243" i="6"/>
  <c r="BQ243" i="6" s="1"/>
  <c r="BO243" i="6"/>
  <c r="BP243" i="6"/>
  <c r="BS243" i="6" s="1"/>
  <c r="BR243" i="6"/>
  <c r="BN244" i="6"/>
  <c r="BO244" i="6"/>
  <c r="BR244" i="6" s="1"/>
  <c r="BP244" i="6"/>
  <c r="BQ244" i="6"/>
  <c r="BS244" i="6"/>
  <c r="BN245" i="6"/>
  <c r="BO245" i="6"/>
  <c r="BP245" i="6"/>
  <c r="BS245" i="6" s="1"/>
  <c r="BR245" i="6"/>
  <c r="BN246" i="6"/>
  <c r="BO246" i="6"/>
  <c r="BP246" i="6"/>
  <c r="BQ246" i="6"/>
  <c r="BS246" i="6"/>
  <c r="BN247" i="6"/>
  <c r="BQ247" i="6" s="1"/>
  <c r="BO247" i="6"/>
  <c r="BP247" i="6"/>
  <c r="BR247" i="6"/>
  <c r="BN248" i="6"/>
  <c r="BO248" i="6"/>
  <c r="BR248" i="6" s="1"/>
  <c r="BP248" i="6"/>
  <c r="BQ248" i="6"/>
  <c r="BS248" i="6"/>
  <c r="BN249" i="6"/>
  <c r="BO249" i="6"/>
  <c r="BP249" i="6"/>
  <c r="BS249" i="6" s="1"/>
  <c r="BR249" i="6"/>
  <c r="BN250" i="6"/>
  <c r="BO250" i="6"/>
  <c r="BR250" i="6" s="1"/>
  <c r="BP250" i="6"/>
  <c r="BQ250" i="6"/>
  <c r="BS250" i="6"/>
  <c r="BN251" i="6"/>
  <c r="BQ251" i="6" s="1"/>
  <c r="BO251" i="6"/>
  <c r="BP251" i="6"/>
  <c r="BS251" i="6" s="1"/>
  <c r="BR251" i="6"/>
  <c r="BN252" i="6"/>
  <c r="BO252" i="6"/>
  <c r="BR252" i="6" s="1"/>
  <c r="BP252" i="6"/>
  <c r="BQ252" i="6"/>
  <c r="BS252" i="6"/>
  <c r="BN253" i="6"/>
  <c r="BO253" i="6"/>
  <c r="BP253" i="6"/>
  <c r="BS253" i="6" s="1"/>
  <c r="BR253" i="6"/>
  <c r="BN254" i="6"/>
  <c r="BO254" i="6"/>
  <c r="BP254" i="6"/>
  <c r="BQ254" i="6"/>
  <c r="BS254" i="6"/>
  <c r="BN255" i="6"/>
  <c r="BQ255" i="6" s="1"/>
  <c r="BO255" i="6"/>
  <c r="BP255" i="6"/>
  <c r="BR255" i="6"/>
  <c r="BN256" i="6"/>
  <c r="BO256" i="6"/>
  <c r="BR256" i="6" s="1"/>
  <c r="BP256" i="6"/>
  <c r="BQ256" i="6"/>
  <c r="BS256" i="6"/>
  <c r="BN257" i="6"/>
  <c r="BO257" i="6"/>
  <c r="BP257" i="6"/>
  <c r="BS257" i="6" s="1"/>
  <c r="BR257" i="6"/>
  <c r="BN258" i="6"/>
  <c r="BO258" i="6"/>
  <c r="BR258" i="6" s="1"/>
  <c r="BP258" i="6"/>
  <c r="BQ258" i="6"/>
  <c r="BS258" i="6"/>
  <c r="BN259" i="6"/>
  <c r="BQ259" i="6" s="1"/>
  <c r="BO259" i="6"/>
  <c r="BP259" i="6"/>
  <c r="BS259" i="6" s="1"/>
  <c r="BR259" i="6"/>
  <c r="BN260" i="6"/>
  <c r="BO260" i="6"/>
  <c r="BR260" i="6" s="1"/>
  <c r="BP260" i="6"/>
  <c r="BQ260" i="6"/>
  <c r="BS260" i="6"/>
  <c r="BN261" i="6"/>
  <c r="BO261" i="6"/>
  <c r="BP261" i="6"/>
  <c r="BS261" i="6" s="1"/>
  <c r="BR261" i="6"/>
  <c r="BN262" i="6"/>
  <c r="BO262" i="6"/>
  <c r="BP262" i="6"/>
  <c r="BQ262" i="6"/>
  <c r="BS262" i="6"/>
  <c r="BN263" i="6"/>
  <c r="BQ263" i="6" s="1"/>
  <c r="BO263" i="6"/>
  <c r="BP263" i="6"/>
  <c r="BR263" i="6"/>
  <c r="BN264" i="6"/>
  <c r="BO264" i="6"/>
  <c r="BR264" i="6" s="1"/>
  <c r="BP264" i="6"/>
  <c r="BQ264" i="6"/>
  <c r="BS264" i="6"/>
  <c r="BN265" i="6"/>
  <c r="BO265" i="6"/>
  <c r="BP265" i="6"/>
  <c r="BS265" i="6" s="1"/>
  <c r="BR265" i="6"/>
  <c r="BN266" i="6"/>
  <c r="BO266" i="6"/>
  <c r="BR266" i="6" s="1"/>
  <c r="BP266" i="6"/>
  <c r="BQ266" i="6"/>
  <c r="BS266" i="6"/>
  <c r="BN267" i="6"/>
  <c r="BQ267" i="6" s="1"/>
  <c r="BO267" i="6"/>
  <c r="BP267" i="6"/>
  <c r="BS267" i="6" s="1"/>
  <c r="BR267" i="6"/>
  <c r="BN268" i="6"/>
  <c r="BO268" i="6"/>
  <c r="BR268" i="6" s="1"/>
  <c r="BP268" i="6"/>
  <c r="BQ268" i="6"/>
  <c r="BS268" i="6"/>
  <c r="BN269" i="6"/>
  <c r="BO269" i="6"/>
  <c r="BP269" i="6"/>
  <c r="BS269" i="6" s="1"/>
  <c r="BR269" i="6"/>
  <c r="BN270" i="6"/>
  <c r="BO270" i="6"/>
  <c r="BP270" i="6"/>
  <c r="BQ270" i="6"/>
  <c r="BS270" i="6"/>
  <c r="BN271" i="6"/>
  <c r="BQ271" i="6" s="1"/>
  <c r="BO271" i="6"/>
  <c r="BP271" i="6"/>
  <c r="BR271" i="6"/>
  <c r="BN272" i="6"/>
  <c r="BO272" i="6"/>
  <c r="BR272" i="6" s="1"/>
  <c r="BP272" i="6"/>
  <c r="BQ272" i="6"/>
  <c r="BS272" i="6"/>
  <c r="BN273" i="6"/>
  <c r="BO273" i="6"/>
  <c r="BP273" i="6"/>
  <c r="BS273" i="6" s="1"/>
  <c r="BR273" i="6"/>
  <c r="BN274" i="6"/>
  <c r="BO274" i="6"/>
  <c r="BR274" i="6" s="1"/>
  <c r="BP274" i="6"/>
  <c r="BQ274" i="6"/>
  <c r="BS274" i="6"/>
  <c r="BN275" i="6"/>
  <c r="BQ275" i="6" s="1"/>
  <c r="BO275" i="6"/>
  <c r="BP275" i="6"/>
  <c r="BS275" i="6" s="1"/>
  <c r="BR275" i="6"/>
  <c r="BN276" i="6"/>
  <c r="BO276" i="6"/>
  <c r="BR276" i="6" s="1"/>
  <c r="BP276" i="6"/>
  <c r="BQ276" i="6"/>
  <c r="BS276" i="6"/>
  <c r="BN277" i="6"/>
  <c r="BO277" i="6"/>
  <c r="BP277" i="6"/>
  <c r="BS277" i="6" s="1"/>
  <c r="BR277" i="6"/>
  <c r="BN278" i="6"/>
  <c r="BO278" i="6"/>
  <c r="BP278" i="6"/>
  <c r="BQ278" i="6"/>
  <c r="BS278" i="6"/>
  <c r="BN279" i="6"/>
  <c r="BQ279" i="6" s="1"/>
  <c r="BO279" i="6"/>
  <c r="BP279" i="6"/>
  <c r="BR279" i="6"/>
  <c r="BN280" i="6"/>
  <c r="BO280" i="6"/>
  <c r="BR280" i="6" s="1"/>
  <c r="BP280" i="6"/>
  <c r="BQ280" i="6"/>
  <c r="BS280" i="6"/>
  <c r="BN281" i="6"/>
  <c r="BO281" i="6"/>
  <c r="BP281" i="6"/>
  <c r="BS281" i="6" s="1"/>
  <c r="BR281" i="6"/>
  <c r="BN282" i="6"/>
  <c r="BO282" i="6"/>
  <c r="BR282" i="6" s="1"/>
  <c r="BP282" i="6"/>
  <c r="BQ282" i="6"/>
  <c r="BS282" i="6"/>
  <c r="BN283" i="6"/>
  <c r="BO283" i="6"/>
  <c r="BP283" i="6"/>
  <c r="BS283" i="6" s="1"/>
  <c r="BR283" i="6"/>
  <c r="BN284" i="6"/>
  <c r="BO284" i="6"/>
  <c r="BR284" i="6" s="1"/>
  <c r="BP284" i="6"/>
  <c r="BQ284" i="6"/>
  <c r="BS284" i="6"/>
  <c r="BN285" i="6"/>
  <c r="BO285" i="6"/>
  <c r="BP285" i="6"/>
  <c r="BS285" i="6" s="1"/>
  <c r="BR285" i="6"/>
  <c r="BN286" i="6"/>
  <c r="BO286" i="6"/>
  <c r="BP286" i="6"/>
  <c r="BQ286" i="6"/>
  <c r="BS286" i="6"/>
  <c r="BN287" i="6"/>
  <c r="BQ287" i="6" s="1"/>
  <c r="BO287" i="6"/>
  <c r="BP287" i="6"/>
  <c r="BR287" i="6"/>
  <c r="BN288" i="6"/>
  <c r="BO288" i="6"/>
  <c r="BR288" i="6" s="1"/>
  <c r="BP288" i="6"/>
  <c r="BQ288" i="6"/>
  <c r="BS288" i="6"/>
  <c r="BN289" i="6"/>
  <c r="BO289" i="6"/>
  <c r="BP289" i="6"/>
  <c r="BS289" i="6" s="1"/>
  <c r="BR289" i="6"/>
  <c r="BN290" i="6"/>
  <c r="BO290" i="6"/>
  <c r="BR290" i="6" s="1"/>
  <c r="BP290" i="6"/>
  <c r="BQ290" i="6"/>
  <c r="BS290" i="6"/>
  <c r="BN291" i="6"/>
  <c r="BO291" i="6"/>
  <c r="BP291" i="6"/>
  <c r="BS291" i="6" s="1"/>
  <c r="BR291" i="6"/>
  <c r="BN292" i="6"/>
  <c r="BO292" i="6"/>
  <c r="BR292" i="6" s="1"/>
  <c r="BP292" i="6"/>
  <c r="BQ292" i="6"/>
  <c r="BS292" i="6"/>
  <c r="BN293" i="6"/>
  <c r="BO293" i="6"/>
  <c r="BP293" i="6"/>
  <c r="BS293" i="6" s="1"/>
  <c r="BR293" i="6"/>
  <c r="BN294" i="6"/>
  <c r="BO294" i="6"/>
  <c r="BP294" i="6"/>
  <c r="BQ294" i="6"/>
  <c r="BS294" i="6"/>
  <c r="BN295" i="6"/>
  <c r="BQ295" i="6" s="1"/>
  <c r="BO295" i="6"/>
  <c r="BP295" i="6"/>
  <c r="BR295" i="6"/>
  <c r="BN296" i="6"/>
  <c r="BO296" i="6"/>
  <c r="BR296" i="6" s="1"/>
  <c r="BP296" i="6"/>
  <c r="BQ296" i="6"/>
  <c r="BS296" i="6"/>
  <c r="BN297" i="6"/>
  <c r="BO297" i="6"/>
  <c r="BR297" i="6" s="1"/>
  <c r="BP297" i="6"/>
  <c r="BS297" i="6" s="1"/>
  <c r="BN298" i="6"/>
  <c r="BO298" i="6"/>
  <c r="BR298" i="6" s="1"/>
  <c r="BP298" i="6"/>
  <c r="BS298" i="6" s="1"/>
  <c r="BQ298" i="6"/>
  <c r="BN299" i="6"/>
  <c r="BO299" i="6"/>
  <c r="BP299" i="6"/>
  <c r="BS299" i="6" s="1"/>
  <c r="BR299" i="6"/>
  <c r="BN300" i="6"/>
  <c r="BO300" i="6"/>
  <c r="BP300" i="6"/>
  <c r="BQ300" i="6"/>
  <c r="BR300" i="6"/>
  <c r="BS300" i="6"/>
  <c r="BN301" i="6"/>
  <c r="BO301" i="6"/>
  <c r="BP301" i="6"/>
  <c r="BR301" i="6"/>
  <c r="BS301" i="6"/>
  <c r="BN302" i="6"/>
  <c r="BO302" i="6"/>
  <c r="BP302" i="6"/>
  <c r="BQ302" i="6"/>
  <c r="BS302" i="6"/>
  <c r="BN303" i="6"/>
  <c r="BQ303" i="6" s="1"/>
  <c r="BO303" i="6"/>
  <c r="BP303" i="6"/>
  <c r="BS303" i="6" s="1"/>
  <c r="BR303" i="6"/>
  <c r="BN304" i="6"/>
  <c r="BO304" i="6"/>
  <c r="BR304" i="6" s="1"/>
  <c r="BP304" i="6"/>
  <c r="BQ304" i="6"/>
  <c r="BS304" i="6"/>
  <c r="BN305" i="6"/>
  <c r="BO305" i="6"/>
  <c r="BP305" i="6"/>
  <c r="BS305" i="6" s="1"/>
  <c r="BR305" i="6"/>
  <c r="BN306" i="6"/>
  <c r="BO306" i="6"/>
  <c r="BR306" i="6" s="1"/>
  <c r="BP306" i="6"/>
  <c r="BS306" i="6" s="1"/>
  <c r="BQ306" i="6"/>
  <c r="BN307" i="6"/>
  <c r="BO307" i="6"/>
  <c r="BP307" i="6"/>
  <c r="BS307" i="6" s="1"/>
  <c r="BR307" i="6"/>
  <c r="BN308" i="6"/>
  <c r="BO308" i="6"/>
  <c r="BP308" i="6"/>
  <c r="BQ308" i="6"/>
  <c r="BR308" i="6"/>
  <c r="BS308" i="6"/>
  <c r="BN309" i="6"/>
  <c r="BO309" i="6"/>
  <c r="BP309" i="6"/>
  <c r="BS309" i="6" s="1"/>
  <c r="BR309" i="6"/>
  <c r="BN310" i="6"/>
  <c r="BO310" i="6"/>
  <c r="BP310" i="6"/>
  <c r="BQ310" i="6"/>
  <c r="BS310" i="6"/>
  <c r="BN311" i="6"/>
  <c r="BQ311" i="6" s="1"/>
  <c r="BO311" i="6"/>
  <c r="BP311" i="6"/>
  <c r="BS311" i="6" s="1"/>
  <c r="BR311" i="6"/>
  <c r="BN312" i="6"/>
  <c r="BO312" i="6"/>
  <c r="BR312" i="6" s="1"/>
  <c r="BP312" i="6"/>
  <c r="BQ312" i="6"/>
  <c r="BS312" i="6"/>
  <c r="BN313" i="6"/>
  <c r="BO313" i="6"/>
  <c r="BP313" i="6"/>
  <c r="BS313" i="6" s="1"/>
  <c r="BR313" i="6"/>
  <c r="BN314" i="6"/>
  <c r="BQ314" i="6" s="1"/>
  <c r="BO314" i="6"/>
  <c r="BR314" i="6" s="1"/>
  <c r="BP314" i="6"/>
  <c r="BS314" i="6"/>
  <c r="BN315" i="6"/>
  <c r="BO315" i="6"/>
  <c r="BP315" i="6"/>
  <c r="BS315" i="6" s="1"/>
  <c r="BR315" i="6"/>
  <c r="BN316" i="6"/>
  <c r="BQ316" i="6" s="1"/>
  <c r="BO316" i="6"/>
  <c r="BP316" i="6"/>
  <c r="BR316" i="6"/>
  <c r="BS316" i="6"/>
  <c r="BN317" i="6"/>
  <c r="BO317" i="6"/>
  <c r="BP317" i="6"/>
  <c r="BS317" i="6" s="1"/>
  <c r="BR317" i="6"/>
  <c r="BN318" i="6"/>
  <c r="BO318" i="6"/>
  <c r="BR318" i="6" s="1"/>
  <c r="BP318" i="6"/>
  <c r="BQ318" i="6"/>
  <c r="BS318" i="6"/>
  <c r="BN319" i="6"/>
  <c r="BQ319" i="6" s="1"/>
  <c r="BO319" i="6"/>
  <c r="BP319" i="6"/>
  <c r="BS319" i="6" s="1"/>
  <c r="BR319" i="6"/>
  <c r="BN320" i="6"/>
  <c r="BO320" i="6"/>
  <c r="BR320" i="6" s="1"/>
  <c r="BP320" i="6"/>
  <c r="BQ320" i="6"/>
  <c r="BS320" i="6"/>
  <c r="BN321" i="6"/>
  <c r="BO321" i="6"/>
  <c r="BR321" i="6" s="1"/>
  <c r="BP321" i="6"/>
  <c r="BS321" i="6" s="1"/>
  <c r="BN322" i="6"/>
  <c r="BO322" i="6"/>
  <c r="BR322" i="6" s="1"/>
  <c r="BP322" i="6"/>
  <c r="BS322" i="6" s="1"/>
  <c r="BQ322" i="6"/>
  <c r="BN323" i="6"/>
  <c r="BO323" i="6"/>
  <c r="BP323" i="6"/>
  <c r="BS323" i="6" s="1"/>
  <c r="BR323" i="6"/>
  <c r="BN324" i="6"/>
  <c r="BO324" i="6"/>
  <c r="BP324" i="6"/>
  <c r="BQ324" i="6"/>
  <c r="BR324" i="6"/>
  <c r="BS324" i="6"/>
  <c r="BN325" i="6"/>
  <c r="BO325" i="6"/>
  <c r="BP325" i="6"/>
  <c r="BR325" i="6"/>
  <c r="BS325" i="6"/>
  <c r="BN326" i="6"/>
  <c r="BO326" i="6"/>
  <c r="BR326" i="6" s="1"/>
  <c r="BP326" i="6"/>
  <c r="BQ326" i="6"/>
  <c r="BS326" i="6"/>
  <c r="BN327" i="6"/>
  <c r="BQ327" i="6" s="1"/>
  <c r="BO327" i="6"/>
  <c r="BP327" i="6"/>
  <c r="BS327" i="6" s="1"/>
  <c r="BR327" i="6"/>
  <c r="BN328" i="6"/>
  <c r="BO328" i="6"/>
  <c r="BR328" i="6" s="1"/>
  <c r="BP328" i="6"/>
  <c r="BQ328" i="6"/>
  <c r="BS328" i="6"/>
  <c r="BN329" i="6"/>
  <c r="BO329" i="6"/>
  <c r="BP329" i="6"/>
  <c r="BS329" i="6" s="1"/>
  <c r="BR329" i="6"/>
  <c r="BN330" i="6"/>
  <c r="BO330" i="6"/>
  <c r="BR330" i="6" s="1"/>
  <c r="BP330" i="6"/>
  <c r="BQ330" i="6"/>
  <c r="BS330" i="6"/>
  <c r="BN331" i="6"/>
  <c r="BQ331" i="6" s="1"/>
  <c r="BO331" i="6"/>
  <c r="BP331" i="6"/>
  <c r="BS331" i="6" s="1"/>
  <c r="BR331" i="6"/>
  <c r="BN332" i="6"/>
  <c r="BO332" i="6"/>
  <c r="BP332" i="6"/>
  <c r="BQ332" i="6"/>
  <c r="BR332" i="6"/>
  <c r="BS332" i="6"/>
  <c r="BN333" i="6"/>
  <c r="BO333" i="6"/>
  <c r="BP333" i="6"/>
  <c r="BS333" i="6" s="1"/>
  <c r="BR333" i="6"/>
  <c r="BN334" i="6"/>
  <c r="BO334" i="6"/>
  <c r="BR334" i="6" s="1"/>
  <c r="BP334" i="6"/>
  <c r="BQ334" i="6"/>
  <c r="BS334" i="6"/>
  <c r="BN335" i="6"/>
  <c r="BQ335" i="6" s="1"/>
  <c r="BO335" i="6"/>
  <c r="BP335" i="6"/>
  <c r="BS335" i="6" s="1"/>
  <c r="BR335" i="6"/>
  <c r="BN336" i="6"/>
  <c r="BO336" i="6"/>
  <c r="BR336" i="6" s="1"/>
  <c r="BP336" i="6"/>
  <c r="BQ336" i="6"/>
  <c r="BS336" i="6"/>
  <c r="BN337" i="6"/>
  <c r="BO337" i="6"/>
  <c r="BR337" i="6" s="1"/>
  <c r="BP337" i="6"/>
  <c r="BS337" i="6" s="1"/>
  <c r="BN338" i="6"/>
  <c r="BO338" i="6"/>
  <c r="BR338" i="6" s="1"/>
  <c r="BP338" i="6"/>
  <c r="BQ338" i="6"/>
  <c r="BS338" i="6"/>
  <c r="BN339" i="6"/>
  <c r="BQ339" i="6" s="1"/>
  <c r="BO339" i="6"/>
  <c r="BP339" i="6"/>
  <c r="BS339" i="6" s="1"/>
  <c r="BR339" i="6"/>
  <c r="BN340" i="6"/>
  <c r="BO340" i="6"/>
  <c r="BR340" i="6" s="1"/>
  <c r="BP340" i="6"/>
  <c r="BQ340" i="6"/>
  <c r="BS340" i="6"/>
  <c r="BN341" i="6"/>
  <c r="BQ341" i="6" s="1"/>
  <c r="BO341" i="6"/>
  <c r="BP341" i="6"/>
  <c r="BS341" i="6" s="1"/>
  <c r="BR341" i="6"/>
  <c r="BN342" i="6"/>
  <c r="BO342" i="6"/>
  <c r="BP342" i="6"/>
  <c r="BS342" i="6" s="1"/>
  <c r="BR342" i="6"/>
  <c r="BN343" i="6"/>
  <c r="BO343" i="6"/>
  <c r="BR343" i="6" s="1"/>
  <c r="BP343" i="6"/>
  <c r="BQ343" i="6"/>
  <c r="BS343" i="6"/>
  <c r="BN344" i="6"/>
  <c r="BQ344" i="6" s="1"/>
  <c r="BO344" i="6"/>
  <c r="BP344" i="6"/>
  <c r="BS344" i="6" s="1"/>
  <c r="BR344" i="6"/>
  <c r="BN345" i="6"/>
  <c r="BO345" i="6"/>
  <c r="BR345" i="6" s="1"/>
  <c r="BP345" i="6"/>
  <c r="BQ345" i="6"/>
  <c r="BS345" i="6"/>
  <c r="BN346" i="6"/>
  <c r="BQ346" i="6" s="1"/>
  <c r="BO346" i="6"/>
  <c r="BP346" i="6"/>
  <c r="BS346" i="6" s="1"/>
  <c r="BR346" i="6"/>
  <c r="BN347" i="6"/>
  <c r="BO347" i="6"/>
  <c r="BR347" i="6" s="1"/>
  <c r="BP347" i="6"/>
  <c r="BQ347" i="6"/>
  <c r="BS347" i="6"/>
  <c r="BN348" i="6"/>
  <c r="BQ348" i="6" s="1"/>
  <c r="BO348" i="6"/>
  <c r="BP348" i="6"/>
  <c r="BS348" i="6" s="1"/>
  <c r="BR348" i="6"/>
  <c r="BN349" i="6"/>
  <c r="BO349" i="6"/>
  <c r="BR349" i="6" s="1"/>
  <c r="BP349" i="6"/>
  <c r="BQ349" i="6"/>
  <c r="BS349" i="6"/>
  <c r="BN350" i="6"/>
  <c r="BO350" i="6"/>
  <c r="BP350" i="6"/>
  <c r="BS350" i="6" s="1"/>
  <c r="BR350" i="6"/>
  <c r="BN351" i="6"/>
  <c r="BO351" i="6"/>
  <c r="BR351" i="6" s="1"/>
  <c r="BP351" i="6"/>
  <c r="BQ351" i="6"/>
  <c r="BS351" i="6"/>
  <c r="BN352" i="6"/>
  <c r="BQ352" i="6" s="1"/>
  <c r="BO352" i="6"/>
  <c r="BP352" i="6"/>
  <c r="BS352" i="6" s="1"/>
  <c r="BR352" i="6"/>
  <c r="BN353" i="6"/>
  <c r="BO353" i="6"/>
  <c r="BR353" i="6" s="1"/>
  <c r="BP353" i="6"/>
  <c r="BQ353" i="6"/>
  <c r="BS353" i="6"/>
  <c r="BN354" i="6"/>
  <c r="BQ354" i="6" s="1"/>
  <c r="BO354" i="6"/>
  <c r="BP354" i="6"/>
  <c r="BS354" i="6" s="1"/>
  <c r="BR354" i="6"/>
  <c r="BN355" i="6"/>
  <c r="BO355" i="6"/>
  <c r="BR355" i="6" s="1"/>
  <c r="BP355" i="6"/>
  <c r="BQ355" i="6"/>
  <c r="BS355" i="6"/>
  <c r="BN356" i="6"/>
  <c r="BQ356" i="6" s="1"/>
  <c r="BO356" i="6"/>
  <c r="BP356" i="6"/>
  <c r="BS356" i="6" s="1"/>
  <c r="BR356" i="6"/>
  <c r="BN357" i="6"/>
  <c r="BO357" i="6"/>
  <c r="BR357" i="6" s="1"/>
  <c r="BP357" i="6"/>
  <c r="BQ357" i="6"/>
  <c r="BS357" i="6"/>
  <c r="BN358" i="6"/>
  <c r="BO358" i="6"/>
  <c r="BP358" i="6"/>
  <c r="BS358" i="6" s="1"/>
  <c r="BR358" i="6"/>
  <c r="BN359" i="6"/>
  <c r="BO359" i="6"/>
  <c r="BR359" i="6" s="1"/>
  <c r="BP359" i="6"/>
  <c r="BQ359" i="6"/>
  <c r="BS359" i="6"/>
  <c r="BN360" i="6"/>
  <c r="BQ360" i="6" s="1"/>
  <c r="BO360" i="6"/>
  <c r="BP360" i="6"/>
  <c r="BS360" i="6" s="1"/>
  <c r="BR360" i="6"/>
  <c r="BN361" i="6"/>
  <c r="BO361" i="6"/>
  <c r="BR361" i="6" s="1"/>
  <c r="BP361" i="6"/>
  <c r="BQ361" i="6"/>
  <c r="BS361" i="6"/>
  <c r="BN362" i="6"/>
  <c r="BQ362" i="6" s="1"/>
  <c r="BO362" i="6"/>
  <c r="BP362" i="6"/>
  <c r="BS362" i="6" s="1"/>
  <c r="BR362" i="6"/>
  <c r="BN363" i="6"/>
  <c r="BO363" i="6"/>
  <c r="BR363" i="6" s="1"/>
  <c r="BP363" i="6"/>
  <c r="BQ363" i="6"/>
  <c r="BS363" i="6"/>
  <c r="BN364" i="6"/>
  <c r="BQ364" i="6" s="1"/>
  <c r="BO364" i="6"/>
  <c r="BP364" i="6"/>
  <c r="BS364" i="6" s="1"/>
  <c r="BR364" i="6"/>
  <c r="BN365" i="6"/>
  <c r="BO365" i="6"/>
  <c r="BR365" i="6" s="1"/>
  <c r="BP365" i="6"/>
  <c r="BQ365" i="6"/>
  <c r="BS365" i="6"/>
  <c r="BN366" i="6"/>
  <c r="BO366" i="6"/>
  <c r="BP366" i="6"/>
  <c r="BS366" i="6" s="1"/>
  <c r="BR366" i="6"/>
  <c r="BN367" i="6"/>
  <c r="BO367" i="6"/>
  <c r="BR367" i="6" s="1"/>
  <c r="BP367" i="6"/>
  <c r="BQ367" i="6"/>
  <c r="BS367" i="6"/>
  <c r="BN368" i="6"/>
  <c r="BQ368" i="6" s="1"/>
  <c r="BO368" i="6"/>
  <c r="BP368" i="6"/>
  <c r="BS368" i="6" s="1"/>
  <c r="BR368" i="6"/>
  <c r="BN369" i="6"/>
  <c r="BO369" i="6"/>
  <c r="BR369" i="6" s="1"/>
  <c r="BP369" i="6"/>
  <c r="BQ369" i="6"/>
  <c r="BS369" i="6"/>
  <c r="BN370" i="6"/>
  <c r="BQ370" i="6" s="1"/>
  <c r="BO370" i="6"/>
  <c r="BP370" i="6"/>
  <c r="BS370" i="6" s="1"/>
  <c r="BR370" i="6"/>
  <c r="BN371" i="6"/>
  <c r="BO371" i="6"/>
  <c r="BR371" i="6" s="1"/>
  <c r="BP371" i="6"/>
  <c r="BQ371" i="6"/>
  <c r="BS371" i="6"/>
  <c r="BN372" i="6"/>
  <c r="BQ372" i="6" s="1"/>
  <c r="BO372" i="6"/>
  <c r="BP372" i="6"/>
  <c r="BS372" i="6" s="1"/>
  <c r="BR372" i="6"/>
  <c r="BN373" i="6"/>
  <c r="BO373" i="6"/>
  <c r="BP373" i="6"/>
  <c r="BQ373" i="6"/>
  <c r="BS373" i="6"/>
  <c r="BN374" i="6"/>
  <c r="BO374" i="6"/>
  <c r="BP374" i="6"/>
  <c r="BS374" i="6" s="1"/>
  <c r="BR374" i="6"/>
  <c r="BN375" i="6"/>
  <c r="BO375" i="6"/>
  <c r="BR375" i="6" s="1"/>
  <c r="BP375" i="6"/>
  <c r="BQ375" i="6"/>
  <c r="BS375" i="6"/>
  <c r="BN376" i="6"/>
  <c r="BQ376" i="6" s="1"/>
  <c r="BO376" i="6"/>
  <c r="BP376" i="6"/>
  <c r="BS376" i="6" s="1"/>
  <c r="BR376" i="6"/>
  <c r="BN377" i="6"/>
  <c r="BO377" i="6"/>
  <c r="BR377" i="6" s="1"/>
  <c r="BP377" i="6"/>
  <c r="BQ377" i="6"/>
  <c r="BS377" i="6"/>
  <c r="BN378" i="6"/>
  <c r="BQ378" i="6" s="1"/>
  <c r="BO378" i="6"/>
  <c r="BP378" i="6"/>
  <c r="BS378" i="6" s="1"/>
  <c r="BR378" i="6"/>
  <c r="BN379" i="6"/>
  <c r="BO379" i="6"/>
  <c r="BR379" i="6" s="1"/>
  <c r="BP379" i="6"/>
  <c r="BQ379" i="6"/>
  <c r="BS379" i="6"/>
  <c r="BN380" i="6"/>
  <c r="BQ380" i="6" s="1"/>
  <c r="BO380" i="6"/>
  <c r="BP380" i="6"/>
  <c r="BS380" i="6" s="1"/>
  <c r="BR380" i="6"/>
  <c r="BN381" i="6"/>
  <c r="BO381" i="6"/>
  <c r="BR381" i="6" s="1"/>
  <c r="BP381" i="6"/>
  <c r="BQ381" i="6"/>
  <c r="BS381" i="6"/>
  <c r="BN382" i="6"/>
  <c r="BO382" i="6"/>
  <c r="BP382" i="6"/>
  <c r="BS382" i="6" s="1"/>
  <c r="BR382" i="6"/>
  <c r="BN383" i="6"/>
  <c r="BO383" i="6"/>
  <c r="BR383" i="6" s="1"/>
  <c r="BP383" i="6"/>
  <c r="BQ383" i="6"/>
  <c r="BS383" i="6"/>
  <c r="BN384" i="6"/>
  <c r="BQ384" i="6" s="1"/>
  <c r="BO384" i="6"/>
  <c r="BP384" i="6"/>
  <c r="BR384" i="6"/>
  <c r="BN385" i="6"/>
  <c r="BO385" i="6"/>
  <c r="BR385" i="6" s="1"/>
  <c r="BP385" i="6"/>
  <c r="BQ385" i="6"/>
  <c r="BS385" i="6"/>
  <c r="BN386" i="6"/>
  <c r="BQ386" i="6" s="1"/>
  <c r="BO386" i="6"/>
  <c r="BP386" i="6"/>
  <c r="BS386" i="6" s="1"/>
  <c r="BR386" i="6"/>
  <c r="BN387" i="6"/>
  <c r="BO387" i="6"/>
  <c r="BR387" i="6" s="1"/>
  <c r="BP387" i="6"/>
  <c r="BQ387" i="6"/>
  <c r="BS387" i="6"/>
  <c r="BN388" i="6"/>
  <c r="BQ388" i="6" s="1"/>
  <c r="BO388" i="6"/>
  <c r="BP388" i="6"/>
  <c r="BS388" i="6" s="1"/>
  <c r="BR388" i="6"/>
  <c r="BP10" i="6"/>
  <c r="BS10" i="6" s="1"/>
  <c r="BO10" i="6"/>
  <c r="BR10" i="6" s="1"/>
  <c r="BN10" i="6"/>
  <c r="BQ10" i="6" s="1"/>
  <c r="BR9" i="6" l="1"/>
  <c r="BQ213" i="6"/>
  <c r="BQ329" i="6"/>
  <c r="BS384" i="6"/>
  <c r="BQ382" i="6"/>
  <c r="BQ374" i="6"/>
  <c r="BQ366" i="6"/>
  <c r="BQ358" i="6"/>
  <c r="BQ350" i="6"/>
  <c r="BQ342" i="6"/>
  <c r="BR294" i="6"/>
  <c r="BS287" i="6"/>
  <c r="BR262" i="6"/>
  <c r="BS255" i="6"/>
  <c r="BR230" i="6"/>
  <c r="BS223" i="6"/>
  <c r="BR198" i="6"/>
  <c r="BS191" i="6"/>
  <c r="BQ333" i="6"/>
  <c r="BQ317" i="6"/>
  <c r="BS120" i="6"/>
  <c r="BS104" i="6"/>
  <c r="BR95" i="6"/>
  <c r="BQ315" i="6"/>
  <c r="BS295" i="6"/>
  <c r="BR270" i="6"/>
  <c r="BS263" i="6"/>
  <c r="BR238" i="6"/>
  <c r="BS231" i="6"/>
  <c r="BR206" i="6"/>
  <c r="BS199" i="6"/>
  <c r="BR125" i="6"/>
  <c r="BQ62" i="6"/>
  <c r="BQ337" i="6"/>
  <c r="BQ321" i="6"/>
  <c r="BQ309" i="6"/>
  <c r="BQ285" i="6"/>
  <c r="BQ253" i="6"/>
  <c r="BQ221" i="6"/>
  <c r="BQ189" i="6"/>
  <c r="BR159" i="6"/>
  <c r="BQ307" i="6"/>
  <c r="BR278" i="6"/>
  <c r="BS271" i="6"/>
  <c r="BR246" i="6"/>
  <c r="BS239" i="6"/>
  <c r="BR214" i="6"/>
  <c r="BS207" i="6"/>
  <c r="BQ182" i="6"/>
  <c r="BQ325" i="6"/>
  <c r="BR310" i="6"/>
  <c r="BQ301" i="6"/>
  <c r="BQ293" i="6"/>
  <c r="BQ283" i="6"/>
  <c r="BQ261" i="6"/>
  <c r="BQ229" i="6"/>
  <c r="BQ197" i="6"/>
  <c r="BQ164" i="6"/>
  <c r="BQ245" i="6"/>
  <c r="BR373" i="6"/>
  <c r="BQ323" i="6"/>
  <c r="BQ299" i="6"/>
  <c r="BR286" i="6"/>
  <c r="BS279" i="6"/>
  <c r="BR254" i="6"/>
  <c r="BS247" i="6"/>
  <c r="BR222" i="6"/>
  <c r="BS215" i="6"/>
  <c r="BR190" i="6"/>
  <c r="BS183" i="6"/>
  <c r="BQ150" i="6"/>
  <c r="BQ277" i="6"/>
  <c r="BR71" i="6"/>
  <c r="BR302" i="6"/>
  <c r="BQ291" i="6"/>
  <c r="BQ269" i="6"/>
  <c r="BQ237" i="6"/>
  <c r="BQ205" i="6"/>
  <c r="BQ156" i="6"/>
  <c r="BS136" i="6"/>
  <c r="BQ124" i="6"/>
  <c r="BQ86" i="6"/>
  <c r="BS64" i="6"/>
  <c r="BR55" i="6"/>
  <c r="BQ46" i="6"/>
  <c r="BQ22" i="6"/>
  <c r="BQ313" i="6"/>
  <c r="BQ305" i="6"/>
  <c r="BQ297" i="6"/>
  <c r="BQ289" i="6"/>
  <c r="BQ281" i="6"/>
  <c r="BQ273" i="6"/>
  <c r="BQ265" i="6"/>
  <c r="BQ257" i="6"/>
  <c r="BQ249" i="6"/>
  <c r="BQ241" i="6"/>
  <c r="BQ233" i="6"/>
  <c r="BQ225" i="6"/>
  <c r="BQ217" i="6"/>
  <c r="BQ209" i="6"/>
  <c r="BQ201" i="6"/>
  <c r="BQ193" i="6"/>
  <c r="BQ185" i="6"/>
  <c r="BQ180" i="6"/>
  <c r="BQ148" i="6"/>
  <c r="BQ134" i="6"/>
  <c r="BR127" i="6"/>
  <c r="BQ118" i="6"/>
  <c r="BR111" i="6"/>
  <c r="BQ102" i="6"/>
  <c r="BR79" i="6"/>
  <c r="BR39" i="6"/>
  <c r="BS32" i="6"/>
  <c r="BQ174" i="6"/>
  <c r="BR151" i="6"/>
  <c r="BQ142" i="6"/>
  <c r="BQ132" i="6"/>
  <c r="BS72" i="6"/>
  <c r="BS56" i="6"/>
  <c r="BQ30" i="6"/>
  <c r="BQ172" i="6"/>
  <c r="BQ140" i="6"/>
  <c r="BS128" i="6"/>
  <c r="BQ116" i="6"/>
  <c r="BS96" i="6"/>
  <c r="BR87" i="6"/>
  <c r="BQ54" i="6"/>
  <c r="BR47" i="6"/>
  <c r="BR175" i="6"/>
  <c r="BQ166" i="6"/>
  <c r="BR143" i="6"/>
  <c r="BS112" i="6"/>
  <c r="BQ94" i="6"/>
  <c r="BS80" i="6"/>
  <c r="BR63" i="6"/>
  <c r="BS40" i="6"/>
  <c r="BS16" i="6"/>
  <c r="BR135" i="6"/>
  <c r="BQ126" i="6"/>
  <c r="BR119" i="6"/>
  <c r="BQ110" i="6"/>
  <c r="BR103" i="6"/>
  <c r="BQ78" i="6"/>
  <c r="BQ70" i="6"/>
  <c r="BQ38" i="6"/>
  <c r="BQ14" i="6"/>
  <c r="BR167" i="6"/>
  <c r="BQ158" i="6"/>
  <c r="BS88" i="6"/>
  <c r="BS48" i="6"/>
  <c r="BS24" i="6"/>
  <c r="BQ178" i="6"/>
  <c r="BQ170" i="6"/>
  <c r="BQ162" i="6"/>
  <c r="BQ154" i="6"/>
  <c r="BQ146" i="6"/>
  <c r="BQ138" i="6"/>
  <c r="BQ130" i="6"/>
  <c r="BQ106" i="6"/>
  <c r="BQ98" i="6"/>
  <c r="BQ90" i="6"/>
  <c r="BQ82" i="6"/>
  <c r="BQ74" i="6"/>
  <c r="BQ66" i="6"/>
  <c r="BQ58" i="6"/>
  <c r="BQ50" i="6"/>
  <c r="BQ42" i="6"/>
  <c r="BQ34" i="6"/>
  <c r="BQ26" i="6"/>
  <c r="BQ18" i="6"/>
  <c r="H386" i="7" l="1"/>
  <c r="G386" i="7"/>
  <c r="H385" i="7"/>
  <c r="G385" i="7"/>
  <c r="H384" i="7"/>
  <c r="G384" i="7"/>
  <c r="H383" i="7"/>
  <c r="G383" i="7"/>
  <c r="H382" i="7"/>
  <c r="G382" i="7"/>
  <c r="F382" i="7" s="1"/>
  <c r="H381" i="7"/>
  <c r="G381" i="7"/>
  <c r="H380" i="7"/>
  <c r="G380" i="7"/>
  <c r="F380" i="7" s="1"/>
  <c r="H379" i="7"/>
  <c r="G379" i="7"/>
  <c r="H378" i="7"/>
  <c r="G378" i="7"/>
  <c r="H377" i="7"/>
  <c r="G377" i="7"/>
  <c r="H376" i="7"/>
  <c r="G376" i="7"/>
  <c r="H375" i="7"/>
  <c r="G375" i="7"/>
  <c r="H374" i="7"/>
  <c r="G374" i="7"/>
  <c r="F374" i="7" s="1"/>
  <c r="H373" i="7"/>
  <c r="G373" i="7"/>
  <c r="H372" i="7"/>
  <c r="G372" i="7"/>
  <c r="F372" i="7" s="1"/>
  <c r="H371" i="7"/>
  <c r="G371" i="7"/>
  <c r="H370" i="7"/>
  <c r="G370" i="7"/>
  <c r="H369" i="7"/>
  <c r="G369" i="7"/>
  <c r="H368" i="7"/>
  <c r="G368" i="7"/>
  <c r="H367" i="7"/>
  <c r="G367" i="7"/>
  <c r="H366" i="7"/>
  <c r="G366" i="7"/>
  <c r="F366" i="7" s="1"/>
  <c r="H365" i="7"/>
  <c r="G365" i="7"/>
  <c r="H364" i="7"/>
  <c r="G364" i="7"/>
  <c r="F364" i="7" s="1"/>
  <c r="H363" i="7"/>
  <c r="G363" i="7"/>
  <c r="H362" i="7"/>
  <c r="G362" i="7"/>
  <c r="H361" i="7"/>
  <c r="G361" i="7"/>
  <c r="H360" i="7"/>
  <c r="G360" i="7"/>
  <c r="H359" i="7"/>
  <c r="G359" i="7"/>
  <c r="H358" i="7"/>
  <c r="G358" i="7"/>
  <c r="F358" i="7" s="1"/>
  <c r="H357" i="7"/>
  <c r="G357" i="7"/>
  <c r="H356" i="7"/>
  <c r="G356" i="7"/>
  <c r="F356" i="7" s="1"/>
  <c r="H355" i="7"/>
  <c r="G355" i="7"/>
  <c r="H354" i="7"/>
  <c r="G354" i="7"/>
  <c r="H353" i="7"/>
  <c r="G353" i="7"/>
  <c r="H352" i="7"/>
  <c r="G352" i="7"/>
  <c r="H351" i="7"/>
  <c r="G351" i="7"/>
  <c r="H350" i="7"/>
  <c r="G350" i="7"/>
  <c r="F350" i="7" s="1"/>
  <c r="H349" i="7"/>
  <c r="G349" i="7"/>
  <c r="H348" i="7"/>
  <c r="G348" i="7"/>
  <c r="F348" i="7" s="1"/>
  <c r="H347" i="7"/>
  <c r="G347" i="7"/>
  <c r="H346" i="7"/>
  <c r="G346" i="7"/>
  <c r="H345" i="7"/>
  <c r="G345" i="7"/>
  <c r="H344" i="7"/>
  <c r="G344" i="7"/>
  <c r="H343" i="7"/>
  <c r="G343" i="7"/>
  <c r="H342" i="7"/>
  <c r="G342" i="7"/>
  <c r="F342" i="7" s="1"/>
  <c r="H341" i="7"/>
  <c r="G341" i="7"/>
  <c r="H340" i="7"/>
  <c r="G340" i="7"/>
  <c r="F340" i="7" s="1"/>
  <c r="H339" i="7"/>
  <c r="G339" i="7"/>
  <c r="H338" i="7"/>
  <c r="G338" i="7"/>
  <c r="H337" i="7"/>
  <c r="G337" i="7"/>
  <c r="H336" i="7"/>
  <c r="G336" i="7"/>
  <c r="H335" i="7"/>
  <c r="G335" i="7"/>
  <c r="H334" i="7"/>
  <c r="G334" i="7"/>
  <c r="H333" i="7"/>
  <c r="G333" i="7"/>
  <c r="H332" i="7"/>
  <c r="G332" i="7"/>
  <c r="F332" i="7" s="1"/>
  <c r="H331" i="7"/>
  <c r="G331" i="7"/>
  <c r="H330" i="7"/>
  <c r="G330" i="7"/>
  <c r="H329" i="7"/>
  <c r="G329" i="7"/>
  <c r="H328" i="7"/>
  <c r="G328" i="7"/>
  <c r="H327" i="7"/>
  <c r="G327" i="7"/>
  <c r="H326" i="7"/>
  <c r="G326" i="7"/>
  <c r="H325" i="7"/>
  <c r="G325" i="7"/>
  <c r="H324" i="7"/>
  <c r="G324" i="7"/>
  <c r="F324" i="7" s="1"/>
  <c r="H323" i="7"/>
  <c r="G323" i="7"/>
  <c r="H322" i="7"/>
  <c r="G322" i="7"/>
  <c r="H321" i="7"/>
  <c r="G321" i="7"/>
  <c r="H320" i="7"/>
  <c r="G320" i="7"/>
  <c r="H319" i="7"/>
  <c r="G319" i="7"/>
  <c r="H318" i="7"/>
  <c r="G318" i="7"/>
  <c r="H317" i="7"/>
  <c r="G317" i="7"/>
  <c r="H316" i="7"/>
  <c r="G316" i="7"/>
  <c r="F316" i="7" s="1"/>
  <c r="H315" i="7"/>
  <c r="G315" i="7"/>
  <c r="H314" i="7"/>
  <c r="G314" i="7"/>
  <c r="H313" i="7"/>
  <c r="G313" i="7"/>
  <c r="H312" i="7"/>
  <c r="G312" i="7"/>
  <c r="H311" i="7"/>
  <c r="G311" i="7"/>
  <c r="H310" i="7"/>
  <c r="G310" i="7"/>
  <c r="H309" i="7"/>
  <c r="G309" i="7"/>
  <c r="H308" i="7"/>
  <c r="G308" i="7"/>
  <c r="H307" i="7"/>
  <c r="G307" i="7"/>
  <c r="H306" i="7"/>
  <c r="G306" i="7"/>
  <c r="H305" i="7"/>
  <c r="G305" i="7"/>
  <c r="H304" i="7"/>
  <c r="G304" i="7"/>
  <c r="H303" i="7"/>
  <c r="G303" i="7"/>
  <c r="H302" i="7"/>
  <c r="G302" i="7"/>
  <c r="H301" i="7"/>
  <c r="G301" i="7"/>
  <c r="H300" i="7"/>
  <c r="G300" i="7"/>
  <c r="H299" i="7"/>
  <c r="G299" i="7"/>
  <c r="H298" i="7"/>
  <c r="G298" i="7"/>
  <c r="H297" i="7"/>
  <c r="G297" i="7"/>
  <c r="H296" i="7"/>
  <c r="G296" i="7"/>
  <c r="H295" i="7"/>
  <c r="G295" i="7"/>
  <c r="H294" i="7"/>
  <c r="G294" i="7"/>
  <c r="H293" i="7"/>
  <c r="G293" i="7"/>
  <c r="H292" i="7"/>
  <c r="G292" i="7"/>
  <c r="H291" i="7"/>
  <c r="G291" i="7"/>
  <c r="H290" i="7"/>
  <c r="G290" i="7"/>
  <c r="H289" i="7"/>
  <c r="G289" i="7"/>
  <c r="H288" i="7"/>
  <c r="G288" i="7"/>
  <c r="H287" i="7"/>
  <c r="G287" i="7"/>
  <c r="H286" i="7"/>
  <c r="G286" i="7"/>
  <c r="H285" i="7"/>
  <c r="G285" i="7"/>
  <c r="H284" i="7"/>
  <c r="G284" i="7"/>
  <c r="H283" i="7"/>
  <c r="G283" i="7"/>
  <c r="H282" i="7"/>
  <c r="G282" i="7"/>
  <c r="H281" i="7"/>
  <c r="G281" i="7"/>
  <c r="H280" i="7"/>
  <c r="G280" i="7"/>
  <c r="H279" i="7"/>
  <c r="G279" i="7"/>
  <c r="H278" i="7"/>
  <c r="G278" i="7"/>
  <c r="H277" i="7"/>
  <c r="G277" i="7"/>
  <c r="H276" i="7"/>
  <c r="G276" i="7"/>
  <c r="H275" i="7"/>
  <c r="G275" i="7"/>
  <c r="H274" i="7"/>
  <c r="G274" i="7"/>
  <c r="H273" i="7"/>
  <c r="G273" i="7"/>
  <c r="H272" i="7"/>
  <c r="G272" i="7"/>
  <c r="H271" i="7"/>
  <c r="G271" i="7"/>
  <c r="H270" i="7"/>
  <c r="G270" i="7"/>
  <c r="H269" i="7"/>
  <c r="G269" i="7"/>
  <c r="H268" i="7"/>
  <c r="G268" i="7"/>
  <c r="H267" i="7"/>
  <c r="G267" i="7"/>
  <c r="H266" i="7"/>
  <c r="G266" i="7"/>
  <c r="H265" i="7"/>
  <c r="G265" i="7"/>
  <c r="H264" i="7"/>
  <c r="G264" i="7"/>
  <c r="H263" i="7"/>
  <c r="G263" i="7"/>
  <c r="H262" i="7"/>
  <c r="G262" i="7"/>
  <c r="H261" i="7"/>
  <c r="G261" i="7"/>
  <c r="H260" i="7"/>
  <c r="G260" i="7"/>
  <c r="H259" i="7"/>
  <c r="G259" i="7"/>
  <c r="H258" i="7"/>
  <c r="G258" i="7"/>
  <c r="H257" i="7"/>
  <c r="G257" i="7"/>
  <c r="H256" i="7"/>
  <c r="G256" i="7"/>
  <c r="H255" i="7"/>
  <c r="G255" i="7"/>
  <c r="H254" i="7"/>
  <c r="G254" i="7"/>
  <c r="H253" i="7"/>
  <c r="G253" i="7"/>
  <c r="H252" i="7"/>
  <c r="G252" i="7"/>
  <c r="H251" i="7"/>
  <c r="G251" i="7"/>
  <c r="H250" i="7"/>
  <c r="G250" i="7"/>
  <c r="H249" i="7"/>
  <c r="G249" i="7"/>
  <c r="H248" i="7"/>
  <c r="G248" i="7"/>
  <c r="H247" i="7"/>
  <c r="G247" i="7"/>
  <c r="H246" i="7"/>
  <c r="G246" i="7"/>
  <c r="H245" i="7"/>
  <c r="G245" i="7"/>
  <c r="H244" i="7"/>
  <c r="G244" i="7"/>
  <c r="H243" i="7"/>
  <c r="G243" i="7"/>
  <c r="H242" i="7"/>
  <c r="G242" i="7"/>
  <c r="H241" i="7"/>
  <c r="G241" i="7"/>
  <c r="H240" i="7"/>
  <c r="G240" i="7"/>
  <c r="H239" i="7"/>
  <c r="G239" i="7"/>
  <c r="H238" i="7"/>
  <c r="G238" i="7"/>
  <c r="H237" i="7"/>
  <c r="G237" i="7"/>
  <c r="H236" i="7"/>
  <c r="G236" i="7"/>
  <c r="H235" i="7"/>
  <c r="G235" i="7"/>
  <c r="H234" i="7"/>
  <c r="G234" i="7"/>
  <c r="H233" i="7"/>
  <c r="G233" i="7"/>
  <c r="H232" i="7"/>
  <c r="G232" i="7"/>
  <c r="H231" i="7"/>
  <c r="G231" i="7"/>
  <c r="H230" i="7"/>
  <c r="G230" i="7"/>
  <c r="H229" i="7"/>
  <c r="G229" i="7"/>
  <c r="H228" i="7"/>
  <c r="G228" i="7"/>
  <c r="H227" i="7"/>
  <c r="G227" i="7"/>
  <c r="H226" i="7"/>
  <c r="G226" i="7"/>
  <c r="H225" i="7"/>
  <c r="G225" i="7"/>
  <c r="H224" i="7"/>
  <c r="G224" i="7"/>
  <c r="H223" i="7"/>
  <c r="G223" i="7"/>
  <c r="H222" i="7"/>
  <c r="G222" i="7"/>
  <c r="H221" i="7"/>
  <c r="G221" i="7"/>
  <c r="H220" i="7"/>
  <c r="G220" i="7"/>
  <c r="H219" i="7"/>
  <c r="G219" i="7"/>
  <c r="H218" i="7"/>
  <c r="G218" i="7"/>
  <c r="H217" i="7"/>
  <c r="G217" i="7"/>
  <c r="H216" i="7"/>
  <c r="G216" i="7"/>
  <c r="H215" i="7"/>
  <c r="G215" i="7"/>
  <c r="H214" i="7"/>
  <c r="G214" i="7"/>
  <c r="H213" i="7"/>
  <c r="G213" i="7"/>
  <c r="H212" i="7"/>
  <c r="G212" i="7"/>
  <c r="H211" i="7"/>
  <c r="G211" i="7"/>
  <c r="H210" i="7"/>
  <c r="G210" i="7"/>
  <c r="H209" i="7"/>
  <c r="G209" i="7"/>
  <c r="H208" i="7"/>
  <c r="G208" i="7"/>
  <c r="H207" i="7"/>
  <c r="G207" i="7"/>
  <c r="H206" i="7"/>
  <c r="G206" i="7"/>
  <c r="H205" i="7"/>
  <c r="G205" i="7"/>
  <c r="H204" i="7"/>
  <c r="G204" i="7"/>
  <c r="H203" i="7"/>
  <c r="G203" i="7"/>
  <c r="H202" i="7"/>
  <c r="G202" i="7"/>
  <c r="H201" i="7"/>
  <c r="G201" i="7"/>
  <c r="H200" i="7"/>
  <c r="G200" i="7"/>
  <c r="H199" i="7"/>
  <c r="G199" i="7"/>
  <c r="H198" i="7"/>
  <c r="G198" i="7"/>
  <c r="H197" i="7"/>
  <c r="G197" i="7"/>
  <c r="H196" i="7"/>
  <c r="G196" i="7"/>
  <c r="H195" i="7"/>
  <c r="G195" i="7"/>
  <c r="H194" i="7"/>
  <c r="G194" i="7"/>
  <c r="H193" i="7"/>
  <c r="G193" i="7"/>
  <c r="H192" i="7"/>
  <c r="G192" i="7"/>
  <c r="H191" i="7"/>
  <c r="G191" i="7"/>
  <c r="H190" i="7"/>
  <c r="G190" i="7"/>
  <c r="H189" i="7"/>
  <c r="G189" i="7"/>
  <c r="H188" i="7"/>
  <c r="G188" i="7"/>
  <c r="H187" i="7"/>
  <c r="G187" i="7"/>
  <c r="H186" i="7"/>
  <c r="G186" i="7"/>
  <c r="H185" i="7"/>
  <c r="G185" i="7"/>
  <c r="H184" i="7"/>
  <c r="G184" i="7"/>
  <c r="H183" i="7"/>
  <c r="G183" i="7"/>
  <c r="H182" i="7"/>
  <c r="G182" i="7"/>
  <c r="H181" i="7"/>
  <c r="G181" i="7"/>
  <c r="H180" i="7"/>
  <c r="G180" i="7"/>
  <c r="H179" i="7"/>
  <c r="G179" i="7"/>
  <c r="H178" i="7"/>
  <c r="G178" i="7"/>
  <c r="H177" i="7"/>
  <c r="G177" i="7"/>
  <c r="H176" i="7"/>
  <c r="G176" i="7"/>
  <c r="H175" i="7"/>
  <c r="G175" i="7"/>
  <c r="H174" i="7"/>
  <c r="G174" i="7"/>
  <c r="H173" i="7"/>
  <c r="G173" i="7"/>
  <c r="H172" i="7"/>
  <c r="G172" i="7"/>
  <c r="H171" i="7"/>
  <c r="G171" i="7"/>
  <c r="H170" i="7"/>
  <c r="G170" i="7"/>
  <c r="H169" i="7"/>
  <c r="G169" i="7"/>
  <c r="H168" i="7"/>
  <c r="G168" i="7"/>
  <c r="H167" i="7"/>
  <c r="G167" i="7"/>
  <c r="H166" i="7"/>
  <c r="G166" i="7"/>
  <c r="H165" i="7"/>
  <c r="G165" i="7"/>
  <c r="H164" i="7"/>
  <c r="G164" i="7"/>
  <c r="H163" i="7"/>
  <c r="G163" i="7"/>
  <c r="H162" i="7"/>
  <c r="G162" i="7"/>
  <c r="H161" i="7"/>
  <c r="G161" i="7"/>
  <c r="H160" i="7"/>
  <c r="G160" i="7"/>
  <c r="H159" i="7"/>
  <c r="G159" i="7"/>
  <c r="H158" i="7"/>
  <c r="G158" i="7"/>
  <c r="H157" i="7"/>
  <c r="G157" i="7"/>
  <c r="H156" i="7"/>
  <c r="G156" i="7"/>
  <c r="H155" i="7"/>
  <c r="G155" i="7"/>
  <c r="H154" i="7"/>
  <c r="G154" i="7"/>
  <c r="H153" i="7"/>
  <c r="G153" i="7"/>
  <c r="H152" i="7"/>
  <c r="G152" i="7"/>
  <c r="H151" i="7"/>
  <c r="G151" i="7"/>
  <c r="H150" i="7"/>
  <c r="G150" i="7"/>
  <c r="H149" i="7"/>
  <c r="G149" i="7"/>
  <c r="H148" i="7"/>
  <c r="G148" i="7"/>
  <c r="H147" i="7"/>
  <c r="G147" i="7"/>
  <c r="H146" i="7"/>
  <c r="G146" i="7"/>
  <c r="H145" i="7"/>
  <c r="G145" i="7"/>
  <c r="H144" i="7"/>
  <c r="G144" i="7"/>
  <c r="H143" i="7"/>
  <c r="G143" i="7"/>
  <c r="H142" i="7"/>
  <c r="G142" i="7"/>
  <c r="H141" i="7"/>
  <c r="G141" i="7"/>
  <c r="H140" i="7"/>
  <c r="G140" i="7"/>
  <c r="H139" i="7"/>
  <c r="G139" i="7"/>
  <c r="H138" i="7"/>
  <c r="G138" i="7"/>
  <c r="H137" i="7"/>
  <c r="G137" i="7"/>
  <c r="H136" i="7"/>
  <c r="G136" i="7"/>
  <c r="H135" i="7"/>
  <c r="G135" i="7"/>
  <c r="H134" i="7"/>
  <c r="G134" i="7"/>
  <c r="H133" i="7"/>
  <c r="G133" i="7"/>
  <c r="H132" i="7"/>
  <c r="G132" i="7"/>
  <c r="H131" i="7"/>
  <c r="G131" i="7"/>
  <c r="H130" i="7"/>
  <c r="G130" i="7"/>
  <c r="H129" i="7"/>
  <c r="G129" i="7"/>
  <c r="H128" i="7"/>
  <c r="G128" i="7"/>
  <c r="H127" i="7"/>
  <c r="G127" i="7"/>
  <c r="H126" i="7"/>
  <c r="G126" i="7"/>
  <c r="H125" i="7"/>
  <c r="G125" i="7"/>
  <c r="H124" i="7"/>
  <c r="G124" i="7"/>
  <c r="H123" i="7"/>
  <c r="G123" i="7"/>
  <c r="H122" i="7"/>
  <c r="G122" i="7"/>
  <c r="H121" i="7"/>
  <c r="G121" i="7"/>
  <c r="H120" i="7"/>
  <c r="G120" i="7"/>
  <c r="H119" i="7"/>
  <c r="G119" i="7"/>
  <c r="H118" i="7"/>
  <c r="G118" i="7"/>
  <c r="H117" i="7"/>
  <c r="G117" i="7"/>
  <c r="H116" i="7"/>
  <c r="G116" i="7"/>
  <c r="H115" i="7"/>
  <c r="G115" i="7"/>
  <c r="H114" i="7"/>
  <c r="G114" i="7"/>
  <c r="H113" i="7"/>
  <c r="G113" i="7"/>
  <c r="H112" i="7"/>
  <c r="G112" i="7"/>
  <c r="H111" i="7"/>
  <c r="G111" i="7"/>
  <c r="H110" i="7"/>
  <c r="G110" i="7"/>
  <c r="H109" i="7"/>
  <c r="G109" i="7"/>
  <c r="H108" i="7"/>
  <c r="G108" i="7"/>
  <c r="H107" i="7"/>
  <c r="G107" i="7"/>
  <c r="H106" i="7"/>
  <c r="G106" i="7"/>
  <c r="H105" i="7"/>
  <c r="G105" i="7"/>
  <c r="H104" i="7"/>
  <c r="G104" i="7"/>
  <c r="H103" i="7"/>
  <c r="G103" i="7"/>
  <c r="H102" i="7"/>
  <c r="G102" i="7"/>
  <c r="H101" i="7"/>
  <c r="G101" i="7"/>
  <c r="H100" i="7"/>
  <c r="G100" i="7"/>
  <c r="H99" i="7"/>
  <c r="G99" i="7"/>
  <c r="H98" i="7"/>
  <c r="G98" i="7"/>
  <c r="H97" i="7"/>
  <c r="G97" i="7"/>
  <c r="H96" i="7"/>
  <c r="G96" i="7"/>
  <c r="H95" i="7"/>
  <c r="G95" i="7"/>
  <c r="H94" i="7"/>
  <c r="G94" i="7"/>
  <c r="H93" i="7"/>
  <c r="G93" i="7"/>
  <c r="H92" i="7"/>
  <c r="G92" i="7"/>
  <c r="H91" i="7"/>
  <c r="G91" i="7"/>
  <c r="H90" i="7"/>
  <c r="G90" i="7"/>
  <c r="H89" i="7"/>
  <c r="G89" i="7"/>
  <c r="H88" i="7"/>
  <c r="G88" i="7"/>
  <c r="H87" i="7"/>
  <c r="G87" i="7"/>
  <c r="H86" i="7"/>
  <c r="G86" i="7"/>
  <c r="H85" i="7"/>
  <c r="G85" i="7"/>
  <c r="H84" i="7"/>
  <c r="G84" i="7"/>
  <c r="H83" i="7"/>
  <c r="G83" i="7"/>
  <c r="H82" i="7"/>
  <c r="G82" i="7"/>
  <c r="H81" i="7"/>
  <c r="G81" i="7"/>
  <c r="H80" i="7"/>
  <c r="G80" i="7"/>
  <c r="H79" i="7"/>
  <c r="G79" i="7"/>
  <c r="H78" i="7"/>
  <c r="G78" i="7"/>
  <c r="H77" i="7"/>
  <c r="G77" i="7"/>
  <c r="H76" i="7"/>
  <c r="G76" i="7"/>
  <c r="H75" i="7"/>
  <c r="G75" i="7"/>
  <c r="H74" i="7"/>
  <c r="G74" i="7"/>
  <c r="H73" i="7"/>
  <c r="G73" i="7"/>
  <c r="H72" i="7"/>
  <c r="G72" i="7"/>
  <c r="H71" i="7"/>
  <c r="G71" i="7"/>
  <c r="H70" i="7"/>
  <c r="G70" i="7"/>
  <c r="H69" i="7"/>
  <c r="G69" i="7"/>
  <c r="H68" i="7"/>
  <c r="G68" i="7"/>
  <c r="H67" i="7"/>
  <c r="G67" i="7"/>
  <c r="H66" i="7"/>
  <c r="G66" i="7"/>
  <c r="H65" i="7"/>
  <c r="G65" i="7"/>
  <c r="H64" i="7"/>
  <c r="G64" i="7"/>
  <c r="H63" i="7"/>
  <c r="G63" i="7"/>
  <c r="H62" i="7"/>
  <c r="G62" i="7"/>
  <c r="H61" i="7"/>
  <c r="G61" i="7"/>
  <c r="H60" i="7"/>
  <c r="G60" i="7"/>
  <c r="H59" i="7"/>
  <c r="G59" i="7"/>
  <c r="H58" i="7"/>
  <c r="G58" i="7"/>
  <c r="H57" i="7"/>
  <c r="G57" i="7"/>
  <c r="H56" i="7"/>
  <c r="G56" i="7"/>
  <c r="H55" i="7"/>
  <c r="G55" i="7"/>
  <c r="H54" i="7"/>
  <c r="G54" i="7"/>
  <c r="H53" i="7"/>
  <c r="G53" i="7"/>
  <c r="H52" i="7"/>
  <c r="G52" i="7"/>
  <c r="H51" i="7"/>
  <c r="G51" i="7"/>
  <c r="H50" i="7"/>
  <c r="G50" i="7"/>
  <c r="H49" i="7"/>
  <c r="G49" i="7"/>
  <c r="H48" i="7"/>
  <c r="G48" i="7"/>
  <c r="H47" i="7"/>
  <c r="G47" i="7"/>
  <c r="H46" i="7"/>
  <c r="G46" i="7"/>
  <c r="H45" i="7"/>
  <c r="G45" i="7"/>
  <c r="H44" i="7"/>
  <c r="G44" i="7"/>
  <c r="H43" i="7"/>
  <c r="G43" i="7"/>
  <c r="H42" i="7"/>
  <c r="G42" i="7"/>
  <c r="H41" i="7"/>
  <c r="G41" i="7"/>
  <c r="H40" i="7"/>
  <c r="G40" i="7"/>
  <c r="H39" i="7"/>
  <c r="G39" i="7"/>
  <c r="H38" i="7"/>
  <c r="G38" i="7"/>
  <c r="H37" i="7"/>
  <c r="G37" i="7"/>
  <c r="H36" i="7"/>
  <c r="G36" i="7"/>
  <c r="H35" i="7"/>
  <c r="G35" i="7"/>
  <c r="H34" i="7"/>
  <c r="G34" i="7"/>
  <c r="H33" i="7"/>
  <c r="G33" i="7"/>
  <c r="H32" i="7"/>
  <c r="G32" i="7"/>
  <c r="H31" i="7"/>
  <c r="G31" i="7"/>
  <c r="H30" i="7"/>
  <c r="G30" i="7"/>
  <c r="H29" i="7"/>
  <c r="G29" i="7"/>
  <c r="H28" i="7"/>
  <c r="G28" i="7"/>
  <c r="H27" i="7"/>
  <c r="G27" i="7"/>
  <c r="H26" i="7"/>
  <c r="G26" i="7"/>
  <c r="H25" i="7"/>
  <c r="G25" i="7"/>
  <c r="H24" i="7"/>
  <c r="G24" i="7"/>
  <c r="H23" i="7"/>
  <c r="G23" i="7"/>
  <c r="H22" i="7"/>
  <c r="G22" i="7"/>
  <c r="H21" i="7"/>
  <c r="G21" i="7"/>
  <c r="H20" i="7"/>
  <c r="G20" i="7"/>
  <c r="H19" i="7"/>
  <c r="G19" i="7"/>
  <c r="H18" i="7"/>
  <c r="G18" i="7"/>
  <c r="H17" i="7"/>
  <c r="G17" i="7"/>
  <c r="H16" i="7"/>
  <c r="G16" i="7"/>
  <c r="H15" i="7"/>
  <c r="G15" i="7"/>
  <c r="H14" i="7"/>
  <c r="G14" i="7"/>
  <c r="H13" i="7"/>
  <c r="G13" i="7"/>
  <c r="H12" i="7"/>
  <c r="G12" i="7"/>
  <c r="H11" i="7"/>
  <c r="G11" i="7"/>
  <c r="H10" i="7"/>
  <c r="G10" i="7"/>
  <c r="H9" i="7"/>
  <c r="G9" i="7"/>
  <c r="H8" i="7"/>
  <c r="G8" i="7"/>
  <c r="H7" i="7"/>
  <c r="G7" i="7"/>
  <c r="F313" i="7" l="1"/>
  <c r="F317" i="7"/>
  <c r="F321" i="7"/>
  <c r="F325" i="7"/>
  <c r="F329" i="7"/>
  <c r="F333" i="7"/>
  <c r="F337" i="7"/>
  <c r="F341" i="7"/>
  <c r="F345" i="7"/>
  <c r="F349" i="7"/>
  <c r="F353" i="7"/>
  <c r="F357" i="7"/>
  <c r="F361" i="7"/>
  <c r="F365" i="7"/>
  <c r="F369" i="7"/>
  <c r="F373" i="7"/>
  <c r="F377" i="7"/>
  <c r="F381" i="7"/>
  <c r="F385" i="7"/>
  <c r="F314" i="7"/>
  <c r="F318" i="7"/>
  <c r="F322" i="7"/>
  <c r="F326" i="7"/>
  <c r="F330" i="7"/>
  <c r="F334" i="7"/>
  <c r="F338" i="7"/>
  <c r="F346" i="7"/>
  <c r="F354" i="7"/>
  <c r="F362" i="7"/>
  <c r="F370" i="7"/>
  <c r="F378" i="7"/>
  <c r="F386" i="7"/>
  <c r="F315" i="7"/>
  <c r="F319" i="7"/>
  <c r="F323" i="7"/>
  <c r="F327" i="7"/>
  <c r="F331" i="7"/>
  <c r="F335" i="7"/>
  <c r="F339" i="7"/>
  <c r="F343" i="7"/>
  <c r="F347" i="7"/>
  <c r="F351" i="7"/>
  <c r="F355" i="7"/>
  <c r="F359" i="7"/>
  <c r="F363" i="7"/>
  <c r="F367" i="7"/>
  <c r="F371" i="7"/>
  <c r="F375" i="7"/>
  <c r="F379" i="7"/>
  <c r="F383" i="7"/>
  <c r="F320" i="7"/>
  <c r="F328" i="7"/>
  <c r="F336" i="7"/>
  <c r="F344" i="7"/>
  <c r="F352" i="7"/>
  <c r="F360" i="7"/>
  <c r="F368" i="7"/>
  <c r="F376" i="7"/>
  <c r="F384" i="7"/>
  <c r="I9" i="7"/>
  <c r="F281" i="7"/>
  <c r="F11" i="7"/>
  <c r="F8" i="7"/>
  <c r="F16" i="7"/>
  <c r="F20" i="7"/>
  <c r="F24" i="7"/>
  <c r="F28" i="7"/>
  <c r="F12" i="7"/>
  <c r="F9" i="7"/>
  <c r="F17" i="7"/>
  <c r="F21" i="7"/>
  <c r="F25" i="7"/>
  <c r="F29" i="7"/>
  <c r="F13" i="7"/>
  <c r="F10" i="7"/>
  <c r="F18" i="7"/>
  <c r="F22" i="7"/>
  <c r="F26" i="7"/>
  <c r="F30" i="7"/>
  <c r="F14" i="7"/>
  <c r="F15" i="7"/>
  <c r="F19" i="7"/>
  <c r="F23" i="7"/>
  <c r="F27" i="7"/>
  <c r="F57" i="7"/>
  <c r="F305" i="7"/>
  <c r="F297" i="7"/>
  <c r="F289" i="7"/>
  <c r="F35" i="7"/>
  <c r="F273" i="7"/>
  <c r="F265" i="7"/>
  <c r="F241" i="7"/>
  <c r="F185" i="7"/>
  <c r="F129" i="7"/>
  <c r="F49" i="7"/>
  <c r="F306" i="7"/>
  <c r="F298" i="7"/>
  <c r="F290" i="7"/>
  <c r="F282" i="7"/>
  <c r="F274" i="7"/>
  <c r="F266" i="7"/>
  <c r="F258" i="7"/>
  <c r="F250" i="7"/>
  <c r="F242" i="7"/>
  <c r="F234" i="7"/>
  <c r="F226" i="7"/>
  <c r="F218" i="7"/>
  <c r="F210" i="7"/>
  <c r="F202" i="7"/>
  <c r="F194" i="7"/>
  <c r="F186" i="7"/>
  <c r="F178" i="7"/>
  <c r="F170" i="7"/>
  <c r="F162" i="7"/>
  <c r="F154" i="7"/>
  <c r="F146" i="7"/>
  <c r="F138" i="7"/>
  <c r="F130" i="7"/>
  <c r="F122" i="7"/>
  <c r="F114" i="7"/>
  <c r="F106" i="7"/>
  <c r="F98" i="7"/>
  <c r="F90" i="7"/>
  <c r="F82" i="7"/>
  <c r="F74" i="7"/>
  <c r="F66" i="7"/>
  <c r="F58" i="7"/>
  <c r="F50" i="7"/>
  <c r="F42" i="7"/>
  <c r="F34" i="7"/>
  <c r="F209" i="7"/>
  <c r="F161" i="7"/>
  <c r="F105" i="7"/>
  <c r="F33" i="7"/>
  <c r="F312" i="7"/>
  <c r="F304" i="7"/>
  <c r="F296" i="7"/>
  <c r="F288" i="7"/>
  <c r="F280" i="7"/>
  <c r="F272" i="7"/>
  <c r="F264" i="7"/>
  <c r="F256" i="7"/>
  <c r="F248" i="7"/>
  <c r="F240" i="7"/>
  <c r="F232" i="7"/>
  <c r="F224" i="7"/>
  <c r="F216" i="7"/>
  <c r="F208" i="7"/>
  <c r="F200" i="7"/>
  <c r="F192" i="7"/>
  <c r="F184" i="7"/>
  <c r="F176" i="7"/>
  <c r="F168" i="7"/>
  <c r="F160" i="7"/>
  <c r="F152" i="7"/>
  <c r="F144" i="7"/>
  <c r="F136" i="7"/>
  <c r="F128" i="7"/>
  <c r="F120" i="7"/>
  <c r="F112" i="7"/>
  <c r="F104" i="7"/>
  <c r="F96" i="7"/>
  <c r="F88" i="7"/>
  <c r="F80" i="7"/>
  <c r="F72" i="7"/>
  <c r="F64" i="7"/>
  <c r="F56" i="7"/>
  <c r="F48" i="7"/>
  <c r="F40" i="7"/>
  <c r="F32" i="7"/>
  <c r="F233" i="7"/>
  <c r="F145" i="7"/>
  <c r="F89" i="7"/>
  <c r="F81" i="7"/>
  <c r="F311" i="7"/>
  <c r="F303" i="7"/>
  <c r="F295" i="7"/>
  <c r="F287" i="7"/>
  <c r="F279" i="7"/>
  <c r="F271" i="7"/>
  <c r="F263" i="7"/>
  <c r="F255" i="7"/>
  <c r="F247" i="7"/>
  <c r="F239" i="7"/>
  <c r="F231" i="7"/>
  <c r="F223" i="7"/>
  <c r="F215" i="7"/>
  <c r="F207" i="7"/>
  <c r="F199" i="7"/>
  <c r="F191" i="7"/>
  <c r="F183" i="7"/>
  <c r="F175" i="7"/>
  <c r="F167" i="7"/>
  <c r="F159" i="7"/>
  <c r="F151" i="7"/>
  <c r="F143" i="7"/>
  <c r="F135" i="7"/>
  <c r="F127" i="7"/>
  <c r="F119" i="7"/>
  <c r="F111" i="7"/>
  <c r="F103" i="7"/>
  <c r="F95" i="7"/>
  <c r="F87" i="7"/>
  <c r="F79" i="7"/>
  <c r="F71" i="7"/>
  <c r="F63" i="7"/>
  <c r="F55" i="7"/>
  <c r="F47" i="7"/>
  <c r="F39" i="7"/>
  <c r="F31" i="7"/>
  <c r="F249" i="7"/>
  <c r="F193" i="7"/>
  <c r="F113" i="7"/>
  <c r="F65" i="7"/>
  <c r="F7" i="7"/>
  <c r="F310" i="7"/>
  <c r="F302" i="7"/>
  <c r="F294" i="7"/>
  <c r="F286" i="7"/>
  <c r="F278" i="7"/>
  <c r="F270" i="7"/>
  <c r="F262" i="7"/>
  <c r="F254" i="7"/>
  <c r="F246" i="7"/>
  <c r="F238" i="7"/>
  <c r="F230" i="7"/>
  <c r="F222" i="7"/>
  <c r="F214" i="7"/>
  <c r="F206" i="7"/>
  <c r="F198" i="7"/>
  <c r="F190" i="7"/>
  <c r="F182" i="7"/>
  <c r="F174" i="7"/>
  <c r="F166" i="7"/>
  <c r="F158" i="7"/>
  <c r="F150" i="7"/>
  <c r="F142" i="7"/>
  <c r="F134" i="7"/>
  <c r="F126" i="7"/>
  <c r="F118" i="7"/>
  <c r="F110" i="7"/>
  <c r="F102" i="7"/>
  <c r="F94" i="7"/>
  <c r="F86" i="7"/>
  <c r="F78" i="7"/>
  <c r="F70" i="7"/>
  <c r="F62" i="7"/>
  <c r="F54" i="7"/>
  <c r="F46" i="7"/>
  <c r="F38" i="7"/>
  <c r="F225" i="7"/>
  <c r="F177" i="7"/>
  <c r="F121" i="7"/>
  <c r="F41" i="7"/>
  <c r="F309" i="7"/>
  <c r="F301" i="7"/>
  <c r="F293" i="7"/>
  <c r="F285" i="7"/>
  <c r="F277" i="7"/>
  <c r="F269" i="7"/>
  <c r="F261" i="7"/>
  <c r="F253" i="7"/>
  <c r="F245" i="7"/>
  <c r="F237" i="7"/>
  <c r="F229" i="7"/>
  <c r="F221" i="7"/>
  <c r="F213" i="7"/>
  <c r="F205" i="7"/>
  <c r="F197" i="7"/>
  <c r="F189" i="7"/>
  <c r="F181" i="7"/>
  <c r="F173" i="7"/>
  <c r="F165" i="7"/>
  <c r="F157" i="7"/>
  <c r="F149" i="7"/>
  <c r="F141" i="7"/>
  <c r="F133" i="7"/>
  <c r="F125" i="7"/>
  <c r="F117" i="7"/>
  <c r="F109" i="7"/>
  <c r="F101" i="7"/>
  <c r="F93" i="7"/>
  <c r="F85" i="7"/>
  <c r="F77" i="7"/>
  <c r="F69" i="7"/>
  <c r="F61" i="7"/>
  <c r="F53" i="7"/>
  <c r="F45" i="7"/>
  <c r="F37" i="7"/>
  <c r="F257" i="7"/>
  <c r="F201" i="7"/>
  <c r="F153" i="7"/>
  <c r="F97" i="7"/>
  <c r="F73" i="7"/>
  <c r="F308" i="7"/>
  <c r="F300" i="7"/>
  <c r="F292" i="7"/>
  <c r="F284" i="7"/>
  <c r="F276" i="7"/>
  <c r="F268" i="7"/>
  <c r="F260" i="7"/>
  <c r="F252" i="7"/>
  <c r="F244" i="7"/>
  <c r="F236" i="7"/>
  <c r="F228" i="7"/>
  <c r="F220" i="7"/>
  <c r="F212" i="7"/>
  <c r="F204" i="7"/>
  <c r="F196" i="7"/>
  <c r="F188" i="7"/>
  <c r="F180" i="7"/>
  <c r="F172" i="7"/>
  <c r="F164" i="7"/>
  <c r="F156" i="7"/>
  <c r="F148" i="7"/>
  <c r="F140" i="7"/>
  <c r="F132" i="7"/>
  <c r="F124" i="7"/>
  <c r="F116" i="7"/>
  <c r="F108" i="7"/>
  <c r="F100" i="7"/>
  <c r="F92" i="7"/>
  <c r="F84" i="7"/>
  <c r="F76" i="7"/>
  <c r="F68" i="7"/>
  <c r="F60" i="7"/>
  <c r="F52" i="7"/>
  <c r="F44" i="7"/>
  <c r="F36" i="7"/>
  <c r="F217" i="7"/>
  <c r="F169" i="7"/>
  <c r="F137" i="7"/>
  <c r="F307" i="7"/>
  <c r="F299" i="7"/>
  <c r="F291" i="7"/>
  <c r="F283" i="7"/>
  <c r="F275" i="7"/>
  <c r="F267" i="7"/>
  <c r="F259" i="7"/>
  <c r="F251" i="7"/>
  <c r="F243" i="7"/>
  <c r="F235" i="7"/>
  <c r="F227" i="7"/>
  <c r="F219" i="7"/>
  <c r="F211" i="7"/>
  <c r="F203" i="7"/>
  <c r="F195" i="7"/>
  <c r="F187" i="7"/>
  <c r="F179" i="7"/>
  <c r="F171" i="7"/>
  <c r="F163" i="7"/>
  <c r="F155" i="7"/>
  <c r="F147" i="7"/>
  <c r="F139" i="7"/>
  <c r="F131" i="7"/>
  <c r="F123" i="7"/>
  <c r="F115" i="7"/>
  <c r="F107" i="7"/>
  <c r="F99" i="7"/>
  <c r="F91" i="7"/>
  <c r="F83" i="7"/>
  <c r="F75" i="7"/>
  <c r="F67" i="7"/>
  <c r="F59" i="7"/>
  <c r="F51" i="7"/>
  <c r="F43" i="7"/>
  <c r="C3" i="9"/>
  <c r="E50" i="9" s="1"/>
  <c r="X33" i="6" s="1"/>
  <c r="C4" i="9"/>
  <c r="C22" i="13"/>
  <c r="F22" i="3" s="1"/>
  <c r="C4" i="13"/>
  <c r="F4" i="3" s="1"/>
  <c r="C5" i="13"/>
  <c r="F5" i="3" s="1"/>
  <c r="C6" i="13"/>
  <c r="F6" i="3" s="1"/>
  <c r="C7" i="13"/>
  <c r="F7" i="3" s="1"/>
  <c r="C8" i="13"/>
  <c r="F8" i="3" s="1"/>
  <c r="C9" i="13"/>
  <c r="F9" i="3" s="1"/>
  <c r="C10" i="13"/>
  <c r="F10" i="3" s="1"/>
  <c r="C11" i="13"/>
  <c r="F11" i="3" s="1"/>
  <c r="C12" i="13"/>
  <c r="F12" i="3" s="1"/>
  <c r="C13" i="13"/>
  <c r="F13" i="3" s="1"/>
  <c r="C14" i="13"/>
  <c r="F14" i="3" s="1"/>
  <c r="C15" i="13"/>
  <c r="F15" i="3" s="1"/>
  <c r="C16" i="13"/>
  <c r="F16" i="3" s="1"/>
  <c r="C17" i="13"/>
  <c r="F17" i="3" s="1"/>
  <c r="C18" i="13"/>
  <c r="F18" i="3" s="1"/>
  <c r="C19" i="13"/>
  <c r="F19" i="3" s="1"/>
  <c r="C20" i="13"/>
  <c r="F20" i="3" s="1"/>
  <c r="C21" i="13"/>
  <c r="F21" i="3" s="1"/>
  <c r="C23" i="13"/>
  <c r="F23" i="3" s="1"/>
  <c r="Q9" i="7"/>
  <c r="S9" i="7"/>
  <c r="Q10" i="7"/>
  <c r="F12" i="6" s="1"/>
  <c r="S10" i="7"/>
  <c r="Q11" i="7"/>
  <c r="F13" i="6" s="1"/>
  <c r="S11" i="7"/>
  <c r="G8" i="13" s="1"/>
  <c r="Q12" i="7"/>
  <c r="F14" i="6" s="1"/>
  <c r="S12" i="7"/>
  <c r="H14" i="6" s="1"/>
  <c r="Q13" i="7"/>
  <c r="F15" i="6" s="1"/>
  <c r="S13" i="7"/>
  <c r="Q14" i="7"/>
  <c r="S14" i="7"/>
  <c r="Q15" i="7"/>
  <c r="F17" i="6" s="1"/>
  <c r="S15" i="7"/>
  <c r="G12" i="13" s="1"/>
  <c r="Q16" i="7"/>
  <c r="S16" i="7"/>
  <c r="H18" i="6" s="1"/>
  <c r="Q17" i="7"/>
  <c r="F19" i="6" s="1"/>
  <c r="S17" i="7"/>
  <c r="Q18" i="7"/>
  <c r="F20" i="6" s="1"/>
  <c r="S18" i="7"/>
  <c r="Q19" i="7"/>
  <c r="F21" i="6" s="1"/>
  <c r="S19" i="7"/>
  <c r="G16" i="13" s="1"/>
  <c r="Q20" i="7"/>
  <c r="F22" i="6" s="1"/>
  <c r="S20" i="7"/>
  <c r="Q21" i="7"/>
  <c r="F23" i="6" s="1"/>
  <c r="S21" i="7"/>
  <c r="Q22" i="7"/>
  <c r="F24" i="6" s="1"/>
  <c r="S22" i="7"/>
  <c r="Q23" i="7"/>
  <c r="F25" i="6" s="1"/>
  <c r="S23" i="7"/>
  <c r="G20" i="13" s="1"/>
  <c r="Q24" i="7"/>
  <c r="F26" i="6" s="1"/>
  <c r="S24" i="7"/>
  <c r="H26" i="6" s="1"/>
  <c r="Q25" i="7"/>
  <c r="F27" i="6" s="1"/>
  <c r="S25" i="7"/>
  <c r="Q26" i="7"/>
  <c r="F28" i="6" s="1"/>
  <c r="S26" i="7"/>
  <c r="Q27" i="7"/>
  <c r="F29" i="6" s="1"/>
  <c r="S27" i="7"/>
  <c r="G24" i="13" s="1"/>
  <c r="Q28" i="7"/>
  <c r="F30" i="6" s="1"/>
  <c r="S28" i="7"/>
  <c r="H30" i="6" s="1"/>
  <c r="Q29" i="7"/>
  <c r="F31" i="6" s="1"/>
  <c r="S29" i="7"/>
  <c r="Q30" i="7"/>
  <c r="F32" i="6" s="1"/>
  <c r="S30" i="7"/>
  <c r="Q31" i="7"/>
  <c r="F33" i="6" s="1"/>
  <c r="S31" i="7"/>
  <c r="G28" i="13" s="1"/>
  <c r="Q32" i="7"/>
  <c r="F34" i="6" s="1"/>
  <c r="S32" i="7"/>
  <c r="H34" i="6" s="1"/>
  <c r="Q33" i="7"/>
  <c r="S33" i="7"/>
  <c r="Q34" i="7"/>
  <c r="S34" i="7"/>
  <c r="Q35" i="7"/>
  <c r="F37" i="6" s="1"/>
  <c r="S35" i="7"/>
  <c r="Q36" i="7"/>
  <c r="S36" i="7"/>
  <c r="H38" i="6" s="1"/>
  <c r="Q37" i="7"/>
  <c r="F39" i="6" s="1"/>
  <c r="S37" i="7"/>
  <c r="Q38" i="7"/>
  <c r="F35" i="13" s="1"/>
  <c r="S38" i="7"/>
  <c r="Q39" i="7"/>
  <c r="F41" i="6" s="1"/>
  <c r="S39" i="7"/>
  <c r="G36" i="13" s="1"/>
  <c r="Q40" i="7"/>
  <c r="F42" i="6" s="1"/>
  <c r="S40" i="7"/>
  <c r="Q41" i="7"/>
  <c r="F43" i="6" s="1"/>
  <c r="S41" i="7"/>
  <c r="Q42" i="7"/>
  <c r="F39" i="13" s="1"/>
  <c r="S42" i="7"/>
  <c r="Q43" i="7"/>
  <c r="F45" i="6" s="1"/>
  <c r="S43" i="7"/>
  <c r="G40" i="13" s="1"/>
  <c r="Q44" i="7"/>
  <c r="F41" i="13" s="1"/>
  <c r="S44" i="7"/>
  <c r="H46" i="6" s="1"/>
  <c r="Q45" i="7"/>
  <c r="F47" i="6" s="1"/>
  <c r="S45" i="7"/>
  <c r="Q46" i="7"/>
  <c r="F48" i="6" s="1"/>
  <c r="S46" i="7"/>
  <c r="H48" i="6" s="1"/>
  <c r="Q47" i="7"/>
  <c r="F44" i="13" s="1"/>
  <c r="S47" i="7"/>
  <c r="Q48" i="7"/>
  <c r="F50" i="6" s="1"/>
  <c r="S48" i="7"/>
  <c r="G45" i="13" s="1"/>
  <c r="Q49" i="7"/>
  <c r="F51" i="6" s="1"/>
  <c r="S49" i="7"/>
  <c r="H51" i="6" s="1"/>
  <c r="Q50" i="7"/>
  <c r="F52" i="6" s="1"/>
  <c r="S50" i="7"/>
  <c r="H52" i="6" s="1"/>
  <c r="Q51" i="7"/>
  <c r="F53" i="6" s="1"/>
  <c r="S51" i="7"/>
  <c r="Q52" i="7"/>
  <c r="F54" i="6" s="1"/>
  <c r="S52" i="7"/>
  <c r="G49" i="13" s="1"/>
  <c r="Q53" i="7"/>
  <c r="F55" i="6" s="1"/>
  <c r="S53" i="7"/>
  <c r="H55" i="6" s="1"/>
  <c r="Q54" i="7"/>
  <c r="F56" i="6" s="1"/>
  <c r="S54" i="7"/>
  <c r="H56" i="6" s="1"/>
  <c r="Q55" i="7"/>
  <c r="F57" i="6" s="1"/>
  <c r="S55" i="7"/>
  <c r="Q56" i="7"/>
  <c r="F53" i="13" s="1"/>
  <c r="S56" i="7"/>
  <c r="G53" i="13" s="1"/>
  <c r="Q57" i="7"/>
  <c r="F59" i="6" s="1"/>
  <c r="S57" i="7"/>
  <c r="H59" i="6" s="1"/>
  <c r="Q58" i="7"/>
  <c r="F60" i="6" s="1"/>
  <c r="S58" i="7"/>
  <c r="H60" i="6" s="1"/>
  <c r="Q59" i="7"/>
  <c r="F61" i="6" s="1"/>
  <c r="S59" i="7"/>
  <c r="Q60" i="7"/>
  <c r="F62" i="6" s="1"/>
  <c r="S60" i="7"/>
  <c r="G57" i="13" s="1"/>
  <c r="Q61" i="7"/>
  <c r="S61" i="7"/>
  <c r="H63" i="6" s="1"/>
  <c r="Q62" i="7"/>
  <c r="F64" i="6" s="1"/>
  <c r="S62" i="7"/>
  <c r="H64" i="6" s="1"/>
  <c r="Q63" i="7"/>
  <c r="F60" i="13" s="1"/>
  <c r="S63" i="7"/>
  <c r="Q64" i="7"/>
  <c r="F66" i="6" s="1"/>
  <c r="S64" i="7"/>
  <c r="G61" i="13" s="1"/>
  <c r="Q65" i="7"/>
  <c r="F67" i="6" s="1"/>
  <c r="S65" i="7"/>
  <c r="H67" i="6" s="1"/>
  <c r="Q66" i="7"/>
  <c r="F68" i="6" s="1"/>
  <c r="S66" i="7"/>
  <c r="Q67" i="7"/>
  <c r="F69" i="6" s="1"/>
  <c r="S67" i="7"/>
  <c r="Q68" i="7"/>
  <c r="F65" i="13" s="1"/>
  <c r="S68" i="7"/>
  <c r="G65" i="13" s="1"/>
  <c r="Q69" i="7"/>
  <c r="F71" i="6" s="1"/>
  <c r="S69" i="7"/>
  <c r="H71" i="6" s="1"/>
  <c r="Q70" i="7"/>
  <c r="F72" i="6" s="1"/>
  <c r="S70" i="7"/>
  <c r="H72" i="6" s="1"/>
  <c r="Q71" i="7"/>
  <c r="F73" i="6" s="1"/>
  <c r="S71" i="7"/>
  <c r="Q72" i="7"/>
  <c r="F74" i="6" s="1"/>
  <c r="S72" i="7"/>
  <c r="G69" i="13" s="1"/>
  <c r="Q73" i="7"/>
  <c r="F75" i="6" s="1"/>
  <c r="S73" i="7"/>
  <c r="H75" i="6" s="1"/>
  <c r="Q74" i="7"/>
  <c r="F76" i="6" s="1"/>
  <c r="S74" i="7"/>
  <c r="H76" i="6" s="1"/>
  <c r="Q75" i="7"/>
  <c r="F77" i="6" s="1"/>
  <c r="S75" i="7"/>
  <c r="Q76" i="7"/>
  <c r="F78" i="6" s="1"/>
  <c r="S76" i="7"/>
  <c r="G73" i="13" s="1"/>
  <c r="Q77" i="7"/>
  <c r="S77" i="7"/>
  <c r="H79" i="6" s="1"/>
  <c r="Q78" i="7"/>
  <c r="F80" i="6" s="1"/>
  <c r="S78" i="7"/>
  <c r="H80" i="6" s="1"/>
  <c r="Q79" i="7"/>
  <c r="F76" i="13" s="1"/>
  <c r="S79" i="7"/>
  <c r="Q80" i="7"/>
  <c r="F82" i="6" s="1"/>
  <c r="S80" i="7"/>
  <c r="G77" i="13" s="1"/>
  <c r="Q81" i="7"/>
  <c r="F83" i="6" s="1"/>
  <c r="S81" i="7"/>
  <c r="H83" i="6" s="1"/>
  <c r="Q82" i="7"/>
  <c r="F84" i="6" s="1"/>
  <c r="S82" i="7"/>
  <c r="Q83" i="7"/>
  <c r="F85" i="6" s="1"/>
  <c r="S83" i="7"/>
  <c r="Q84" i="7"/>
  <c r="F86" i="6" s="1"/>
  <c r="S84" i="7"/>
  <c r="G81" i="13" s="1"/>
  <c r="Q85" i="7"/>
  <c r="F87" i="6" s="1"/>
  <c r="S85" i="7"/>
  <c r="H87" i="6" s="1"/>
  <c r="Q86" i="7"/>
  <c r="F88" i="6" s="1"/>
  <c r="S86" i="7"/>
  <c r="H88" i="6" s="1"/>
  <c r="Q87" i="7"/>
  <c r="F89" i="6" s="1"/>
  <c r="S87" i="7"/>
  <c r="Q88" i="7"/>
  <c r="F85" i="13" s="1"/>
  <c r="S88" i="7"/>
  <c r="G85" i="13" s="1"/>
  <c r="Q89" i="7"/>
  <c r="F91" i="6" s="1"/>
  <c r="S89" i="7"/>
  <c r="G86" i="13" s="1"/>
  <c r="Q90" i="7"/>
  <c r="F92" i="6" s="1"/>
  <c r="S90" i="7"/>
  <c r="H92" i="6" s="1"/>
  <c r="Q91" i="7"/>
  <c r="F88" i="13" s="1"/>
  <c r="S91" i="7"/>
  <c r="Q92" i="7"/>
  <c r="F94" i="6" s="1"/>
  <c r="S92" i="7"/>
  <c r="G89" i="13" s="1"/>
  <c r="Q93" i="7"/>
  <c r="S93" i="7"/>
  <c r="G90" i="13" s="1"/>
  <c r="Q94" i="7"/>
  <c r="F96" i="6" s="1"/>
  <c r="S94" i="7"/>
  <c r="H96" i="6" s="1"/>
  <c r="Q95" i="7"/>
  <c r="F92" i="13" s="1"/>
  <c r="S95" i="7"/>
  <c r="Q96" i="7"/>
  <c r="F98" i="6" s="1"/>
  <c r="S96" i="7"/>
  <c r="G93" i="13" s="1"/>
  <c r="Q97" i="7"/>
  <c r="F99" i="6" s="1"/>
  <c r="S97" i="7"/>
  <c r="H99" i="6" s="1"/>
  <c r="Q98" i="7"/>
  <c r="F100" i="6" s="1"/>
  <c r="S98" i="7"/>
  <c r="Q99" i="7"/>
  <c r="F101" i="6" s="1"/>
  <c r="S99" i="7"/>
  <c r="Q100" i="7"/>
  <c r="F97" i="13" s="1"/>
  <c r="S100" i="7"/>
  <c r="G97" i="13" s="1"/>
  <c r="Q101" i="7"/>
  <c r="F103" i="6" s="1"/>
  <c r="S101" i="7"/>
  <c r="H103" i="6" s="1"/>
  <c r="Q102" i="7"/>
  <c r="F104" i="6" s="1"/>
  <c r="S102" i="7"/>
  <c r="H104" i="6" s="1"/>
  <c r="Q103" i="7"/>
  <c r="F105" i="6" s="1"/>
  <c r="S103" i="7"/>
  <c r="Q104" i="7"/>
  <c r="F106" i="6" s="1"/>
  <c r="S104" i="7"/>
  <c r="G101" i="13" s="1"/>
  <c r="Q105" i="7"/>
  <c r="F107" i="6" s="1"/>
  <c r="S105" i="7"/>
  <c r="G102" i="13" s="1"/>
  <c r="Q106" i="7"/>
  <c r="F108" i="6" s="1"/>
  <c r="S106" i="7"/>
  <c r="H108" i="6" s="1"/>
  <c r="Q107" i="7"/>
  <c r="F104" i="13" s="1"/>
  <c r="S107" i="7"/>
  <c r="Q108" i="7"/>
  <c r="S108" i="7"/>
  <c r="Q109" i="7"/>
  <c r="F111" i="6" s="1"/>
  <c r="S109" i="7"/>
  <c r="H111" i="6" s="1"/>
  <c r="Q110" i="7"/>
  <c r="S110" i="7"/>
  <c r="H112" i="6" s="1"/>
  <c r="Q111" i="7"/>
  <c r="F113" i="6" s="1"/>
  <c r="S111" i="7"/>
  <c r="Q112" i="7"/>
  <c r="S112" i="7"/>
  <c r="G109" i="13" s="1"/>
  <c r="Q113" i="7"/>
  <c r="F115" i="6" s="1"/>
  <c r="S113" i="7"/>
  <c r="Q114" i="7"/>
  <c r="F116" i="6" s="1"/>
  <c r="S114" i="7"/>
  <c r="Q115" i="7"/>
  <c r="S115" i="7"/>
  <c r="Q116" i="7"/>
  <c r="F118" i="6" s="1"/>
  <c r="S116" i="7"/>
  <c r="G113" i="13" s="1"/>
  <c r="Q117" i="7"/>
  <c r="F119" i="6" s="1"/>
  <c r="S117" i="7"/>
  <c r="H119" i="6" s="1"/>
  <c r="Q118" i="7"/>
  <c r="F120" i="6" s="1"/>
  <c r="S118" i="7"/>
  <c r="H120" i="6" s="1"/>
  <c r="Q119" i="7"/>
  <c r="F121" i="6" s="1"/>
  <c r="S119" i="7"/>
  <c r="Q120" i="7"/>
  <c r="F122" i="6" s="1"/>
  <c r="S120" i="7"/>
  <c r="Q121" i="7"/>
  <c r="F123" i="6" s="1"/>
  <c r="S121" i="7"/>
  <c r="G118" i="13" s="1"/>
  <c r="Q122" i="7"/>
  <c r="F124" i="6" s="1"/>
  <c r="S122" i="7"/>
  <c r="H124" i="6" s="1"/>
  <c r="Q123" i="7"/>
  <c r="F120" i="13" s="1"/>
  <c r="S123" i="7"/>
  <c r="Q124" i="7"/>
  <c r="F126" i="6" s="1"/>
  <c r="S124" i="7"/>
  <c r="Q125" i="7"/>
  <c r="F127" i="6" s="1"/>
  <c r="S125" i="7"/>
  <c r="H127" i="6" s="1"/>
  <c r="Q126" i="7"/>
  <c r="F128" i="6" s="1"/>
  <c r="S126" i="7"/>
  <c r="H128" i="6" s="1"/>
  <c r="Q127" i="7"/>
  <c r="F129" i="6" s="1"/>
  <c r="S127" i="7"/>
  <c r="Q128" i="7"/>
  <c r="S128" i="7"/>
  <c r="G125" i="13" s="1"/>
  <c r="Q129" i="7"/>
  <c r="F131" i="6" s="1"/>
  <c r="S129" i="7"/>
  <c r="Q130" i="7"/>
  <c r="S130" i="7"/>
  <c r="Q131" i="7"/>
  <c r="S131" i="7"/>
  <c r="Q132" i="7"/>
  <c r="F129" i="13" s="1"/>
  <c r="S132" i="7"/>
  <c r="G129" i="13" s="1"/>
  <c r="Q133" i="7"/>
  <c r="F135" i="6" s="1"/>
  <c r="S133" i="7"/>
  <c r="H135" i="6" s="1"/>
  <c r="Q134" i="7"/>
  <c r="F136" i="6" s="1"/>
  <c r="S134" i="7"/>
  <c r="H136" i="6" s="1"/>
  <c r="Q135" i="7"/>
  <c r="F137" i="6" s="1"/>
  <c r="S135" i="7"/>
  <c r="Q136" i="7"/>
  <c r="F138" i="6" s="1"/>
  <c r="S136" i="7"/>
  <c r="Q137" i="7"/>
  <c r="F139" i="6" s="1"/>
  <c r="S137" i="7"/>
  <c r="G134" i="13" s="1"/>
  <c r="Q138" i="7"/>
  <c r="F140" i="6" s="1"/>
  <c r="S138" i="7"/>
  <c r="H140" i="6" s="1"/>
  <c r="Q139" i="7"/>
  <c r="F136" i="13" s="1"/>
  <c r="S139" i="7"/>
  <c r="Q140" i="7"/>
  <c r="F142" i="6" s="1"/>
  <c r="S140" i="7"/>
  <c r="Q141" i="7"/>
  <c r="F143" i="6" s="1"/>
  <c r="S141" i="7"/>
  <c r="Q142" i="7"/>
  <c r="F144" i="6" s="1"/>
  <c r="S142" i="7"/>
  <c r="H144" i="6" s="1"/>
  <c r="Q143" i="7"/>
  <c r="S143" i="7"/>
  <c r="Q144" i="7"/>
  <c r="F146" i="6" s="1"/>
  <c r="S144" i="7"/>
  <c r="G141" i="13" s="1"/>
  <c r="Q145" i="7"/>
  <c r="F147" i="6" s="1"/>
  <c r="S145" i="7"/>
  <c r="Q146" i="7"/>
  <c r="F148" i="6" s="1"/>
  <c r="S146" i="7"/>
  <c r="Q147" i="7"/>
  <c r="F149" i="6" s="1"/>
  <c r="S147" i="7"/>
  <c r="G144" i="13" s="1"/>
  <c r="Q148" i="7"/>
  <c r="F150" i="6" s="1"/>
  <c r="S148" i="7"/>
  <c r="H150" i="6" s="1"/>
  <c r="Q149" i="7"/>
  <c r="F151" i="6" s="1"/>
  <c r="S149" i="7"/>
  <c r="Q150" i="7"/>
  <c r="F152" i="6" s="1"/>
  <c r="S150" i="7"/>
  <c r="Q151" i="7"/>
  <c r="F153" i="6" s="1"/>
  <c r="S151" i="7"/>
  <c r="G148" i="13" s="1"/>
  <c r="Q152" i="7"/>
  <c r="F154" i="6" s="1"/>
  <c r="S152" i="7"/>
  <c r="H154" i="6" s="1"/>
  <c r="Q153" i="7"/>
  <c r="F155" i="6" s="1"/>
  <c r="S153" i="7"/>
  <c r="Q154" i="7"/>
  <c r="F151" i="13" s="1"/>
  <c r="S154" i="7"/>
  <c r="Q155" i="7"/>
  <c r="F157" i="6" s="1"/>
  <c r="S155" i="7"/>
  <c r="G152" i="13" s="1"/>
  <c r="Q156" i="7"/>
  <c r="F158" i="6" s="1"/>
  <c r="S156" i="7"/>
  <c r="H158" i="6" s="1"/>
  <c r="Q157" i="7"/>
  <c r="F159" i="6" s="1"/>
  <c r="S157" i="7"/>
  <c r="Q158" i="7"/>
  <c r="F160" i="6" s="1"/>
  <c r="S158" i="7"/>
  <c r="Q159" i="7"/>
  <c r="F161" i="6" s="1"/>
  <c r="S159" i="7"/>
  <c r="G156" i="13" s="1"/>
  <c r="Q160" i="7"/>
  <c r="F162" i="6" s="1"/>
  <c r="S160" i="7"/>
  <c r="H162" i="6" s="1"/>
  <c r="Q161" i="7"/>
  <c r="F163" i="6" s="1"/>
  <c r="S161" i="7"/>
  <c r="Q162" i="7"/>
  <c r="F164" i="6" s="1"/>
  <c r="S162" i="7"/>
  <c r="Q163" i="7"/>
  <c r="F165" i="6" s="1"/>
  <c r="S163" i="7"/>
  <c r="G160" i="13" s="1"/>
  <c r="Q164" i="7"/>
  <c r="F166" i="6" s="1"/>
  <c r="S164" i="7"/>
  <c r="H166" i="6" s="1"/>
  <c r="Q165" i="7"/>
  <c r="F167" i="6" s="1"/>
  <c r="S165" i="7"/>
  <c r="Q166" i="7"/>
  <c r="F168" i="6" s="1"/>
  <c r="S166" i="7"/>
  <c r="G163" i="13" s="1"/>
  <c r="Q167" i="7"/>
  <c r="F169" i="6" s="1"/>
  <c r="S167" i="7"/>
  <c r="G164" i="13" s="1"/>
  <c r="Q168" i="7"/>
  <c r="F170" i="6" s="1"/>
  <c r="S168" i="7"/>
  <c r="H170" i="6" s="1"/>
  <c r="Q169" i="7"/>
  <c r="F166" i="13" s="1"/>
  <c r="S169" i="7"/>
  <c r="Q170" i="7"/>
  <c r="F172" i="6" s="1"/>
  <c r="S170" i="7"/>
  <c r="G167" i="13" s="1"/>
  <c r="Q171" i="7"/>
  <c r="F173" i="6" s="1"/>
  <c r="S171" i="7"/>
  <c r="H173" i="6" s="1"/>
  <c r="Q172" i="7"/>
  <c r="F174" i="6" s="1"/>
  <c r="S172" i="7"/>
  <c r="H174" i="6" s="1"/>
  <c r="Q173" i="7"/>
  <c r="F175" i="6" s="1"/>
  <c r="S173" i="7"/>
  <c r="Q174" i="7"/>
  <c r="F176" i="6" s="1"/>
  <c r="S174" i="7"/>
  <c r="G171" i="13" s="1"/>
  <c r="Q175" i="7"/>
  <c r="F177" i="6" s="1"/>
  <c r="S175" i="7"/>
  <c r="G172" i="13" s="1"/>
  <c r="Q176" i="7"/>
  <c r="F178" i="6" s="1"/>
  <c r="S176" i="7"/>
  <c r="H178" i="6" s="1"/>
  <c r="Q177" i="7"/>
  <c r="F174" i="13" s="1"/>
  <c r="S177" i="7"/>
  <c r="Q178" i="7"/>
  <c r="F175" i="13" s="1"/>
  <c r="S178" i="7"/>
  <c r="G175" i="13" s="1"/>
  <c r="Q179" i="7"/>
  <c r="F181" i="6" s="1"/>
  <c r="S179" i="7"/>
  <c r="H181" i="6" s="1"/>
  <c r="Q180" i="7"/>
  <c r="F182" i="6" s="1"/>
  <c r="S180" i="7"/>
  <c r="H182" i="6" s="1"/>
  <c r="Q181" i="7"/>
  <c r="F183" i="6" s="1"/>
  <c r="S181" i="7"/>
  <c r="Q182" i="7"/>
  <c r="F184" i="6" s="1"/>
  <c r="S182" i="7"/>
  <c r="G179" i="13" s="1"/>
  <c r="Q183" i="7"/>
  <c r="F185" i="6" s="1"/>
  <c r="S183" i="7"/>
  <c r="G180" i="13" s="1"/>
  <c r="Q184" i="7"/>
  <c r="F186" i="6" s="1"/>
  <c r="S184" i="7"/>
  <c r="H186" i="6" s="1"/>
  <c r="Q185" i="7"/>
  <c r="F182" i="13" s="1"/>
  <c r="S185" i="7"/>
  <c r="Q186" i="7"/>
  <c r="F188" i="6" s="1"/>
  <c r="S186" i="7"/>
  <c r="G183" i="13" s="1"/>
  <c r="Q187" i="7"/>
  <c r="F189" i="6" s="1"/>
  <c r="S187" i="7"/>
  <c r="H189" i="6" s="1"/>
  <c r="Q188" i="7"/>
  <c r="F190" i="6" s="1"/>
  <c r="S188" i="7"/>
  <c r="H190" i="6" s="1"/>
  <c r="Q189" i="7"/>
  <c r="F191" i="6" s="1"/>
  <c r="S189" i="7"/>
  <c r="Q190" i="7"/>
  <c r="F192" i="6" s="1"/>
  <c r="S190" i="7"/>
  <c r="G187" i="13" s="1"/>
  <c r="Q191" i="7"/>
  <c r="F193" i="6" s="1"/>
  <c r="S191" i="7"/>
  <c r="H193" i="6" s="1"/>
  <c r="Q192" i="7"/>
  <c r="F194" i="6" s="1"/>
  <c r="S192" i="7"/>
  <c r="H194" i="6" s="1"/>
  <c r="Q193" i="7"/>
  <c r="F195" i="6" s="1"/>
  <c r="S193" i="7"/>
  <c r="Q194" i="7"/>
  <c r="F191" i="13" s="1"/>
  <c r="S194" i="7"/>
  <c r="G191" i="13" s="1"/>
  <c r="Q195" i="7"/>
  <c r="F197" i="6" s="1"/>
  <c r="S195" i="7"/>
  <c r="H197" i="6" s="1"/>
  <c r="Q196" i="7"/>
  <c r="F198" i="6" s="1"/>
  <c r="S196" i="7"/>
  <c r="H198" i="6" s="1"/>
  <c r="Q197" i="7"/>
  <c r="F199" i="6" s="1"/>
  <c r="S197" i="7"/>
  <c r="G194" i="13" s="1"/>
  <c r="Q198" i="7"/>
  <c r="F195" i="13" s="1"/>
  <c r="S198" i="7"/>
  <c r="G195" i="13" s="1"/>
  <c r="Q199" i="7"/>
  <c r="F201" i="6" s="1"/>
  <c r="S199" i="7"/>
  <c r="H201" i="6" s="1"/>
  <c r="Q200" i="7"/>
  <c r="F202" i="6" s="1"/>
  <c r="S200" i="7"/>
  <c r="H202" i="6" s="1"/>
  <c r="Q201" i="7"/>
  <c r="F198" i="13" s="1"/>
  <c r="S201" i="7"/>
  <c r="G198" i="13" s="1"/>
  <c r="Q202" i="7"/>
  <c r="F199" i="13" s="1"/>
  <c r="S202" i="7"/>
  <c r="H204" i="6" s="1"/>
  <c r="Q203" i="7"/>
  <c r="F200" i="13" s="1"/>
  <c r="S203" i="7"/>
  <c r="G200" i="13" s="1"/>
  <c r="Q204" i="7"/>
  <c r="F201" i="13" s="1"/>
  <c r="S204" i="7"/>
  <c r="H206" i="6" s="1"/>
  <c r="Q205" i="7"/>
  <c r="F202" i="13" s="1"/>
  <c r="S205" i="7"/>
  <c r="H207" i="6" s="1"/>
  <c r="Q206" i="7"/>
  <c r="F203" i="13" s="1"/>
  <c r="S206" i="7"/>
  <c r="G203" i="13" s="1"/>
  <c r="Q207" i="7"/>
  <c r="F209" i="6" s="1"/>
  <c r="S207" i="7"/>
  <c r="H209" i="6" s="1"/>
  <c r="Q208" i="7"/>
  <c r="F205" i="13" s="1"/>
  <c r="S208" i="7"/>
  <c r="H210" i="6" s="1"/>
  <c r="Q209" i="7"/>
  <c r="F206" i="13" s="1"/>
  <c r="S209" i="7"/>
  <c r="H211" i="6" s="1"/>
  <c r="Q210" i="7"/>
  <c r="F207" i="13" s="1"/>
  <c r="S210" i="7"/>
  <c r="G207" i="13" s="1"/>
  <c r="Q211" i="7"/>
  <c r="S211" i="7"/>
  <c r="H213" i="6" s="1"/>
  <c r="Q212" i="7"/>
  <c r="F214" i="6" s="1"/>
  <c r="S212" i="7"/>
  <c r="G209" i="13" s="1"/>
  <c r="Q213" i="7"/>
  <c r="F210" i="13" s="1"/>
  <c r="S213" i="7"/>
  <c r="H215" i="6" s="1"/>
  <c r="Q214" i="7"/>
  <c r="F211" i="13" s="1"/>
  <c r="S214" i="7"/>
  <c r="Q215" i="7"/>
  <c r="F217" i="6" s="1"/>
  <c r="S215" i="7"/>
  <c r="H217" i="6" s="1"/>
  <c r="Q216" i="7"/>
  <c r="F218" i="6" s="1"/>
  <c r="S216" i="7"/>
  <c r="H218" i="6" s="1"/>
  <c r="Q217" i="7"/>
  <c r="F219" i="6" s="1"/>
  <c r="S217" i="7"/>
  <c r="H219" i="6" s="1"/>
  <c r="Q218" i="7"/>
  <c r="S218" i="7"/>
  <c r="H220" i="6" s="1"/>
  <c r="Q219" i="7"/>
  <c r="F221" i="6" s="1"/>
  <c r="S219" i="7"/>
  <c r="G216" i="13" s="1"/>
  <c r="Q220" i="7"/>
  <c r="F222" i="6" s="1"/>
  <c r="S220" i="7"/>
  <c r="H222" i="6" s="1"/>
  <c r="Q221" i="7"/>
  <c r="F223" i="6" s="1"/>
  <c r="S221" i="7"/>
  <c r="H223" i="6" s="1"/>
  <c r="Q222" i="7"/>
  <c r="F224" i="6" s="1"/>
  <c r="S222" i="7"/>
  <c r="H224" i="6" s="1"/>
  <c r="Q223" i="7"/>
  <c r="F220" i="13" s="1"/>
  <c r="S223" i="7"/>
  <c r="G220" i="13" s="1"/>
  <c r="Q224" i="7"/>
  <c r="F226" i="6" s="1"/>
  <c r="S224" i="7"/>
  <c r="G221" i="13" s="1"/>
  <c r="Q225" i="7"/>
  <c r="F227" i="6" s="1"/>
  <c r="S225" i="7"/>
  <c r="Q226" i="7"/>
  <c r="F228" i="6" s="1"/>
  <c r="S226" i="7"/>
  <c r="H228" i="6" s="1"/>
  <c r="Q227" i="7"/>
  <c r="F224" i="13" s="1"/>
  <c r="S227" i="7"/>
  <c r="Q228" i="7"/>
  <c r="F230" i="6" s="1"/>
  <c r="S228" i="7"/>
  <c r="H230" i="6" s="1"/>
  <c r="Q229" i="7"/>
  <c r="F231" i="6" s="1"/>
  <c r="S229" i="7"/>
  <c r="H231" i="6" s="1"/>
  <c r="Q230" i="7"/>
  <c r="F232" i="6" s="1"/>
  <c r="S230" i="7"/>
  <c r="H232" i="6" s="1"/>
  <c r="Q231" i="7"/>
  <c r="F228" i="13" s="1"/>
  <c r="S231" i="7"/>
  <c r="Q232" i="7"/>
  <c r="S232" i="7"/>
  <c r="Q233" i="7"/>
  <c r="F235" i="6" s="1"/>
  <c r="S233" i="7"/>
  <c r="H235" i="6" s="1"/>
  <c r="Q234" i="7"/>
  <c r="F231" i="13" s="1"/>
  <c r="S234" i="7"/>
  <c r="H236" i="6" s="1"/>
  <c r="Q235" i="7"/>
  <c r="F232" i="13" s="1"/>
  <c r="S235" i="7"/>
  <c r="Q236" i="7"/>
  <c r="S236" i="7"/>
  <c r="Q237" i="7"/>
  <c r="F239" i="6" s="1"/>
  <c r="S237" i="7"/>
  <c r="H239" i="6" s="1"/>
  <c r="Q238" i="7"/>
  <c r="F235" i="13" s="1"/>
  <c r="S238" i="7"/>
  <c r="Q239" i="7"/>
  <c r="F236" i="13" s="1"/>
  <c r="S239" i="7"/>
  <c r="Q240" i="7"/>
  <c r="S240" i="7"/>
  <c r="Q241" i="7"/>
  <c r="S241" i="7"/>
  <c r="H243" i="6" s="1"/>
  <c r="Q242" i="7"/>
  <c r="F244" i="6" s="1"/>
  <c r="S242" i="7"/>
  <c r="Q243" i="7"/>
  <c r="F240" i="13" s="1"/>
  <c r="S243" i="7"/>
  <c r="H245" i="6" s="1"/>
  <c r="Q244" i="7"/>
  <c r="S244" i="7"/>
  <c r="H246" i="6" s="1"/>
  <c r="Q245" i="7"/>
  <c r="S245" i="7"/>
  <c r="H247" i="6" s="1"/>
  <c r="Q246" i="7"/>
  <c r="F243" i="13" s="1"/>
  <c r="S246" i="7"/>
  <c r="Q247" i="7"/>
  <c r="F249" i="6" s="1"/>
  <c r="S247" i="7"/>
  <c r="G244" i="13" s="1"/>
  <c r="Q248" i="7"/>
  <c r="S248" i="7"/>
  <c r="H250" i="6" s="1"/>
  <c r="Q249" i="7"/>
  <c r="S249" i="7"/>
  <c r="H251" i="6" s="1"/>
  <c r="Q250" i="7"/>
  <c r="F247" i="13" s="1"/>
  <c r="S250" i="7"/>
  <c r="Q251" i="7"/>
  <c r="F253" i="6" s="1"/>
  <c r="S251" i="7"/>
  <c r="H253" i="6" s="1"/>
  <c r="Q252" i="7"/>
  <c r="S252" i="7"/>
  <c r="G249" i="13" s="1"/>
  <c r="Q253" i="7"/>
  <c r="S253" i="7"/>
  <c r="H255" i="6" s="1"/>
  <c r="Q254" i="7"/>
  <c r="F256" i="6" s="1"/>
  <c r="S254" i="7"/>
  <c r="Q255" i="7"/>
  <c r="F252" i="13" s="1"/>
  <c r="S255" i="7"/>
  <c r="Q256" i="7"/>
  <c r="S256" i="7"/>
  <c r="G253" i="13" s="1"/>
  <c r="Q257" i="7"/>
  <c r="F259" i="6" s="1"/>
  <c r="S257" i="7"/>
  <c r="H259" i="6" s="1"/>
  <c r="Q258" i="7"/>
  <c r="F260" i="6" s="1"/>
  <c r="S258" i="7"/>
  <c r="Q259" i="7"/>
  <c r="F256" i="13" s="1"/>
  <c r="S259" i="7"/>
  <c r="G256" i="13" s="1"/>
  <c r="Q260" i="7"/>
  <c r="S260" i="7"/>
  <c r="G257" i="13" s="1"/>
  <c r="Q261" i="7"/>
  <c r="F263" i="6" s="1"/>
  <c r="S261" i="7"/>
  <c r="H263" i="6" s="1"/>
  <c r="Q262" i="7"/>
  <c r="F259" i="13" s="1"/>
  <c r="S262" i="7"/>
  <c r="Q263" i="7"/>
  <c r="F265" i="6" s="1"/>
  <c r="S263" i="7"/>
  <c r="H265" i="6" s="1"/>
  <c r="Q264" i="7"/>
  <c r="S264" i="7"/>
  <c r="G261" i="13" s="1"/>
  <c r="Q265" i="7"/>
  <c r="F267" i="6" s="1"/>
  <c r="S265" i="7"/>
  <c r="H267" i="6" s="1"/>
  <c r="Q266" i="7"/>
  <c r="F268" i="6" s="1"/>
  <c r="S266" i="7"/>
  <c r="Q267" i="7"/>
  <c r="F269" i="6" s="1"/>
  <c r="S267" i="7"/>
  <c r="G264" i="13" s="1"/>
  <c r="Q268" i="7"/>
  <c r="F270" i="6" s="1"/>
  <c r="S268" i="7"/>
  <c r="G265" i="13" s="1"/>
  <c r="Q269" i="7"/>
  <c r="F271" i="6" s="1"/>
  <c r="S269" i="7"/>
  <c r="H271" i="6" s="1"/>
  <c r="Q270" i="7"/>
  <c r="F267" i="13" s="1"/>
  <c r="S270" i="7"/>
  <c r="Q271" i="7"/>
  <c r="F268" i="13" s="1"/>
  <c r="S271" i="7"/>
  <c r="G268" i="13" s="1"/>
  <c r="Q272" i="7"/>
  <c r="F274" i="6" s="1"/>
  <c r="S272" i="7"/>
  <c r="G269" i="13" s="1"/>
  <c r="Q273" i="7"/>
  <c r="F275" i="6" s="1"/>
  <c r="S273" i="7"/>
  <c r="H275" i="6" s="1"/>
  <c r="Q274" i="7"/>
  <c r="F271" i="13" s="1"/>
  <c r="S274" i="7"/>
  <c r="Q275" i="7"/>
  <c r="F277" i="6" s="1"/>
  <c r="S275" i="7"/>
  <c r="G272" i="13" s="1"/>
  <c r="Q276" i="7"/>
  <c r="F278" i="6" s="1"/>
  <c r="S276" i="7"/>
  <c r="H278" i="6" s="1"/>
  <c r="Q277" i="7"/>
  <c r="F279" i="6" s="1"/>
  <c r="S277" i="7"/>
  <c r="H279" i="6" s="1"/>
  <c r="Q278" i="7"/>
  <c r="F275" i="13" s="1"/>
  <c r="S278" i="7"/>
  <c r="Q279" i="7"/>
  <c r="F276" i="13" s="1"/>
  <c r="S279" i="7"/>
  <c r="G276" i="13" s="1"/>
  <c r="Q280" i="7"/>
  <c r="F282" i="6" s="1"/>
  <c r="S280" i="7"/>
  <c r="H282" i="6" s="1"/>
  <c r="Q281" i="7"/>
  <c r="F283" i="6" s="1"/>
  <c r="S281" i="7"/>
  <c r="H283" i="6" s="1"/>
  <c r="Q282" i="7"/>
  <c r="F284" i="6" s="1"/>
  <c r="S282" i="7"/>
  <c r="Q283" i="7"/>
  <c r="F285" i="6" s="1"/>
  <c r="S283" i="7"/>
  <c r="G280" i="13" s="1"/>
  <c r="Q284" i="7"/>
  <c r="F286" i="6" s="1"/>
  <c r="S284" i="7"/>
  <c r="G281" i="13" s="1"/>
  <c r="Q285" i="7"/>
  <c r="F287" i="6" s="1"/>
  <c r="S285" i="7"/>
  <c r="H287" i="6" s="1"/>
  <c r="Q286" i="7"/>
  <c r="F283" i="13" s="1"/>
  <c r="S286" i="7"/>
  <c r="Q287" i="7"/>
  <c r="F289" i="6" s="1"/>
  <c r="S287" i="7"/>
  <c r="G284" i="13" s="1"/>
  <c r="Q288" i="7"/>
  <c r="F290" i="6" s="1"/>
  <c r="S288" i="7"/>
  <c r="G285" i="13" s="1"/>
  <c r="Q289" i="7"/>
  <c r="F291" i="6" s="1"/>
  <c r="S289" i="7"/>
  <c r="H291" i="6" s="1"/>
  <c r="Q290" i="7"/>
  <c r="F287" i="13" s="1"/>
  <c r="S290" i="7"/>
  <c r="Q291" i="7"/>
  <c r="F293" i="6" s="1"/>
  <c r="S291" i="7"/>
  <c r="G288" i="13" s="1"/>
  <c r="Q292" i="7"/>
  <c r="F294" i="6" s="1"/>
  <c r="S292" i="7"/>
  <c r="G289" i="13" s="1"/>
  <c r="Q293" i="7"/>
  <c r="F295" i="6" s="1"/>
  <c r="S293" i="7"/>
  <c r="H295" i="6" s="1"/>
  <c r="Q294" i="7"/>
  <c r="F291" i="13" s="1"/>
  <c r="S294" i="7"/>
  <c r="Q295" i="7"/>
  <c r="F292" i="13" s="1"/>
  <c r="S295" i="7"/>
  <c r="G292" i="13" s="1"/>
  <c r="Q296" i="7"/>
  <c r="F298" i="6" s="1"/>
  <c r="S296" i="7"/>
  <c r="H298" i="6" s="1"/>
  <c r="Q297" i="7"/>
  <c r="F299" i="6" s="1"/>
  <c r="S297" i="7"/>
  <c r="H299" i="6" s="1"/>
  <c r="Q298" i="7"/>
  <c r="F300" i="6" s="1"/>
  <c r="S298" i="7"/>
  <c r="Q299" i="7"/>
  <c r="F301" i="6" s="1"/>
  <c r="S299" i="7"/>
  <c r="G296" i="13" s="1"/>
  <c r="Q300" i="7"/>
  <c r="F302" i="6" s="1"/>
  <c r="S300" i="7"/>
  <c r="H302" i="6" s="1"/>
  <c r="Q301" i="7"/>
  <c r="F303" i="6" s="1"/>
  <c r="S301" i="7"/>
  <c r="H303" i="6" s="1"/>
  <c r="Q302" i="7"/>
  <c r="F304" i="6" s="1"/>
  <c r="S302" i="7"/>
  <c r="Q303" i="7"/>
  <c r="F305" i="6" s="1"/>
  <c r="S303" i="7"/>
  <c r="G300" i="13" s="1"/>
  <c r="Q304" i="7"/>
  <c r="F306" i="6" s="1"/>
  <c r="S304" i="7"/>
  <c r="G301" i="13" s="1"/>
  <c r="Q305" i="7"/>
  <c r="F307" i="6" s="1"/>
  <c r="S305" i="7"/>
  <c r="H307" i="6" s="1"/>
  <c r="Q306" i="7"/>
  <c r="F303" i="13" s="1"/>
  <c r="S306" i="7"/>
  <c r="Q307" i="7"/>
  <c r="F309" i="6" s="1"/>
  <c r="S307" i="7"/>
  <c r="G304" i="13" s="1"/>
  <c r="Q308" i="7"/>
  <c r="F310" i="6" s="1"/>
  <c r="S308" i="7"/>
  <c r="G305" i="13" s="1"/>
  <c r="Q309" i="7"/>
  <c r="F311" i="6" s="1"/>
  <c r="S309" i="7"/>
  <c r="H311" i="6" s="1"/>
  <c r="Q310" i="7"/>
  <c r="F312" i="6" s="1"/>
  <c r="S310" i="7"/>
  <c r="Q311" i="7"/>
  <c r="F313" i="6" s="1"/>
  <c r="S311" i="7"/>
  <c r="G308" i="13" s="1"/>
  <c r="Q312" i="7"/>
  <c r="F314" i="6" s="1"/>
  <c r="S312" i="7"/>
  <c r="H314" i="6" s="1"/>
  <c r="Q313" i="7"/>
  <c r="F315" i="6" s="1"/>
  <c r="S313" i="7"/>
  <c r="H315" i="6" s="1"/>
  <c r="Q314" i="7"/>
  <c r="F316" i="6" s="1"/>
  <c r="S314" i="7"/>
  <c r="Q315" i="7"/>
  <c r="F317" i="6" s="1"/>
  <c r="S315" i="7"/>
  <c r="G312" i="13" s="1"/>
  <c r="Q316" i="7"/>
  <c r="F318" i="6" s="1"/>
  <c r="S316" i="7"/>
  <c r="H318" i="6" s="1"/>
  <c r="Q317" i="7"/>
  <c r="F319" i="6" s="1"/>
  <c r="S317" i="7"/>
  <c r="H319" i="6" s="1"/>
  <c r="Q318" i="7"/>
  <c r="F320" i="6" s="1"/>
  <c r="S318" i="7"/>
  <c r="Q319" i="7"/>
  <c r="F321" i="6" s="1"/>
  <c r="S319" i="7"/>
  <c r="H321" i="6" s="1"/>
  <c r="Q320" i="7"/>
  <c r="F322" i="6" s="1"/>
  <c r="S320" i="7"/>
  <c r="H322" i="6" s="1"/>
  <c r="Q321" i="7"/>
  <c r="F323" i="6" s="1"/>
  <c r="S321" i="7"/>
  <c r="H323" i="6" s="1"/>
  <c r="Q322" i="7"/>
  <c r="F324" i="6" s="1"/>
  <c r="S322" i="7"/>
  <c r="G319" i="13" s="1"/>
  <c r="Q323" i="7"/>
  <c r="F320" i="13" s="1"/>
  <c r="S323" i="7"/>
  <c r="G320" i="13" s="1"/>
  <c r="Q324" i="7"/>
  <c r="F326" i="6" s="1"/>
  <c r="S324" i="7"/>
  <c r="H326" i="6" s="1"/>
  <c r="Q325" i="7"/>
  <c r="F322" i="13" s="1"/>
  <c r="S325" i="7"/>
  <c r="H327" i="6" s="1"/>
  <c r="Q326" i="7"/>
  <c r="F323" i="13" s="1"/>
  <c r="S326" i="7"/>
  <c r="H328" i="6" s="1"/>
  <c r="Q327" i="7"/>
  <c r="F324" i="13" s="1"/>
  <c r="S327" i="7"/>
  <c r="G324" i="13" s="1"/>
  <c r="Q328" i="7"/>
  <c r="F330" i="6" s="1"/>
  <c r="S328" i="7"/>
  <c r="G325" i="13" s="1"/>
  <c r="Q329" i="7"/>
  <c r="F326" i="13" s="1"/>
  <c r="S329" i="7"/>
  <c r="H331" i="6" s="1"/>
  <c r="Q330" i="7"/>
  <c r="F327" i="13" s="1"/>
  <c r="S330" i="7"/>
  <c r="G327" i="13" s="1"/>
  <c r="Q331" i="7"/>
  <c r="F328" i="13" s="1"/>
  <c r="S331" i="7"/>
  <c r="G328" i="13" s="1"/>
  <c r="Q332" i="7"/>
  <c r="F329" i="13" s="1"/>
  <c r="S332" i="7"/>
  <c r="G329" i="13" s="1"/>
  <c r="Q333" i="7"/>
  <c r="F330" i="13" s="1"/>
  <c r="S333" i="7"/>
  <c r="G330" i="13" s="1"/>
  <c r="Q334" i="7"/>
  <c r="F331" i="13" s="1"/>
  <c r="S334" i="7"/>
  <c r="G331" i="13" s="1"/>
  <c r="Q335" i="7"/>
  <c r="F332" i="13" s="1"/>
  <c r="S335" i="7"/>
  <c r="G332" i="13" s="1"/>
  <c r="Q336" i="7"/>
  <c r="F333" i="13" s="1"/>
  <c r="S336" i="7"/>
  <c r="H338" i="6" s="1"/>
  <c r="Q337" i="7"/>
  <c r="F339" i="6" s="1"/>
  <c r="S337" i="7"/>
  <c r="G334" i="13" s="1"/>
  <c r="Q338" i="7"/>
  <c r="F335" i="13" s="1"/>
  <c r="S338" i="7"/>
  <c r="H340" i="6" s="1"/>
  <c r="Q339" i="7"/>
  <c r="F336" i="13" s="1"/>
  <c r="S339" i="7"/>
  <c r="G336" i="13" s="1"/>
  <c r="Q340" i="7"/>
  <c r="F342" i="6" s="1"/>
  <c r="S340" i="7"/>
  <c r="H342" i="6" s="1"/>
  <c r="Q341" i="7"/>
  <c r="F338" i="13" s="1"/>
  <c r="S341" i="7"/>
  <c r="G338" i="13" s="1"/>
  <c r="Q342" i="7"/>
  <c r="F339" i="13" s="1"/>
  <c r="S342" i="7"/>
  <c r="G339" i="13" s="1"/>
  <c r="Q343" i="7"/>
  <c r="F340" i="13" s="1"/>
  <c r="S343" i="7"/>
  <c r="G340" i="13" s="1"/>
  <c r="Q344" i="7"/>
  <c r="F346" i="6" s="1"/>
  <c r="S344" i="7"/>
  <c r="G341" i="13" s="1"/>
  <c r="Q345" i="7"/>
  <c r="F342" i="13" s="1"/>
  <c r="S345" i="7"/>
  <c r="H347" i="6" s="1"/>
  <c r="Q346" i="7"/>
  <c r="F343" i="13" s="1"/>
  <c r="S346" i="7"/>
  <c r="H348" i="6" s="1"/>
  <c r="Q347" i="7"/>
  <c r="F344" i="13" s="1"/>
  <c r="S347" i="7"/>
  <c r="G344" i="13" s="1"/>
  <c r="Q348" i="7"/>
  <c r="F350" i="6" s="1"/>
  <c r="S348" i="7"/>
  <c r="H350" i="6" s="1"/>
  <c r="Q349" i="7"/>
  <c r="F351" i="6" s="1"/>
  <c r="S349" i="7"/>
  <c r="H351" i="6" s="1"/>
  <c r="Q350" i="7"/>
  <c r="F347" i="13" s="1"/>
  <c r="S350" i="7"/>
  <c r="H352" i="6" s="1"/>
  <c r="Q351" i="7"/>
  <c r="F348" i="13" s="1"/>
  <c r="S351" i="7"/>
  <c r="G348" i="13" s="1"/>
  <c r="Q352" i="7"/>
  <c r="F349" i="13" s="1"/>
  <c r="S352" i="7"/>
  <c r="H354" i="6" s="1"/>
  <c r="Q353" i="7"/>
  <c r="F355" i="6" s="1"/>
  <c r="S353" i="7"/>
  <c r="G350" i="13" s="1"/>
  <c r="Q354" i="7"/>
  <c r="F351" i="13" s="1"/>
  <c r="S354" i="7"/>
  <c r="H356" i="6" s="1"/>
  <c r="Q355" i="7"/>
  <c r="F352" i="13" s="1"/>
  <c r="S355" i="7"/>
  <c r="G352" i="13" s="1"/>
  <c r="Q356" i="7"/>
  <c r="F358" i="6" s="1"/>
  <c r="S356" i="7"/>
  <c r="H358" i="6" s="1"/>
  <c r="Q357" i="7"/>
  <c r="F359" i="6" s="1"/>
  <c r="S357" i="7"/>
  <c r="H359" i="6" s="1"/>
  <c r="Q358" i="7"/>
  <c r="F355" i="13" s="1"/>
  <c r="S358" i="7"/>
  <c r="H360" i="6" s="1"/>
  <c r="Q359" i="7"/>
  <c r="F356" i="13" s="1"/>
  <c r="S359" i="7"/>
  <c r="G356" i="13" s="1"/>
  <c r="Q360" i="7"/>
  <c r="F362" i="6" s="1"/>
  <c r="S360" i="7"/>
  <c r="G357" i="13" s="1"/>
  <c r="Q361" i="7"/>
  <c r="F358" i="13" s="1"/>
  <c r="S361" i="7"/>
  <c r="H363" i="6" s="1"/>
  <c r="Q362" i="7"/>
  <c r="F359" i="13" s="1"/>
  <c r="S362" i="7"/>
  <c r="G359" i="13" s="1"/>
  <c r="Q363" i="7"/>
  <c r="F360" i="13" s="1"/>
  <c r="S363" i="7"/>
  <c r="G360" i="13" s="1"/>
  <c r="Q364" i="7"/>
  <c r="F366" i="6" s="1"/>
  <c r="S364" i="7"/>
  <c r="H366" i="6" s="1"/>
  <c r="Q365" i="7"/>
  <c r="F367" i="6" s="1"/>
  <c r="S365" i="7"/>
  <c r="H367" i="6" s="1"/>
  <c r="Q366" i="7"/>
  <c r="F363" i="13" s="1"/>
  <c r="S366" i="7"/>
  <c r="H368" i="6" s="1"/>
  <c r="Q367" i="7"/>
  <c r="F364" i="13" s="1"/>
  <c r="S367" i="7"/>
  <c r="G364" i="13" s="1"/>
  <c r="Q368" i="7"/>
  <c r="F370" i="6" s="1"/>
  <c r="S368" i="7"/>
  <c r="H370" i="6" s="1"/>
  <c r="Q369" i="7"/>
  <c r="F371" i="6" s="1"/>
  <c r="S369" i="7"/>
  <c r="G366" i="13" s="1"/>
  <c r="Q370" i="7"/>
  <c r="F367" i="13" s="1"/>
  <c r="S370" i="7"/>
  <c r="H372" i="6" s="1"/>
  <c r="Q371" i="7"/>
  <c r="F368" i="13" s="1"/>
  <c r="S371" i="7"/>
  <c r="G368" i="13" s="1"/>
  <c r="Q372" i="7"/>
  <c r="F369" i="13" s="1"/>
  <c r="S372" i="7"/>
  <c r="H374" i="6" s="1"/>
  <c r="Q373" i="7"/>
  <c r="F375" i="6" s="1"/>
  <c r="S373" i="7"/>
  <c r="H375" i="6" s="1"/>
  <c r="Q374" i="7"/>
  <c r="F371" i="13" s="1"/>
  <c r="S374" i="7"/>
  <c r="G371" i="13" s="1"/>
  <c r="Q375" i="7"/>
  <c r="F372" i="13" s="1"/>
  <c r="S375" i="7"/>
  <c r="G372" i="13" s="1"/>
  <c r="Q376" i="7"/>
  <c r="F378" i="6" s="1"/>
  <c r="S376" i="7"/>
  <c r="G373" i="13" s="1"/>
  <c r="Q377" i="7"/>
  <c r="F379" i="6" s="1"/>
  <c r="S377" i="7"/>
  <c r="H379" i="6" s="1"/>
  <c r="Q378" i="7"/>
  <c r="F375" i="13" s="1"/>
  <c r="S378" i="7"/>
  <c r="H380" i="6" s="1"/>
  <c r="Q379" i="7"/>
  <c r="F376" i="13" s="1"/>
  <c r="S379" i="7"/>
  <c r="G376" i="13" s="1"/>
  <c r="Q380" i="7"/>
  <c r="F382" i="6" s="1"/>
  <c r="S380" i="7"/>
  <c r="H382" i="6" s="1"/>
  <c r="Q381" i="7"/>
  <c r="F378" i="13" s="1"/>
  <c r="S381" i="7"/>
  <c r="H383" i="6" s="1"/>
  <c r="Q382" i="7"/>
  <c r="F379" i="13" s="1"/>
  <c r="S382" i="7"/>
  <c r="H384" i="6" s="1"/>
  <c r="Q383" i="7"/>
  <c r="F380" i="13" s="1"/>
  <c r="S383" i="7"/>
  <c r="G380" i="13" s="1"/>
  <c r="Q384" i="7"/>
  <c r="F381" i="13" s="1"/>
  <c r="S384" i="7"/>
  <c r="H386" i="6" s="1"/>
  <c r="Q385" i="7"/>
  <c r="F387" i="6" s="1"/>
  <c r="S385" i="7"/>
  <c r="G382" i="13" s="1"/>
  <c r="Q386" i="7"/>
  <c r="F383" i="13" s="1"/>
  <c r="S386" i="7"/>
  <c r="H388" i="6" s="1"/>
  <c r="Q8" i="7"/>
  <c r="F5" i="13" s="1"/>
  <c r="S8" i="7"/>
  <c r="G5" i="13" s="1"/>
  <c r="Q7" i="7"/>
  <c r="F9" i="6" s="1"/>
  <c r="S7" i="7"/>
  <c r="H9" i="6" s="1"/>
  <c r="S19" i="3"/>
  <c r="B7" i="7"/>
  <c r="B8" i="7"/>
  <c r="B9" i="7"/>
  <c r="B10" i="7"/>
  <c r="B11" i="7"/>
  <c r="B12" i="7"/>
  <c r="B13" i="7"/>
  <c r="B14" i="7"/>
  <c r="B15" i="7"/>
  <c r="B16" i="7"/>
  <c r="B17" i="7"/>
  <c r="B18" i="7"/>
  <c r="B19" i="7"/>
  <c r="B20" i="7"/>
  <c r="B21" i="7"/>
  <c r="B22" i="7"/>
  <c r="B23" i="7"/>
  <c r="B24" i="7"/>
  <c r="B25" i="7"/>
  <c r="B26" i="7"/>
  <c r="I314" i="7"/>
  <c r="C16" i="8"/>
  <c r="C17" i="8"/>
  <c r="C18" i="8"/>
  <c r="C19" i="8"/>
  <c r="C20" i="8"/>
  <c r="C21" i="8"/>
  <c r="C22" i="8"/>
  <c r="C23" i="8"/>
  <c r="C24" i="8"/>
  <c r="C25" i="8"/>
  <c r="C26" i="8"/>
  <c r="S13" i="3"/>
  <c r="S14" i="3"/>
  <c r="S15" i="3"/>
  <c r="S16" i="3"/>
  <c r="S17" i="3"/>
  <c r="S18" i="3"/>
  <c r="S20" i="3"/>
  <c r="S21" i="3"/>
  <c r="S22" i="3"/>
  <c r="S23" i="3"/>
  <c r="I386" i="7"/>
  <c r="I313" i="7"/>
  <c r="I315" i="7"/>
  <c r="I316" i="7"/>
  <c r="I318" i="7"/>
  <c r="I319" i="7"/>
  <c r="I320" i="7"/>
  <c r="I321" i="7"/>
  <c r="I322" i="7"/>
  <c r="I323" i="7"/>
  <c r="I324" i="7"/>
  <c r="I326" i="7"/>
  <c r="I327" i="7"/>
  <c r="I328" i="7"/>
  <c r="I329" i="7"/>
  <c r="I330" i="7"/>
  <c r="I331" i="7"/>
  <c r="I332" i="7"/>
  <c r="I333" i="7"/>
  <c r="I334" i="7"/>
  <c r="I335" i="7"/>
  <c r="I336" i="7"/>
  <c r="I337" i="7"/>
  <c r="I338" i="7"/>
  <c r="I339" i="7"/>
  <c r="I340" i="7"/>
  <c r="I341" i="7"/>
  <c r="I342" i="7"/>
  <c r="I343" i="7"/>
  <c r="I344" i="7"/>
  <c r="I345" i="7"/>
  <c r="I346" i="7"/>
  <c r="I347" i="7"/>
  <c r="I348" i="7"/>
  <c r="I349" i="7"/>
  <c r="I350" i="7"/>
  <c r="I351" i="7"/>
  <c r="I352" i="7"/>
  <c r="I353" i="7"/>
  <c r="I354" i="7"/>
  <c r="I355" i="7"/>
  <c r="I356" i="7"/>
  <c r="I358" i="7"/>
  <c r="I359" i="7"/>
  <c r="I360" i="7"/>
  <c r="I362" i="7"/>
  <c r="I363" i="7"/>
  <c r="I364" i="7"/>
  <c r="I365" i="7"/>
  <c r="I366" i="7"/>
  <c r="I367" i="7"/>
  <c r="I368" i="7"/>
  <c r="I370" i="7"/>
  <c r="I371" i="7"/>
  <c r="I373" i="7"/>
  <c r="I374" i="7"/>
  <c r="I375" i="7"/>
  <c r="I376" i="7"/>
  <c r="I377" i="7"/>
  <c r="I378" i="7"/>
  <c r="I379" i="7"/>
  <c r="I380" i="7"/>
  <c r="I381" i="7"/>
  <c r="I382" i="7"/>
  <c r="I383" i="7"/>
  <c r="I384" i="7"/>
  <c r="E35" i="6"/>
  <c r="S12" i="3"/>
  <c r="Q12" i="3"/>
  <c r="Q13" i="3"/>
  <c r="Q14" i="3"/>
  <c r="Q15" i="3"/>
  <c r="Q20" i="3"/>
  <c r="Q21" i="3"/>
  <c r="Q22" i="3"/>
  <c r="Q23" i="3"/>
  <c r="D81" i="6"/>
  <c r="E81" i="6"/>
  <c r="D82" i="6"/>
  <c r="E82" i="6"/>
  <c r="D83" i="6"/>
  <c r="E83" i="6"/>
  <c r="D84" i="6"/>
  <c r="E84" i="6"/>
  <c r="D85" i="6"/>
  <c r="E85" i="6"/>
  <c r="D86" i="6"/>
  <c r="E86" i="6"/>
  <c r="D87" i="6"/>
  <c r="E87" i="6"/>
  <c r="D88" i="6"/>
  <c r="E88" i="6"/>
  <c r="D89" i="6"/>
  <c r="E89" i="6"/>
  <c r="D90" i="6"/>
  <c r="E90" i="6"/>
  <c r="D91" i="6"/>
  <c r="E91" i="6"/>
  <c r="D92" i="6"/>
  <c r="E92" i="6"/>
  <c r="D93" i="6"/>
  <c r="E93" i="6"/>
  <c r="D94" i="6"/>
  <c r="E94" i="6"/>
  <c r="D95" i="6"/>
  <c r="E95" i="6"/>
  <c r="D96" i="6"/>
  <c r="E96" i="6"/>
  <c r="D97" i="6"/>
  <c r="E97" i="6"/>
  <c r="D98" i="6"/>
  <c r="E98" i="6"/>
  <c r="D99" i="6"/>
  <c r="E99" i="6"/>
  <c r="D100" i="6"/>
  <c r="E100" i="6"/>
  <c r="D101" i="6"/>
  <c r="E101" i="6"/>
  <c r="D102" i="6"/>
  <c r="E102" i="6"/>
  <c r="D103" i="6"/>
  <c r="E103" i="6"/>
  <c r="D104" i="6"/>
  <c r="E104" i="6"/>
  <c r="D105" i="6"/>
  <c r="E105" i="6"/>
  <c r="D106" i="6"/>
  <c r="E106" i="6"/>
  <c r="D107" i="6"/>
  <c r="E107" i="6"/>
  <c r="D108" i="6"/>
  <c r="E108" i="6"/>
  <c r="D109" i="6"/>
  <c r="E109" i="6"/>
  <c r="D110" i="6"/>
  <c r="E110" i="6"/>
  <c r="D111" i="6"/>
  <c r="E111" i="6"/>
  <c r="D112" i="6"/>
  <c r="E112" i="6"/>
  <c r="D113" i="6"/>
  <c r="E113" i="6"/>
  <c r="D114" i="6"/>
  <c r="E114" i="6"/>
  <c r="D115" i="6"/>
  <c r="E115" i="6"/>
  <c r="D116" i="6"/>
  <c r="E116" i="6"/>
  <c r="D117" i="6"/>
  <c r="E117" i="6"/>
  <c r="D118" i="6"/>
  <c r="E118" i="6"/>
  <c r="D119" i="6"/>
  <c r="E119" i="6"/>
  <c r="D120" i="6"/>
  <c r="E120" i="6"/>
  <c r="D121" i="6"/>
  <c r="E121" i="6"/>
  <c r="D122" i="6"/>
  <c r="E122" i="6"/>
  <c r="D123" i="6"/>
  <c r="E123" i="6"/>
  <c r="D124" i="6"/>
  <c r="E124" i="6"/>
  <c r="D125" i="6"/>
  <c r="E125" i="6"/>
  <c r="D126" i="6"/>
  <c r="E126" i="6"/>
  <c r="D127" i="6"/>
  <c r="E127" i="6"/>
  <c r="D128" i="6"/>
  <c r="E128" i="6"/>
  <c r="D129" i="6"/>
  <c r="E129" i="6"/>
  <c r="D130" i="6"/>
  <c r="E130" i="6"/>
  <c r="D131" i="6"/>
  <c r="E131" i="6"/>
  <c r="D132" i="6"/>
  <c r="E132" i="6"/>
  <c r="D133" i="6"/>
  <c r="E133" i="6"/>
  <c r="D134" i="6"/>
  <c r="E134" i="6"/>
  <c r="D135" i="6"/>
  <c r="E135" i="6"/>
  <c r="D136" i="6"/>
  <c r="E136" i="6"/>
  <c r="D137" i="6"/>
  <c r="E137" i="6"/>
  <c r="D138" i="6"/>
  <c r="E138" i="6"/>
  <c r="D139" i="6"/>
  <c r="E139" i="6"/>
  <c r="D140" i="6"/>
  <c r="E140" i="6"/>
  <c r="D141" i="6"/>
  <c r="E141" i="6"/>
  <c r="D142" i="6"/>
  <c r="E142" i="6"/>
  <c r="D143" i="6"/>
  <c r="E143" i="6"/>
  <c r="D144" i="6"/>
  <c r="E144" i="6"/>
  <c r="D145" i="6"/>
  <c r="E145" i="6"/>
  <c r="D146" i="6"/>
  <c r="E146" i="6"/>
  <c r="D147" i="6"/>
  <c r="E147" i="6"/>
  <c r="D148" i="6"/>
  <c r="E148" i="6"/>
  <c r="D149" i="6"/>
  <c r="E149" i="6"/>
  <c r="D150" i="6"/>
  <c r="E150" i="6"/>
  <c r="D151" i="6"/>
  <c r="E151" i="6"/>
  <c r="D152" i="6"/>
  <c r="E152" i="6"/>
  <c r="D153" i="6"/>
  <c r="E153" i="6"/>
  <c r="D154" i="6"/>
  <c r="E154" i="6"/>
  <c r="D155" i="6"/>
  <c r="E155" i="6"/>
  <c r="D156" i="6"/>
  <c r="E156" i="6"/>
  <c r="D157" i="6"/>
  <c r="E157" i="6"/>
  <c r="D158" i="6"/>
  <c r="E158" i="6"/>
  <c r="D159" i="6"/>
  <c r="E159" i="6"/>
  <c r="D160" i="6"/>
  <c r="E160" i="6"/>
  <c r="D161" i="6"/>
  <c r="E161" i="6"/>
  <c r="D162" i="6"/>
  <c r="E162" i="6"/>
  <c r="D163" i="6"/>
  <c r="E163" i="6"/>
  <c r="D164" i="6"/>
  <c r="E164" i="6"/>
  <c r="D165" i="6"/>
  <c r="E165" i="6"/>
  <c r="D166" i="6"/>
  <c r="E166" i="6"/>
  <c r="D167" i="6"/>
  <c r="E167" i="6"/>
  <c r="D168" i="6"/>
  <c r="E168" i="6"/>
  <c r="D169" i="6"/>
  <c r="E169" i="6"/>
  <c r="D170" i="6"/>
  <c r="E170" i="6"/>
  <c r="D171" i="6"/>
  <c r="E171" i="6"/>
  <c r="D172" i="6"/>
  <c r="E172" i="6"/>
  <c r="D173" i="6"/>
  <c r="E173" i="6"/>
  <c r="D174" i="6"/>
  <c r="E174" i="6"/>
  <c r="D175" i="6"/>
  <c r="E175" i="6"/>
  <c r="D176" i="6"/>
  <c r="E176" i="6"/>
  <c r="D177" i="6"/>
  <c r="E177" i="6"/>
  <c r="D178" i="6"/>
  <c r="E178" i="6"/>
  <c r="D179" i="6"/>
  <c r="E179" i="6"/>
  <c r="D180" i="6"/>
  <c r="E180" i="6"/>
  <c r="D181" i="6"/>
  <c r="E181" i="6"/>
  <c r="D182" i="6"/>
  <c r="E182" i="6"/>
  <c r="D183" i="6"/>
  <c r="E183" i="6"/>
  <c r="D184" i="6"/>
  <c r="E184" i="6"/>
  <c r="D185" i="6"/>
  <c r="E185" i="6"/>
  <c r="D186" i="6"/>
  <c r="E186" i="6"/>
  <c r="D187" i="6"/>
  <c r="E187" i="6"/>
  <c r="D188" i="6"/>
  <c r="E188" i="6"/>
  <c r="D189" i="6"/>
  <c r="E189" i="6"/>
  <c r="D190" i="6"/>
  <c r="E190" i="6"/>
  <c r="D191" i="6"/>
  <c r="E191" i="6"/>
  <c r="D192" i="6"/>
  <c r="E192" i="6"/>
  <c r="D193" i="6"/>
  <c r="E193" i="6"/>
  <c r="D194" i="6"/>
  <c r="E194" i="6"/>
  <c r="D195" i="6"/>
  <c r="E195" i="6"/>
  <c r="D196" i="6"/>
  <c r="E196" i="6"/>
  <c r="D197" i="6"/>
  <c r="E197" i="6"/>
  <c r="D198" i="6"/>
  <c r="E198" i="6"/>
  <c r="D199" i="6"/>
  <c r="E199" i="6"/>
  <c r="D200" i="6"/>
  <c r="E200" i="6"/>
  <c r="D201" i="6"/>
  <c r="E201" i="6"/>
  <c r="D202" i="6"/>
  <c r="E202" i="6"/>
  <c r="D203" i="6"/>
  <c r="E203" i="6"/>
  <c r="D204" i="6"/>
  <c r="E204" i="6"/>
  <c r="D205" i="6"/>
  <c r="E205" i="6"/>
  <c r="D206" i="6"/>
  <c r="E206" i="6"/>
  <c r="D207" i="6"/>
  <c r="E207" i="6"/>
  <c r="D208" i="6"/>
  <c r="E208" i="6"/>
  <c r="D209" i="6"/>
  <c r="E209" i="6"/>
  <c r="D210" i="6"/>
  <c r="E210" i="6"/>
  <c r="D211" i="6"/>
  <c r="E211" i="6"/>
  <c r="D212" i="6"/>
  <c r="E212" i="6"/>
  <c r="D213" i="6"/>
  <c r="E213" i="6"/>
  <c r="D214" i="6"/>
  <c r="E214" i="6"/>
  <c r="D215" i="6"/>
  <c r="E215" i="6"/>
  <c r="D216" i="6"/>
  <c r="E216" i="6"/>
  <c r="D217" i="6"/>
  <c r="E217" i="6"/>
  <c r="D218" i="6"/>
  <c r="E218" i="6"/>
  <c r="D219" i="6"/>
  <c r="E219" i="6"/>
  <c r="D220" i="6"/>
  <c r="E220" i="6"/>
  <c r="D221" i="6"/>
  <c r="E221" i="6"/>
  <c r="D222" i="6"/>
  <c r="E222" i="6"/>
  <c r="D223" i="6"/>
  <c r="E223" i="6"/>
  <c r="D224" i="6"/>
  <c r="E224" i="6"/>
  <c r="D225" i="6"/>
  <c r="E225" i="6"/>
  <c r="D226" i="6"/>
  <c r="E226" i="6"/>
  <c r="D227" i="6"/>
  <c r="E227" i="6"/>
  <c r="D228" i="6"/>
  <c r="E228" i="6"/>
  <c r="D229" i="6"/>
  <c r="E229" i="6"/>
  <c r="D230" i="6"/>
  <c r="E230" i="6"/>
  <c r="D231" i="6"/>
  <c r="E231" i="6"/>
  <c r="D232" i="6"/>
  <c r="E232" i="6"/>
  <c r="D233" i="6"/>
  <c r="E233" i="6"/>
  <c r="D234" i="6"/>
  <c r="E234" i="6"/>
  <c r="D235" i="6"/>
  <c r="E235" i="6"/>
  <c r="D236" i="6"/>
  <c r="E236" i="6"/>
  <c r="D237" i="6"/>
  <c r="E237" i="6"/>
  <c r="D238" i="6"/>
  <c r="E238" i="6"/>
  <c r="D239" i="6"/>
  <c r="E239" i="6"/>
  <c r="D240" i="6"/>
  <c r="E240" i="6"/>
  <c r="D241" i="6"/>
  <c r="E241" i="6"/>
  <c r="D242" i="6"/>
  <c r="E242" i="6"/>
  <c r="D243" i="6"/>
  <c r="E243" i="6"/>
  <c r="D244" i="6"/>
  <c r="E244" i="6"/>
  <c r="D245" i="6"/>
  <c r="E245" i="6"/>
  <c r="D246" i="6"/>
  <c r="E246" i="6"/>
  <c r="D247" i="6"/>
  <c r="E247" i="6"/>
  <c r="D248" i="6"/>
  <c r="E248" i="6"/>
  <c r="D249" i="6"/>
  <c r="E249" i="6"/>
  <c r="D250" i="6"/>
  <c r="E250" i="6"/>
  <c r="D251" i="6"/>
  <c r="E251" i="6"/>
  <c r="D252" i="6"/>
  <c r="E252" i="6"/>
  <c r="D253" i="6"/>
  <c r="E253" i="6"/>
  <c r="D254" i="6"/>
  <c r="E254" i="6"/>
  <c r="D255" i="6"/>
  <c r="E255" i="6"/>
  <c r="D256" i="6"/>
  <c r="E256" i="6"/>
  <c r="D257" i="6"/>
  <c r="E257" i="6"/>
  <c r="D258" i="6"/>
  <c r="E258" i="6"/>
  <c r="D259" i="6"/>
  <c r="E259" i="6"/>
  <c r="D260" i="6"/>
  <c r="E260" i="6"/>
  <c r="D261" i="6"/>
  <c r="E261" i="6"/>
  <c r="D262" i="6"/>
  <c r="E262" i="6"/>
  <c r="D263" i="6"/>
  <c r="E263" i="6"/>
  <c r="D264" i="6"/>
  <c r="E264" i="6"/>
  <c r="D265" i="6"/>
  <c r="E265" i="6"/>
  <c r="D266" i="6"/>
  <c r="E266" i="6"/>
  <c r="D267" i="6"/>
  <c r="E267" i="6"/>
  <c r="D268" i="6"/>
  <c r="E268" i="6"/>
  <c r="D269" i="6"/>
  <c r="E269" i="6"/>
  <c r="D270" i="6"/>
  <c r="E270" i="6"/>
  <c r="D271" i="6"/>
  <c r="E271" i="6"/>
  <c r="D272" i="6"/>
  <c r="E272" i="6"/>
  <c r="D273" i="6"/>
  <c r="E273" i="6"/>
  <c r="D274" i="6"/>
  <c r="E274" i="6"/>
  <c r="D275" i="6"/>
  <c r="E275" i="6"/>
  <c r="D276" i="6"/>
  <c r="E276" i="6"/>
  <c r="D277" i="6"/>
  <c r="E277" i="6"/>
  <c r="D278" i="6"/>
  <c r="E278" i="6"/>
  <c r="D279" i="6"/>
  <c r="E279" i="6"/>
  <c r="D280" i="6"/>
  <c r="E280" i="6"/>
  <c r="D281" i="6"/>
  <c r="E281" i="6"/>
  <c r="D282" i="6"/>
  <c r="E282" i="6"/>
  <c r="D283" i="6"/>
  <c r="E283" i="6"/>
  <c r="D284" i="6"/>
  <c r="E284" i="6"/>
  <c r="D285" i="6"/>
  <c r="E285" i="6"/>
  <c r="D286" i="6"/>
  <c r="E286" i="6"/>
  <c r="D287" i="6"/>
  <c r="E287" i="6"/>
  <c r="D288" i="6"/>
  <c r="E288" i="6"/>
  <c r="D289" i="6"/>
  <c r="E289" i="6"/>
  <c r="D290" i="6"/>
  <c r="E290" i="6"/>
  <c r="D291" i="6"/>
  <c r="E291" i="6"/>
  <c r="D292" i="6"/>
  <c r="E292" i="6"/>
  <c r="D293" i="6"/>
  <c r="E293" i="6"/>
  <c r="D294" i="6"/>
  <c r="E294" i="6"/>
  <c r="D295" i="6"/>
  <c r="E295" i="6"/>
  <c r="D296" i="6"/>
  <c r="E296" i="6"/>
  <c r="D297" i="6"/>
  <c r="E297" i="6"/>
  <c r="D298" i="6"/>
  <c r="E298" i="6"/>
  <c r="D299" i="6"/>
  <c r="E299" i="6"/>
  <c r="D300" i="6"/>
  <c r="E300" i="6"/>
  <c r="D301" i="6"/>
  <c r="E301" i="6"/>
  <c r="D302" i="6"/>
  <c r="E302" i="6"/>
  <c r="D303" i="6"/>
  <c r="E303" i="6"/>
  <c r="D304" i="6"/>
  <c r="E304" i="6"/>
  <c r="D305" i="6"/>
  <c r="E305" i="6"/>
  <c r="D306" i="6"/>
  <c r="E306" i="6"/>
  <c r="D307" i="6"/>
  <c r="E307" i="6"/>
  <c r="D308" i="6"/>
  <c r="E308" i="6"/>
  <c r="D309" i="6"/>
  <c r="E309" i="6"/>
  <c r="D310" i="6"/>
  <c r="E310" i="6"/>
  <c r="D311" i="6"/>
  <c r="E311" i="6"/>
  <c r="D312" i="6"/>
  <c r="E312" i="6"/>
  <c r="D313" i="6"/>
  <c r="E313" i="6"/>
  <c r="D314" i="6"/>
  <c r="E314" i="6"/>
  <c r="D315" i="6"/>
  <c r="E315" i="6"/>
  <c r="D316" i="6"/>
  <c r="E316" i="6"/>
  <c r="D317" i="6"/>
  <c r="E317" i="6"/>
  <c r="D318" i="6"/>
  <c r="E318" i="6"/>
  <c r="D319" i="6"/>
  <c r="E319" i="6"/>
  <c r="D320" i="6"/>
  <c r="E320" i="6"/>
  <c r="D321" i="6"/>
  <c r="E321" i="6"/>
  <c r="D322" i="6"/>
  <c r="E322" i="6"/>
  <c r="D323" i="6"/>
  <c r="E323" i="6"/>
  <c r="D324" i="6"/>
  <c r="E324" i="6"/>
  <c r="D325" i="6"/>
  <c r="E325" i="6"/>
  <c r="D326" i="6"/>
  <c r="E326" i="6"/>
  <c r="D327" i="6"/>
  <c r="E327" i="6"/>
  <c r="D328" i="6"/>
  <c r="E328" i="6"/>
  <c r="D329" i="6"/>
  <c r="E329" i="6"/>
  <c r="D330" i="6"/>
  <c r="E330" i="6"/>
  <c r="D331" i="6"/>
  <c r="E331" i="6"/>
  <c r="D332" i="6"/>
  <c r="E332" i="6"/>
  <c r="D333" i="6"/>
  <c r="E333" i="6"/>
  <c r="D334" i="6"/>
  <c r="E334" i="6"/>
  <c r="D335" i="6"/>
  <c r="E335" i="6"/>
  <c r="D336" i="6"/>
  <c r="E336" i="6"/>
  <c r="D337" i="6"/>
  <c r="E337" i="6"/>
  <c r="D338" i="6"/>
  <c r="E338" i="6"/>
  <c r="D339" i="6"/>
  <c r="E339" i="6"/>
  <c r="D340" i="6"/>
  <c r="E340" i="6"/>
  <c r="D341" i="6"/>
  <c r="E341" i="6"/>
  <c r="D342" i="6"/>
  <c r="E342" i="6"/>
  <c r="D343" i="6"/>
  <c r="E343" i="6"/>
  <c r="D344" i="6"/>
  <c r="E344" i="6"/>
  <c r="D345" i="6"/>
  <c r="E345" i="6"/>
  <c r="D346" i="6"/>
  <c r="E346" i="6"/>
  <c r="D347" i="6"/>
  <c r="E347" i="6"/>
  <c r="D348" i="6"/>
  <c r="E348" i="6"/>
  <c r="D349" i="6"/>
  <c r="E349" i="6"/>
  <c r="D350" i="6"/>
  <c r="E350" i="6"/>
  <c r="D351" i="6"/>
  <c r="E351" i="6"/>
  <c r="D352" i="6"/>
  <c r="E352" i="6"/>
  <c r="D353" i="6"/>
  <c r="E353" i="6"/>
  <c r="D354" i="6"/>
  <c r="E354" i="6"/>
  <c r="D355" i="6"/>
  <c r="E355" i="6"/>
  <c r="D356" i="6"/>
  <c r="E356" i="6"/>
  <c r="D357" i="6"/>
  <c r="E357" i="6"/>
  <c r="D358" i="6"/>
  <c r="E358" i="6"/>
  <c r="D359" i="6"/>
  <c r="E359" i="6"/>
  <c r="D360" i="6"/>
  <c r="E360" i="6"/>
  <c r="D361" i="6"/>
  <c r="E361" i="6"/>
  <c r="D362" i="6"/>
  <c r="E362" i="6"/>
  <c r="D363" i="6"/>
  <c r="E363" i="6"/>
  <c r="D364" i="6"/>
  <c r="E364" i="6"/>
  <c r="D365" i="6"/>
  <c r="E365" i="6"/>
  <c r="D366" i="6"/>
  <c r="E366" i="6"/>
  <c r="D367" i="6"/>
  <c r="E367" i="6"/>
  <c r="D368" i="6"/>
  <c r="E368" i="6"/>
  <c r="D369" i="6"/>
  <c r="E369" i="6"/>
  <c r="D370" i="6"/>
  <c r="E370" i="6"/>
  <c r="D371" i="6"/>
  <c r="E371" i="6"/>
  <c r="D372" i="6"/>
  <c r="E372" i="6"/>
  <c r="D373" i="6"/>
  <c r="E373" i="6"/>
  <c r="D374" i="6"/>
  <c r="E374" i="6"/>
  <c r="D375" i="6"/>
  <c r="E375" i="6"/>
  <c r="D376" i="6"/>
  <c r="E376" i="6"/>
  <c r="D377" i="6"/>
  <c r="E377" i="6"/>
  <c r="D378" i="6"/>
  <c r="E378" i="6"/>
  <c r="D379" i="6"/>
  <c r="E379" i="6"/>
  <c r="D380" i="6"/>
  <c r="E380" i="6"/>
  <c r="D381" i="6"/>
  <c r="E381" i="6"/>
  <c r="D382" i="6"/>
  <c r="E382" i="6"/>
  <c r="D383" i="6"/>
  <c r="E383" i="6"/>
  <c r="D384" i="6"/>
  <c r="E384" i="6"/>
  <c r="D385" i="6"/>
  <c r="E385" i="6"/>
  <c r="D386" i="6"/>
  <c r="E386" i="6"/>
  <c r="D387" i="6"/>
  <c r="E387" i="6"/>
  <c r="D388" i="6"/>
  <c r="E388" i="6"/>
  <c r="D10" i="6"/>
  <c r="E10" i="6"/>
  <c r="D11" i="6"/>
  <c r="E11" i="6"/>
  <c r="D12" i="6"/>
  <c r="E12" i="6"/>
  <c r="D13" i="6"/>
  <c r="E13" i="6"/>
  <c r="D14" i="6"/>
  <c r="E14" i="6"/>
  <c r="D15" i="6"/>
  <c r="E15" i="6"/>
  <c r="D16" i="6"/>
  <c r="E16" i="6"/>
  <c r="D17" i="6"/>
  <c r="E17" i="6"/>
  <c r="D18" i="6"/>
  <c r="E18" i="6"/>
  <c r="D19" i="6"/>
  <c r="E19" i="6"/>
  <c r="D20" i="6"/>
  <c r="E20" i="6"/>
  <c r="D21" i="6"/>
  <c r="E21" i="6"/>
  <c r="D22" i="6"/>
  <c r="E22" i="6"/>
  <c r="D23" i="6"/>
  <c r="E23" i="6"/>
  <c r="D24" i="6"/>
  <c r="E24" i="6"/>
  <c r="D25" i="6"/>
  <c r="E25" i="6"/>
  <c r="D26" i="6"/>
  <c r="E26" i="6"/>
  <c r="D27" i="6"/>
  <c r="E27" i="6"/>
  <c r="D28" i="6"/>
  <c r="E28" i="6"/>
  <c r="D29" i="6"/>
  <c r="E29" i="6"/>
  <c r="D30" i="6"/>
  <c r="E30" i="6"/>
  <c r="D31" i="6"/>
  <c r="E31" i="6"/>
  <c r="D32" i="6"/>
  <c r="E32" i="6"/>
  <c r="D33" i="6"/>
  <c r="E33" i="6"/>
  <c r="D34" i="6"/>
  <c r="E34" i="6"/>
  <c r="D35" i="6"/>
  <c r="D36" i="6"/>
  <c r="E36" i="6"/>
  <c r="D37" i="6"/>
  <c r="E37" i="6"/>
  <c r="D38" i="6"/>
  <c r="E38" i="6"/>
  <c r="D39" i="6"/>
  <c r="E39" i="6"/>
  <c r="D40" i="6"/>
  <c r="E40" i="6"/>
  <c r="D41" i="6"/>
  <c r="E41" i="6"/>
  <c r="D42" i="6"/>
  <c r="E42" i="6"/>
  <c r="D43" i="6"/>
  <c r="E43" i="6"/>
  <c r="D44" i="6"/>
  <c r="E44" i="6"/>
  <c r="D45" i="6"/>
  <c r="E45" i="6"/>
  <c r="D46" i="6"/>
  <c r="E46" i="6"/>
  <c r="D47" i="6"/>
  <c r="E47" i="6"/>
  <c r="D48" i="6"/>
  <c r="E48" i="6"/>
  <c r="D49" i="6"/>
  <c r="E49" i="6"/>
  <c r="D50" i="6"/>
  <c r="E50" i="6"/>
  <c r="D51" i="6"/>
  <c r="E51" i="6"/>
  <c r="D52" i="6"/>
  <c r="E52" i="6"/>
  <c r="D53" i="6"/>
  <c r="E53" i="6"/>
  <c r="D54" i="6"/>
  <c r="E54" i="6"/>
  <c r="D55" i="6"/>
  <c r="E55" i="6"/>
  <c r="D56" i="6"/>
  <c r="E56" i="6"/>
  <c r="D57" i="6"/>
  <c r="E57" i="6"/>
  <c r="D58" i="6"/>
  <c r="E58" i="6"/>
  <c r="D59" i="6"/>
  <c r="E59" i="6"/>
  <c r="D60" i="6"/>
  <c r="E60" i="6"/>
  <c r="D61" i="6"/>
  <c r="E61" i="6"/>
  <c r="D62" i="6"/>
  <c r="E62" i="6"/>
  <c r="D63" i="6"/>
  <c r="E63" i="6"/>
  <c r="D64" i="6"/>
  <c r="E64" i="6"/>
  <c r="D65" i="6"/>
  <c r="E65" i="6"/>
  <c r="D66" i="6"/>
  <c r="E66" i="6"/>
  <c r="D67" i="6"/>
  <c r="E67" i="6"/>
  <c r="D68" i="6"/>
  <c r="E68" i="6"/>
  <c r="D69" i="6"/>
  <c r="E69" i="6"/>
  <c r="D70" i="6"/>
  <c r="E70" i="6"/>
  <c r="D71" i="6"/>
  <c r="E71" i="6"/>
  <c r="D72" i="6"/>
  <c r="E72" i="6"/>
  <c r="D73" i="6"/>
  <c r="E73" i="6"/>
  <c r="D74" i="6"/>
  <c r="E74" i="6"/>
  <c r="D75" i="6"/>
  <c r="E75" i="6"/>
  <c r="D76" i="6"/>
  <c r="E76" i="6"/>
  <c r="D77" i="6"/>
  <c r="E77" i="6"/>
  <c r="D78" i="6"/>
  <c r="E78" i="6"/>
  <c r="D79" i="6"/>
  <c r="E79" i="6"/>
  <c r="D80" i="6"/>
  <c r="E80" i="6"/>
  <c r="E9" i="6"/>
  <c r="D9" i="6"/>
  <c r="C8" i="8"/>
  <c r="C9" i="8"/>
  <c r="C10" i="8"/>
  <c r="C11" i="8"/>
  <c r="C12" i="8"/>
  <c r="C13" i="8"/>
  <c r="C14" i="8"/>
  <c r="C15" i="8"/>
  <c r="C7" i="8"/>
  <c r="S6" i="3"/>
  <c r="S7" i="3"/>
  <c r="Q5" i="3"/>
  <c r="Q6" i="3"/>
  <c r="Q7" i="3"/>
  <c r="S4" i="3"/>
  <c r="S5" i="3"/>
  <c r="S8" i="3"/>
  <c r="S9" i="3"/>
  <c r="S10" i="3"/>
  <c r="S11" i="3"/>
  <c r="C5" i="9"/>
  <c r="K1" i="9"/>
  <c r="I8" i="7"/>
  <c r="I357" i="7"/>
  <c r="I325" i="7"/>
  <c r="I317" i="7"/>
  <c r="I385" i="7"/>
  <c r="I369" i="7"/>
  <c r="I361" i="7"/>
  <c r="I372" i="7"/>
  <c r="I10" i="7"/>
  <c r="Q6" i="13" l="1"/>
  <c r="Q386" i="13"/>
  <c r="Q7" i="13"/>
  <c r="Q387" i="13"/>
  <c r="Q385" i="13"/>
  <c r="Q5" i="13"/>
  <c r="E10" i="9"/>
  <c r="C6" i="8" s="1"/>
  <c r="E84" i="9"/>
  <c r="E49" i="9"/>
  <c r="D6" i="8" s="1"/>
  <c r="E34" i="9"/>
  <c r="N6" i="7" s="1"/>
  <c r="Q759" i="13"/>
  <c r="Q379" i="13"/>
  <c r="Q361" i="13"/>
  <c r="Q741" i="13"/>
  <c r="Q723" i="13"/>
  <c r="Q343" i="13"/>
  <c r="Q715" i="13"/>
  <c r="Q335" i="13"/>
  <c r="Q698" i="13"/>
  <c r="Q318" i="13"/>
  <c r="Q694" i="13"/>
  <c r="Q314" i="13"/>
  <c r="Q376" i="13"/>
  <c r="Q756" i="13"/>
  <c r="Q747" i="13"/>
  <c r="Q367" i="13"/>
  <c r="Q737" i="13"/>
  <c r="Q357" i="13"/>
  <c r="Q728" i="13"/>
  <c r="Q348" i="13"/>
  <c r="Q720" i="13"/>
  <c r="Q340" i="13"/>
  <c r="Q712" i="13"/>
  <c r="Q332" i="13"/>
  <c r="Q704" i="13"/>
  <c r="Q324" i="13"/>
  <c r="Q695" i="13"/>
  <c r="Q315" i="13"/>
  <c r="Q738" i="13"/>
  <c r="Q358" i="13"/>
  <c r="Q751" i="13"/>
  <c r="Q371" i="13"/>
  <c r="Q731" i="13"/>
  <c r="Q351" i="13"/>
  <c r="Q707" i="13"/>
  <c r="Q327" i="13"/>
  <c r="Q762" i="13"/>
  <c r="Q382" i="13"/>
  <c r="Q377" i="13"/>
  <c r="Q757" i="13"/>
  <c r="Q368" i="13"/>
  <c r="Q748" i="13"/>
  <c r="Q739" i="13"/>
  <c r="Q359" i="13"/>
  <c r="Q729" i="13"/>
  <c r="Q349" i="13"/>
  <c r="Q721" i="13"/>
  <c r="Q341" i="13"/>
  <c r="Q713" i="13"/>
  <c r="Q333" i="13"/>
  <c r="Q705" i="13"/>
  <c r="Q325" i="13"/>
  <c r="Q696" i="13"/>
  <c r="Q316" i="13"/>
  <c r="Q746" i="13"/>
  <c r="Q366" i="13"/>
  <c r="Q378" i="13"/>
  <c r="Q758" i="13"/>
  <c r="Q750" i="13"/>
  <c r="Q370" i="13"/>
  <c r="Q360" i="13"/>
  <c r="Q740" i="13"/>
  <c r="Q730" i="13"/>
  <c r="Q350" i="13"/>
  <c r="Q722" i="13"/>
  <c r="Q342" i="13"/>
  <c r="Q714" i="13"/>
  <c r="Q334" i="13"/>
  <c r="Q706" i="13"/>
  <c r="Q326" i="13"/>
  <c r="Q697" i="13"/>
  <c r="Q317" i="13"/>
  <c r="Q322" i="13"/>
  <c r="Q702" i="13"/>
  <c r="Q755" i="13"/>
  <c r="Q375" i="13"/>
  <c r="Q745" i="13"/>
  <c r="Q365" i="13"/>
  <c r="Q736" i="13"/>
  <c r="Q356" i="13"/>
  <c r="Q727" i="13"/>
  <c r="Q347" i="13"/>
  <c r="Q719" i="13"/>
  <c r="Q339" i="13"/>
  <c r="Q711" i="13"/>
  <c r="Q331" i="13"/>
  <c r="Q703" i="13"/>
  <c r="Q323" i="13"/>
  <c r="Q313" i="13"/>
  <c r="Q693" i="13"/>
  <c r="Q734" i="13"/>
  <c r="Q354" i="13"/>
  <c r="Q754" i="13"/>
  <c r="Q374" i="13"/>
  <c r="Q744" i="13"/>
  <c r="Q364" i="13"/>
  <c r="Q735" i="13"/>
  <c r="Q355" i="13"/>
  <c r="Q726" i="13"/>
  <c r="Q346" i="13"/>
  <c r="Q338" i="13"/>
  <c r="Q718" i="13"/>
  <c r="Q330" i="13"/>
  <c r="Q710" i="13"/>
  <c r="Q321" i="13"/>
  <c r="Q701" i="13"/>
  <c r="Q312" i="13"/>
  <c r="Q692" i="13"/>
  <c r="Q691" i="13"/>
  <c r="Q311" i="13"/>
  <c r="Q369" i="13"/>
  <c r="Q749" i="13"/>
  <c r="Q760" i="13"/>
  <c r="Q380" i="13"/>
  <c r="Q752" i="13"/>
  <c r="Q372" i="13"/>
  <c r="Q362" i="13"/>
  <c r="Q742" i="13"/>
  <c r="Q352" i="13"/>
  <c r="Q732" i="13"/>
  <c r="Q344" i="13"/>
  <c r="Q724" i="13"/>
  <c r="Q336" i="13"/>
  <c r="Q716" i="13"/>
  <c r="Q328" i="13"/>
  <c r="Q708" i="13"/>
  <c r="Q699" i="13"/>
  <c r="Q319" i="13"/>
  <c r="Q763" i="13"/>
  <c r="Q383" i="13"/>
  <c r="Q761" i="13"/>
  <c r="Q381" i="13"/>
  <c r="Q753" i="13"/>
  <c r="Q373" i="13"/>
  <c r="Q743" i="13"/>
  <c r="Q363" i="13"/>
  <c r="Q353" i="13"/>
  <c r="Q733" i="13"/>
  <c r="Q345" i="13"/>
  <c r="Q725" i="13"/>
  <c r="Q337" i="13"/>
  <c r="Q717" i="13"/>
  <c r="Q329" i="13"/>
  <c r="Q709" i="13"/>
  <c r="Q320" i="13"/>
  <c r="Q700" i="13"/>
  <c r="Q690" i="13"/>
  <c r="Q310" i="13"/>
  <c r="E37" i="9"/>
  <c r="F81" i="9" s="1"/>
  <c r="E6" i="9"/>
  <c r="B2" i="8" s="1"/>
  <c r="E38" i="9"/>
  <c r="E18" i="9"/>
  <c r="E31" i="9"/>
  <c r="C4" i="7" s="1"/>
  <c r="E47" i="9"/>
  <c r="E21" i="9"/>
  <c r="E35" i="9"/>
  <c r="F1" i="9" s="1"/>
  <c r="E26" i="9"/>
  <c r="E7" i="9"/>
  <c r="E27" i="9"/>
  <c r="E39" i="9"/>
  <c r="B4" i="15" s="1"/>
  <c r="E41" i="9"/>
  <c r="Z33" i="6" s="1"/>
  <c r="E88" i="9"/>
  <c r="F7" i="8" s="1"/>
  <c r="E14" i="9"/>
  <c r="F8" i="6" s="1"/>
  <c r="E30" i="9"/>
  <c r="C2" i="7" s="1"/>
  <c r="E8" i="9"/>
  <c r="E19" i="9"/>
  <c r="K16" i="14" s="1"/>
  <c r="E40" i="9"/>
  <c r="X31" i="6" s="1"/>
  <c r="E44" i="9"/>
  <c r="AB33" i="6" s="1"/>
  <c r="E87" i="9"/>
  <c r="C5" i="7" s="1"/>
  <c r="E82" i="9"/>
  <c r="B4" i="8" s="1"/>
  <c r="E29" i="9"/>
  <c r="AA6" i="6" s="1"/>
  <c r="E33" i="9"/>
  <c r="M6" i="7" s="1"/>
  <c r="E89" i="9"/>
  <c r="F6" i="8" s="1"/>
  <c r="E42" i="9"/>
  <c r="E6" i="7" s="1"/>
  <c r="E9" i="9"/>
  <c r="X34" i="6" s="1"/>
  <c r="E20" i="9"/>
  <c r="Y34" i="6" s="1"/>
  <c r="E22" i="9"/>
  <c r="AA34" i="6" s="1"/>
  <c r="E16" i="9"/>
  <c r="Y33" i="6" s="1"/>
  <c r="E85" i="9"/>
  <c r="E43" i="9"/>
  <c r="E13" i="9"/>
  <c r="A1" i="14" s="1"/>
  <c r="E83" i="9"/>
  <c r="Q2" i="7" s="1"/>
  <c r="E32" i="9"/>
  <c r="M4" i="7" s="1"/>
  <c r="E45" i="9"/>
  <c r="E28" i="9"/>
  <c r="E36" i="9"/>
  <c r="F5" i="9" s="1"/>
  <c r="E23" i="9"/>
  <c r="AB34" i="6" s="1"/>
  <c r="E91" i="9"/>
  <c r="E99" i="9"/>
  <c r="E59" i="9"/>
  <c r="E67" i="9"/>
  <c r="E75" i="9"/>
  <c r="B17" i="15" s="1"/>
  <c r="E93" i="9"/>
  <c r="D33" i="15" s="1"/>
  <c r="E61" i="9"/>
  <c r="X6" i="6" s="1"/>
  <c r="E77" i="9"/>
  <c r="E94" i="9"/>
  <c r="E62" i="9"/>
  <c r="E78" i="9"/>
  <c r="E55" i="9"/>
  <c r="L8" i="6" s="1"/>
  <c r="E71" i="9"/>
  <c r="E96" i="9"/>
  <c r="E64" i="9"/>
  <c r="G24" i="15" s="1"/>
  <c r="AK34" i="6" s="1"/>
  <c r="E80" i="9"/>
  <c r="E57" i="9"/>
  <c r="E65" i="9"/>
  <c r="E73" i="9"/>
  <c r="G9" i="15" s="1"/>
  <c r="E92" i="9"/>
  <c r="B33" i="15" s="1"/>
  <c r="E100" i="9"/>
  <c r="E60" i="9"/>
  <c r="E68" i="9"/>
  <c r="B12" i="15" s="1"/>
  <c r="E76" i="9"/>
  <c r="B18" i="15" s="1"/>
  <c r="E53" i="9"/>
  <c r="R8" i="6" s="1"/>
  <c r="E69" i="9"/>
  <c r="E54" i="9"/>
  <c r="I8" i="6" s="1"/>
  <c r="E70" i="9"/>
  <c r="E95" i="9"/>
  <c r="E63" i="9"/>
  <c r="B22" i="15" s="1"/>
  <c r="E79" i="9"/>
  <c r="B27" i="15" s="1"/>
  <c r="E56" i="9"/>
  <c r="O8" i="6" s="1"/>
  <c r="E72" i="9"/>
  <c r="B7" i="15" s="1"/>
  <c r="E97" i="9"/>
  <c r="E90" i="9"/>
  <c r="J294" i="6" s="1"/>
  <c r="E98" i="9"/>
  <c r="E58" i="9"/>
  <c r="E66" i="9"/>
  <c r="E74" i="9"/>
  <c r="E17" i="9"/>
  <c r="L6" i="7" s="1"/>
  <c r="E48" i="9"/>
  <c r="E8" i="6" s="1"/>
  <c r="E86" i="9"/>
  <c r="L1" i="9" s="1"/>
  <c r="E46" i="9"/>
  <c r="E11" i="9"/>
  <c r="B6" i="6" s="1"/>
  <c r="E24" i="9"/>
  <c r="AC34" i="6" s="1"/>
  <c r="E51" i="9"/>
  <c r="U8" i="6" s="1"/>
  <c r="E15" i="9"/>
  <c r="E12" i="9"/>
  <c r="E25" i="9"/>
  <c r="E52" i="9"/>
  <c r="AM8" i="6" s="1"/>
  <c r="S24" i="14"/>
  <c r="AR6" i="6"/>
  <c r="J221" i="6"/>
  <c r="AR31" i="6"/>
  <c r="AA46" i="14"/>
  <c r="BG154" i="14"/>
  <c r="C7" i="14"/>
  <c r="AU106" i="14"/>
  <c r="BK172" i="14"/>
  <c r="AY121" i="14"/>
  <c r="BO191" i="14"/>
  <c r="AI67" i="14"/>
  <c r="AM79" i="14"/>
  <c r="S29" i="14"/>
  <c r="BC137" i="14"/>
  <c r="AQ92" i="14"/>
  <c r="AU101" i="14"/>
  <c r="W32" i="14"/>
  <c r="G11" i="14"/>
  <c r="O22" i="14"/>
  <c r="AM74" i="14"/>
  <c r="W37" i="14"/>
  <c r="AE56" i="14"/>
  <c r="AY116" i="14"/>
  <c r="K11" i="14"/>
  <c r="BK167" i="14"/>
  <c r="BC132" i="14"/>
  <c r="G6" i="14"/>
  <c r="B1" i="15"/>
  <c r="AQ87" i="14"/>
  <c r="AA41" i="14"/>
  <c r="O17" i="14"/>
  <c r="J113" i="6"/>
  <c r="J321" i="6"/>
  <c r="J168" i="6"/>
  <c r="J73" i="6"/>
  <c r="J218" i="6"/>
  <c r="J215" i="6"/>
  <c r="J29" i="6"/>
  <c r="J109" i="6"/>
  <c r="J361" i="6"/>
  <c r="J298" i="6"/>
  <c r="J48" i="6"/>
  <c r="J231" i="6"/>
  <c r="J37" i="6"/>
  <c r="K268" i="7"/>
  <c r="K285" i="7"/>
  <c r="K10" i="7"/>
  <c r="K50" i="7"/>
  <c r="K139" i="7"/>
  <c r="K219" i="7"/>
  <c r="K333" i="7"/>
  <c r="K351" i="7"/>
  <c r="K202" i="7"/>
  <c r="K85" i="7"/>
  <c r="K143" i="7"/>
  <c r="K249" i="7"/>
  <c r="K318" i="7"/>
  <c r="K235" i="7"/>
  <c r="K119" i="7"/>
  <c r="K252" i="7"/>
  <c r="K190" i="7"/>
  <c r="S386" i="6"/>
  <c r="S370" i="6"/>
  <c r="S362" i="6"/>
  <c r="S354" i="6"/>
  <c r="S338" i="6"/>
  <c r="S330" i="6"/>
  <c r="S322" i="6"/>
  <c r="S306" i="6"/>
  <c r="S298" i="6"/>
  <c r="S290" i="6"/>
  <c r="S274" i="6"/>
  <c r="S266" i="6"/>
  <c r="S258" i="6"/>
  <c r="S242" i="6"/>
  <c r="S234" i="6"/>
  <c r="S226" i="6"/>
  <c r="S210" i="6"/>
  <c r="S202" i="6"/>
  <c r="S194" i="6"/>
  <c r="S178" i="6"/>
  <c r="S170" i="6"/>
  <c r="S162" i="6"/>
  <c r="S146" i="6"/>
  <c r="S138" i="6"/>
  <c r="S130" i="6"/>
  <c r="S114" i="6"/>
  <c r="S106" i="6"/>
  <c r="S98" i="6"/>
  <c r="S82" i="6"/>
  <c r="S74" i="6"/>
  <c r="S66" i="6"/>
  <c r="S42" i="6"/>
  <c r="S34" i="6"/>
  <c r="S26" i="6"/>
  <c r="S9" i="6"/>
  <c r="S60" i="6"/>
  <c r="S385" i="6"/>
  <c r="S369" i="6"/>
  <c r="S361" i="6"/>
  <c r="S353" i="6"/>
  <c r="S337" i="6"/>
  <c r="S329" i="6"/>
  <c r="S321" i="6"/>
  <c r="S305" i="6"/>
  <c r="S297" i="6"/>
  <c r="S289" i="6"/>
  <c r="S273" i="6"/>
  <c r="S265" i="6"/>
  <c r="S257" i="6"/>
  <c r="S241" i="6"/>
  <c r="S233" i="6"/>
  <c r="S225" i="6"/>
  <c r="S209" i="6"/>
  <c r="S201" i="6"/>
  <c r="S193" i="6"/>
  <c r="S177" i="6"/>
  <c r="S169" i="6"/>
  <c r="S161" i="6"/>
  <c r="S145" i="6"/>
  <c r="S137" i="6"/>
  <c r="S129" i="6"/>
  <c r="S113" i="6"/>
  <c r="S105" i="6"/>
  <c r="S97" i="6"/>
  <c r="S81" i="6"/>
  <c r="S73" i="6"/>
  <c r="S65" i="6"/>
  <c r="S49" i="6"/>
  <c r="S41" i="6"/>
  <c r="S33" i="6"/>
  <c r="S17" i="6"/>
  <c r="S380" i="6"/>
  <c r="S356" i="6"/>
  <c r="S300" i="6"/>
  <c r="S260" i="6"/>
  <c r="S244" i="6"/>
  <c r="S188" i="6"/>
  <c r="S164" i="6"/>
  <c r="S132" i="6"/>
  <c r="S84" i="6"/>
  <c r="S44" i="6"/>
  <c r="S12" i="6"/>
  <c r="S376" i="6"/>
  <c r="S368" i="6"/>
  <c r="S360" i="6"/>
  <c r="S344" i="6"/>
  <c r="S336" i="6"/>
  <c r="S328" i="6"/>
  <c r="S312" i="6"/>
  <c r="S304" i="6"/>
  <c r="S296" i="6"/>
  <c r="S280" i="6"/>
  <c r="S272" i="6"/>
  <c r="S264" i="6"/>
  <c r="S248" i="6"/>
  <c r="S240" i="6"/>
  <c r="S232" i="6"/>
  <c r="S216" i="6"/>
  <c r="S208" i="6"/>
  <c r="S200" i="6"/>
  <c r="S184" i="6"/>
  <c r="S176" i="6"/>
  <c r="S168" i="6"/>
  <c r="S152" i="6"/>
  <c r="S144" i="6"/>
  <c r="S136" i="6"/>
  <c r="S120" i="6"/>
  <c r="S112" i="6"/>
  <c r="S104" i="6"/>
  <c r="S88" i="6"/>
  <c r="S80" i="6"/>
  <c r="S72" i="6"/>
  <c r="S56" i="6"/>
  <c r="S48" i="6"/>
  <c r="S40" i="6"/>
  <c r="S24" i="6"/>
  <c r="S16" i="6"/>
  <c r="S388" i="6"/>
  <c r="S316" i="6"/>
  <c r="S284" i="6"/>
  <c r="S252" i="6"/>
  <c r="S156" i="6"/>
  <c r="S116" i="6"/>
  <c r="S76" i="6"/>
  <c r="S20" i="6"/>
  <c r="S383" i="6"/>
  <c r="S375" i="6"/>
  <c r="S367" i="6"/>
  <c r="S359" i="6"/>
  <c r="S351" i="6"/>
  <c r="S343" i="6"/>
  <c r="S335" i="6"/>
  <c r="S327" i="6"/>
  <c r="S319" i="6"/>
  <c r="S311" i="6"/>
  <c r="S303" i="6"/>
  <c r="S295" i="6"/>
  <c r="S287" i="6"/>
  <c r="S279" i="6"/>
  <c r="S271" i="6"/>
  <c r="S263" i="6"/>
  <c r="S255" i="6"/>
  <c r="S247" i="6"/>
  <c r="S239" i="6"/>
  <c r="S231" i="6"/>
  <c r="S223" i="6"/>
  <c r="S215" i="6"/>
  <c r="S207" i="6"/>
  <c r="S199" i="6"/>
  <c r="S191" i="6"/>
  <c r="S183" i="6"/>
  <c r="S175" i="6"/>
  <c r="S167" i="6"/>
  <c r="S159" i="6"/>
  <c r="S151" i="6"/>
  <c r="S143" i="6"/>
  <c r="S135" i="6"/>
  <c r="S127" i="6"/>
  <c r="S119" i="6"/>
  <c r="S111" i="6"/>
  <c r="S103" i="6"/>
  <c r="S95" i="6"/>
  <c r="S87" i="6"/>
  <c r="S79" i="6"/>
  <c r="S71" i="6"/>
  <c r="S63" i="6"/>
  <c r="S55" i="6"/>
  <c r="S47" i="6"/>
  <c r="S39" i="6"/>
  <c r="S31" i="6"/>
  <c r="S23" i="6"/>
  <c r="S15" i="6"/>
  <c r="S372" i="6"/>
  <c r="S340" i="6"/>
  <c r="S308" i="6"/>
  <c r="S276" i="6"/>
  <c r="S228" i="6"/>
  <c r="S180" i="6"/>
  <c r="S140" i="6"/>
  <c r="S100" i="6"/>
  <c r="S52" i="6"/>
  <c r="S382" i="6"/>
  <c r="S374" i="6"/>
  <c r="S366" i="6"/>
  <c r="S358" i="6"/>
  <c r="S350" i="6"/>
  <c r="S342" i="6"/>
  <c r="S334" i="6"/>
  <c r="S326" i="6"/>
  <c r="S318" i="6"/>
  <c r="S310" i="6"/>
  <c r="S302" i="6"/>
  <c r="S294" i="6"/>
  <c r="S286" i="6"/>
  <c r="S278" i="6"/>
  <c r="S270" i="6"/>
  <c r="S262" i="6"/>
  <c r="S254" i="6"/>
  <c r="S246" i="6"/>
  <c r="S238" i="6"/>
  <c r="S230" i="6"/>
  <c r="S222" i="6"/>
  <c r="S214" i="6"/>
  <c r="S206" i="6"/>
  <c r="S198" i="6"/>
  <c r="S190" i="6"/>
  <c r="S182" i="6"/>
  <c r="S174" i="6"/>
  <c r="S166" i="6"/>
  <c r="S158" i="6"/>
  <c r="S150" i="6"/>
  <c r="S142" i="6"/>
  <c r="S134" i="6"/>
  <c r="S126" i="6"/>
  <c r="S118" i="6"/>
  <c r="S110" i="6"/>
  <c r="S102" i="6"/>
  <c r="S94" i="6"/>
  <c r="S86" i="6"/>
  <c r="S78" i="6"/>
  <c r="S70" i="6"/>
  <c r="S62" i="6"/>
  <c r="S54" i="6"/>
  <c r="S46" i="6"/>
  <c r="S38" i="6"/>
  <c r="S30" i="6"/>
  <c r="S22" i="6"/>
  <c r="S14" i="6"/>
  <c r="S220" i="6"/>
  <c r="S36" i="6"/>
  <c r="S381" i="6"/>
  <c r="S373" i="6"/>
  <c r="S365" i="6"/>
  <c r="S357" i="6"/>
  <c r="S349" i="6"/>
  <c r="S341" i="6"/>
  <c r="S333" i="6"/>
  <c r="S325" i="6"/>
  <c r="S317" i="6"/>
  <c r="S309" i="6"/>
  <c r="S301" i="6"/>
  <c r="S293" i="6"/>
  <c r="S285" i="6"/>
  <c r="S277" i="6"/>
  <c r="S269" i="6"/>
  <c r="S261" i="6"/>
  <c r="S253" i="6"/>
  <c r="S245" i="6"/>
  <c r="S237" i="6"/>
  <c r="S229" i="6"/>
  <c r="S221" i="6"/>
  <c r="S213" i="6"/>
  <c r="S205" i="6"/>
  <c r="S197" i="6"/>
  <c r="S189" i="6"/>
  <c r="S181" i="6"/>
  <c r="S173" i="6"/>
  <c r="S165" i="6"/>
  <c r="S157" i="6"/>
  <c r="S149" i="6"/>
  <c r="S141" i="6"/>
  <c r="S133" i="6"/>
  <c r="S125" i="6"/>
  <c r="S117" i="6"/>
  <c r="S109" i="6"/>
  <c r="S101" i="6"/>
  <c r="S93" i="6"/>
  <c r="S85" i="6"/>
  <c r="S77" i="6"/>
  <c r="S69" i="6"/>
  <c r="S61" i="6"/>
  <c r="S53" i="6"/>
  <c r="S45" i="6"/>
  <c r="S37" i="6"/>
  <c r="S29" i="6"/>
  <c r="S21" i="6"/>
  <c r="S13" i="6"/>
  <c r="S364" i="6"/>
  <c r="S324" i="6"/>
  <c r="S292" i="6"/>
  <c r="S268" i="6"/>
  <c r="S236" i="6"/>
  <c r="S204" i="6"/>
  <c r="S172" i="6"/>
  <c r="S148" i="6"/>
  <c r="S124" i="6"/>
  <c r="S92" i="6"/>
  <c r="S68" i="6"/>
  <c r="S28" i="6"/>
  <c r="S387" i="6"/>
  <c r="S379" i="6"/>
  <c r="S371" i="6"/>
  <c r="S363" i="6"/>
  <c r="S355" i="6"/>
  <c r="S347" i="6"/>
  <c r="S339" i="6"/>
  <c r="S331" i="6"/>
  <c r="S323" i="6"/>
  <c r="S315" i="6"/>
  <c r="S307" i="6"/>
  <c r="S299" i="6"/>
  <c r="S291" i="6"/>
  <c r="S283" i="6"/>
  <c r="S275" i="6"/>
  <c r="S267" i="6"/>
  <c r="S259" i="6"/>
  <c r="S251" i="6"/>
  <c r="S243" i="6"/>
  <c r="S235" i="6"/>
  <c r="S227" i="6"/>
  <c r="S219" i="6"/>
  <c r="S211" i="6"/>
  <c r="S203" i="6"/>
  <c r="S195" i="6"/>
  <c r="S187" i="6"/>
  <c r="S179" i="6"/>
  <c r="S171" i="6"/>
  <c r="S163" i="6"/>
  <c r="S155" i="6"/>
  <c r="S147" i="6"/>
  <c r="S139" i="6"/>
  <c r="S131" i="6"/>
  <c r="S123" i="6"/>
  <c r="S115" i="6"/>
  <c r="S107" i="6"/>
  <c r="S99" i="6"/>
  <c r="S91" i="6"/>
  <c r="S83" i="6"/>
  <c r="S75" i="6"/>
  <c r="S67" i="6"/>
  <c r="S59" i="6"/>
  <c r="S51" i="6"/>
  <c r="S43" i="6"/>
  <c r="S35" i="6"/>
  <c r="S27" i="6"/>
  <c r="S19" i="6"/>
  <c r="S11" i="6"/>
  <c r="S58" i="6"/>
  <c r="P384" i="6"/>
  <c r="P376" i="6"/>
  <c r="P368" i="6"/>
  <c r="P360" i="6"/>
  <c r="P352" i="6"/>
  <c r="P344" i="6"/>
  <c r="P336" i="6"/>
  <c r="P328" i="6"/>
  <c r="P320" i="6"/>
  <c r="P312" i="6"/>
  <c r="P304" i="6"/>
  <c r="P296" i="6"/>
  <c r="P288" i="6"/>
  <c r="P280" i="6"/>
  <c r="P272" i="6"/>
  <c r="P264" i="6"/>
  <c r="P256" i="6"/>
  <c r="P248" i="6"/>
  <c r="P240" i="6"/>
  <c r="P232" i="6"/>
  <c r="P224" i="6"/>
  <c r="P216" i="6"/>
  <c r="P208" i="6"/>
  <c r="P200" i="6"/>
  <c r="P192" i="6"/>
  <c r="P184" i="6"/>
  <c r="P176" i="6"/>
  <c r="P168" i="6"/>
  <c r="P160" i="6"/>
  <c r="P152" i="6"/>
  <c r="P144" i="6"/>
  <c r="P136" i="6"/>
  <c r="P128" i="6"/>
  <c r="P120" i="6"/>
  <c r="P112" i="6"/>
  <c r="P104" i="6"/>
  <c r="P96" i="6"/>
  <c r="P88" i="6"/>
  <c r="P80" i="6"/>
  <c r="P383" i="6"/>
  <c r="P375" i="6"/>
  <c r="P367" i="6"/>
  <c r="P359" i="6"/>
  <c r="P351" i="6"/>
  <c r="P343" i="6"/>
  <c r="P335" i="6"/>
  <c r="P327" i="6"/>
  <c r="P319" i="6"/>
  <c r="P311" i="6"/>
  <c r="P303" i="6"/>
  <c r="P295" i="6"/>
  <c r="P287" i="6"/>
  <c r="P279" i="6"/>
  <c r="P271" i="6"/>
  <c r="P263" i="6"/>
  <c r="P255" i="6"/>
  <c r="P247" i="6"/>
  <c r="P239" i="6"/>
  <c r="P231" i="6"/>
  <c r="P223" i="6"/>
  <c r="P215" i="6"/>
  <c r="P207" i="6"/>
  <c r="P199" i="6"/>
  <c r="P191" i="6"/>
  <c r="P183" i="6"/>
  <c r="P175" i="6"/>
  <c r="P167" i="6"/>
  <c r="P159" i="6"/>
  <c r="P151" i="6"/>
  <c r="P143" i="6"/>
  <c r="P135" i="6"/>
  <c r="P127" i="6"/>
  <c r="P119" i="6"/>
  <c r="P111" i="6"/>
  <c r="P103" i="6"/>
  <c r="P95" i="6"/>
  <c r="P382" i="6"/>
  <c r="P374" i="6"/>
  <c r="P366" i="6"/>
  <c r="P358" i="6"/>
  <c r="P350" i="6"/>
  <c r="P342" i="6"/>
  <c r="P334" i="6"/>
  <c r="P326" i="6"/>
  <c r="P318" i="6"/>
  <c r="P310" i="6"/>
  <c r="P302" i="6"/>
  <c r="P294" i="6"/>
  <c r="P286" i="6"/>
  <c r="P278" i="6"/>
  <c r="P270" i="6"/>
  <c r="P262" i="6"/>
  <c r="P254" i="6"/>
  <c r="P246" i="6"/>
  <c r="P238" i="6"/>
  <c r="P230" i="6"/>
  <c r="P222" i="6"/>
  <c r="P214" i="6"/>
  <c r="P206" i="6"/>
  <c r="P198" i="6"/>
  <c r="P190" i="6"/>
  <c r="P182" i="6"/>
  <c r="P174" i="6"/>
  <c r="P166" i="6"/>
  <c r="P158" i="6"/>
  <c r="P150" i="6"/>
  <c r="P142" i="6"/>
  <c r="P134" i="6"/>
  <c r="P126" i="6"/>
  <c r="P118" i="6"/>
  <c r="P110" i="6"/>
  <c r="P102" i="6"/>
  <c r="P94" i="6"/>
  <c r="P86" i="6"/>
  <c r="P78" i="6"/>
  <c r="P70" i="6"/>
  <c r="P62" i="6"/>
  <c r="P54" i="6"/>
  <c r="P46" i="6"/>
  <c r="P38" i="6"/>
  <c r="P30" i="6"/>
  <c r="P22" i="6"/>
  <c r="P14" i="6"/>
  <c r="M386" i="6"/>
  <c r="M378" i="6"/>
  <c r="M370" i="6"/>
  <c r="M362" i="6"/>
  <c r="M354" i="6"/>
  <c r="M346" i="6"/>
  <c r="M338" i="6"/>
  <c r="M330" i="6"/>
  <c r="M322" i="6"/>
  <c r="M314" i="6"/>
  <c r="M306" i="6"/>
  <c r="M298" i="6"/>
  <c r="M290" i="6"/>
  <c r="M282" i="6"/>
  <c r="M274" i="6"/>
  <c r="M266" i="6"/>
  <c r="M258" i="6"/>
  <c r="M250" i="6"/>
  <c r="M242" i="6"/>
  <c r="M234" i="6"/>
  <c r="M226" i="6"/>
  <c r="M218" i="6"/>
  <c r="M210" i="6"/>
  <c r="M202" i="6"/>
  <c r="M194" i="6"/>
  <c r="M186" i="6"/>
  <c r="M178" i="6"/>
  <c r="M170" i="6"/>
  <c r="M162" i="6"/>
  <c r="M154" i="6"/>
  <c r="M146" i="6"/>
  <c r="M138" i="6"/>
  <c r="M130" i="6"/>
  <c r="M122" i="6"/>
  <c r="M114" i="6"/>
  <c r="M106" i="6"/>
  <c r="S10" i="6"/>
  <c r="P381" i="6"/>
  <c r="P373" i="6"/>
  <c r="P365" i="6"/>
  <c r="P357" i="6"/>
  <c r="P349" i="6"/>
  <c r="P341" i="6"/>
  <c r="P333" i="6"/>
  <c r="P325" i="6"/>
  <c r="P317" i="6"/>
  <c r="P309" i="6"/>
  <c r="P301" i="6"/>
  <c r="P293" i="6"/>
  <c r="P285" i="6"/>
  <c r="P277" i="6"/>
  <c r="P269" i="6"/>
  <c r="P261" i="6"/>
  <c r="P253" i="6"/>
  <c r="P245" i="6"/>
  <c r="P237" i="6"/>
  <c r="P229" i="6"/>
  <c r="P221" i="6"/>
  <c r="P213" i="6"/>
  <c r="P205" i="6"/>
  <c r="P197" i="6"/>
  <c r="P189" i="6"/>
  <c r="P181" i="6"/>
  <c r="P173" i="6"/>
  <c r="P165" i="6"/>
  <c r="P157" i="6"/>
  <c r="P149" i="6"/>
  <c r="P141" i="6"/>
  <c r="P133" i="6"/>
  <c r="P125" i="6"/>
  <c r="P117" i="6"/>
  <c r="P109" i="6"/>
  <c r="P101" i="6"/>
  <c r="P93" i="6"/>
  <c r="P388" i="6"/>
  <c r="P380" i="6"/>
  <c r="P372" i="6"/>
  <c r="P364" i="6"/>
  <c r="P356" i="6"/>
  <c r="P348" i="6"/>
  <c r="P340" i="6"/>
  <c r="P332" i="6"/>
  <c r="P324" i="6"/>
  <c r="P316" i="6"/>
  <c r="P308" i="6"/>
  <c r="P300" i="6"/>
  <c r="P292" i="6"/>
  <c r="P284" i="6"/>
  <c r="P276" i="6"/>
  <c r="P268" i="6"/>
  <c r="P260" i="6"/>
  <c r="P252" i="6"/>
  <c r="P244" i="6"/>
  <c r="P236" i="6"/>
  <c r="P228" i="6"/>
  <c r="P220" i="6"/>
  <c r="P212" i="6"/>
  <c r="P204" i="6"/>
  <c r="P196" i="6"/>
  <c r="P188" i="6"/>
  <c r="P180" i="6"/>
  <c r="P172" i="6"/>
  <c r="P164" i="6"/>
  <c r="P156" i="6"/>
  <c r="P148" i="6"/>
  <c r="P140" i="6"/>
  <c r="P132" i="6"/>
  <c r="P124" i="6"/>
  <c r="P116" i="6"/>
  <c r="P108" i="6"/>
  <c r="P100" i="6"/>
  <c r="P92" i="6"/>
  <c r="P84" i="6"/>
  <c r="P76" i="6"/>
  <c r="P387" i="6"/>
  <c r="P379" i="6"/>
  <c r="P371" i="6"/>
  <c r="P363" i="6"/>
  <c r="P355" i="6"/>
  <c r="P347" i="6"/>
  <c r="P339" i="6"/>
  <c r="P331" i="6"/>
  <c r="P323" i="6"/>
  <c r="P315" i="6"/>
  <c r="P307" i="6"/>
  <c r="P299" i="6"/>
  <c r="P291" i="6"/>
  <c r="P283" i="6"/>
  <c r="P275" i="6"/>
  <c r="P267" i="6"/>
  <c r="P259" i="6"/>
  <c r="P251" i="6"/>
  <c r="P243" i="6"/>
  <c r="P235" i="6"/>
  <c r="P227" i="6"/>
  <c r="P219" i="6"/>
  <c r="P211" i="6"/>
  <c r="P203" i="6"/>
  <c r="P195" i="6"/>
  <c r="P187" i="6"/>
  <c r="P179" i="6"/>
  <c r="P171" i="6"/>
  <c r="P163" i="6"/>
  <c r="P155" i="6"/>
  <c r="P147" i="6"/>
  <c r="P139" i="6"/>
  <c r="P131" i="6"/>
  <c r="P123" i="6"/>
  <c r="P115" i="6"/>
  <c r="P107" i="6"/>
  <c r="P99" i="6"/>
  <c r="P91" i="6"/>
  <c r="P83" i="6"/>
  <c r="P75" i="6"/>
  <c r="P67" i="6"/>
  <c r="P59" i="6"/>
  <c r="P51" i="6"/>
  <c r="P43" i="6"/>
  <c r="P35" i="6"/>
  <c r="P27" i="6"/>
  <c r="P19" i="6"/>
  <c r="P11" i="6"/>
  <c r="M383" i="6"/>
  <c r="M375" i="6"/>
  <c r="M367" i="6"/>
  <c r="M359" i="6"/>
  <c r="M351" i="6"/>
  <c r="M343" i="6"/>
  <c r="M335" i="6"/>
  <c r="M327" i="6"/>
  <c r="M319" i="6"/>
  <c r="M311" i="6"/>
  <c r="M303" i="6"/>
  <c r="M295" i="6"/>
  <c r="M287" i="6"/>
  <c r="M279" i="6"/>
  <c r="M271" i="6"/>
  <c r="M263" i="6"/>
  <c r="M255" i="6"/>
  <c r="M247" i="6"/>
  <c r="M239" i="6"/>
  <c r="M231" i="6"/>
  <c r="M223" i="6"/>
  <c r="M215" i="6"/>
  <c r="M207" i="6"/>
  <c r="M199" i="6"/>
  <c r="M191" i="6"/>
  <c r="M183" i="6"/>
  <c r="M175" i="6"/>
  <c r="M167" i="6"/>
  <c r="M159" i="6"/>
  <c r="M151" i="6"/>
  <c r="M143" i="6"/>
  <c r="M135" i="6"/>
  <c r="M127" i="6"/>
  <c r="M119" i="6"/>
  <c r="M111" i="6"/>
  <c r="M103" i="6"/>
  <c r="M95" i="6"/>
  <c r="P386" i="6"/>
  <c r="P378" i="6"/>
  <c r="P370" i="6"/>
  <c r="P362" i="6"/>
  <c r="P354" i="6"/>
  <c r="P346" i="6"/>
  <c r="P338" i="6"/>
  <c r="P330" i="6"/>
  <c r="P322" i="6"/>
  <c r="P314" i="6"/>
  <c r="P306" i="6"/>
  <c r="P298" i="6"/>
  <c r="P290" i="6"/>
  <c r="P282" i="6"/>
  <c r="P274" i="6"/>
  <c r="P266" i="6"/>
  <c r="P258" i="6"/>
  <c r="P250" i="6"/>
  <c r="P242" i="6"/>
  <c r="P234" i="6"/>
  <c r="P226" i="6"/>
  <c r="P218" i="6"/>
  <c r="P210" i="6"/>
  <c r="P202" i="6"/>
  <c r="P194" i="6"/>
  <c r="P186" i="6"/>
  <c r="P178" i="6"/>
  <c r="P170" i="6"/>
  <c r="P162" i="6"/>
  <c r="P154" i="6"/>
  <c r="P146" i="6"/>
  <c r="P138" i="6"/>
  <c r="P130" i="6"/>
  <c r="P122" i="6"/>
  <c r="P114" i="6"/>
  <c r="P106" i="6"/>
  <c r="P98" i="6"/>
  <c r="P90" i="6"/>
  <c r="P82" i="6"/>
  <c r="P74" i="6"/>
  <c r="P66" i="6"/>
  <c r="P58" i="6"/>
  <c r="P50" i="6"/>
  <c r="P42" i="6"/>
  <c r="P34" i="6"/>
  <c r="P26" i="6"/>
  <c r="P18" i="6"/>
  <c r="P10" i="6"/>
  <c r="M382" i="6"/>
  <c r="M374" i="6"/>
  <c r="M366" i="6"/>
  <c r="M358" i="6"/>
  <c r="M350" i="6"/>
  <c r="M342" i="6"/>
  <c r="M334" i="6"/>
  <c r="M326" i="6"/>
  <c r="M318" i="6"/>
  <c r="M310" i="6"/>
  <c r="M302" i="6"/>
  <c r="M294" i="6"/>
  <c r="M286" i="6"/>
  <c r="M278" i="6"/>
  <c r="M270" i="6"/>
  <c r="M262" i="6"/>
  <c r="M254" i="6"/>
  <c r="M246" i="6"/>
  <c r="M238" i="6"/>
  <c r="M230" i="6"/>
  <c r="M222" i="6"/>
  <c r="M214" i="6"/>
  <c r="M206" i="6"/>
  <c r="M198" i="6"/>
  <c r="M190" i="6"/>
  <c r="M182" i="6"/>
  <c r="M174" i="6"/>
  <c r="M166" i="6"/>
  <c r="M158" i="6"/>
  <c r="M150" i="6"/>
  <c r="M142" i="6"/>
  <c r="M134" i="6"/>
  <c r="M126" i="6"/>
  <c r="M118" i="6"/>
  <c r="M110" i="6"/>
  <c r="P385" i="6"/>
  <c r="P377" i="6"/>
  <c r="P369" i="6"/>
  <c r="P361" i="6"/>
  <c r="P353" i="6"/>
  <c r="P345" i="6"/>
  <c r="P337" i="6"/>
  <c r="P329" i="6"/>
  <c r="P321" i="6"/>
  <c r="P313" i="6"/>
  <c r="P305" i="6"/>
  <c r="P297" i="6"/>
  <c r="P289" i="6"/>
  <c r="P281" i="6"/>
  <c r="P273" i="6"/>
  <c r="P265" i="6"/>
  <c r="P257" i="6"/>
  <c r="P249" i="6"/>
  <c r="P241" i="6"/>
  <c r="P233" i="6"/>
  <c r="P225" i="6"/>
  <c r="P217" i="6"/>
  <c r="P209" i="6"/>
  <c r="P201" i="6"/>
  <c r="P193" i="6"/>
  <c r="P185" i="6"/>
  <c r="P177" i="6"/>
  <c r="P169" i="6"/>
  <c r="P161" i="6"/>
  <c r="P153" i="6"/>
  <c r="P145" i="6"/>
  <c r="P137" i="6"/>
  <c r="P129" i="6"/>
  <c r="P121" i="6"/>
  <c r="P113" i="6"/>
  <c r="P105" i="6"/>
  <c r="P97" i="6"/>
  <c r="P89" i="6"/>
  <c r="P81" i="6"/>
  <c r="P73" i="6"/>
  <c r="P65" i="6"/>
  <c r="P57" i="6"/>
  <c r="P49" i="6"/>
  <c r="P41" i="6"/>
  <c r="P33" i="6"/>
  <c r="P25" i="6"/>
  <c r="P17" i="6"/>
  <c r="P9" i="6"/>
  <c r="M381" i="6"/>
  <c r="M373" i="6"/>
  <c r="M365" i="6"/>
  <c r="M357" i="6"/>
  <c r="M349" i="6"/>
  <c r="M341" i="6"/>
  <c r="M333" i="6"/>
  <c r="M325" i="6"/>
  <c r="M317" i="6"/>
  <c r="M309" i="6"/>
  <c r="M301" i="6"/>
  <c r="M293" i="6"/>
  <c r="M285" i="6"/>
  <c r="M277" i="6"/>
  <c r="M269" i="6"/>
  <c r="M261" i="6"/>
  <c r="M253" i="6"/>
  <c r="M245" i="6"/>
  <c r="M237" i="6"/>
  <c r="M229" i="6"/>
  <c r="M221" i="6"/>
  <c r="M213" i="6"/>
  <c r="M205" i="6"/>
  <c r="M197" i="6"/>
  <c r="M189" i="6"/>
  <c r="M181" i="6"/>
  <c r="M173" i="6"/>
  <c r="M165" i="6"/>
  <c r="M157" i="6"/>
  <c r="M149" i="6"/>
  <c r="M141" i="6"/>
  <c r="M133" i="6"/>
  <c r="M125" i="6"/>
  <c r="M117" i="6"/>
  <c r="M109" i="6"/>
  <c r="M101" i="6"/>
  <c r="M93" i="6"/>
  <c r="P69" i="6"/>
  <c r="P53" i="6"/>
  <c r="P37" i="6"/>
  <c r="P21" i="6"/>
  <c r="M385" i="6"/>
  <c r="M369" i="6"/>
  <c r="M353" i="6"/>
  <c r="M337" i="6"/>
  <c r="M321" i="6"/>
  <c r="M305" i="6"/>
  <c r="M289" i="6"/>
  <c r="M273" i="6"/>
  <c r="M257" i="6"/>
  <c r="M241" i="6"/>
  <c r="M225" i="6"/>
  <c r="M209" i="6"/>
  <c r="M193" i="6"/>
  <c r="M177" i="6"/>
  <c r="M161" i="6"/>
  <c r="M145" i="6"/>
  <c r="M129" i="6"/>
  <c r="M113" i="6"/>
  <c r="M99" i="6"/>
  <c r="M89" i="6"/>
  <c r="M81" i="6"/>
  <c r="M73" i="6"/>
  <c r="M65" i="6"/>
  <c r="M57" i="6"/>
  <c r="M49" i="6"/>
  <c r="M9" i="6"/>
  <c r="M56" i="6"/>
  <c r="P68" i="6"/>
  <c r="P52" i="6"/>
  <c r="P36" i="6"/>
  <c r="P20" i="6"/>
  <c r="M384" i="6"/>
  <c r="M368" i="6"/>
  <c r="M352" i="6"/>
  <c r="M336" i="6"/>
  <c r="M320" i="6"/>
  <c r="M304" i="6"/>
  <c r="M288" i="6"/>
  <c r="M272" i="6"/>
  <c r="M256" i="6"/>
  <c r="M240" i="6"/>
  <c r="M224" i="6"/>
  <c r="M208" i="6"/>
  <c r="M192" i="6"/>
  <c r="M176" i="6"/>
  <c r="M160" i="6"/>
  <c r="M144" i="6"/>
  <c r="M128" i="6"/>
  <c r="M112" i="6"/>
  <c r="M98" i="6"/>
  <c r="P87" i="6"/>
  <c r="P64" i="6"/>
  <c r="P48" i="6"/>
  <c r="P32" i="6"/>
  <c r="P16" i="6"/>
  <c r="M380" i="6"/>
  <c r="M364" i="6"/>
  <c r="M348" i="6"/>
  <c r="M332" i="6"/>
  <c r="M316" i="6"/>
  <c r="M300" i="6"/>
  <c r="M284" i="6"/>
  <c r="M268" i="6"/>
  <c r="M252" i="6"/>
  <c r="M236" i="6"/>
  <c r="M220" i="6"/>
  <c r="M204" i="6"/>
  <c r="M188" i="6"/>
  <c r="M172" i="6"/>
  <c r="M156" i="6"/>
  <c r="M140" i="6"/>
  <c r="M124" i="6"/>
  <c r="M108" i="6"/>
  <c r="M97" i="6"/>
  <c r="M87" i="6"/>
  <c r="M79" i="6"/>
  <c r="M71" i="6"/>
  <c r="M63" i="6"/>
  <c r="M55" i="6"/>
  <c r="M47" i="6"/>
  <c r="M39" i="6"/>
  <c r="M31" i="6"/>
  <c r="M23" i="6"/>
  <c r="M15" i="6"/>
  <c r="P63" i="6"/>
  <c r="M379" i="6"/>
  <c r="M347" i="6"/>
  <c r="M315" i="6"/>
  <c r="M299" i="6"/>
  <c r="M267" i="6"/>
  <c r="M251" i="6"/>
  <c r="M219" i="6"/>
  <c r="M187" i="6"/>
  <c r="M155" i="6"/>
  <c r="M139" i="6"/>
  <c r="M107" i="6"/>
  <c r="M86" i="6"/>
  <c r="M78" i="6"/>
  <c r="M62" i="6"/>
  <c r="M46" i="6"/>
  <c r="M30" i="6"/>
  <c r="M14" i="6"/>
  <c r="M42" i="6"/>
  <c r="M10" i="6"/>
  <c r="M17" i="6"/>
  <c r="M72" i="6"/>
  <c r="M16" i="6"/>
  <c r="P85" i="6"/>
  <c r="P47" i="6"/>
  <c r="P31" i="6"/>
  <c r="P15" i="6"/>
  <c r="M363" i="6"/>
  <c r="M331" i="6"/>
  <c r="M283" i="6"/>
  <c r="M235" i="6"/>
  <c r="M203" i="6"/>
  <c r="M171" i="6"/>
  <c r="M123" i="6"/>
  <c r="M96" i="6"/>
  <c r="M70" i="6"/>
  <c r="M54" i="6"/>
  <c r="M38" i="6"/>
  <c r="M22" i="6"/>
  <c r="M34" i="6"/>
  <c r="M41" i="6"/>
  <c r="M88" i="6"/>
  <c r="M40" i="6"/>
  <c r="P79" i="6"/>
  <c r="P61" i="6"/>
  <c r="P45" i="6"/>
  <c r="P29" i="6"/>
  <c r="P13" i="6"/>
  <c r="M377" i="6"/>
  <c r="M361" i="6"/>
  <c r="M345" i="6"/>
  <c r="M329" i="6"/>
  <c r="M313" i="6"/>
  <c r="M297" i="6"/>
  <c r="M281" i="6"/>
  <c r="M265" i="6"/>
  <c r="M249" i="6"/>
  <c r="M233" i="6"/>
  <c r="M217" i="6"/>
  <c r="M201" i="6"/>
  <c r="M185" i="6"/>
  <c r="M169" i="6"/>
  <c r="M153" i="6"/>
  <c r="M137" i="6"/>
  <c r="M121" i="6"/>
  <c r="M105" i="6"/>
  <c r="M94" i="6"/>
  <c r="M85" i="6"/>
  <c r="M77" i="6"/>
  <c r="M69" i="6"/>
  <c r="M61" i="6"/>
  <c r="M53" i="6"/>
  <c r="M45" i="6"/>
  <c r="M37" i="6"/>
  <c r="M29" i="6"/>
  <c r="M21" i="6"/>
  <c r="M13" i="6"/>
  <c r="M179" i="6"/>
  <c r="M58" i="6"/>
  <c r="M48" i="6"/>
  <c r="P77" i="6"/>
  <c r="P60" i="6"/>
  <c r="P44" i="6"/>
  <c r="P28" i="6"/>
  <c r="P12" i="6"/>
  <c r="M376" i="6"/>
  <c r="M360" i="6"/>
  <c r="M344" i="6"/>
  <c r="M328" i="6"/>
  <c r="M312" i="6"/>
  <c r="M296" i="6"/>
  <c r="M280" i="6"/>
  <c r="M264" i="6"/>
  <c r="M248" i="6"/>
  <c r="M232" i="6"/>
  <c r="M216" i="6"/>
  <c r="M200" i="6"/>
  <c r="M184" i="6"/>
  <c r="M168" i="6"/>
  <c r="M152" i="6"/>
  <c r="M136" i="6"/>
  <c r="M120" i="6"/>
  <c r="M104" i="6"/>
  <c r="M92" i="6"/>
  <c r="M84" i="6"/>
  <c r="M76" i="6"/>
  <c r="M68" i="6"/>
  <c r="M60" i="6"/>
  <c r="M52" i="6"/>
  <c r="M44" i="6"/>
  <c r="M36" i="6"/>
  <c r="M28" i="6"/>
  <c r="M20" i="6"/>
  <c r="M12" i="6"/>
  <c r="P55" i="6"/>
  <c r="P23" i="6"/>
  <c r="M371" i="6"/>
  <c r="M339" i="6"/>
  <c r="M307" i="6"/>
  <c r="M275" i="6"/>
  <c r="M243" i="6"/>
  <c r="M211" i="6"/>
  <c r="M163" i="6"/>
  <c r="M131" i="6"/>
  <c r="M100" i="6"/>
  <c r="M82" i="6"/>
  <c r="M66" i="6"/>
  <c r="M26" i="6"/>
  <c r="M25" i="6"/>
  <c r="M80" i="6"/>
  <c r="M32" i="6"/>
  <c r="P72" i="6"/>
  <c r="P56" i="6"/>
  <c r="P40" i="6"/>
  <c r="P24" i="6"/>
  <c r="M388" i="6"/>
  <c r="M372" i="6"/>
  <c r="M356" i="6"/>
  <c r="M340" i="6"/>
  <c r="M324" i="6"/>
  <c r="M308" i="6"/>
  <c r="M292" i="6"/>
  <c r="M276" i="6"/>
  <c r="M260" i="6"/>
  <c r="M244" i="6"/>
  <c r="M228" i="6"/>
  <c r="M212" i="6"/>
  <c r="M196" i="6"/>
  <c r="M180" i="6"/>
  <c r="M164" i="6"/>
  <c r="M148" i="6"/>
  <c r="M132" i="6"/>
  <c r="M116" i="6"/>
  <c r="M102" i="6"/>
  <c r="M91" i="6"/>
  <c r="M83" i="6"/>
  <c r="M75" i="6"/>
  <c r="M67" i="6"/>
  <c r="M59" i="6"/>
  <c r="M51" i="6"/>
  <c r="M43" i="6"/>
  <c r="M35" i="6"/>
  <c r="M27" i="6"/>
  <c r="M19" i="6"/>
  <c r="M11" i="6"/>
  <c r="P71" i="6"/>
  <c r="P39" i="6"/>
  <c r="M387" i="6"/>
  <c r="M355" i="6"/>
  <c r="M323" i="6"/>
  <c r="M291" i="6"/>
  <c r="M259" i="6"/>
  <c r="M227" i="6"/>
  <c r="M195" i="6"/>
  <c r="M147" i="6"/>
  <c r="M115" i="6"/>
  <c r="M90" i="6"/>
  <c r="M74" i="6"/>
  <c r="M50" i="6"/>
  <c r="M18" i="6"/>
  <c r="M33" i="6"/>
  <c r="M64" i="6"/>
  <c r="M24" i="6"/>
  <c r="J99" i="6"/>
  <c r="J59" i="6"/>
  <c r="J358" i="6"/>
  <c r="J244" i="6"/>
  <c r="J324" i="6"/>
  <c r="J265" i="6"/>
  <c r="J271" i="6"/>
  <c r="J261" i="6"/>
  <c r="J38" i="6"/>
  <c r="J345" i="6"/>
  <c r="J340" i="6"/>
  <c r="J117" i="6"/>
  <c r="J35" i="6"/>
  <c r="J82" i="6"/>
  <c r="J144" i="6"/>
  <c r="J74" i="6"/>
  <c r="J11" i="6"/>
  <c r="J16" i="6"/>
  <c r="J51" i="6"/>
  <c r="J89" i="6"/>
  <c r="J95" i="6"/>
  <c r="J85" i="6"/>
  <c r="J291" i="6"/>
  <c r="J382" i="6"/>
  <c r="J94" i="6"/>
  <c r="J92" i="6"/>
  <c r="J98" i="6"/>
  <c r="J96" i="6"/>
  <c r="J362" i="6"/>
  <c r="J129" i="6"/>
  <c r="J135" i="6"/>
  <c r="J125" i="6"/>
  <c r="J351" i="6"/>
  <c r="J328" i="6"/>
  <c r="J54" i="6"/>
  <c r="J255" i="6"/>
  <c r="AI9" i="6"/>
  <c r="J338" i="6"/>
  <c r="J323" i="6"/>
  <c r="J22" i="6"/>
  <c r="J309" i="6"/>
  <c r="J142" i="6"/>
  <c r="J140" i="6"/>
  <c r="J146" i="6"/>
  <c r="J208" i="6"/>
  <c r="J317" i="6"/>
  <c r="J77" i="6"/>
  <c r="J121" i="6"/>
  <c r="J259" i="6"/>
  <c r="J153" i="6"/>
  <c r="J159" i="6"/>
  <c r="J149" i="6"/>
  <c r="J375" i="6"/>
  <c r="J352" i="6"/>
  <c r="J147" i="6"/>
  <c r="J158" i="6"/>
  <c r="J156" i="6"/>
  <c r="J162" i="6"/>
  <c r="J160" i="6"/>
  <c r="J369" i="6"/>
  <c r="J27" i="6"/>
  <c r="J50" i="6"/>
  <c r="J233" i="6"/>
  <c r="J239" i="6"/>
  <c r="J229" i="6"/>
  <c r="J58" i="6"/>
  <c r="J52" i="6"/>
  <c r="J283" i="6"/>
  <c r="J186" i="6"/>
  <c r="J21" i="6"/>
  <c r="J305" i="6"/>
  <c r="J311" i="6"/>
  <c r="J301" i="6"/>
  <c r="J314" i="6"/>
  <c r="J195" i="6"/>
  <c r="J380" i="6"/>
  <c r="J193" i="6"/>
  <c r="J199" i="6"/>
  <c r="J189" i="6"/>
  <c r="J40" i="6"/>
  <c r="J10" i="6"/>
  <c r="J385" i="6"/>
  <c r="J250" i="6"/>
  <c r="J134" i="6"/>
  <c r="J132" i="6"/>
  <c r="J138" i="6"/>
  <c r="J136" i="6"/>
  <c r="J41" i="6"/>
  <c r="J387" i="6"/>
  <c r="J9" i="6"/>
  <c r="J248" i="6"/>
  <c r="J206" i="6"/>
  <c r="J204" i="6"/>
  <c r="J210" i="6"/>
  <c r="J272" i="6"/>
  <c r="J381" i="6"/>
  <c r="J267" i="6"/>
  <c r="J313" i="6"/>
  <c r="J350" i="6"/>
  <c r="J217" i="6"/>
  <c r="J223" i="6"/>
  <c r="J213" i="6"/>
  <c r="J65" i="6"/>
  <c r="J34" i="6"/>
  <c r="J155" i="6"/>
  <c r="J222" i="6"/>
  <c r="J220" i="6"/>
  <c r="J226" i="6"/>
  <c r="J224" i="6"/>
  <c r="J333" i="6"/>
  <c r="J78" i="6"/>
  <c r="J83" i="6"/>
  <c r="J297" i="6"/>
  <c r="J303" i="6"/>
  <c r="J293" i="6"/>
  <c r="J299" i="6"/>
  <c r="J131" i="6"/>
  <c r="J372" i="6"/>
  <c r="J181" i="6"/>
  <c r="J110" i="6"/>
  <c r="J108" i="6"/>
  <c r="J114" i="6"/>
  <c r="J112" i="6"/>
  <c r="J378" i="6"/>
  <c r="J363" i="6"/>
  <c r="J257" i="6"/>
  <c r="J263" i="6"/>
  <c r="J253" i="6"/>
  <c r="J377" i="6"/>
  <c r="J76" i="6"/>
  <c r="J332" i="6"/>
  <c r="J245" i="6"/>
  <c r="J198" i="6"/>
  <c r="J196" i="6"/>
  <c r="J202" i="6"/>
  <c r="J200" i="6"/>
  <c r="J307" i="6"/>
  <c r="J69" i="6"/>
  <c r="J182" i="6"/>
  <c r="J322" i="6"/>
  <c r="J270" i="6"/>
  <c r="J268" i="6"/>
  <c r="J274" i="6"/>
  <c r="J227" i="6"/>
  <c r="J55" i="6"/>
  <c r="J374" i="6"/>
  <c r="J308" i="6"/>
  <c r="J388" i="6"/>
  <c r="J281" i="6"/>
  <c r="J287" i="6"/>
  <c r="J277" i="6"/>
  <c r="J171" i="6"/>
  <c r="J47" i="6"/>
  <c r="J356" i="6"/>
  <c r="J286" i="6"/>
  <c r="J284" i="6"/>
  <c r="J290" i="6"/>
  <c r="J288" i="6"/>
  <c r="J25" i="6"/>
  <c r="J326" i="6"/>
  <c r="J102" i="6"/>
  <c r="J100" i="6"/>
  <c r="J106" i="6"/>
  <c r="J104" i="6"/>
  <c r="J370" i="6"/>
  <c r="J355" i="6"/>
  <c r="J56" i="6"/>
  <c r="J184" i="6"/>
  <c r="J174" i="6"/>
  <c r="J172" i="6"/>
  <c r="J178" i="6"/>
  <c r="J176" i="6"/>
  <c r="J115" i="6"/>
  <c r="J44" i="6"/>
  <c r="J329" i="6"/>
  <c r="J330" i="6"/>
  <c r="J315" i="6"/>
  <c r="J14" i="6"/>
  <c r="J312" i="6"/>
  <c r="J262" i="6"/>
  <c r="J260" i="6"/>
  <c r="J266" i="6"/>
  <c r="J264" i="6"/>
  <c r="J373" i="6"/>
  <c r="J203" i="6"/>
  <c r="J185" i="6"/>
  <c r="J320" i="6"/>
  <c r="J81" i="6"/>
  <c r="J87" i="6"/>
  <c r="J367" i="6"/>
  <c r="J344" i="6"/>
  <c r="J70" i="6"/>
  <c r="J86" i="6"/>
  <c r="J84" i="6"/>
  <c r="J90" i="6"/>
  <c r="J88" i="6"/>
  <c r="J354" i="6"/>
  <c r="J339" i="6"/>
  <c r="J39" i="6"/>
  <c r="J97" i="6"/>
  <c r="J103" i="6"/>
  <c r="J93" i="6"/>
  <c r="J319" i="6"/>
  <c r="J126" i="6"/>
  <c r="J124" i="6"/>
  <c r="J130" i="6"/>
  <c r="J128" i="6"/>
  <c r="J24" i="6"/>
  <c r="J379" i="6"/>
  <c r="J80" i="6"/>
  <c r="J357" i="6"/>
  <c r="J163" i="6"/>
  <c r="J67" i="6"/>
  <c r="J366" i="6"/>
  <c r="J116" i="6"/>
  <c r="J371" i="6"/>
  <c r="J145" i="6"/>
  <c r="J151" i="6"/>
  <c r="J141" i="6"/>
  <c r="J57" i="6"/>
  <c r="J26" i="6"/>
  <c r="J91" i="6"/>
  <c r="J45" i="6"/>
  <c r="J150" i="6"/>
  <c r="J148" i="6"/>
  <c r="J154" i="6"/>
  <c r="J152" i="6"/>
  <c r="J211" i="6"/>
  <c r="J19" i="6"/>
  <c r="J32" i="6"/>
  <c r="J161" i="6"/>
  <c r="J167" i="6"/>
  <c r="J157" i="6"/>
  <c r="J383" i="6"/>
  <c r="J360" i="6"/>
  <c r="J275" i="6"/>
  <c r="J230" i="6"/>
  <c r="J228" i="6"/>
  <c r="J234" i="6"/>
  <c r="J232" i="6"/>
  <c r="J341" i="6"/>
  <c r="J353" i="6"/>
  <c r="J310" i="6"/>
  <c r="J179" i="6"/>
  <c r="J302" i="6"/>
  <c r="J300" i="6"/>
  <c r="J306" i="6"/>
  <c r="J304" i="6"/>
  <c r="J42" i="6"/>
  <c r="J342" i="6"/>
  <c r="J254" i="6"/>
  <c r="J252" i="6"/>
  <c r="J258" i="6"/>
  <c r="J256" i="6"/>
  <c r="J365" i="6"/>
  <c r="J139" i="6"/>
  <c r="J118" i="6"/>
  <c r="J201" i="6"/>
  <c r="J207" i="6"/>
  <c r="J197" i="6"/>
  <c r="J49" i="6"/>
  <c r="J18" i="6"/>
  <c r="J79" i="6"/>
  <c r="J122" i="6"/>
  <c r="J72" i="6"/>
  <c r="J273" i="6"/>
  <c r="J279" i="6"/>
  <c r="J269" i="6"/>
  <c r="J346" i="6"/>
  <c r="J331" i="6"/>
  <c r="J30" i="6"/>
  <c r="J31" i="6"/>
  <c r="J278" i="6"/>
  <c r="J276" i="6"/>
  <c r="J282" i="6"/>
  <c r="J280" i="6"/>
  <c r="J17" i="6"/>
  <c r="J318" i="6"/>
  <c r="J386" i="6"/>
  <c r="J289" i="6"/>
  <c r="J295" i="6"/>
  <c r="J285" i="6"/>
  <c r="J235" i="6"/>
  <c r="J364" i="6"/>
  <c r="J105" i="6"/>
  <c r="J111" i="6"/>
  <c r="J101" i="6"/>
  <c r="J327" i="6"/>
  <c r="J187" i="6"/>
  <c r="J20" i="6"/>
  <c r="J180" i="6"/>
  <c r="J53" i="6"/>
  <c r="J177" i="6"/>
  <c r="J183" i="6"/>
  <c r="J173" i="6"/>
  <c r="J23" i="6"/>
  <c r="J376" i="6"/>
  <c r="J337" i="6"/>
  <c r="J251" i="6"/>
  <c r="J247" i="6"/>
  <c r="J343" i="6"/>
  <c r="J33" i="6"/>
  <c r="J175" i="6"/>
  <c r="J12" i="6"/>
  <c r="J246" i="6"/>
  <c r="J348" i="6"/>
  <c r="J62" i="6"/>
  <c r="J61" i="6"/>
  <c r="J63" i="6"/>
  <c r="J349" i="6"/>
  <c r="J119" i="6"/>
  <c r="J191" i="6"/>
  <c r="J71" i="6"/>
  <c r="J292" i="6"/>
  <c r="J347" i="6"/>
  <c r="J46" i="6"/>
  <c r="J13" i="6"/>
  <c r="J336" i="6"/>
  <c r="J243" i="6"/>
  <c r="J164" i="6"/>
  <c r="J192" i="6"/>
  <c r="J75" i="6"/>
  <c r="J236" i="6"/>
  <c r="J249" i="6"/>
  <c r="J15" i="6"/>
  <c r="J43" i="6"/>
  <c r="J325" i="6"/>
  <c r="J107" i="6"/>
  <c r="J359" i="6"/>
  <c r="J64" i="6"/>
  <c r="J335" i="6"/>
  <c r="J241" i="6"/>
  <c r="J66" i="6"/>
  <c r="J296" i="6"/>
  <c r="J169" i="6"/>
  <c r="J123" i="6"/>
  <c r="J216" i="6"/>
  <c r="J205" i="6"/>
  <c r="J133" i="6"/>
  <c r="J194" i="6"/>
  <c r="BM379" i="6"/>
  <c r="BM375" i="6"/>
  <c r="BM367" i="6"/>
  <c r="BM359" i="6"/>
  <c r="BM351" i="6"/>
  <c r="BM323" i="6"/>
  <c r="BM319" i="6"/>
  <c r="BM315" i="6"/>
  <c r="BM311" i="6"/>
  <c r="BM307" i="6"/>
  <c r="BM303" i="6"/>
  <c r="BM299" i="6"/>
  <c r="BM295" i="6"/>
  <c r="BM291" i="6"/>
  <c r="BM287" i="6"/>
  <c r="BM283" i="6"/>
  <c r="BM279" i="6"/>
  <c r="BM275" i="6"/>
  <c r="BM271" i="6"/>
  <c r="BM267" i="6"/>
  <c r="BM263" i="6"/>
  <c r="BM259" i="6"/>
  <c r="BM239" i="6"/>
  <c r="BM235" i="6"/>
  <c r="BM231" i="6"/>
  <c r="BM223" i="6"/>
  <c r="BM219" i="6"/>
  <c r="BM135" i="6"/>
  <c r="BM127" i="6"/>
  <c r="BM119" i="6"/>
  <c r="BM111" i="6"/>
  <c r="BM103" i="6"/>
  <c r="BM99" i="6"/>
  <c r="BM87" i="6"/>
  <c r="BM83" i="6"/>
  <c r="BM75" i="6"/>
  <c r="BM71" i="6"/>
  <c r="BM67" i="6"/>
  <c r="BM59" i="6"/>
  <c r="BM55" i="6"/>
  <c r="BM51" i="6"/>
  <c r="BM9" i="6"/>
  <c r="BM382" i="6"/>
  <c r="BM370" i="6"/>
  <c r="BM366" i="6"/>
  <c r="BM358" i="6"/>
  <c r="BM350" i="6"/>
  <c r="BM342" i="6"/>
  <c r="BM326" i="6"/>
  <c r="BM322" i="6"/>
  <c r="BM318" i="6"/>
  <c r="BM314" i="6"/>
  <c r="BM302" i="6"/>
  <c r="BM298" i="6"/>
  <c r="BM282" i="6"/>
  <c r="BM278" i="6"/>
  <c r="BM230" i="6"/>
  <c r="BM222" i="6"/>
  <c r="BM218" i="6"/>
  <c r="BM202" i="6"/>
  <c r="BM198" i="6"/>
  <c r="BM194" i="6"/>
  <c r="BM190" i="6"/>
  <c r="BM186" i="6"/>
  <c r="BM182" i="6"/>
  <c r="BM178" i="6"/>
  <c r="BM174" i="6"/>
  <c r="BM170" i="6"/>
  <c r="BM166" i="6"/>
  <c r="BM162" i="6"/>
  <c r="BM158" i="6"/>
  <c r="BM154" i="6"/>
  <c r="BM150" i="6"/>
  <c r="BM34" i="6"/>
  <c r="BM30" i="6"/>
  <c r="BM26" i="6"/>
  <c r="BM14" i="6"/>
  <c r="BM321" i="6"/>
  <c r="BM265" i="6"/>
  <c r="BM253" i="6"/>
  <c r="BM217" i="6"/>
  <c r="BM209" i="6"/>
  <c r="BM201" i="6"/>
  <c r="BM197" i="6"/>
  <c r="BM193" i="6"/>
  <c r="BM189" i="6"/>
  <c r="BM181" i="6"/>
  <c r="BM173" i="6"/>
  <c r="BM232" i="6"/>
  <c r="BM228" i="6"/>
  <c r="BM224" i="6"/>
  <c r="BM144" i="6"/>
  <c r="BM140" i="6"/>
  <c r="BM136" i="6"/>
  <c r="BM128" i="6"/>
  <c r="BM124" i="6"/>
  <c r="BM120" i="6"/>
  <c r="BM108" i="6"/>
  <c r="BM104" i="6"/>
  <c r="BM96" i="6"/>
  <c r="BM92" i="6"/>
  <c r="BM88" i="6"/>
  <c r="BM80" i="6"/>
  <c r="BM76" i="6"/>
  <c r="BM72" i="6"/>
  <c r="BM64" i="6"/>
  <c r="BM60" i="6"/>
  <c r="BM56" i="6"/>
  <c r="BM52" i="6"/>
  <c r="BM48" i="6"/>
  <c r="Q10" i="3"/>
  <c r="Q9" i="3"/>
  <c r="Q8" i="3"/>
  <c r="Q16" i="3"/>
  <c r="Q11" i="3"/>
  <c r="Q18" i="3"/>
  <c r="I300" i="7"/>
  <c r="I122" i="7"/>
  <c r="I101" i="7"/>
  <c r="I15" i="7"/>
  <c r="I81" i="7"/>
  <c r="I206" i="7"/>
  <c r="N583" i="13" s="1"/>
  <c r="I54" i="7"/>
  <c r="I110" i="7"/>
  <c r="I185" i="7"/>
  <c r="I138" i="7"/>
  <c r="I71" i="7"/>
  <c r="I247" i="7"/>
  <c r="I210" i="7"/>
  <c r="N207" i="13" s="1"/>
  <c r="I191" i="7"/>
  <c r="I85" i="7"/>
  <c r="I252" i="7"/>
  <c r="I74" i="7"/>
  <c r="I78" i="7"/>
  <c r="I277" i="7"/>
  <c r="I153" i="7"/>
  <c r="I69" i="7"/>
  <c r="I164" i="7"/>
  <c r="I104" i="7"/>
  <c r="I216" i="7"/>
  <c r="I121" i="7"/>
  <c r="I260" i="7"/>
  <c r="I250" i="7"/>
  <c r="I190" i="7"/>
  <c r="I269" i="7"/>
  <c r="I31" i="7"/>
  <c r="I48" i="7"/>
  <c r="I132" i="7"/>
  <c r="I73" i="7"/>
  <c r="I55" i="7"/>
  <c r="I175" i="7"/>
  <c r="I68" i="7"/>
  <c r="I146" i="7"/>
  <c r="I106" i="7"/>
  <c r="I86" i="7"/>
  <c r="I203" i="7"/>
  <c r="Q580" i="13" s="1"/>
  <c r="I120" i="7"/>
  <c r="I96" i="7"/>
  <c r="I144" i="7"/>
  <c r="I201" i="7"/>
  <c r="N198" i="13" s="1"/>
  <c r="I268" i="7"/>
  <c r="I218" i="7"/>
  <c r="I285" i="7"/>
  <c r="I25" i="7"/>
  <c r="I64" i="7"/>
  <c r="I145" i="7"/>
  <c r="I89" i="7"/>
  <c r="I103" i="7"/>
  <c r="I199" i="7"/>
  <c r="I90" i="7"/>
  <c r="I173" i="7"/>
  <c r="I130" i="7"/>
  <c r="I143" i="7"/>
  <c r="I255" i="7"/>
  <c r="N252" i="13" s="1"/>
  <c r="I60" i="7"/>
  <c r="I136" i="7"/>
  <c r="I93" i="7"/>
  <c r="I100" i="7"/>
  <c r="I249" i="7"/>
  <c r="I226" i="7"/>
  <c r="I241" i="7"/>
  <c r="I209" i="7"/>
  <c r="I293" i="7"/>
  <c r="I42" i="7"/>
  <c r="I80" i="7"/>
  <c r="I170" i="7"/>
  <c r="I114" i="7"/>
  <c r="I119" i="7"/>
  <c r="I215" i="7"/>
  <c r="I98" i="7"/>
  <c r="I178" i="7"/>
  <c r="Q555" i="13" s="1"/>
  <c r="I154" i="7"/>
  <c r="I162" i="7"/>
  <c r="I94" i="7"/>
  <c r="I32" i="7"/>
  <c r="I150" i="7"/>
  <c r="I254" i="7"/>
  <c r="I256" i="7"/>
  <c r="I88" i="7"/>
  <c r="I84" i="7"/>
  <c r="I196" i="7"/>
  <c r="I258" i="7"/>
  <c r="I238" i="7"/>
  <c r="I192" i="7"/>
  <c r="I301" i="7"/>
  <c r="I187" i="7"/>
  <c r="I45" i="7"/>
  <c r="I95" i="7"/>
  <c r="I17" i="7"/>
  <c r="I167" i="7"/>
  <c r="I127" i="7"/>
  <c r="I231" i="7"/>
  <c r="I108" i="7"/>
  <c r="I24" i="7"/>
  <c r="I38" i="7"/>
  <c r="I181" i="7"/>
  <c r="I263" i="7"/>
  <c r="I102" i="7"/>
  <c r="I286" i="7"/>
  <c r="I312" i="7"/>
  <c r="I77" i="7"/>
  <c r="I76" i="7"/>
  <c r="I212" i="7"/>
  <c r="I266" i="7"/>
  <c r="I233" i="7"/>
  <c r="I205" i="7"/>
  <c r="I297" i="7"/>
  <c r="I149" i="7"/>
  <c r="I22" i="7"/>
  <c r="I112" i="7"/>
  <c r="I41" i="7"/>
  <c r="I177" i="7"/>
  <c r="I135" i="7"/>
  <c r="I239" i="7"/>
  <c r="I115" i="7"/>
  <c r="I37" i="7"/>
  <c r="I57" i="7"/>
  <c r="I204" i="7"/>
  <c r="I172" i="7"/>
  <c r="I310" i="7"/>
  <c r="I140" i="7"/>
  <c r="I70" i="7"/>
  <c r="I105" i="7"/>
  <c r="I228" i="7"/>
  <c r="I290" i="7"/>
  <c r="I230" i="7"/>
  <c r="I221" i="7"/>
  <c r="I305" i="7"/>
  <c r="I33" i="7"/>
  <c r="I118" i="7"/>
  <c r="I59" i="7"/>
  <c r="I39" i="7"/>
  <c r="I151" i="7"/>
  <c r="I19" i="7"/>
  <c r="I128" i="7"/>
  <c r="I44" i="7"/>
  <c r="I62" i="7"/>
  <c r="I35" i="7"/>
  <c r="I279" i="7"/>
  <c r="Q276" i="13" s="1"/>
  <c r="I189" i="7"/>
  <c r="I141" i="7"/>
  <c r="I92" i="7"/>
  <c r="I109" i="7"/>
  <c r="I222" i="7"/>
  <c r="I113" i="7"/>
  <c r="I244" i="7"/>
  <c r="I288" i="7"/>
  <c r="I198" i="7"/>
  <c r="N575" i="13" s="1"/>
  <c r="I261" i="7"/>
  <c r="I13" i="7"/>
  <c r="I40" i="7"/>
  <c r="I126" i="7"/>
  <c r="I65" i="7"/>
  <c r="I47" i="7"/>
  <c r="I159" i="7"/>
  <c r="I30" i="7"/>
  <c r="I142" i="7"/>
  <c r="I61" i="7"/>
  <c r="I72" i="7"/>
  <c r="I18" i="7"/>
  <c r="I295" i="7"/>
  <c r="Q292" i="13" s="1"/>
  <c r="I294" i="7"/>
  <c r="I75" i="7"/>
  <c r="I246" i="7"/>
  <c r="I163" i="7"/>
  <c r="I43" i="7"/>
  <c r="I193" i="7"/>
  <c r="I264" i="7"/>
  <c r="I29" i="7"/>
  <c r="I200" i="7"/>
  <c r="I262" i="7"/>
  <c r="I46" i="7"/>
  <c r="I194" i="7"/>
  <c r="Q571" i="13" s="1"/>
  <c r="I235" i="7"/>
  <c r="I134" i="7"/>
  <c r="I311" i="7"/>
  <c r="I99" i="7"/>
  <c r="I259" i="7"/>
  <c r="Q636" i="13" s="1"/>
  <c r="I12" i="7"/>
  <c r="I157" i="7"/>
  <c r="I16" i="7"/>
  <c r="I67" i="7"/>
  <c r="I82" i="7"/>
  <c r="I129" i="7"/>
  <c r="I137" i="7"/>
  <c r="I176" i="7"/>
  <c r="I184" i="7"/>
  <c r="I182" i="7"/>
  <c r="I202" i="7"/>
  <c r="I309" i="7"/>
  <c r="I179" i="7"/>
  <c r="I287" i="7"/>
  <c r="I245" i="7"/>
  <c r="I282" i="7"/>
  <c r="I289" i="7"/>
  <c r="I280" i="7"/>
  <c r="I232" i="7"/>
  <c r="I165" i="7"/>
  <c r="I27" i="7"/>
  <c r="I21" i="7"/>
  <c r="I97" i="7"/>
  <c r="I14" i="7"/>
  <c r="I133" i="7"/>
  <c r="I160" i="7"/>
  <c r="I240" i="7"/>
  <c r="I273" i="7"/>
  <c r="I265" i="7"/>
  <c r="I306" i="7"/>
  <c r="I296" i="7"/>
  <c r="I219" i="7"/>
  <c r="I253" i="7"/>
  <c r="I267" i="7"/>
  <c r="I34" i="7"/>
  <c r="I28" i="7"/>
  <c r="I87" i="7"/>
  <c r="I158" i="7"/>
  <c r="I152" i="7"/>
  <c r="I79" i="7"/>
  <c r="I183" i="7"/>
  <c r="I36" i="7"/>
  <c r="I50" i="7"/>
  <c r="I26" i="7"/>
  <c r="I23" i="7"/>
  <c r="I63" i="7"/>
  <c r="I20" i="7"/>
  <c r="I156" i="7"/>
  <c r="I148" i="7"/>
  <c r="I111" i="7"/>
  <c r="I220" i="7"/>
  <c r="I242" i="7"/>
  <c r="I213" i="7"/>
  <c r="I281" i="7"/>
  <c r="I131" i="7"/>
  <c r="I147" i="7"/>
  <c r="I257" i="7"/>
  <c r="I224" i="7"/>
  <c r="I304" i="7"/>
  <c r="I284" i="7"/>
  <c r="I299" i="7"/>
  <c r="I53" i="7"/>
  <c r="I116" i="7"/>
  <c r="I56" i="7"/>
  <c r="I188" i="7"/>
  <c r="I208" i="7"/>
  <c r="I248" i="7"/>
  <c r="I292" i="7"/>
  <c r="I139" i="7"/>
  <c r="I298" i="7"/>
  <c r="I195" i="7"/>
  <c r="I227" i="7"/>
  <c r="I214" i="7"/>
  <c r="I275" i="7"/>
  <c r="I7" i="7"/>
  <c r="I271" i="7"/>
  <c r="Q648" i="13" s="1"/>
  <c r="I66" i="7"/>
  <c r="I166" i="7"/>
  <c r="I124" i="7"/>
  <c r="I186" i="7"/>
  <c r="I180" i="7"/>
  <c r="I197" i="7"/>
  <c r="I161" i="7"/>
  <c r="I91" i="7"/>
  <c r="I11" i="7"/>
  <c r="I155" i="7"/>
  <c r="I270" i="7"/>
  <c r="I207" i="7"/>
  <c r="I308" i="7"/>
  <c r="I302" i="7"/>
  <c r="I223" i="7"/>
  <c r="Q600" i="13" s="1"/>
  <c r="I303" i="7"/>
  <c r="I283" i="7"/>
  <c r="I307" i="7"/>
  <c r="I58" i="7"/>
  <c r="I83" i="7"/>
  <c r="I174" i="7"/>
  <c r="I52" i="7"/>
  <c r="I107" i="7"/>
  <c r="I272" i="7"/>
  <c r="I278" i="7"/>
  <c r="I217" i="7"/>
  <c r="I236" i="7"/>
  <c r="I276" i="7"/>
  <c r="I251" i="7"/>
  <c r="I291" i="7"/>
  <c r="I51" i="7"/>
  <c r="I49" i="7"/>
  <c r="I117" i="7"/>
  <c r="I229" i="7"/>
  <c r="I125" i="7"/>
  <c r="I168" i="7"/>
  <c r="I169" i="7"/>
  <c r="I225" i="7"/>
  <c r="I123" i="7"/>
  <c r="I237" i="7"/>
  <c r="I171" i="7"/>
  <c r="I234" i="7"/>
  <c r="I274" i="7"/>
  <c r="I211" i="7"/>
  <c r="I243" i="7"/>
  <c r="Q19" i="3"/>
  <c r="Q4" i="3"/>
  <c r="Q17" i="3"/>
  <c r="N376" i="13"/>
  <c r="N368" i="13"/>
  <c r="N352" i="13"/>
  <c r="N724" i="13"/>
  <c r="N708" i="13"/>
  <c r="N748" i="13"/>
  <c r="N372" i="13"/>
  <c r="N344" i="13"/>
  <c r="N360" i="13"/>
  <c r="N732" i="13"/>
  <c r="N336" i="13"/>
  <c r="N328" i="13"/>
  <c r="G202" i="13"/>
  <c r="Q582" i="13" s="1"/>
  <c r="N740" i="13"/>
  <c r="N716" i="13"/>
  <c r="N756" i="13"/>
  <c r="F334" i="6"/>
  <c r="H330" i="6"/>
  <c r="N704" i="13"/>
  <c r="F382" i="13"/>
  <c r="G370" i="13"/>
  <c r="H221" i="6"/>
  <c r="N385" i="13"/>
  <c r="G337" i="13"/>
  <c r="G369" i="13"/>
  <c r="N749" i="13" s="1"/>
  <c r="F141" i="13"/>
  <c r="G270" i="13"/>
  <c r="H157" i="6"/>
  <c r="N329" i="13"/>
  <c r="F338" i="6"/>
  <c r="F211" i="6"/>
  <c r="F187" i="13"/>
  <c r="F9" i="13"/>
  <c r="F350" i="13"/>
  <c r="F305" i="13"/>
  <c r="F227" i="13"/>
  <c r="G353" i="13"/>
  <c r="N332" i="13"/>
  <c r="F347" i="6"/>
  <c r="G241" i="13"/>
  <c r="F204" i="13"/>
  <c r="F126" i="13"/>
  <c r="F212" i="13"/>
  <c r="F102" i="13"/>
  <c r="F40" i="13"/>
  <c r="H114" i="6"/>
  <c r="H349" i="6"/>
  <c r="G240" i="13"/>
  <c r="G273" i="13"/>
  <c r="F374" i="6"/>
  <c r="G361" i="13"/>
  <c r="H335" i="6"/>
  <c r="F237" i="6"/>
  <c r="F192" i="13"/>
  <c r="G173" i="13"/>
  <c r="F102" i="6"/>
  <c r="H82" i="6"/>
  <c r="F40" i="6"/>
  <c r="H225" i="6"/>
  <c r="F134" i="13"/>
  <c r="H50" i="6"/>
  <c r="F24" i="3"/>
  <c r="F26" i="3" s="1"/>
  <c r="F384" i="6"/>
  <c r="G375" i="13"/>
  <c r="H377" i="6"/>
  <c r="H362" i="6"/>
  <c r="G347" i="13"/>
  <c r="N727" i="13" s="1"/>
  <c r="H344" i="6"/>
  <c r="H341" i="6"/>
  <c r="F293" i="13"/>
  <c r="F240" i="6"/>
  <c r="G218" i="13"/>
  <c r="G212" i="13"/>
  <c r="F215" i="6"/>
  <c r="F203" i="6"/>
  <c r="B6" i="7"/>
  <c r="G123" i="13"/>
  <c r="F125" i="6"/>
  <c r="H41" i="6"/>
  <c r="G29" i="13"/>
  <c r="F26" i="13"/>
  <c r="F15" i="13"/>
  <c r="N5" i="13"/>
  <c r="F251" i="13"/>
  <c r="G248" i="13"/>
  <c r="F70" i="6"/>
  <c r="F44" i="6"/>
  <c r="H13" i="6"/>
  <c r="G383" i="13"/>
  <c r="G346" i="13"/>
  <c r="N718" i="13"/>
  <c r="H334" i="6"/>
  <c r="F262" i="13"/>
  <c r="F248" i="13"/>
  <c r="G245" i="13"/>
  <c r="G242" i="13"/>
  <c r="F223" i="13"/>
  <c r="F159" i="13"/>
  <c r="F144" i="13"/>
  <c r="G82" i="13"/>
  <c r="N739" i="13"/>
  <c r="F346" i="13"/>
  <c r="F349" i="6"/>
  <c r="N709" i="13"/>
  <c r="F314" i="13"/>
  <c r="F265" i="13"/>
  <c r="F241" i="6"/>
  <c r="G208" i="13"/>
  <c r="G199" i="13"/>
  <c r="G107" i="13"/>
  <c r="F109" i="6"/>
  <c r="F82" i="13"/>
  <c r="F52" i="13"/>
  <c r="F38" i="13"/>
  <c r="H33" i="6"/>
  <c r="BM33" i="6" s="1"/>
  <c r="F21" i="13"/>
  <c r="G379" i="13"/>
  <c r="N379" i="13" s="1"/>
  <c r="F373" i="13"/>
  <c r="F219" i="13"/>
  <c r="F370" i="13"/>
  <c r="F361" i="13"/>
  <c r="F360" i="6"/>
  <c r="N728" i="13"/>
  <c r="F216" i="13"/>
  <c r="G204" i="13"/>
  <c r="F176" i="13"/>
  <c r="F165" i="13"/>
  <c r="G74" i="13"/>
  <c r="N338" i="13"/>
  <c r="F383" i="6"/>
  <c r="N736" i="13"/>
  <c r="G351" i="13"/>
  <c r="H345" i="6"/>
  <c r="H343" i="6"/>
  <c r="N327" i="13"/>
  <c r="G302" i="13"/>
  <c r="H293" i="6"/>
  <c r="H270" i="6"/>
  <c r="I265" i="13" s="1"/>
  <c r="H249" i="6"/>
  <c r="F239" i="13"/>
  <c r="F236" i="6"/>
  <c r="F216" i="6"/>
  <c r="F212" i="6"/>
  <c r="H205" i="6"/>
  <c r="H200" i="6"/>
  <c r="G114" i="13"/>
  <c r="F117" i="13"/>
  <c r="F67" i="13"/>
  <c r="F12" i="13"/>
  <c r="F10" i="6"/>
  <c r="G377" i="13"/>
  <c r="H371" i="6"/>
  <c r="N364" i="13"/>
  <c r="G355" i="13"/>
  <c r="N355" i="13" s="1"/>
  <c r="F356" i="6"/>
  <c r="F353" i="6"/>
  <c r="N340" i="13"/>
  <c r="F343" i="6"/>
  <c r="F328" i="6"/>
  <c r="F280" i="13"/>
  <c r="F258" i="13"/>
  <c r="F229" i="6"/>
  <c r="H226" i="6"/>
  <c r="G214" i="13"/>
  <c r="G210" i="13"/>
  <c r="F184" i="13"/>
  <c r="F171" i="13"/>
  <c r="G168" i="13"/>
  <c r="F155" i="13"/>
  <c r="F100" i="13"/>
  <c r="G4" i="13"/>
  <c r="N760" i="13"/>
  <c r="G378" i="13"/>
  <c r="H381" i="6"/>
  <c r="F374" i="13"/>
  <c r="H373" i="6"/>
  <c r="F365" i="13"/>
  <c r="G362" i="13"/>
  <c r="G343" i="13"/>
  <c r="F341" i="13"/>
  <c r="F337" i="13"/>
  <c r="F335" i="6"/>
  <c r="H333" i="6"/>
  <c r="H301" i="6"/>
  <c r="F289" i="13"/>
  <c r="F260" i="13"/>
  <c r="G213" i="13"/>
  <c r="G205" i="13"/>
  <c r="F204" i="6"/>
  <c r="G193" i="13"/>
  <c r="H184" i="6"/>
  <c r="F170" i="13"/>
  <c r="H165" i="6"/>
  <c r="G157" i="13"/>
  <c r="F156" i="6"/>
  <c r="F147" i="13"/>
  <c r="H149" i="6"/>
  <c r="F90" i="6"/>
  <c r="F72" i="13"/>
  <c r="F65" i="6"/>
  <c r="F56" i="13"/>
  <c r="G50" i="13"/>
  <c r="F43" i="13"/>
  <c r="H45" i="6"/>
  <c r="BM45" i="6" s="1"/>
  <c r="F388" i="6"/>
  <c r="F385" i="6"/>
  <c r="G354" i="13"/>
  <c r="F357" i="6"/>
  <c r="G345" i="13"/>
  <c r="H339" i="6"/>
  <c r="F306" i="13"/>
  <c r="F245" i="6"/>
  <c r="G217" i="13"/>
  <c r="H214" i="6"/>
  <c r="H212" i="6"/>
  <c r="H208" i="6"/>
  <c r="F206" i="6"/>
  <c r="F172" i="13"/>
  <c r="H168" i="6"/>
  <c r="F93" i="6"/>
  <c r="F78" i="13"/>
  <c r="F58" i="6"/>
  <c r="F381" i="6"/>
  <c r="H376" i="6"/>
  <c r="F352" i="6"/>
  <c r="H336" i="6"/>
  <c r="N324" i="13"/>
  <c r="F313" i="13"/>
  <c r="F281" i="13"/>
  <c r="G278" i="13"/>
  <c r="F280" i="6"/>
  <c r="H277" i="6"/>
  <c r="G262" i="13"/>
  <c r="H254" i="6"/>
  <c r="F233" i="6"/>
  <c r="H203" i="6"/>
  <c r="H177" i="6"/>
  <c r="F101" i="13"/>
  <c r="H86" i="6"/>
  <c r="H70" i="6"/>
  <c r="F62" i="13"/>
  <c r="F23" i="13"/>
  <c r="N700" i="13"/>
  <c r="N320" i="13"/>
  <c r="N330" i="13"/>
  <c r="N710" i="13"/>
  <c r="F4" i="13"/>
  <c r="H387" i="6"/>
  <c r="F386" i="6"/>
  <c r="G374" i="13"/>
  <c r="H378" i="6"/>
  <c r="F372" i="6"/>
  <c r="G365" i="13"/>
  <c r="F369" i="6"/>
  <c r="F362" i="13"/>
  <c r="H364" i="6"/>
  <c r="F363" i="6"/>
  <c r="H361" i="6"/>
  <c r="F353" i="13"/>
  <c r="H355" i="6"/>
  <c r="F354" i="6"/>
  <c r="G342" i="13"/>
  <c r="N722" i="13" s="1"/>
  <c r="H346" i="6"/>
  <c r="F340" i="6"/>
  <c r="G333" i="13"/>
  <c r="F337" i="6"/>
  <c r="H332" i="6"/>
  <c r="F331" i="6"/>
  <c r="H329" i="6"/>
  <c r="H325" i="6"/>
  <c r="F318" i="13"/>
  <c r="F316" i="13"/>
  <c r="H310" i="6"/>
  <c r="F296" i="13"/>
  <c r="F296" i="6"/>
  <c r="F288" i="6"/>
  <c r="F273" i="13"/>
  <c r="F273" i="6"/>
  <c r="F263" i="13"/>
  <c r="F261" i="6"/>
  <c r="H241" i="6"/>
  <c r="G236" i="13"/>
  <c r="Q616" i="13" s="1"/>
  <c r="H227" i="6"/>
  <c r="G222" i="13"/>
  <c r="H238" i="6"/>
  <c r="G233" i="13"/>
  <c r="H229" i="6"/>
  <c r="G224" i="13"/>
  <c r="Q604" i="13" s="1"/>
  <c r="F220" i="6"/>
  <c r="F215" i="13"/>
  <c r="H385" i="6"/>
  <c r="F377" i="13"/>
  <c r="G363" i="13"/>
  <c r="F364" i="6"/>
  <c r="F361" i="6"/>
  <c r="F354" i="13"/>
  <c r="H353" i="6"/>
  <c r="F345" i="13"/>
  <c r="F332" i="6"/>
  <c r="F329" i="6"/>
  <c r="F327" i="6"/>
  <c r="F325" i="6"/>
  <c r="G310" i="13"/>
  <c r="F298" i="13"/>
  <c r="F290" i="13"/>
  <c r="F282" i="13"/>
  <c r="H285" i="6"/>
  <c r="F277" i="13"/>
  <c r="F255" i="13"/>
  <c r="G252" i="13"/>
  <c r="Q632" i="13" s="1"/>
  <c r="H257" i="6"/>
  <c r="F376" i="6"/>
  <c r="F373" i="6"/>
  <c r="F366" i="13"/>
  <c r="H365" i="6"/>
  <c r="N359" i="13"/>
  <c r="F357" i="13"/>
  <c r="F344" i="6"/>
  <c r="F341" i="6"/>
  <c r="F334" i="13"/>
  <c r="N707" i="13"/>
  <c r="F325" i="13"/>
  <c r="F284" i="13"/>
  <c r="F272" i="6"/>
  <c r="F257" i="6"/>
  <c r="F248" i="6"/>
  <c r="H237" i="6"/>
  <c r="G232" i="13"/>
  <c r="G381" i="13"/>
  <c r="G358" i="13"/>
  <c r="G349" i="13"/>
  <c r="G326" i="13"/>
  <c r="G323" i="13"/>
  <c r="F321" i="13"/>
  <c r="F319" i="13"/>
  <c r="G317" i="13"/>
  <c r="F312" i="13"/>
  <c r="F300" i="13"/>
  <c r="F274" i="13"/>
  <c r="F264" i="13"/>
  <c r="H234" i="6"/>
  <c r="G229" i="13"/>
  <c r="F213" i="6"/>
  <c r="F208" i="13"/>
  <c r="H10" i="6"/>
  <c r="G367" i="13"/>
  <c r="F368" i="6"/>
  <c r="F365" i="6"/>
  <c r="H357" i="6"/>
  <c r="G335" i="13"/>
  <c r="N335" i="13" s="1"/>
  <c r="F336" i="6"/>
  <c r="F333" i="6"/>
  <c r="H317" i="6"/>
  <c r="F309" i="13"/>
  <c r="F297" i="13"/>
  <c r="F297" i="6"/>
  <c r="F266" i="13"/>
  <c r="H269" i="6"/>
  <c r="F254" i="13"/>
  <c r="F252" i="6"/>
  <c r="F380" i="6"/>
  <c r="F377" i="6"/>
  <c r="H369" i="6"/>
  <c r="F348" i="6"/>
  <c r="F345" i="6"/>
  <c r="H337" i="6"/>
  <c r="N331" i="13"/>
  <c r="G294" i="13"/>
  <c r="H294" i="6"/>
  <c r="K289" i="13" s="1"/>
  <c r="G286" i="13"/>
  <c r="H286" i="6"/>
  <c r="F281" i="6"/>
  <c r="F264" i="6"/>
  <c r="H261" i="6"/>
  <c r="F244" i="13"/>
  <c r="H242" i="6"/>
  <c r="G237" i="13"/>
  <c r="H233" i="6"/>
  <c r="G228" i="13"/>
  <c r="Q608" i="13" s="1"/>
  <c r="H216" i="6"/>
  <c r="G211" i="13"/>
  <c r="Q591" i="13" s="1"/>
  <c r="G225" i="13"/>
  <c r="G201" i="13"/>
  <c r="F196" i="13"/>
  <c r="F194" i="13"/>
  <c r="F188" i="13"/>
  <c r="F185" i="13"/>
  <c r="F225" i="6"/>
  <c r="F208" i="6"/>
  <c r="F205" i="6"/>
  <c r="F168" i="13"/>
  <c r="F157" i="13"/>
  <c r="G149" i="13"/>
  <c r="F138" i="13"/>
  <c r="F132" i="13"/>
  <c r="F119" i="13"/>
  <c r="F114" i="13"/>
  <c r="H107" i="6"/>
  <c r="F97" i="6"/>
  <c r="F86" i="13"/>
  <c r="F84" i="13"/>
  <c r="F69" i="13"/>
  <c r="G59" i="13"/>
  <c r="G54" i="13"/>
  <c r="G47" i="13"/>
  <c r="H130" i="6"/>
  <c r="F99" i="13"/>
  <c r="H102" i="6"/>
  <c r="F94" i="13"/>
  <c r="H91" i="6"/>
  <c r="G71" i="13"/>
  <c r="H66" i="6"/>
  <c r="F49" i="13"/>
  <c r="G25" i="13"/>
  <c r="F14" i="13"/>
  <c r="G91" i="13"/>
  <c r="F81" i="13"/>
  <c r="F81" i="6"/>
  <c r="G66" i="13"/>
  <c r="H54" i="6"/>
  <c r="F49" i="6"/>
  <c r="G41" i="13"/>
  <c r="F36" i="13"/>
  <c r="F27" i="13"/>
  <c r="F25" i="13"/>
  <c r="F19" i="13"/>
  <c r="H21" i="6"/>
  <c r="F8" i="13"/>
  <c r="F167" i="13"/>
  <c r="F156" i="13"/>
  <c r="F148" i="13"/>
  <c r="F145" i="13"/>
  <c r="F137" i="13"/>
  <c r="F118" i="13"/>
  <c r="F113" i="13"/>
  <c r="F110" i="13"/>
  <c r="F83" i="13"/>
  <c r="G58" i="13"/>
  <c r="F51" i="13"/>
  <c r="F46" i="13"/>
  <c r="G238" i="13"/>
  <c r="F210" i="6"/>
  <c r="G189" i="13"/>
  <c r="F180" i="13"/>
  <c r="G177" i="13"/>
  <c r="F169" i="13"/>
  <c r="F164" i="13"/>
  <c r="G161" i="13"/>
  <c r="F153" i="13"/>
  <c r="F142" i="13"/>
  <c r="G139" i="13"/>
  <c r="H123" i="6"/>
  <c r="F115" i="13"/>
  <c r="G98" i="13"/>
  <c r="H98" i="6"/>
  <c r="BM98" i="6" s="1"/>
  <c r="G75" i="13"/>
  <c r="G70" i="13"/>
  <c r="F68" i="13"/>
  <c r="G43" i="13"/>
  <c r="F46" i="6"/>
  <c r="F29" i="13"/>
  <c r="G13" i="13"/>
  <c r="F10" i="13"/>
  <c r="G206" i="13"/>
  <c r="F207" i="6"/>
  <c r="F200" i="6"/>
  <c r="F183" i="13"/>
  <c r="F179" i="6"/>
  <c r="F150" i="13"/>
  <c r="F139" i="13"/>
  <c r="F133" i="13"/>
  <c r="F130" i="13"/>
  <c r="F98" i="13"/>
  <c r="H95" i="6"/>
  <c r="G87" i="13"/>
  <c r="G55" i="13"/>
  <c r="H29" i="6"/>
  <c r="N356" i="13"/>
  <c r="N371" i="13"/>
  <c r="N751" i="13"/>
  <c r="N719" i="13"/>
  <c r="N339" i="13"/>
  <c r="N380" i="13"/>
  <c r="N752" i="13"/>
  <c r="N348" i="13"/>
  <c r="N720" i="13"/>
  <c r="N744" i="13"/>
  <c r="N712" i="13"/>
  <c r="N711" i="13"/>
  <c r="F310" i="13"/>
  <c r="F308" i="13"/>
  <c r="H308" i="6"/>
  <c r="G303" i="13"/>
  <c r="Q683" i="13" s="1"/>
  <c r="F301" i="13"/>
  <c r="F294" i="13"/>
  <c r="H292" i="6"/>
  <c r="G287" i="13"/>
  <c r="Q667" i="13" s="1"/>
  <c r="F285" i="13"/>
  <c r="F278" i="13"/>
  <c r="H276" i="6"/>
  <c r="G271" i="13"/>
  <c r="F269" i="13"/>
  <c r="F247" i="6"/>
  <c r="F242" i="13"/>
  <c r="G234" i="13"/>
  <c r="G321" i="13"/>
  <c r="G318" i="13"/>
  <c r="F315" i="13"/>
  <c r="G313" i="13"/>
  <c r="H313" i="6"/>
  <c r="G306" i="13"/>
  <c r="F308" i="6"/>
  <c r="H306" i="6"/>
  <c r="F299" i="13"/>
  <c r="G297" i="13"/>
  <c r="Q677" i="13" s="1"/>
  <c r="H297" i="6"/>
  <c r="G290" i="13"/>
  <c r="F292" i="6"/>
  <c r="H290" i="6"/>
  <c r="BM290" i="6" s="1"/>
  <c r="H281" i="6"/>
  <c r="G274" i="13"/>
  <c r="F276" i="6"/>
  <c r="H274" i="6"/>
  <c r="H262" i="6"/>
  <c r="H258" i="6"/>
  <c r="F243" i="6"/>
  <c r="F238" i="13"/>
  <c r="G230" i="13"/>
  <c r="H320" i="6"/>
  <c r="G315" i="13"/>
  <c r="F304" i="13"/>
  <c r="H304" i="6"/>
  <c r="G299" i="13"/>
  <c r="F288" i="13"/>
  <c r="H288" i="6"/>
  <c r="G283" i="13"/>
  <c r="Q663" i="13" s="1"/>
  <c r="F272" i="13"/>
  <c r="H272" i="6"/>
  <c r="G267" i="13"/>
  <c r="Q647" i="13" s="1"/>
  <c r="H266" i="6"/>
  <c r="H264" i="6"/>
  <c r="G259" i="13"/>
  <c r="H260" i="6"/>
  <c r="G255" i="13"/>
  <c r="H256" i="6"/>
  <c r="G251" i="13"/>
  <c r="F254" i="6"/>
  <c r="F249" i="13"/>
  <c r="H252" i="6"/>
  <c r="G247" i="13"/>
  <c r="Q627" i="13" s="1"/>
  <c r="G226" i="13"/>
  <c r="G316" i="13"/>
  <c r="F311" i="13"/>
  <c r="G309" i="13"/>
  <c r="Q689" i="13" s="1"/>
  <c r="H309" i="6"/>
  <c r="L304" i="13" s="1"/>
  <c r="F295" i="13"/>
  <c r="G293" i="13"/>
  <c r="F279" i="13"/>
  <c r="G277" i="13"/>
  <c r="F262" i="6"/>
  <c r="F257" i="13"/>
  <c r="F258" i="6"/>
  <c r="F253" i="13"/>
  <c r="F250" i="6"/>
  <c r="F245" i="13"/>
  <c r="H248" i="6"/>
  <c r="G243" i="13"/>
  <c r="G322" i="13"/>
  <c r="H316" i="6"/>
  <c r="G311" i="13"/>
  <c r="F302" i="13"/>
  <c r="H300" i="6"/>
  <c r="G295" i="13"/>
  <c r="F286" i="13"/>
  <c r="H284" i="6"/>
  <c r="G279" i="13"/>
  <c r="F270" i="13"/>
  <c r="H268" i="6"/>
  <c r="G263" i="13"/>
  <c r="F266" i="6"/>
  <c r="F261" i="13"/>
  <c r="F246" i="6"/>
  <c r="F241" i="13"/>
  <c r="H244" i="6"/>
  <c r="G239" i="13"/>
  <c r="H324" i="6"/>
  <c r="G314" i="13"/>
  <c r="F307" i="13"/>
  <c r="H305" i="6"/>
  <c r="G298" i="13"/>
  <c r="H289" i="6"/>
  <c r="G282" i="13"/>
  <c r="Q662" i="13" s="1"/>
  <c r="H273" i="6"/>
  <c r="G266" i="13"/>
  <c r="G258" i="13"/>
  <c r="G254" i="13"/>
  <c r="G250" i="13"/>
  <c r="G246" i="13"/>
  <c r="F242" i="6"/>
  <c r="F237" i="13"/>
  <c r="H240" i="6"/>
  <c r="G235" i="13"/>
  <c r="Q615" i="13" s="1"/>
  <c r="H312" i="6"/>
  <c r="G307" i="13"/>
  <c r="Q687" i="13" s="1"/>
  <c r="H296" i="6"/>
  <c r="G291" i="13"/>
  <c r="H280" i="6"/>
  <c r="G275" i="13"/>
  <c r="F238" i="6"/>
  <c r="F233" i="13"/>
  <c r="F317" i="13"/>
  <c r="F255" i="6"/>
  <c r="F250" i="13"/>
  <c r="F251" i="6"/>
  <c r="F246" i="13"/>
  <c r="F234" i="6"/>
  <c r="F229" i="13"/>
  <c r="F225" i="13"/>
  <c r="F221" i="13"/>
  <c r="F217" i="13"/>
  <c r="F213" i="13"/>
  <c r="H213" i="13" s="1"/>
  <c r="F209" i="13"/>
  <c r="F197" i="13"/>
  <c r="H199" i="6"/>
  <c r="G192" i="13"/>
  <c r="F196" i="6"/>
  <c r="H192" i="6"/>
  <c r="G185" i="13"/>
  <c r="F187" i="6"/>
  <c r="H185" i="6"/>
  <c r="F178" i="13"/>
  <c r="G176" i="13"/>
  <c r="F180" i="6"/>
  <c r="H176" i="6"/>
  <c r="G169" i="13"/>
  <c r="F171" i="6"/>
  <c r="H169" i="6"/>
  <c r="F162" i="13"/>
  <c r="F160" i="13"/>
  <c r="F158" i="13"/>
  <c r="H161" i="6"/>
  <c r="H159" i="6"/>
  <c r="G154" i="13"/>
  <c r="G145" i="13"/>
  <c r="F143" i="13"/>
  <c r="H146" i="6"/>
  <c r="L141" i="13" s="1"/>
  <c r="F141" i="6"/>
  <c r="F134" i="6"/>
  <c r="H115" i="6"/>
  <c r="G110" i="13"/>
  <c r="F79" i="6"/>
  <c r="F74" i="13"/>
  <c r="H183" i="6"/>
  <c r="G178" i="13"/>
  <c r="H167" i="6"/>
  <c r="G162" i="13"/>
  <c r="H163" i="6"/>
  <c r="G158" i="13"/>
  <c r="H148" i="6"/>
  <c r="G143" i="13"/>
  <c r="F112" i="6"/>
  <c r="F107" i="13"/>
  <c r="H27" i="6"/>
  <c r="G22" i="13"/>
  <c r="H24" i="6"/>
  <c r="G19" i="13"/>
  <c r="F16" i="6"/>
  <c r="F11" i="13"/>
  <c r="F234" i="13"/>
  <c r="F230" i="13"/>
  <c r="F226" i="13"/>
  <c r="L226" i="13" s="1"/>
  <c r="F222" i="13"/>
  <c r="F218" i="13"/>
  <c r="F214" i="13"/>
  <c r="F190" i="13"/>
  <c r="G188" i="13"/>
  <c r="H188" i="6"/>
  <c r="G181" i="13"/>
  <c r="H172" i="6"/>
  <c r="G165" i="13"/>
  <c r="G153" i="13"/>
  <c r="F149" i="13"/>
  <c r="H152" i="6"/>
  <c r="G147" i="13"/>
  <c r="H143" i="6"/>
  <c r="G138" i="13"/>
  <c r="F135" i="13"/>
  <c r="G133" i="13"/>
  <c r="H138" i="6"/>
  <c r="G130" i="13"/>
  <c r="H133" i="6"/>
  <c r="G128" i="13"/>
  <c r="F122" i="13"/>
  <c r="F106" i="13"/>
  <c r="F103" i="13"/>
  <c r="H68" i="6"/>
  <c r="G63" i="13"/>
  <c r="F38" i="6"/>
  <c r="F33" i="13"/>
  <c r="G231" i="13"/>
  <c r="G227" i="13"/>
  <c r="G223" i="13"/>
  <c r="G219" i="13"/>
  <c r="Q599" i="13" s="1"/>
  <c r="G215" i="13"/>
  <c r="Q595" i="13" s="1"/>
  <c r="H195" i="6"/>
  <c r="G190" i="13"/>
  <c r="F181" i="13"/>
  <c r="F179" i="13"/>
  <c r="H179" i="6"/>
  <c r="G174" i="13"/>
  <c r="F163" i="13"/>
  <c r="H156" i="6"/>
  <c r="G151" i="13"/>
  <c r="H145" i="6"/>
  <c r="G140" i="13"/>
  <c r="F133" i="6"/>
  <c r="F128" i="13"/>
  <c r="F130" i="6"/>
  <c r="F125" i="13"/>
  <c r="G117" i="13"/>
  <c r="H122" i="6"/>
  <c r="H117" i="6"/>
  <c r="G112" i="13"/>
  <c r="G196" i="13"/>
  <c r="F186" i="13"/>
  <c r="G184" i="13"/>
  <c r="Q564" i="13" s="1"/>
  <c r="H160" i="6"/>
  <c r="G155" i="13"/>
  <c r="F145" i="6"/>
  <c r="F140" i="13"/>
  <c r="H132" i="6"/>
  <c r="G127" i="13"/>
  <c r="H129" i="6"/>
  <c r="BM129" i="6" s="1"/>
  <c r="G124" i="13"/>
  <c r="F117" i="6"/>
  <c r="F112" i="13"/>
  <c r="F114" i="6"/>
  <c r="F109" i="13"/>
  <c r="F63" i="6"/>
  <c r="F58" i="13"/>
  <c r="G260" i="13"/>
  <c r="F193" i="13"/>
  <c r="H191" i="6"/>
  <c r="G186" i="13"/>
  <c r="F177" i="13"/>
  <c r="H175" i="6"/>
  <c r="G170" i="13"/>
  <c r="F161" i="13"/>
  <c r="H164" i="6"/>
  <c r="G159" i="13"/>
  <c r="F146" i="13"/>
  <c r="H147" i="6"/>
  <c r="G142" i="13"/>
  <c r="G137" i="13"/>
  <c r="H142" i="6"/>
  <c r="H137" i="6"/>
  <c r="G132" i="13"/>
  <c r="F132" i="6"/>
  <c r="F127" i="13"/>
  <c r="F121" i="13"/>
  <c r="F116" i="13"/>
  <c r="H116" i="6"/>
  <c r="G111" i="13"/>
  <c r="H113" i="6"/>
  <c r="G108" i="13"/>
  <c r="G105" i="13"/>
  <c r="H110" i="6"/>
  <c r="H100" i="6"/>
  <c r="G95" i="13"/>
  <c r="F95" i="6"/>
  <c r="F90" i="13"/>
  <c r="H196" i="6"/>
  <c r="H180" i="6"/>
  <c r="F152" i="13"/>
  <c r="H153" i="6"/>
  <c r="H148" i="13" s="1"/>
  <c r="H151" i="6"/>
  <c r="G146" i="13"/>
  <c r="H139" i="6"/>
  <c r="G121" i="13"/>
  <c r="H126" i="6"/>
  <c r="F110" i="6"/>
  <c r="F105" i="13"/>
  <c r="G197" i="13"/>
  <c r="Q577" i="13" s="1"/>
  <c r="F189" i="13"/>
  <c r="H187" i="6"/>
  <c r="G182" i="13"/>
  <c r="Q562" i="13" s="1"/>
  <c r="F173" i="13"/>
  <c r="H171" i="6"/>
  <c r="G166" i="13"/>
  <c r="F154" i="13"/>
  <c r="H155" i="6"/>
  <c r="G150" i="13"/>
  <c r="H141" i="6"/>
  <c r="G136" i="13"/>
  <c r="F131" i="13"/>
  <c r="H131" i="6"/>
  <c r="G126" i="13"/>
  <c r="F123" i="13"/>
  <c r="H84" i="6"/>
  <c r="G79" i="13"/>
  <c r="H125" i="6"/>
  <c r="G120" i="13"/>
  <c r="F111" i="13"/>
  <c r="H109" i="6"/>
  <c r="G104" i="13"/>
  <c r="F95" i="13"/>
  <c r="F93" i="13"/>
  <c r="H93" i="6"/>
  <c r="G88" i="13"/>
  <c r="F79" i="13"/>
  <c r="F77" i="13"/>
  <c r="H77" i="6"/>
  <c r="G72" i="13"/>
  <c r="F70" i="13"/>
  <c r="F63" i="13"/>
  <c r="F61" i="13"/>
  <c r="H61" i="6"/>
  <c r="G56" i="13"/>
  <c r="F54" i="13"/>
  <c r="F47" i="13"/>
  <c r="F45" i="13"/>
  <c r="H121" i="6"/>
  <c r="G116" i="13"/>
  <c r="H105" i="6"/>
  <c r="G100" i="13"/>
  <c r="F91" i="13"/>
  <c r="F89" i="13"/>
  <c r="H89" i="6"/>
  <c r="G84" i="13"/>
  <c r="F75" i="13"/>
  <c r="F73" i="13"/>
  <c r="H73" i="6"/>
  <c r="BM73" i="6" s="1"/>
  <c r="G68" i="13"/>
  <c r="F66" i="13"/>
  <c r="F59" i="13"/>
  <c r="I59" i="13" s="1"/>
  <c r="F57" i="13"/>
  <c r="H57" i="6"/>
  <c r="G52" i="13"/>
  <c r="F50" i="13"/>
  <c r="G32" i="13"/>
  <c r="H37" i="6"/>
  <c r="G135" i="13"/>
  <c r="G119" i="13"/>
  <c r="G103" i="13"/>
  <c r="F96" i="13"/>
  <c r="G94" i="13"/>
  <c r="H94" i="6"/>
  <c r="F80" i="13"/>
  <c r="G78" i="13"/>
  <c r="H78" i="6"/>
  <c r="F64" i="13"/>
  <c r="G62" i="13"/>
  <c r="H62" i="6"/>
  <c r="F48" i="13"/>
  <c r="G46" i="13"/>
  <c r="H43" i="6"/>
  <c r="G38" i="13"/>
  <c r="H101" i="6"/>
  <c r="G96" i="13"/>
  <c r="F87" i="13"/>
  <c r="L87" i="13" s="1"/>
  <c r="H85" i="6"/>
  <c r="G80" i="13"/>
  <c r="F71" i="13"/>
  <c r="H69" i="6"/>
  <c r="G64" i="13"/>
  <c r="F55" i="13"/>
  <c r="H53" i="6"/>
  <c r="G48" i="13"/>
  <c r="F42" i="13"/>
  <c r="F28" i="13"/>
  <c r="F18" i="6"/>
  <c r="F13" i="13"/>
  <c r="G131" i="13"/>
  <c r="F124" i="13"/>
  <c r="G122" i="13"/>
  <c r="G115" i="13"/>
  <c r="F108" i="13"/>
  <c r="G106" i="13"/>
  <c r="H106" i="6"/>
  <c r="G99" i="13"/>
  <c r="H90" i="6"/>
  <c r="G83" i="13"/>
  <c r="H74" i="6"/>
  <c r="G67" i="13"/>
  <c r="H58" i="6"/>
  <c r="G51" i="13"/>
  <c r="H49" i="6"/>
  <c r="G44" i="13"/>
  <c r="G42" i="13"/>
  <c r="H47" i="6"/>
  <c r="H42" i="6"/>
  <c r="G37" i="13"/>
  <c r="F36" i="6"/>
  <c r="F31" i="13"/>
  <c r="H97" i="6"/>
  <c r="G92" i="13"/>
  <c r="H81" i="6"/>
  <c r="G76" i="13"/>
  <c r="H65" i="6"/>
  <c r="G60" i="13"/>
  <c r="H39" i="6"/>
  <c r="G34" i="13"/>
  <c r="H22" i="6"/>
  <c r="G17" i="13"/>
  <c r="H134" i="6"/>
  <c r="H118" i="6"/>
  <c r="H44" i="6"/>
  <c r="G39" i="13"/>
  <c r="F35" i="6"/>
  <c r="F30" i="13"/>
  <c r="G33" i="13"/>
  <c r="H32" i="6"/>
  <c r="G27" i="13"/>
  <c r="F16" i="13"/>
  <c r="H17" i="6"/>
  <c r="H15" i="6"/>
  <c r="G10" i="13"/>
  <c r="H36" i="6"/>
  <c r="G31" i="13"/>
  <c r="F20" i="13"/>
  <c r="F18" i="13"/>
  <c r="H19" i="6"/>
  <c r="G14" i="13"/>
  <c r="F37" i="13"/>
  <c r="H40" i="6"/>
  <c r="G35" i="13"/>
  <c r="F24" i="13"/>
  <c r="F22" i="13"/>
  <c r="H25" i="6"/>
  <c r="H23" i="6"/>
  <c r="G18" i="13"/>
  <c r="G9" i="13"/>
  <c r="F7" i="13"/>
  <c r="H12" i="6"/>
  <c r="G7" i="13"/>
  <c r="F32" i="13"/>
  <c r="H31" i="6"/>
  <c r="G26" i="13"/>
  <c r="H16" i="6"/>
  <c r="G11" i="13"/>
  <c r="F34" i="13"/>
  <c r="H35" i="6"/>
  <c r="G30" i="13"/>
  <c r="G21" i="13"/>
  <c r="F17" i="13"/>
  <c r="H20" i="6"/>
  <c r="G15" i="13"/>
  <c r="H11" i="6"/>
  <c r="G6" i="13"/>
  <c r="H28" i="6"/>
  <c r="G23" i="13"/>
  <c r="F11" i="6"/>
  <c r="F6" i="13"/>
  <c r="D6" i="7" l="1"/>
  <c r="J165" i="6"/>
  <c r="J157" i="13"/>
  <c r="Q651" i="13"/>
  <c r="N291" i="13"/>
  <c r="N202" i="13"/>
  <c r="N627" i="13"/>
  <c r="N247" i="13"/>
  <c r="N201" i="13"/>
  <c r="N632" i="13"/>
  <c r="N228" i="13"/>
  <c r="N663" i="13"/>
  <c r="Q398" i="13"/>
  <c r="Q18" i="13"/>
  <c r="Q8" i="13"/>
  <c r="Q388" i="13"/>
  <c r="Q400" i="13"/>
  <c r="Q20" i="13"/>
  <c r="Q394" i="13"/>
  <c r="Q14" i="13"/>
  <c r="Q15" i="13"/>
  <c r="Q395" i="13"/>
  <c r="Q392" i="13"/>
  <c r="Q12" i="13"/>
  <c r="Q393" i="13"/>
  <c r="Q13" i="13"/>
  <c r="Q390" i="13"/>
  <c r="Q10" i="13"/>
  <c r="Q16" i="13"/>
  <c r="Q396" i="13"/>
  <c r="Q389" i="13"/>
  <c r="Q9" i="13"/>
  <c r="Q399" i="13"/>
  <c r="Q19" i="13"/>
  <c r="Q391" i="13"/>
  <c r="Q11" i="13"/>
  <c r="Q397" i="13"/>
  <c r="Q17" i="13"/>
  <c r="J286" i="13"/>
  <c r="L346" i="13"/>
  <c r="I300" i="13"/>
  <c r="I114" i="13"/>
  <c r="U114" i="13" s="1"/>
  <c r="Q568" i="13"/>
  <c r="J189" i="13"/>
  <c r="L176" i="13"/>
  <c r="K89" i="13"/>
  <c r="J284" i="13"/>
  <c r="K144" i="13"/>
  <c r="K113" i="13"/>
  <c r="M66" i="13"/>
  <c r="L270" i="13"/>
  <c r="H305" i="13"/>
  <c r="I361" i="13"/>
  <c r="U361" i="13" s="1"/>
  <c r="L370" i="13"/>
  <c r="J373" i="13"/>
  <c r="K12" i="13"/>
  <c r="I341" i="13"/>
  <c r="L4" i="13"/>
  <c r="K312" i="13"/>
  <c r="M167" i="13"/>
  <c r="H217" i="13"/>
  <c r="T217" i="13" s="1"/>
  <c r="J281" i="13"/>
  <c r="M177" i="13"/>
  <c r="J46" i="13"/>
  <c r="K145" i="13"/>
  <c r="J354" i="13"/>
  <c r="I272" i="13"/>
  <c r="J296" i="13"/>
  <c r="L82" i="13"/>
  <c r="M48" i="13"/>
  <c r="H308" i="13"/>
  <c r="T308" i="13" s="1"/>
  <c r="I264" i="13"/>
  <c r="L164" i="13"/>
  <c r="Q634" i="13"/>
  <c r="J377" i="13"/>
  <c r="K173" i="13"/>
  <c r="Q643" i="13"/>
  <c r="M10" i="13"/>
  <c r="K15" i="13"/>
  <c r="I14" i="13"/>
  <c r="M96" i="13"/>
  <c r="M171" i="13"/>
  <c r="H319" i="13"/>
  <c r="T319" i="13" s="1"/>
  <c r="K310" i="13"/>
  <c r="M169" i="13"/>
  <c r="M216" i="13"/>
  <c r="L72" i="13"/>
  <c r="M126" i="13"/>
  <c r="M132" i="13"/>
  <c r="L295" i="13"/>
  <c r="H49" i="13"/>
  <c r="M69" i="13"/>
  <c r="H306" i="13"/>
  <c r="T306" i="13" s="1"/>
  <c r="M20" i="13"/>
  <c r="M32" i="13"/>
  <c r="M56" i="13"/>
  <c r="L117" i="13"/>
  <c r="L190" i="13"/>
  <c r="I133" i="13"/>
  <c r="U133" i="13" s="1"/>
  <c r="L158" i="13"/>
  <c r="I301" i="13"/>
  <c r="U301" i="13" s="1"/>
  <c r="I98" i="13"/>
  <c r="U98" i="13" s="1"/>
  <c r="M290" i="13"/>
  <c r="L160" i="13"/>
  <c r="K365" i="13"/>
  <c r="K288" i="13"/>
  <c r="K204" i="13"/>
  <c r="H150" i="13"/>
  <c r="T150" i="13" s="1"/>
  <c r="J186" i="13"/>
  <c r="K155" i="13"/>
  <c r="K197" i="13"/>
  <c r="M279" i="13"/>
  <c r="J255" i="13"/>
  <c r="K294" i="13"/>
  <c r="K168" i="13"/>
  <c r="H81" i="13"/>
  <c r="T81" i="13" s="1"/>
  <c r="J36" i="13"/>
  <c r="H209" i="13"/>
  <c r="T209" i="13" s="1"/>
  <c r="L192" i="13"/>
  <c r="K23" i="13"/>
  <c r="L116" i="13"/>
  <c r="Q603" i="13"/>
  <c r="L29" i="13"/>
  <c r="I273" i="13"/>
  <c r="U273" i="13" s="1"/>
  <c r="L337" i="13"/>
  <c r="I117" i="13"/>
  <c r="U117" i="13" s="1"/>
  <c r="J194" i="13"/>
  <c r="Q678" i="13"/>
  <c r="L62" i="13"/>
  <c r="M84" i="13"/>
  <c r="I121" i="13"/>
  <c r="U121" i="13" s="1"/>
  <c r="K108" i="13"/>
  <c r="H161" i="13"/>
  <c r="T161" i="13" s="1"/>
  <c r="Q576" i="13"/>
  <c r="H119" i="13"/>
  <c r="T119" i="13" s="1"/>
  <c r="H277" i="13"/>
  <c r="H67" i="13"/>
  <c r="K21" i="13"/>
  <c r="J173" i="13"/>
  <c r="J64" i="13"/>
  <c r="H142" i="13"/>
  <c r="T142" i="13" s="1"/>
  <c r="Q550" i="13"/>
  <c r="H187" i="13"/>
  <c r="T187" i="13" s="1"/>
  <c r="H317" i="13"/>
  <c r="Q638" i="13"/>
  <c r="K297" i="13"/>
  <c r="J280" i="13"/>
  <c r="M361" i="13"/>
  <c r="I17" i="13"/>
  <c r="U17" i="13" s="1"/>
  <c r="H18" i="13"/>
  <c r="T18" i="13" s="1"/>
  <c r="L42" i="13"/>
  <c r="H73" i="13"/>
  <c r="J91" i="13"/>
  <c r="L170" i="13"/>
  <c r="I149" i="13"/>
  <c r="U149" i="13" s="1"/>
  <c r="Q538" i="13"/>
  <c r="M225" i="13"/>
  <c r="L263" i="13"/>
  <c r="J86" i="13"/>
  <c r="K180" i="13"/>
  <c r="H10" i="13"/>
  <c r="L108" i="13"/>
  <c r="M80" i="13"/>
  <c r="L57" i="13"/>
  <c r="M52" i="13"/>
  <c r="I84" i="13"/>
  <c r="U84" i="13" s="1"/>
  <c r="K126" i="13"/>
  <c r="I132" i="13"/>
  <c r="J159" i="13"/>
  <c r="Q607" i="13"/>
  <c r="J138" i="13"/>
  <c r="I178" i="13"/>
  <c r="U178" i="13" s="1"/>
  <c r="J295" i="13"/>
  <c r="Q673" i="13"/>
  <c r="Q670" i="13"/>
  <c r="J24" i="13"/>
  <c r="J115" i="13"/>
  <c r="I49" i="13"/>
  <c r="U49" i="13" s="1"/>
  <c r="H172" i="13"/>
  <c r="T172" i="13" s="1"/>
  <c r="I78" i="13"/>
  <c r="U78" i="13" s="1"/>
  <c r="M12" i="13"/>
  <c r="Q584" i="13"/>
  <c r="I262" i="13"/>
  <c r="U262" i="13" s="1"/>
  <c r="M248" i="13"/>
  <c r="J45" i="13"/>
  <c r="K40" i="13"/>
  <c r="M370" i="13"/>
  <c r="J113" i="13"/>
  <c r="L21" i="13"/>
  <c r="J37" i="13"/>
  <c r="K48" i="13"/>
  <c r="J54" i="13"/>
  <c r="I131" i="13"/>
  <c r="M137" i="13"/>
  <c r="J181" i="13"/>
  <c r="L147" i="13"/>
  <c r="J143" i="13"/>
  <c r="Q549" i="13"/>
  <c r="J307" i="13"/>
  <c r="I269" i="13"/>
  <c r="M16" i="13"/>
  <c r="J185" i="13"/>
  <c r="M297" i="13"/>
  <c r="K373" i="13"/>
  <c r="M306" i="13"/>
  <c r="H43" i="13"/>
  <c r="T43" i="13" s="1"/>
  <c r="K221" i="13"/>
  <c r="M244" i="13"/>
  <c r="K212" i="13"/>
  <c r="I56" i="13"/>
  <c r="M180" i="13"/>
  <c r="L280" i="13"/>
  <c r="L37" i="13"/>
  <c r="J133" i="13"/>
  <c r="M181" i="13"/>
  <c r="M43" i="13"/>
  <c r="L55" i="13"/>
  <c r="I154" i="13"/>
  <c r="U154" i="13" s="1"/>
  <c r="H225" i="13"/>
  <c r="T225" i="13" s="1"/>
  <c r="Q631" i="13"/>
  <c r="K188" i="13"/>
  <c r="H309" i="13"/>
  <c r="T309" i="13" s="1"/>
  <c r="I345" i="13"/>
  <c r="U345" i="13" s="1"/>
  <c r="H260" i="13"/>
  <c r="T260" i="13" s="1"/>
  <c r="K357" i="13"/>
  <c r="H325" i="13"/>
  <c r="I188" i="13"/>
  <c r="U188" i="13" s="1"/>
  <c r="H69" i="13"/>
  <c r="H137" i="13"/>
  <c r="T137" i="13" s="1"/>
  <c r="K189" i="13"/>
  <c r="H87" i="13"/>
  <c r="T87" i="13" s="1"/>
  <c r="K110" i="13"/>
  <c r="Q572" i="13"/>
  <c r="K315" i="13"/>
  <c r="M301" i="13"/>
  <c r="J98" i="13"/>
  <c r="L153" i="13"/>
  <c r="J25" i="13"/>
  <c r="K62" i="13"/>
  <c r="I160" i="13"/>
  <c r="U160" i="13" s="1"/>
  <c r="H288" i="13"/>
  <c r="J223" i="13"/>
  <c r="H77" i="13"/>
  <c r="T77" i="13" s="1"/>
  <c r="I9" i="13"/>
  <c r="U9" i="13" s="1"/>
  <c r="L68" i="13"/>
  <c r="M317" i="13"/>
  <c r="M73" i="13"/>
  <c r="H91" i="13"/>
  <c r="L155" i="13"/>
  <c r="K152" i="13"/>
  <c r="H26" i="13"/>
  <c r="T26" i="13" s="1"/>
  <c r="M156" i="13"/>
  <c r="Q619" i="13"/>
  <c r="H64" i="13"/>
  <c r="T64" i="13" s="1"/>
  <c r="J38" i="13"/>
  <c r="I100" i="13"/>
  <c r="U100" i="13" s="1"/>
  <c r="J146" i="13"/>
  <c r="I95" i="13"/>
  <c r="K142" i="13"/>
  <c r="Q556" i="13"/>
  <c r="I130" i="13"/>
  <c r="U130" i="13" s="1"/>
  <c r="H46" i="13"/>
  <c r="T46" i="13" s="1"/>
  <c r="H145" i="13"/>
  <c r="T145" i="13" s="1"/>
  <c r="J196" i="13"/>
  <c r="K316" i="13"/>
  <c r="K382" i="13"/>
  <c r="L272" i="13"/>
  <c r="L296" i="13"/>
  <c r="M82" i="13"/>
  <c r="I8" i="13"/>
  <c r="U8" i="13" s="1"/>
  <c r="K8" i="13"/>
  <c r="J100" i="13"/>
  <c r="J212" i="13"/>
  <c r="I325" i="13"/>
  <c r="U325" i="13" s="1"/>
  <c r="H149" i="13"/>
  <c r="T149" i="13" s="1"/>
  <c r="J119" i="13"/>
  <c r="J154" i="13"/>
  <c r="M17" i="13"/>
  <c r="H101" i="13"/>
  <c r="K79" i="13"/>
  <c r="K103" i="13"/>
  <c r="M135" i="13"/>
  <c r="K22" i="13"/>
  <c r="K162" i="13"/>
  <c r="J197" i="13"/>
  <c r="J279" i="13"/>
  <c r="Q657" i="13"/>
  <c r="J51" i="13"/>
  <c r="K99" i="13"/>
  <c r="L254" i="13"/>
  <c r="M318" i="13"/>
  <c r="L341" i="13"/>
  <c r="J362" i="13"/>
  <c r="I81" i="13"/>
  <c r="U81" i="13" s="1"/>
  <c r="K179" i="13"/>
  <c r="I374" i="13"/>
  <c r="U374" i="13" s="1"/>
  <c r="I165" i="13"/>
  <c r="K219" i="13"/>
  <c r="M36" i="13"/>
  <c r="J20" i="13"/>
  <c r="L148" i="13"/>
  <c r="J312" i="13"/>
  <c r="L157" i="13"/>
  <c r="J221" i="13"/>
  <c r="H219" i="13"/>
  <c r="M28" i="13"/>
  <c r="I156" i="13"/>
  <c r="U156" i="13" s="1"/>
  <c r="J244" i="13"/>
  <c r="M309" i="13"/>
  <c r="K147" i="13"/>
  <c r="I93" i="13"/>
  <c r="U93" i="13" s="1"/>
  <c r="I161" i="13"/>
  <c r="U161" i="13" s="1"/>
  <c r="M26" i="13"/>
  <c r="M226" i="13"/>
  <c r="L95" i="13"/>
  <c r="M34" i="13"/>
  <c r="J34" i="13"/>
  <c r="K34" i="13"/>
  <c r="H34" i="13"/>
  <c r="T34" i="13" s="1"/>
  <c r="N743" i="13"/>
  <c r="I349" i="13"/>
  <c r="H349" i="13"/>
  <c r="L349" i="13"/>
  <c r="M349" i="13"/>
  <c r="J349" i="13"/>
  <c r="K349" i="13"/>
  <c r="M199" i="13"/>
  <c r="L199" i="13"/>
  <c r="K199" i="13"/>
  <c r="J199" i="13"/>
  <c r="I199" i="13"/>
  <c r="U199" i="13" s="1"/>
  <c r="H199" i="13"/>
  <c r="T199" i="13" s="1"/>
  <c r="I144" i="13"/>
  <c r="U144" i="13" s="1"/>
  <c r="H29" i="13"/>
  <c r="T29" i="13" s="1"/>
  <c r="H249" i="13"/>
  <c r="T249" i="13" s="1"/>
  <c r="M249" i="13"/>
  <c r="L249" i="13"/>
  <c r="K249" i="13"/>
  <c r="J249" i="13"/>
  <c r="I249" i="13"/>
  <c r="U249" i="13" s="1"/>
  <c r="M13" i="13"/>
  <c r="L13" i="13"/>
  <c r="K13" i="13"/>
  <c r="J13" i="13"/>
  <c r="H13" i="13"/>
  <c r="I13" i="13"/>
  <c r="H71" i="13"/>
  <c r="T71" i="13" s="1"/>
  <c r="L71" i="13"/>
  <c r="I71" i="13"/>
  <c r="U71" i="13" s="1"/>
  <c r="J71" i="13"/>
  <c r="I89" i="13"/>
  <c r="U89" i="13" s="1"/>
  <c r="M50" i="13"/>
  <c r="J50" i="13"/>
  <c r="K50" i="13"/>
  <c r="H50" i="13"/>
  <c r="T50" i="13" s="1"/>
  <c r="H23" i="13"/>
  <c r="T23" i="13" s="1"/>
  <c r="L23" i="13"/>
  <c r="M23" i="13"/>
  <c r="I23" i="13"/>
  <c r="U23" i="13" s="1"/>
  <c r="K7" i="13"/>
  <c r="J7" i="13"/>
  <c r="I7" i="13"/>
  <c r="H7" i="13"/>
  <c r="T7" i="13" s="1"/>
  <c r="M75" i="13"/>
  <c r="K75" i="13"/>
  <c r="J75" i="13"/>
  <c r="H75" i="13"/>
  <c r="T75" i="13" s="1"/>
  <c r="I75" i="13"/>
  <c r="U75" i="13" s="1"/>
  <c r="H70" i="13"/>
  <c r="L70" i="13"/>
  <c r="K70" i="13"/>
  <c r="J70" i="13"/>
  <c r="M123" i="13"/>
  <c r="K123" i="13"/>
  <c r="J123" i="13"/>
  <c r="H123" i="13"/>
  <c r="T123" i="13" s="1"/>
  <c r="I123" i="13"/>
  <c r="M127" i="13"/>
  <c r="K127" i="13"/>
  <c r="J127" i="13"/>
  <c r="H127" i="13"/>
  <c r="T127" i="13" s="1"/>
  <c r="L127" i="13"/>
  <c r="I127" i="13"/>
  <c r="U127" i="13" s="1"/>
  <c r="I193" i="13"/>
  <c r="K193" i="13"/>
  <c r="J193" i="13"/>
  <c r="I125" i="13"/>
  <c r="U125" i="13" s="1"/>
  <c r="L125" i="13"/>
  <c r="M125" i="13"/>
  <c r="K125" i="13"/>
  <c r="J125" i="13"/>
  <c r="H125" i="13"/>
  <c r="T125" i="13" s="1"/>
  <c r="Q554" i="13"/>
  <c r="L106" i="13"/>
  <c r="K106" i="13"/>
  <c r="M106" i="13"/>
  <c r="L230" i="13"/>
  <c r="K230" i="13"/>
  <c r="H230" i="13"/>
  <c r="T230" i="13" s="1"/>
  <c r="M230" i="13"/>
  <c r="Q558" i="13"/>
  <c r="Q209" i="13"/>
  <c r="J246" i="13"/>
  <c r="I246" i="13"/>
  <c r="U246" i="13" s="1"/>
  <c r="H246" i="13"/>
  <c r="M246" i="13"/>
  <c r="L246" i="13"/>
  <c r="K246" i="13"/>
  <c r="Q671" i="13"/>
  <c r="H241" i="13"/>
  <c r="M241" i="13"/>
  <c r="L241" i="13"/>
  <c r="K241" i="13"/>
  <c r="J241" i="13"/>
  <c r="I241" i="13"/>
  <c r="U241" i="13" s="1"/>
  <c r="Q286" i="13"/>
  <c r="K286" i="13"/>
  <c r="H286" i="13"/>
  <c r="T286" i="13" s="1"/>
  <c r="M286" i="13"/>
  <c r="L286" i="13"/>
  <c r="Q279" i="13"/>
  <c r="Q639" i="13"/>
  <c r="Q288" i="13"/>
  <c r="J238" i="13"/>
  <c r="I238" i="13"/>
  <c r="U238" i="13" s="1"/>
  <c r="M238" i="13"/>
  <c r="L238" i="13"/>
  <c r="K238" i="13"/>
  <c r="H238" i="13"/>
  <c r="T238" i="13" s="1"/>
  <c r="M287" i="13"/>
  <c r="J287" i="13"/>
  <c r="H287" i="13"/>
  <c r="I287" i="13"/>
  <c r="U287" i="13" s="1"/>
  <c r="L287" i="13"/>
  <c r="K287" i="13"/>
  <c r="J308" i="13"/>
  <c r="Q301" i="13"/>
  <c r="M139" i="13"/>
  <c r="L139" i="13"/>
  <c r="K139" i="13"/>
  <c r="I139" i="13"/>
  <c r="L169" i="13"/>
  <c r="K102" i="13"/>
  <c r="I102" i="13"/>
  <c r="U102" i="13" s="1"/>
  <c r="H102" i="13"/>
  <c r="T102" i="13" s="1"/>
  <c r="J102" i="13"/>
  <c r="H200" i="13"/>
  <c r="T200" i="13" s="1"/>
  <c r="M200" i="13"/>
  <c r="L200" i="13"/>
  <c r="K200" i="13"/>
  <c r="J200" i="13"/>
  <c r="I200" i="13"/>
  <c r="U200" i="13" s="1"/>
  <c r="J264" i="13"/>
  <c r="I321" i="13"/>
  <c r="U321" i="13" s="1"/>
  <c r="H321" i="13"/>
  <c r="T321" i="13" s="1"/>
  <c r="L321" i="13"/>
  <c r="M321" i="13"/>
  <c r="L243" i="13"/>
  <c r="K243" i="13"/>
  <c r="J243" i="13"/>
  <c r="I243" i="13"/>
  <c r="U243" i="13" s="1"/>
  <c r="M243" i="13"/>
  <c r="H243" i="13"/>
  <c r="T243" i="13" s="1"/>
  <c r="M339" i="13"/>
  <c r="L339" i="13"/>
  <c r="K339" i="13"/>
  <c r="J339" i="13"/>
  <c r="H339" i="13"/>
  <c r="T339" i="13" s="1"/>
  <c r="I339" i="13"/>
  <c r="U339" i="13" s="1"/>
  <c r="M320" i="13"/>
  <c r="L320" i="13"/>
  <c r="J320" i="13"/>
  <c r="H320" i="13"/>
  <c r="I320" i="13"/>
  <c r="U320" i="13" s="1"/>
  <c r="K320" i="13"/>
  <c r="M359" i="13"/>
  <c r="L359" i="13"/>
  <c r="K359" i="13"/>
  <c r="J359" i="13"/>
  <c r="H359" i="13"/>
  <c r="I359" i="13"/>
  <c r="M268" i="13"/>
  <c r="L268" i="13"/>
  <c r="K268" i="13"/>
  <c r="J268" i="13"/>
  <c r="I268" i="13"/>
  <c r="U268" i="13" s="1"/>
  <c r="H268" i="13"/>
  <c r="T268" i="13" s="1"/>
  <c r="M364" i="13"/>
  <c r="L364" i="13"/>
  <c r="J364" i="13"/>
  <c r="K364" i="13"/>
  <c r="I364" i="13"/>
  <c r="H364" i="13"/>
  <c r="T364" i="13" s="1"/>
  <c r="M53" i="13"/>
  <c r="L53" i="13"/>
  <c r="K53" i="13"/>
  <c r="J53" i="13"/>
  <c r="I53" i="13"/>
  <c r="U53" i="13" s="1"/>
  <c r="H53" i="13"/>
  <c r="T53" i="13" s="1"/>
  <c r="J209" i="13"/>
  <c r="M380" i="13"/>
  <c r="L380" i="13"/>
  <c r="K380" i="13"/>
  <c r="J380" i="13"/>
  <c r="I380" i="13"/>
  <c r="H380" i="13"/>
  <c r="T380" i="13" s="1"/>
  <c r="I85" i="13"/>
  <c r="U85" i="13" s="1"/>
  <c r="L85" i="13"/>
  <c r="M85" i="13"/>
  <c r="K85" i="13"/>
  <c r="J85" i="13"/>
  <c r="H85" i="13"/>
  <c r="T85" i="13" s="1"/>
  <c r="K330" i="13"/>
  <c r="J330" i="13"/>
  <c r="I330" i="13"/>
  <c r="U330" i="13" s="1"/>
  <c r="H330" i="13"/>
  <c r="T330" i="13" s="1"/>
  <c r="L330" i="13"/>
  <c r="M330" i="13"/>
  <c r="K338" i="13"/>
  <c r="J338" i="13"/>
  <c r="I338" i="13"/>
  <c r="U338" i="13" s="1"/>
  <c r="H338" i="13"/>
  <c r="T338" i="13" s="1"/>
  <c r="L338" i="13"/>
  <c r="M338" i="13"/>
  <c r="M5" i="13"/>
  <c r="K5" i="13"/>
  <c r="L5" i="13"/>
  <c r="J5" i="13"/>
  <c r="I5" i="13"/>
  <c r="U5" i="13" s="1"/>
  <c r="H5" i="13"/>
  <c r="AJ35" i="6" a="1"/>
  <c r="AJ35" i="6" s="1"/>
  <c r="AH35" i="6" a="1"/>
  <c r="AH35" i="6" s="1"/>
  <c r="AJ37" i="6" a="1"/>
  <c r="AJ37" i="6" s="1"/>
  <c r="AH37" i="6" a="1"/>
  <c r="AH37" i="6" s="1"/>
  <c r="AJ36" i="6" a="1"/>
  <c r="AJ36" i="6" s="1"/>
  <c r="AH36" i="6" a="1"/>
  <c r="AH36" i="6" s="1"/>
  <c r="L211" i="13"/>
  <c r="K211" i="13"/>
  <c r="J211" i="13"/>
  <c r="I211" i="13"/>
  <c r="U211" i="13" s="1"/>
  <c r="H211" i="13"/>
  <c r="T211" i="13" s="1"/>
  <c r="M211" i="13"/>
  <c r="N373" i="13"/>
  <c r="K346" i="13"/>
  <c r="J346" i="13"/>
  <c r="I346" i="13"/>
  <c r="U346" i="13" s="1"/>
  <c r="H346" i="13"/>
  <c r="M346" i="13"/>
  <c r="M65" i="13"/>
  <c r="K65" i="13"/>
  <c r="L65" i="13"/>
  <c r="J65" i="13"/>
  <c r="I65" i="13"/>
  <c r="H65" i="13"/>
  <c r="T65" i="13" s="1"/>
  <c r="M120" i="13"/>
  <c r="L120" i="13"/>
  <c r="J120" i="13"/>
  <c r="K120" i="13"/>
  <c r="I120" i="13"/>
  <c r="U120" i="13" s="1"/>
  <c r="H120" i="13"/>
  <c r="T120" i="13" s="1"/>
  <c r="M293" i="13"/>
  <c r="K192" i="13"/>
  <c r="I333" i="13"/>
  <c r="U333" i="13" s="1"/>
  <c r="H333" i="13"/>
  <c r="T333" i="13" s="1"/>
  <c r="L333" i="13"/>
  <c r="M333" i="13"/>
  <c r="K333" i="13"/>
  <c r="J333" i="13"/>
  <c r="I216" i="13"/>
  <c r="J8" i="13"/>
  <c r="L12" i="13"/>
  <c r="H20" i="13"/>
  <c r="T20" i="13" s="1"/>
  <c r="I24" i="13"/>
  <c r="U24" i="13" s="1"/>
  <c r="L28" i="13"/>
  <c r="H36" i="13"/>
  <c r="T36" i="13" s="1"/>
  <c r="I40" i="13"/>
  <c r="U40" i="13" s="1"/>
  <c r="L48" i="13"/>
  <c r="H56" i="13"/>
  <c r="T56" i="13" s="1"/>
  <c r="I64" i="13"/>
  <c r="K68" i="13"/>
  <c r="M72" i="13"/>
  <c r="H84" i="13"/>
  <c r="T84" i="13" s="1"/>
  <c r="H96" i="13"/>
  <c r="T96" i="13" s="1"/>
  <c r="K100" i="13"/>
  <c r="J108" i="13"/>
  <c r="M116" i="13"/>
  <c r="H132" i="13"/>
  <c r="H144" i="13"/>
  <c r="T144" i="13" s="1"/>
  <c r="J148" i="13"/>
  <c r="M152" i="13"/>
  <c r="J160" i="13"/>
  <c r="K164" i="13"/>
  <c r="H168" i="13"/>
  <c r="J176" i="13"/>
  <c r="L180" i="13"/>
  <c r="H184" i="13"/>
  <c r="T184" i="13" s="1"/>
  <c r="I192" i="13"/>
  <c r="U192" i="13" s="1"/>
  <c r="H196" i="13"/>
  <c r="I212" i="13"/>
  <c r="U212" i="13" s="1"/>
  <c r="L216" i="13"/>
  <c r="I244" i="13"/>
  <c r="L248" i="13"/>
  <c r="M260" i="13"/>
  <c r="M272" i="13"/>
  <c r="I288" i="13"/>
  <c r="U288" i="13" s="1"/>
  <c r="M296" i="13"/>
  <c r="M308" i="13"/>
  <c r="M312" i="13"/>
  <c r="J309" i="13"/>
  <c r="H341" i="13"/>
  <c r="T341" i="13" s="1"/>
  <c r="M373" i="13"/>
  <c r="K159" i="13"/>
  <c r="L223" i="13"/>
  <c r="I225" i="13"/>
  <c r="U225" i="13" s="1"/>
  <c r="J273" i="13"/>
  <c r="H293" i="13"/>
  <c r="T293" i="13" s="1"/>
  <c r="H301" i="13"/>
  <c r="K317" i="13"/>
  <c r="I365" i="13"/>
  <c r="U365" i="13" s="1"/>
  <c r="J147" i="13"/>
  <c r="H17" i="13"/>
  <c r="T17" i="13" s="1"/>
  <c r="I29" i="13"/>
  <c r="U29" i="13" s="1"/>
  <c r="K37" i="13"/>
  <c r="J57" i="13"/>
  <c r="K73" i="13"/>
  <c r="I77" i="13"/>
  <c r="U77" i="13" s="1"/>
  <c r="J89" i="13"/>
  <c r="L93" i="13"/>
  <c r="H113" i="13"/>
  <c r="T113" i="13" s="1"/>
  <c r="M117" i="13"/>
  <c r="H133" i="13"/>
  <c r="T133" i="13" s="1"/>
  <c r="L137" i="13"/>
  <c r="J145" i="13"/>
  <c r="L149" i="13"/>
  <c r="K157" i="13"/>
  <c r="K169" i="13"/>
  <c r="I173" i="13"/>
  <c r="U173" i="13" s="1"/>
  <c r="K181" i="13"/>
  <c r="L197" i="13"/>
  <c r="L209" i="13"/>
  <c r="H269" i="13"/>
  <c r="J297" i="13"/>
  <c r="K361" i="13"/>
  <c r="K55" i="13"/>
  <c r="I91" i="13"/>
  <c r="U91" i="13" s="1"/>
  <c r="J26" i="13"/>
  <c r="I286" i="13"/>
  <c r="U286" i="13" s="1"/>
  <c r="J23" i="13"/>
  <c r="K337" i="13"/>
  <c r="K31" i="13"/>
  <c r="J31" i="13"/>
  <c r="I31" i="13"/>
  <c r="U31" i="13" s="1"/>
  <c r="H31" i="13"/>
  <c r="T31" i="13" s="1"/>
  <c r="M31" i="13"/>
  <c r="L31" i="13"/>
  <c r="L122" i="13"/>
  <c r="K122" i="13"/>
  <c r="M122" i="13"/>
  <c r="M340" i="13"/>
  <c r="L340" i="13"/>
  <c r="J340" i="13"/>
  <c r="K340" i="13"/>
  <c r="I340" i="13"/>
  <c r="U340" i="13" s="1"/>
  <c r="H340" i="13"/>
  <c r="T340" i="13" s="1"/>
  <c r="Q590" i="13"/>
  <c r="M262" i="13"/>
  <c r="L262" i="13"/>
  <c r="K262" i="13"/>
  <c r="H262" i="13"/>
  <c r="T262" i="13" s="1"/>
  <c r="M232" i="13"/>
  <c r="K232" i="13"/>
  <c r="L232" i="13"/>
  <c r="J232" i="13"/>
  <c r="I232" i="13"/>
  <c r="U232" i="13" s="1"/>
  <c r="H232" i="13"/>
  <c r="I281" i="13"/>
  <c r="U281" i="13" s="1"/>
  <c r="J114" i="13"/>
  <c r="M178" i="13"/>
  <c r="K10" i="13"/>
  <c r="I10" i="13"/>
  <c r="L10" i="13"/>
  <c r="M87" i="13"/>
  <c r="K87" i="13"/>
  <c r="J87" i="13"/>
  <c r="I87" i="13"/>
  <c r="U87" i="13" s="1"/>
  <c r="K47" i="13"/>
  <c r="J47" i="13"/>
  <c r="I47" i="13"/>
  <c r="H47" i="13"/>
  <c r="BM131" i="6"/>
  <c r="R131" i="6" s="1"/>
  <c r="H126" i="13"/>
  <c r="T126" i="13" s="1"/>
  <c r="L126" i="13"/>
  <c r="J126" i="13"/>
  <c r="I126" i="13"/>
  <c r="U126" i="13" s="1"/>
  <c r="Q161" i="13"/>
  <c r="J161" i="13"/>
  <c r="M128" i="13"/>
  <c r="L128" i="13"/>
  <c r="J128" i="13"/>
  <c r="K128" i="13"/>
  <c r="I128" i="13"/>
  <c r="U128" i="13" s="1"/>
  <c r="H128" i="13"/>
  <c r="T128" i="13" s="1"/>
  <c r="Q179" i="13"/>
  <c r="L166" i="13"/>
  <c r="K166" i="13"/>
  <c r="J166" i="13"/>
  <c r="I166" i="13"/>
  <c r="U166" i="13" s="1"/>
  <c r="H166" i="13"/>
  <c r="M166" i="13"/>
  <c r="Q565" i="13"/>
  <c r="Q217" i="13"/>
  <c r="K217" i="13"/>
  <c r="L217" i="13"/>
  <c r="J250" i="13"/>
  <c r="I250" i="13"/>
  <c r="U250" i="13" s="1"/>
  <c r="H250" i="13"/>
  <c r="T250" i="13" s="1"/>
  <c r="L250" i="13"/>
  <c r="K250" i="13"/>
  <c r="M250" i="13"/>
  <c r="H261" i="13"/>
  <c r="T261" i="13" s="1"/>
  <c r="M261" i="13"/>
  <c r="J261" i="13"/>
  <c r="I261" i="13"/>
  <c r="U261" i="13" s="1"/>
  <c r="K261" i="13"/>
  <c r="L261" i="13"/>
  <c r="H295" i="13"/>
  <c r="T295" i="13" s="1"/>
  <c r="H245" i="13"/>
  <c r="T245" i="13" s="1"/>
  <c r="M245" i="13"/>
  <c r="J245" i="13"/>
  <c r="I245" i="13"/>
  <c r="U245" i="13" s="1"/>
  <c r="L245" i="13"/>
  <c r="K245" i="13"/>
  <c r="Q249" i="13"/>
  <c r="L299" i="13"/>
  <c r="J299" i="13"/>
  <c r="H299" i="13"/>
  <c r="K299" i="13"/>
  <c r="I299" i="13"/>
  <c r="U299" i="13" s="1"/>
  <c r="M299" i="13"/>
  <c r="L174" i="13"/>
  <c r="K174" i="13"/>
  <c r="J174" i="13"/>
  <c r="I174" i="13"/>
  <c r="U174" i="13" s="1"/>
  <c r="M174" i="13"/>
  <c r="H174" i="13"/>
  <c r="M41" i="13"/>
  <c r="L41" i="13"/>
  <c r="K41" i="13"/>
  <c r="J41" i="13"/>
  <c r="I41" i="13"/>
  <c r="U41" i="13" s="1"/>
  <c r="H41" i="13"/>
  <c r="T41" i="13" s="1"/>
  <c r="K118" i="13"/>
  <c r="I118" i="13"/>
  <c r="H118" i="13"/>
  <c r="T118" i="13" s="1"/>
  <c r="J118" i="13"/>
  <c r="Q180" i="13"/>
  <c r="BM54" i="6"/>
  <c r="R54" i="6" s="1"/>
  <c r="J49" i="13"/>
  <c r="M61" i="13"/>
  <c r="I119" i="13"/>
  <c r="U119" i="13" s="1"/>
  <c r="K119" i="13"/>
  <c r="L119" i="13"/>
  <c r="M220" i="13"/>
  <c r="K220" i="13"/>
  <c r="L220" i="13"/>
  <c r="J220" i="13"/>
  <c r="I220" i="13"/>
  <c r="U220" i="13" s="1"/>
  <c r="H220" i="13"/>
  <c r="T220" i="13" s="1"/>
  <c r="L276" i="13"/>
  <c r="J276" i="13"/>
  <c r="K276" i="13"/>
  <c r="I276" i="13"/>
  <c r="U276" i="13" s="1"/>
  <c r="H276" i="13"/>
  <c r="T276" i="13" s="1"/>
  <c r="M276" i="13"/>
  <c r="M343" i="13"/>
  <c r="L343" i="13"/>
  <c r="K343" i="13"/>
  <c r="J343" i="13"/>
  <c r="H343" i="13"/>
  <c r="T343" i="13" s="1"/>
  <c r="I343" i="13"/>
  <c r="U343" i="13" s="1"/>
  <c r="L292" i="13"/>
  <c r="J292" i="13"/>
  <c r="M292" i="13"/>
  <c r="K292" i="13"/>
  <c r="I292" i="13"/>
  <c r="H292" i="13"/>
  <c r="T292" i="13" s="1"/>
  <c r="M360" i="13"/>
  <c r="L360" i="13"/>
  <c r="J360" i="13"/>
  <c r="K360" i="13"/>
  <c r="I360" i="13"/>
  <c r="U360" i="13" s="1"/>
  <c r="H360" i="13"/>
  <c r="T360" i="13" s="1"/>
  <c r="Q264" i="13"/>
  <c r="L267" i="13"/>
  <c r="K267" i="13"/>
  <c r="J267" i="13"/>
  <c r="I267" i="13"/>
  <c r="U267" i="13" s="1"/>
  <c r="M267" i="13"/>
  <c r="H267" i="13"/>
  <c r="T267" i="13" s="1"/>
  <c r="J277" i="13"/>
  <c r="L277" i="13"/>
  <c r="K277" i="13"/>
  <c r="M324" i="13"/>
  <c r="L324" i="13"/>
  <c r="J324" i="13"/>
  <c r="K324" i="13"/>
  <c r="I324" i="13"/>
  <c r="U324" i="13" s="1"/>
  <c r="H324" i="13"/>
  <c r="T324" i="13" s="1"/>
  <c r="L377" i="13"/>
  <c r="M283" i="13"/>
  <c r="J283" i="13"/>
  <c r="H283" i="13"/>
  <c r="T283" i="13" s="1"/>
  <c r="L283" i="13"/>
  <c r="K283" i="13"/>
  <c r="I283" i="13"/>
  <c r="U283" i="13" s="1"/>
  <c r="K326" i="13"/>
  <c r="J326" i="13"/>
  <c r="I326" i="13"/>
  <c r="U326" i="13" s="1"/>
  <c r="H326" i="13"/>
  <c r="T326" i="13" s="1"/>
  <c r="M326" i="13"/>
  <c r="L326" i="13"/>
  <c r="BM355" i="6"/>
  <c r="R355" i="6" s="1"/>
  <c r="K350" i="13"/>
  <c r="J350" i="13"/>
  <c r="I350" i="13"/>
  <c r="U350" i="13" s="1"/>
  <c r="L350" i="13"/>
  <c r="M367" i="13"/>
  <c r="L367" i="13"/>
  <c r="K367" i="13"/>
  <c r="J367" i="13"/>
  <c r="H367" i="13"/>
  <c r="T367" i="13" s="1"/>
  <c r="I367" i="13"/>
  <c r="M313" i="13"/>
  <c r="M88" i="13"/>
  <c r="L88" i="13"/>
  <c r="J88" i="13"/>
  <c r="K88" i="13"/>
  <c r="I88" i="13"/>
  <c r="U88" i="13" s="1"/>
  <c r="H88" i="13"/>
  <c r="T88" i="13" s="1"/>
  <c r="M240" i="13"/>
  <c r="L240" i="13"/>
  <c r="K240" i="13"/>
  <c r="H240" i="13"/>
  <c r="T240" i="13" s="1"/>
  <c r="I240" i="13"/>
  <c r="U240" i="13" s="1"/>
  <c r="J240" i="13"/>
  <c r="Q585" i="13"/>
  <c r="N341" i="13"/>
  <c r="M348" i="13"/>
  <c r="L348" i="13"/>
  <c r="J348" i="13"/>
  <c r="I348" i="13"/>
  <c r="U348" i="13" s="1"/>
  <c r="H348" i="13"/>
  <c r="T348" i="13" s="1"/>
  <c r="K348" i="13"/>
  <c r="L67" i="13"/>
  <c r="J67" i="13"/>
  <c r="M67" i="13"/>
  <c r="N731" i="13"/>
  <c r="Q216" i="13"/>
  <c r="H21" i="13"/>
  <c r="T21" i="13" s="1"/>
  <c r="L227" i="13"/>
  <c r="K227" i="13"/>
  <c r="I227" i="13"/>
  <c r="U227" i="13" s="1"/>
  <c r="H227" i="13"/>
  <c r="T227" i="13" s="1"/>
  <c r="N382" i="13"/>
  <c r="L8" i="13"/>
  <c r="H16" i="13"/>
  <c r="T16" i="13" s="1"/>
  <c r="I20" i="13"/>
  <c r="U20" i="13" s="1"/>
  <c r="L24" i="13"/>
  <c r="H32" i="13"/>
  <c r="T32" i="13" s="1"/>
  <c r="I36" i="13"/>
  <c r="U36" i="13" s="1"/>
  <c r="L40" i="13"/>
  <c r="H52" i="13"/>
  <c r="T52" i="13" s="1"/>
  <c r="J56" i="13"/>
  <c r="K64" i="13"/>
  <c r="M68" i="13"/>
  <c r="H80" i="13"/>
  <c r="T80" i="13" s="1"/>
  <c r="K84" i="13"/>
  <c r="K96" i="13"/>
  <c r="L100" i="13"/>
  <c r="M108" i="13"/>
  <c r="H124" i="13"/>
  <c r="K132" i="13"/>
  <c r="J144" i="13"/>
  <c r="M148" i="13"/>
  <c r="H156" i="13"/>
  <c r="K160" i="13"/>
  <c r="H164" i="13"/>
  <c r="T164" i="13" s="1"/>
  <c r="L172" i="13"/>
  <c r="K176" i="13"/>
  <c r="H180" i="13"/>
  <c r="T180" i="13" s="1"/>
  <c r="J188" i="13"/>
  <c r="M192" i="13"/>
  <c r="I204" i="13"/>
  <c r="U204" i="13" s="1"/>
  <c r="K244" i="13"/>
  <c r="H264" i="13"/>
  <c r="T264" i="13" s="1"/>
  <c r="J272" i="13"/>
  <c r="H284" i="13"/>
  <c r="M288" i="13"/>
  <c r="I308" i="13"/>
  <c r="U308" i="13" s="1"/>
  <c r="L312" i="13"/>
  <c r="L309" i="13"/>
  <c r="J357" i="13"/>
  <c r="L373" i="13"/>
  <c r="M159" i="13"/>
  <c r="M273" i="13"/>
  <c r="M285" i="13"/>
  <c r="K293" i="13"/>
  <c r="J305" i="13"/>
  <c r="L317" i="13"/>
  <c r="K377" i="13"/>
  <c r="M147" i="13"/>
  <c r="M295" i="13"/>
  <c r="J17" i="13"/>
  <c r="M21" i="13"/>
  <c r="J29" i="13"/>
  <c r="M37" i="13"/>
  <c r="K49" i="13"/>
  <c r="M57" i="13"/>
  <c r="I69" i="13"/>
  <c r="U69" i="13" s="1"/>
  <c r="L73" i="13"/>
  <c r="J81" i="13"/>
  <c r="M89" i="13"/>
  <c r="M113" i="13"/>
  <c r="H121" i="13"/>
  <c r="T121" i="13" s="1"/>
  <c r="K133" i="13"/>
  <c r="I137" i="13"/>
  <c r="U137" i="13" s="1"/>
  <c r="M145" i="13"/>
  <c r="M157" i="13"/>
  <c r="K165" i="13"/>
  <c r="H169" i="13"/>
  <c r="K177" i="13"/>
  <c r="H181" i="13"/>
  <c r="T181" i="13" s="1"/>
  <c r="L189" i="13"/>
  <c r="H197" i="13"/>
  <c r="T197" i="13" s="1"/>
  <c r="M213" i="13"/>
  <c r="M277" i="13"/>
  <c r="H361" i="13"/>
  <c r="T361" i="13" s="1"/>
  <c r="H382" i="13"/>
  <c r="T382" i="13" s="1"/>
  <c r="I67" i="13"/>
  <c r="U67" i="13" s="1"/>
  <c r="M119" i="13"/>
  <c r="H167" i="13"/>
  <c r="T167" i="13" s="1"/>
  <c r="I219" i="13"/>
  <c r="U219" i="13" s="1"/>
  <c r="L14" i="13"/>
  <c r="M46" i="13"/>
  <c r="J66" i="13"/>
  <c r="L102" i="13"/>
  <c r="J130" i="13"/>
  <c r="I158" i="13"/>
  <c r="U158" i="13" s="1"/>
  <c r="I230" i="13"/>
  <c r="U230" i="13" s="1"/>
  <c r="K270" i="13"/>
  <c r="L290" i="13"/>
  <c r="J310" i="13"/>
  <c r="M350" i="13"/>
  <c r="H374" i="13"/>
  <c r="T374" i="13" s="1"/>
  <c r="J99" i="13"/>
  <c r="I319" i="13"/>
  <c r="U319" i="13" s="1"/>
  <c r="L47" i="13"/>
  <c r="H115" i="13"/>
  <c r="T115" i="13" s="1"/>
  <c r="H345" i="13"/>
  <c r="T345" i="13" s="1"/>
  <c r="L259" i="13"/>
  <c r="K259" i="13"/>
  <c r="J259" i="13"/>
  <c r="I259" i="13"/>
  <c r="U259" i="13" s="1"/>
  <c r="M259" i="13"/>
  <c r="H259" i="13"/>
  <c r="T259" i="13" s="1"/>
  <c r="M164" i="13"/>
  <c r="K74" i="13"/>
  <c r="I74" i="13"/>
  <c r="U74" i="13" s="1"/>
  <c r="H74" i="13"/>
  <c r="M74" i="13"/>
  <c r="L74" i="13"/>
  <c r="J74" i="13"/>
  <c r="Q302" i="13"/>
  <c r="K302" i="13"/>
  <c r="J302" i="13"/>
  <c r="H302" i="13"/>
  <c r="M302" i="13"/>
  <c r="Q304" i="13"/>
  <c r="Q278" i="13"/>
  <c r="J278" i="13"/>
  <c r="I278" i="13"/>
  <c r="U278" i="13" s="1"/>
  <c r="M278" i="13"/>
  <c r="L278" i="13"/>
  <c r="Q308" i="13"/>
  <c r="Q183" i="13"/>
  <c r="I185" i="13"/>
  <c r="U185" i="13" s="1"/>
  <c r="L185" i="13"/>
  <c r="L281" i="13"/>
  <c r="L297" i="13"/>
  <c r="H297" i="13"/>
  <c r="T297" i="13" s="1"/>
  <c r="I297" i="13"/>
  <c r="U297" i="13" s="1"/>
  <c r="M363" i="13"/>
  <c r="L363" i="13"/>
  <c r="K363" i="13"/>
  <c r="J363" i="13"/>
  <c r="H363" i="13"/>
  <c r="T363" i="13" s="1"/>
  <c r="I363" i="13"/>
  <c r="U363" i="13" s="1"/>
  <c r="L274" i="13"/>
  <c r="K274" i="13"/>
  <c r="H274" i="13"/>
  <c r="T274" i="13" s="1"/>
  <c r="M274" i="13"/>
  <c r="Q284" i="13"/>
  <c r="BM285" i="6"/>
  <c r="T285" i="6" s="1"/>
  <c r="M280" i="13"/>
  <c r="M327" i="13"/>
  <c r="L327" i="13"/>
  <c r="K327" i="13"/>
  <c r="J327" i="13"/>
  <c r="H327" i="13"/>
  <c r="I327" i="13"/>
  <c r="U327" i="13" s="1"/>
  <c r="J222" i="13"/>
  <c r="I222" i="13"/>
  <c r="M222" i="13"/>
  <c r="L222" i="13"/>
  <c r="M291" i="13"/>
  <c r="J291" i="13"/>
  <c r="H291" i="13"/>
  <c r="K291" i="13"/>
  <c r="I291" i="13"/>
  <c r="U291" i="13" s="1"/>
  <c r="L291" i="13"/>
  <c r="H353" i="13"/>
  <c r="T353" i="13" s="1"/>
  <c r="L353" i="13"/>
  <c r="M353" i="13"/>
  <c r="K353" i="13"/>
  <c r="J353" i="13"/>
  <c r="I353" i="13"/>
  <c r="U353" i="13" s="1"/>
  <c r="M228" i="13"/>
  <c r="K228" i="13"/>
  <c r="L228" i="13"/>
  <c r="J228" i="13"/>
  <c r="I228" i="13"/>
  <c r="U228" i="13" s="1"/>
  <c r="H228" i="13"/>
  <c r="J163" i="13"/>
  <c r="H163" i="13"/>
  <c r="M163" i="13"/>
  <c r="L163" i="13"/>
  <c r="I163" i="13"/>
  <c r="U163" i="13" s="1"/>
  <c r="I306" i="13"/>
  <c r="U306" i="13" s="1"/>
  <c r="K306" i="13"/>
  <c r="J306" i="13"/>
  <c r="L306" i="13"/>
  <c r="J43" i="13"/>
  <c r="L43" i="13"/>
  <c r="K43" i="13"/>
  <c r="M151" i="13"/>
  <c r="L151" i="13"/>
  <c r="K151" i="13"/>
  <c r="J151" i="13"/>
  <c r="H151" i="13"/>
  <c r="T151" i="13" s="1"/>
  <c r="I151" i="13"/>
  <c r="U151" i="13" s="1"/>
  <c r="N343" i="13"/>
  <c r="M221" i="13"/>
  <c r="I221" i="13"/>
  <c r="U221" i="13" s="1"/>
  <c r="H221" i="13"/>
  <c r="T221" i="13" s="1"/>
  <c r="M351" i="13"/>
  <c r="L351" i="13"/>
  <c r="K351" i="13"/>
  <c r="J351" i="13"/>
  <c r="H351" i="13"/>
  <c r="I351" i="13"/>
  <c r="U351" i="13" s="1"/>
  <c r="M236" i="13"/>
  <c r="K236" i="13"/>
  <c r="L236" i="13"/>
  <c r="J236" i="13"/>
  <c r="I236" i="13"/>
  <c r="H236" i="13"/>
  <c r="T236" i="13" s="1"/>
  <c r="L198" i="13"/>
  <c r="K198" i="13"/>
  <c r="J198" i="13"/>
  <c r="I198" i="13"/>
  <c r="U198" i="13" s="1"/>
  <c r="H198" i="13"/>
  <c r="T198" i="13" s="1"/>
  <c r="M198" i="13"/>
  <c r="M8" i="13"/>
  <c r="J16" i="13"/>
  <c r="K20" i="13"/>
  <c r="M24" i="13"/>
  <c r="J32" i="13"/>
  <c r="K36" i="13"/>
  <c r="M40" i="13"/>
  <c r="I52" i="13"/>
  <c r="U52" i="13" s="1"/>
  <c r="K56" i="13"/>
  <c r="L64" i="13"/>
  <c r="H72" i="13"/>
  <c r="T72" i="13" s="1"/>
  <c r="I80" i="13"/>
  <c r="U80" i="13" s="1"/>
  <c r="J84" i="13"/>
  <c r="J96" i="13"/>
  <c r="M100" i="13"/>
  <c r="H116" i="13"/>
  <c r="T116" i="13" s="1"/>
  <c r="I124" i="13"/>
  <c r="J132" i="13"/>
  <c r="L144" i="13"/>
  <c r="J152" i="13"/>
  <c r="J156" i="13"/>
  <c r="M160" i="13"/>
  <c r="L168" i="13"/>
  <c r="I172" i="13"/>
  <c r="U172" i="13" s="1"/>
  <c r="M176" i="13"/>
  <c r="I184" i="13"/>
  <c r="U184" i="13" s="1"/>
  <c r="H192" i="13"/>
  <c r="T192" i="13" s="1"/>
  <c r="J204" i="13"/>
  <c r="L212" i="13"/>
  <c r="L244" i="13"/>
  <c r="K264" i="13"/>
  <c r="I284" i="13"/>
  <c r="U284" i="13" s="1"/>
  <c r="J288" i="13"/>
  <c r="M300" i="13"/>
  <c r="K308" i="13"/>
  <c r="H316" i="13"/>
  <c r="T316" i="13" s="1"/>
  <c r="H373" i="13"/>
  <c r="T373" i="13" s="1"/>
  <c r="J265" i="13"/>
  <c r="L273" i="13"/>
  <c r="J285" i="13"/>
  <c r="L293" i="13"/>
  <c r="K305" i="13"/>
  <c r="M377" i="13"/>
  <c r="I315" i="13"/>
  <c r="U315" i="13" s="1"/>
  <c r="H9" i="13"/>
  <c r="T9" i="13" s="1"/>
  <c r="K17" i="13"/>
  <c r="H25" i="13"/>
  <c r="T25" i="13" s="1"/>
  <c r="K29" i="13"/>
  <c r="H45" i="13"/>
  <c r="T45" i="13" s="1"/>
  <c r="L49" i="13"/>
  <c r="I61" i="13"/>
  <c r="U61" i="13" s="1"/>
  <c r="J69" i="13"/>
  <c r="I73" i="13"/>
  <c r="U73" i="13" s="1"/>
  <c r="K81" i="13"/>
  <c r="L89" i="13"/>
  <c r="J101" i="13"/>
  <c r="L113" i="13"/>
  <c r="J121" i="13"/>
  <c r="M133" i="13"/>
  <c r="J141" i="13"/>
  <c r="L145" i="13"/>
  <c r="K153" i="13"/>
  <c r="I157" i="13"/>
  <c r="U157" i="13" s="1"/>
  <c r="L165" i="13"/>
  <c r="I169" i="13"/>
  <c r="L177" i="13"/>
  <c r="I181" i="13"/>
  <c r="U181" i="13" s="1"/>
  <c r="I189" i="13"/>
  <c r="U189" i="13" s="1"/>
  <c r="I197" i="13"/>
  <c r="U197" i="13" s="1"/>
  <c r="I213" i="13"/>
  <c r="U213" i="13" s="1"/>
  <c r="L221" i="13"/>
  <c r="I277" i="13"/>
  <c r="U277" i="13" s="1"/>
  <c r="J313" i="13"/>
  <c r="I382" i="13"/>
  <c r="U382" i="13" s="1"/>
  <c r="I43" i="13"/>
  <c r="U43" i="13" s="1"/>
  <c r="K67" i="13"/>
  <c r="I103" i="13"/>
  <c r="U103" i="13" s="1"/>
  <c r="L131" i="13"/>
  <c r="J167" i="13"/>
  <c r="L34" i="13"/>
  <c r="M102" i="13"/>
  <c r="L118" i="13"/>
  <c r="L146" i="13"/>
  <c r="J230" i="13"/>
  <c r="H350" i="13"/>
  <c r="T350" i="13" s="1"/>
  <c r="M47" i="13"/>
  <c r="I234" i="13"/>
  <c r="U234" i="13" s="1"/>
  <c r="M234" i="13"/>
  <c r="L234" i="13"/>
  <c r="K234" i="13"/>
  <c r="H234" i="13"/>
  <c r="T234" i="13" s="1"/>
  <c r="J234" i="13"/>
  <c r="L182" i="13"/>
  <c r="K182" i="13"/>
  <c r="J182" i="13"/>
  <c r="I182" i="13"/>
  <c r="H182" i="13"/>
  <c r="T182" i="13" s="1"/>
  <c r="M182" i="13"/>
  <c r="K83" i="13"/>
  <c r="J83" i="13"/>
  <c r="H83" i="13"/>
  <c r="T83" i="13" s="1"/>
  <c r="I83" i="13"/>
  <c r="U83" i="13" s="1"/>
  <c r="L83" i="13"/>
  <c r="M83" i="13"/>
  <c r="N357" i="13"/>
  <c r="J172" i="13"/>
  <c r="L159" i="13"/>
  <c r="K143" i="13"/>
  <c r="Q253" i="13"/>
  <c r="M14" i="13"/>
  <c r="K14" i="13"/>
  <c r="J14" i="13"/>
  <c r="H14" i="13"/>
  <c r="T14" i="13" s="1"/>
  <c r="K66" i="13"/>
  <c r="I66" i="13"/>
  <c r="U66" i="13" s="1"/>
  <c r="L66" i="13"/>
  <c r="K134" i="13"/>
  <c r="I134" i="13"/>
  <c r="U134" i="13" s="1"/>
  <c r="H134" i="13"/>
  <c r="T134" i="13" s="1"/>
  <c r="J134" i="13"/>
  <c r="K90" i="13"/>
  <c r="I90" i="13"/>
  <c r="U90" i="13" s="1"/>
  <c r="H90" i="13"/>
  <c r="T90" i="13" s="1"/>
  <c r="M90" i="13"/>
  <c r="L90" i="13"/>
  <c r="J90" i="13"/>
  <c r="J111" i="13"/>
  <c r="H111" i="13"/>
  <c r="T111" i="13" s="1"/>
  <c r="L111" i="13"/>
  <c r="I111" i="13"/>
  <c r="U111" i="13" s="1"/>
  <c r="K111" i="13"/>
  <c r="K170" i="13"/>
  <c r="J170" i="13"/>
  <c r="I170" i="13"/>
  <c r="U170" i="13" s="1"/>
  <c r="M33" i="13"/>
  <c r="L33" i="13"/>
  <c r="K33" i="13"/>
  <c r="J33" i="13"/>
  <c r="I33" i="13"/>
  <c r="U33" i="13" s="1"/>
  <c r="H33" i="13"/>
  <c r="Q214" i="13"/>
  <c r="L214" i="13"/>
  <c r="K214" i="13"/>
  <c r="H214" i="13"/>
  <c r="M214" i="13"/>
  <c r="L154" i="13"/>
  <c r="K154" i="13"/>
  <c r="M154" i="13"/>
  <c r="K171" i="13"/>
  <c r="I171" i="13"/>
  <c r="U171" i="13" s="1"/>
  <c r="J171" i="13"/>
  <c r="H171" i="13"/>
  <c r="L171" i="13"/>
  <c r="M191" i="13"/>
  <c r="L191" i="13"/>
  <c r="K191" i="13"/>
  <c r="J191" i="13"/>
  <c r="I191" i="13"/>
  <c r="U191" i="13" s="1"/>
  <c r="H191" i="13"/>
  <c r="Q225" i="13"/>
  <c r="Q233" i="13"/>
  <c r="Q646" i="13"/>
  <c r="M319" i="13"/>
  <c r="L319" i="13"/>
  <c r="K319" i="13"/>
  <c r="J319" i="13"/>
  <c r="J263" i="13"/>
  <c r="I263" i="13"/>
  <c r="U263" i="13" s="1"/>
  <c r="M263" i="13"/>
  <c r="H263" i="13"/>
  <c r="T263" i="13" s="1"/>
  <c r="K263" i="13"/>
  <c r="H253" i="13"/>
  <c r="T253" i="13" s="1"/>
  <c r="M253" i="13"/>
  <c r="J253" i="13"/>
  <c r="I253" i="13"/>
  <c r="U253" i="13" s="1"/>
  <c r="L253" i="13"/>
  <c r="K253" i="13"/>
  <c r="M271" i="13"/>
  <c r="J271" i="13"/>
  <c r="H271" i="13"/>
  <c r="T271" i="13" s="1"/>
  <c r="L271" i="13"/>
  <c r="K271" i="13"/>
  <c r="I271" i="13"/>
  <c r="U271" i="13" s="1"/>
  <c r="Q285" i="13"/>
  <c r="M310" i="13"/>
  <c r="L310" i="13"/>
  <c r="I310" i="13"/>
  <c r="U310" i="13" s="1"/>
  <c r="H310" i="13"/>
  <c r="T310" i="13" s="1"/>
  <c r="M195" i="13"/>
  <c r="L195" i="13"/>
  <c r="K195" i="13"/>
  <c r="J195" i="13"/>
  <c r="I195" i="13"/>
  <c r="H195" i="13"/>
  <c r="T195" i="13" s="1"/>
  <c r="J205" i="13"/>
  <c r="I205" i="13"/>
  <c r="U205" i="13" s="1"/>
  <c r="H205" i="13"/>
  <c r="T205" i="13" s="1"/>
  <c r="M205" i="13"/>
  <c r="L205" i="13"/>
  <c r="K205" i="13"/>
  <c r="M76" i="13"/>
  <c r="L76" i="13"/>
  <c r="J76" i="13"/>
  <c r="K76" i="13"/>
  <c r="I76" i="13"/>
  <c r="U76" i="13" s="1"/>
  <c r="H76" i="13"/>
  <c r="T76" i="13" s="1"/>
  <c r="L86" i="13"/>
  <c r="K86" i="13"/>
  <c r="M86" i="13"/>
  <c r="M372" i="13"/>
  <c r="L372" i="13"/>
  <c r="J372" i="13"/>
  <c r="K372" i="13"/>
  <c r="I372" i="13"/>
  <c r="U372" i="13" s="1"/>
  <c r="H372" i="13"/>
  <c r="T372" i="13" s="1"/>
  <c r="K309" i="13"/>
  <c r="N747" i="13"/>
  <c r="H282" i="13"/>
  <c r="T282" i="13" s="1"/>
  <c r="M282" i="13"/>
  <c r="L282" i="13"/>
  <c r="J282" i="13"/>
  <c r="I282" i="13"/>
  <c r="U282" i="13" s="1"/>
  <c r="K282" i="13"/>
  <c r="M345" i="13"/>
  <c r="K345" i="13"/>
  <c r="J345" i="13"/>
  <c r="L345" i="13"/>
  <c r="Q296" i="13"/>
  <c r="M332" i="13"/>
  <c r="L332" i="13"/>
  <c r="J332" i="13"/>
  <c r="K332" i="13"/>
  <c r="I332" i="13"/>
  <c r="U332" i="13" s="1"/>
  <c r="H332" i="13"/>
  <c r="Q172" i="13"/>
  <c r="K334" i="13"/>
  <c r="J334" i="13"/>
  <c r="I334" i="13"/>
  <c r="U334" i="13" s="1"/>
  <c r="H334" i="13"/>
  <c r="T334" i="13" s="1"/>
  <c r="M334" i="13"/>
  <c r="M224" i="13"/>
  <c r="K224" i="13"/>
  <c r="L224" i="13"/>
  <c r="J224" i="13"/>
  <c r="I224" i="13"/>
  <c r="U224" i="13" s="1"/>
  <c r="H224" i="13"/>
  <c r="T224" i="13" s="1"/>
  <c r="K378" i="13"/>
  <c r="J378" i="13"/>
  <c r="I378" i="13"/>
  <c r="U378" i="13" s="1"/>
  <c r="H378" i="13"/>
  <c r="T378" i="13" s="1"/>
  <c r="M378" i="13"/>
  <c r="L378" i="13"/>
  <c r="M355" i="13"/>
  <c r="L355" i="13"/>
  <c r="K355" i="13"/>
  <c r="J355" i="13"/>
  <c r="H355" i="13"/>
  <c r="I355" i="13"/>
  <c r="U355" i="13" s="1"/>
  <c r="Q265" i="13"/>
  <c r="J210" i="13"/>
  <c r="I210" i="13"/>
  <c r="U210" i="13" s="1"/>
  <c r="M210" i="13"/>
  <c r="L210" i="13"/>
  <c r="K210" i="13"/>
  <c r="H210" i="13"/>
  <c r="I357" i="13"/>
  <c r="U357" i="13" s="1"/>
  <c r="K35" i="13"/>
  <c r="J35" i="13"/>
  <c r="I35" i="13"/>
  <c r="H35" i="13"/>
  <c r="T35" i="13" s="1"/>
  <c r="M35" i="13"/>
  <c r="L35" i="13"/>
  <c r="I369" i="13"/>
  <c r="U369" i="13" s="1"/>
  <c r="H369" i="13"/>
  <c r="T369" i="13" s="1"/>
  <c r="L369" i="13"/>
  <c r="K369" i="13"/>
  <c r="J369" i="13"/>
  <c r="M369" i="13"/>
  <c r="N730" i="13"/>
  <c r="J325" i="13"/>
  <c r="H12" i="13"/>
  <c r="T12" i="13" s="1"/>
  <c r="I16" i="13"/>
  <c r="L20" i="13"/>
  <c r="H28" i="13"/>
  <c r="I32" i="13"/>
  <c r="U32" i="13" s="1"/>
  <c r="L36" i="13"/>
  <c r="H48" i="13"/>
  <c r="T48" i="13" s="1"/>
  <c r="J52" i="13"/>
  <c r="L56" i="13"/>
  <c r="M64" i="13"/>
  <c r="I72" i="13"/>
  <c r="U72" i="13" s="1"/>
  <c r="K80" i="13"/>
  <c r="L84" i="13"/>
  <c r="L96" i="13"/>
  <c r="I116" i="13"/>
  <c r="U116" i="13" s="1"/>
  <c r="K124" i="13"/>
  <c r="L132" i="13"/>
  <c r="M144" i="13"/>
  <c r="L152" i="13"/>
  <c r="L156" i="13"/>
  <c r="H160" i="13"/>
  <c r="T160" i="13" s="1"/>
  <c r="I168" i="13"/>
  <c r="U168" i="13" s="1"/>
  <c r="K172" i="13"/>
  <c r="H176" i="13"/>
  <c r="J184" i="13"/>
  <c r="L188" i="13"/>
  <c r="I196" i="13"/>
  <c r="U196" i="13" s="1"/>
  <c r="M212" i="13"/>
  <c r="I248" i="13"/>
  <c r="U248" i="13" s="1"/>
  <c r="I260" i="13"/>
  <c r="U260" i="13" s="1"/>
  <c r="L264" i="13"/>
  <c r="K284" i="13"/>
  <c r="L288" i="13"/>
  <c r="H300" i="13"/>
  <c r="T300" i="13" s="1"/>
  <c r="L308" i="13"/>
  <c r="I316" i="13"/>
  <c r="U316" i="13" s="1"/>
  <c r="I309" i="13"/>
  <c r="U309" i="13" s="1"/>
  <c r="M357" i="13"/>
  <c r="I373" i="13"/>
  <c r="U373" i="13" s="1"/>
  <c r="K265" i="13"/>
  <c r="K285" i="13"/>
  <c r="I293" i="13"/>
  <c r="U293" i="13" s="1"/>
  <c r="M305" i="13"/>
  <c r="I317" i="13"/>
  <c r="U317" i="13" s="1"/>
  <c r="H377" i="13"/>
  <c r="T377" i="13" s="1"/>
  <c r="L17" i="13"/>
  <c r="I25" i="13"/>
  <c r="U25" i="13" s="1"/>
  <c r="M29" i="13"/>
  <c r="M49" i="13"/>
  <c r="H61" i="13"/>
  <c r="T61" i="13" s="1"/>
  <c r="K69" i="13"/>
  <c r="M81" i="13"/>
  <c r="H93" i="13"/>
  <c r="T93" i="13" s="1"/>
  <c r="K101" i="13"/>
  <c r="I113" i="13"/>
  <c r="U113" i="13" s="1"/>
  <c r="K121" i="13"/>
  <c r="L133" i="13"/>
  <c r="K141" i="13"/>
  <c r="M165" i="13"/>
  <c r="J169" i="13"/>
  <c r="K269" i="13"/>
  <c r="K313" i="13"/>
  <c r="M55" i="13"/>
  <c r="I79" i="13"/>
  <c r="L103" i="13"/>
  <c r="K167" i="13"/>
  <c r="I307" i="13"/>
  <c r="U307" i="13" s="1"/>
  <c r="K18" i="13"/>
  <c r="I34" i="13"/>
  <c r="U34" i="13" s="1"/>
  <c r="L50" i="13"/>
  <c r="H66" i="13"/>
  <c r="T66" i="13" s="1"/>
  <c r="H86" i="13"/>
  <c r="J106" i="13"/>
  <c r="M118" i="13"/>
  <c r="L134" i="13"/>
  <c r="H162" i="13"/>
  <c r="T162" i="13" s="1"/>
  <c r="I186" i="13"/>
  <c r="U186" i="13" s="1"/>
  <c r="I214" i="13"/>
  <c r="U214" i="13" s="1"/>
  <c r="K254" i="13"/>
  <c r="I274" i="13"/>
  <c r="H294" i="13"/>
  <c r="T294" i="13" s="1"/>
  <c r="L318" i="13"/>
  <c r="I354" i="13"/>
  <c r="U354" i="13" s="1"/>
  <c r="I51" i="13"/>
  <c r="U51" i="13" s="1"/>
  <c r="M111" i="13"/>
  <c r="J227" i="13"/>
  <c r="M7" i="13"/>
  <c r="H59" i="13"/>
  <c r="L135" i="13"/>
  <c r="I105" i="13"/>
  <c r="U105" i="13" s="1"/>
  <c r="L105" i="13"/>
  <c r="M105" i="13"/>
  <c r="K105" i="13"/>
  <c r="J105" i="13"/>
  <c r="H105" i="13"/>
  <c r="Q186" i="13"/>
  <c r="M138" i="13"/>
  <c r="K138" i="13"/>
  <c r="H138" i="13"/>
  <c r="T138" i="13" s="1"/>
  <c r="L178" i="13"/>
  <c r="K178" i="13"/>
  <c r="J178" i="13"/>
  <c r="H178" i="13"/>
  <c r="T178" i="13" s="1"/>
  <c r="Q250" i="13"/>
  <c r="Q245" i="13"/>
  <c r="L115" i="13"/>
  <c r="M115" i="13"/>
  <c r="K115" i="13"/>
  <c r="I115" i="13"/>
  <c r="U115" i="13" s="1"/>
  <c r="Q167" i="13"/>
  <c r="K114" i="13"/>
  <c r="H114" i="13"/>
  <c r="M114" i="13"/>
  <c r="L114" i="13"/>
  <c r="K322" i="13"/>
  <c r="J322" i="13"/>
  <c r="I322" i="13"/>
  <c r="U322" i="13" s="1"/>
  <c r="H322" i="13"/>
  <c r="T322" i="13" s="1"/>
  <c r="M322" i="13"/>
  <c r="L322" i="13"/>
  <c r="M383" i="13"/>
  <c r="L383" i="13"/>
  <c r="K383" i="13"/>
  <c r="J383" i="13"/>
  <c r="I383" i="13"/>
  <c r="U383" i="13" s="1"/>
  <c r="H383" i="13"/>
  <c r="T383" i="13" s="1"/>
  <c r="N758" i="13"/>
  <c r="Q579" i="13"/>
  <c r="I45" i="13"/>
  <c r="K24" i="13"/>
  <c r="I96" i="13"/>
  <c r="U96" i="13" s="1"/>
  <c r="J262" i="13"/>
  <c r="H131" i="13"/>
  <c r="T131" i="13" s="1"/>
  <c r="J131" i="13"/>
  <c r="Q181" i="13"/>
  <c r="Q190" i="13"/>
  <c r="M187" i="13"/>
  <c r="L187" i="13"/>
  <c r="K187" i="13"/>
  <c r="J187" i="13"/>
  <c r="I187" i="13"/>
  <c r="BM20" i="6"/>
  <c r="R20" i="6" s="1"/>
  <c r="H15" i="13"/>
  <c r="I15" i="13"/>
  <c r="U15" i="13" s="1"/>
  <c r="K91" i="13"/>
  <c r="L91" i="13"/>
  <c r="M91" i="13"/>
  <c r="J177" i="13"/>
  <c r="I109" i="13"/>
  <c r="U109" i="13" s="1"/>
  <c r="L109" i="13"/>
  <c r="M109" i="13"/>
  <c r="K109" i="13"/>
  <c r="J109" i="13"/>
  <c r="H109" i="13"/>
  <c r="T109" i="13" s="1"/>
  <c r="M140" i="13"/>
  <c r="L140" i="13"/>
  <c r="J140" i="13"/>
  <c r="K140" i="13"/>
  <c r="I140" i="13"/>
  <c r="U140" i="13" s="1"/>
  <c r="H140" i="13"/>
  <c r="I190" i="13"/>
  <c r="U190" i="13" s="1"/>
  <c r="M190" i="13"/>
  <c r="J190" i="13"/>
  <c r="Q218" i="13"/>
  <c r="I218" i="13"/>
  <c r="U218" i="13" s="1"/>
  <c r="L218" i="13"/>
  <c r="K218" i="13"/>
  <c r="H218" i="13"/>
  <c r="T218" i="13" s="1"/>
  <c r="M218" i="13"/>
  <c r="J218" i="13"/>
  <c r="L19" i="13"/>
  <c r="K19" i="13"/>
  <c r="J19" i="13"/>
  <c r="M19" i="13"/>
  <c r="BM163" i="6"/>
  <c r="R163" i="6" s="1"/>
  <c r="J158" i="13"/>
  <c r="M158" i="13"/>
  <c r="H158" i="13"/>
  <c r="T158" i="13" s="1"/>
  <c r="K158" i="13"/>
  <c r="H110" i="13"/>
  <c r="T110" i="13" s="1"/>
  <c r="L110" i="13"/>
  <c r="J110" i="13"/>
  <c r="I110" i="13"/>
  <c r="U110" i="13" s="1"/>
  <c r="M175" i="13"/>
  <c r="L175" i="13"/>
  <c r="K175" i="13"/>
  <c r="I175" i="13"/>
  <c r="U175" i="13" s="1"/>
  <c r="J175" i="13"/>
  <c r="H175" i="13"/>
  <c r="Q229" i="13"/>
  <c r="H233" i="13"/>
  <c r="T233" i="13" s="1"/>
  <c r="M233" i="13"/>
  <c r="K233" i="13"/>
  <c r="J233" i="13"/>
  <c r="I233" i="13"/>
  <c r="U233" i="13" s="1"/>
  <c r="L233" i="13"/>
  <c r="Q270" i="13"/>
  <c r="J270" i="13"/>
  <c r="I270" i="13"/>
  <c r="U270" i="13" s="1"/>
  <c r="H270" i="13"/>
  <c r="T270" i="13" s="1"/>
  <c r="M270" i="13"/>
  <c r="BM316" i="6"/>
  <c r="T316" i="6" s="1"/>
  <c r="L311" i="13"/>
  <c r="J311" i="13"/>
  <c r="H311" i="13"/>
  <c r="T311" i="13" s="1"/>
  <c r="I311" i="13"/>
  <c r="U311" i="13" s="1"/>
  <c r="K311" i="13"/>
  <c r="M311" i="13"/>
  <c r="Q257" i="13"/>
  <c r="H251" i="13"/>
  <c r="T251" i="13" s="1"/>
  <c r="L251" i="13"/>
  <c r="K251" i="13"/>
  <c r="M251" i="13"/>
  <c r="Q272" i="13"/>
  <c r="M315" i="13"/>
  <c r="Q654" i="13"/>
  <c r="K98" i="13"/>
  <c r="H98" i="13"/>
  <c r="T98" i="13" s="1"/>
  <c r="M98" i="13"/>
  <c r="L98" i="13"/>
  <c r="L202" i="13"/>
  <c r="K202" i="13"/>
  <c r="J202" i="13"/>
  <c r="I202" i="13"/>
  <c r="U202" i="13" s="1"/>
  <c r="H202" i="13"/>
  <c r="T202" i="13" s="1"/>
  <c r="M202" i="13"/>
  <c r="J153" i="13"/>
  <c r="H94" i="13"/>
  <c r="T94" i="13" s="1"/>
  <c r="L94" i="13"/>
  <c r="J94" i="13"/>
  <c r="I94" i="13"/>
  <c r="U94" i="13" s="1"/>
  <c r="Q194" i="13"/>
  <c r="H289" i="13"/>
  <c r="T289" i="13" s="1"/>
  <c r="J289" i="13"/>
  <c r="M375" i="13"/>
  <c r="L375" i="13"/>
  <c r="K375" i="13"/>
  <c r="J375" i="13"/>
  <c r="I375" i="13"/>
  <c r="U375" i="13" s="1"/>
  <c r="H375" i="13"/>
  <c r="T375" i="13" s="1"/>
  <c r="M368" i="13"/>
  <c r="L368" i="13"/>
  <c r="J368" i="13"/>
  <c r="K368" i="13"/>
  <c r="I368" i="13"/>
  <c r="U368" i="13" s="1"/>
  <c r="H368" i="13"/>
  <c r="T368" i="13" s="1"/>
  <c r="J290" i="13"/>
  <c r="K290" i="13"/>
  <c r="H290" i="13"/>
  <c r="T290" i="13" s="1"/>
  <c r="I290" i="13"/>
  <c r="U290" i="13" s="1"/>
  <c r="L215" i="13"/>
  <c r="K215" i="13"/>
  <c r="H215" i="13"/>
  <c r="T215" i="13" s="1"/>
  <c r="M215" i="13"/>
  <c r="I215" i="13"/>
  <c r="U215" i="13" s="1"/>
  <c r="J215" i="13"/>
  <c r="N713" i="13"/>
  <c r="K358" i="13"/>
  <c r="J358" i="13"/>
  <c r="I358" i="13"/>
  <c r="U358" i="13" s="1"/>
  <c r="H358" i="13"/>
  <c r="M358" i="13"/>
  <c r="L358" i="13"/>
  <c r="I381" i="13"/>
  <c r="H381" i="13"/>
  <c r="T381" i="13" s="1"/>
  <c r="M381" i="13"/>
  <c r="L381" i="13"/>
  <c r="K381" i="13"/>
  <c r="J381" i="13"/>
  <c r="I62" i="13"/>
  <c r="U62" i="13" s="1"/>
  <c r="H62" i="13"/>
  <c r="T62" i="13" s="1"/>
  <c r="M62" i="13"/>
  <c r="J62" i="13"/>
  <c r="Q642" i="13"/>
  <c r="M347" i="13"/>
  <c r="L347" i="13"/>
  <c r="K347" i="13"/>
  <c r="J347" i="13"/>
  <c r="H347" i="13"/>
  <c r="I347" i="13"/>
  <c r="U347" i="13" s="1"/>
  <c r="J201" i="13"/>
  <c r="I201" i="13"/>
  <c r="U201" i="13" s="1"/>
  <c r="H201" i="13"/>
  <c r="T201" i="13" s="1"/>
  <c r="M201" i="13"/>
  <c r="L201" i="13"/>
  <c r="K201" i="13"/>
  <c r="Q289" i="13"/>
  <c r="J365" i="13"/>
  <c r="M258" i="13"/>
  <c r="J258" i="13"/>
  <c r="I258" i="13"/>
  <c r="U258" i="13" s="1"/>
  <c r="K258" i="13"/>
  <c r="L361" i="13"/>
  <c r="J361" i="13"/>
  <c r="J314" i="13"/>
  <c r="H314" i="13"/>
  <c r="M314" i="13"/>
  <c r="L314" i="13"/>
  <c r="I314" i="13"/>
  <c r="U314" i="13" s="1"/>
  <c r="K314" i="13"/>
  <c r="H223" i="13"/>
  <c r="T223" i="13" s="1"/>
  <c r="N763" i="13"/>
  <c r="K77" i="13"/>
  <c r="H204" i="13"/>
  <c r="K9" i="13"/>
  <c r="I329" i="13"/>
  <c r="U329" i="13" s="1"/>
  <c r="H329" i="13"/>
  <c r="T329" i="13" s="1"/>
  <c r="L329" i="13"/>
  <c r="M329" i="13"/>
  <c r="K329" i="13"/>
  <c r="J329" i="13"/>
  <c r="J12" i="13"/>
  <c r="K16" i="13"/>
  <c r="J28" i="13"/>
  <c r="K32" i="13"/>
  <c r="J48" i="13"/>
  <c r="K52" i="13"/>
  <c r="H68" i="13"/>
  <c r="K72" i="13"/>
  <c r="J80" i="13"/>
  <c r="H108" i="13"/>
  <c r="K116" i="13"/>
  <c r="J124" i="13"/>
  <c r="I148" i="13"/>
  <c r="U148" i="13" s="1"/>
  <c r="H152" i="13"/>
  <c r="T152" i="13" s="1"/>
  <c r="K156" i="13"/>
  <c r="I164" i="13"/>
  <c r="U164" i="13" s="1"/>
  <c r="J168" i="13"/>
  <c r="M172" i="13"/>
  <c r="I180" i="13"/>
  <c r="U180" i="13" s="1"/>
  <c r="K184" i="13"/>
  <c r="M188" i="13"/>
  <c r="L204" i="13"/>
  <c r="H216" i="13"/>
  <c r="T216" i="13" s="1"/>
  <c r="J248" i="13"/>
  <c r="J260" i="13"/>
  <c r="M264" i="13"/>
  <c r="H280" i="13"/>
  <c r="M284" i="13"/>
  <c r="K300" i="13"/>
  <c r="I312" i="13"/>
  <c r="U312" i="13" s="1"/>
  <c r="K341" i="13"/>
  <c r="L357" i="13"/>
  <c r="M223" i="13"/>
  <c r="J225" i="13"/>
  <c r="L265" i="13"/>
  <c r="K281" i="13"/>
  <c r="H285" i="13"/>
  <c r="T285" i="13" s="1"/>
  <c r="J301" i="13"/>
  <c r="L305" i="13"/>
  <c r="K325" i="13"/>
  <c r="M365" i="13"/>
  <c r="I377" i="13"/>
  <c r="U377" i="13" s="1"/>
  <c r="H315" i="13"/>
  <c r="T315" i="13" s="1"/>
  <c r="J9" i="13"/>
  <c r="K25" i="13"/>
  <c r="H37" i="13"/>
  <c r="T37" i="13" s="1"/>
  <c r="K45" i="13"/>
  <c r="J61" i="13"/>
  <c r="L69" i="13"/>
  <c r="J77" i="13"/>
  <c r="J93" i="13"/>
  <c r="M101" i="13"/>
  <c r="H117" i="13"/>
  <c r="T117" i="13" s="1"/>
  <c r="M121" i="13"/>
  <c r="M141" i="13"/>
  <c r="J149" i="13"/>
  <c r="M153" i="13"/>
  <c r="L161" i="13"/>
  <c r="H165" i="13"/>
  <c r="T165" i="13" s="1"/>
  <c r="L173" i="13"/>
  <c r="H177" i="13"/>
  <c r="T177" i="13" s="1"/>
  <c r="K185" i="13"/>
  <c r="L193" i="13"/>
  <c r="M209" i="13"/>
  <c r="I217" i="13"/>
  <c r="L269" i="13"/>
  <c r="M289" i="13"/>
  <c r="L313" i="13"/>
  <c r="I255" i="13"/>
  <c r="U255" i="13" s="1"/>
  <c r="L15" i="13"/>
  <c r="L79" i="13"/>
  <c r="J103" i="13"/>
  <c r="K131" i="13"/>
  <c r="L167" i="13"/>
  <c r="I50" i="13"/>
  <c r="U50" i="13" s="1"/>
  <c r="M70" i="13"/>
  <c r="I86" i="13"/>
  <c r="U86" i="13" s="1"/>
  <c r="H106" i="13"/>
  <c r="T106" i="13" s="1"/>
  <c r="J122" i="13"/>
  <c r="M134" i="13"/>
  <c r="M150" i="13"/>
  <c r="J214" i="13"/>
  <c r="J274" i="13"/>
  <c r="L123" i="13"/>
  <c r="M227" i="13"/>
  <c r="L7" i="13"/>
  <c r="I30" i="13"/>
  <c r="H30" i="13"/>
  <c r="M30" i="13"/>
  <c r="L30" i="13"/>
  <c r="K30" i="13"/>
  <c r="J30" i="13"/>
  <c r="K183" i="13"/>
  <c r="J183" i="13"/>
  <c r="I183" i="13"/>
  <c r="U183" i="13" s="1"/>
  <c r="H183" i="13"/>
  <c r="T183" i="13" s="1"/>
  <c r="L183" i="13"/>
  <c r="M44" i="13"/>
  <c r="L44" i="13"/>
  <c r="K44" i="13"/>
  <c r="I44" i="13"/>
  <c r="U44" i="13" s="1"/>
  <c r="J44" i="13"/>
  <c r="H44" i="13"/>
  <c r="T44" i="13" s="1"/>
  <c r="Q273" i="13"/>
  <c r="K273" i="13"/>
  <c r="K78" i="13"/>
  <c r="H78" i="13"/>
  <c r="T78" i="13" s="1"/>
  <c r="M78" i="13"/>
  <c r="L78" i="13"/>
  <c r="H273" i="13"/>
  <c r="T273" i="13" s="1"/>
  <c r="J293" i="13"/>
  <c r="L143" i="13"/>
  <c r="I143" i="13"/>
  <c r="M143" i="13"/>
  <c r="K307" i="13"/>
  <c r="M307" i="13"/>
  <c r="H307" i="13"/>
  <c r="T307" i="13" s="1"/>
  <c r="I42" i="13"/>
  <c r="U42" i="13" s="1"/>
  <c r="H42" i="13"/>
  <c r="T42" i="13" s="1"/>
  <c r="M42" i="13"/>
  <c r="J42" i="13"/>
  <c r="H55" i="13"/>
  <c r="T55" i="13" s="1"/>
  <c r="K26" i="13"/>
  <c r="I26" i="13"/>
  <c r="U26" i="13" s="1"/>
  <c r="L26" i="13"/>
  <c r="I6" i="13"/>
  <c r="H6" i="13"/>
  <c r="M6" i="13"/>
  <c r="L6" i="13"/>
  <c r="K6" i="13"/>
  <c r="J6" i="13"/>
  <c r="J27" i="13"/>
  <c r="I27" i="13"/>
  <c r="U27" i="13" s="1"/>
  <c r="H27" i="13"/>
  <c r="T27" i="13" s="1"/>
  <c r="M27" i="13"/>
  <c r="L27" i="13"/>
  <c r="K27" i="13"/>
  <c r="I38" i="13"/>
  <c r="U38" i="13" s="1"/>
  <c r="M38" i="13"/>
  <c r="L38" i="13"/>
  <c r="K38" i="13"/>
  <c r="Q189" i="13"/>
  <c r="M189" i="13"/>
  <c r="H189" i="13"/>
  <c r="T189" i="13" s="1"/>
  <c r="K146" i="13"/>
  <c r="I146" i="13"/>
  <c r="U146" i="13" s="1"/>
  <c r="H146" i="13"/>
  <c r="T146" i="13" s="1"/>
  <c r="M146" i="13"/>
  <c r="M95" i="13"/>
  <c r="K95" i="13"/>
  <c r="J95" i="13"/>
  <c r="H95" i="13"/>
  <c r="T95" i="13" s="1"/>
  <c r="I142" i="13"/>
  <c r="U142" i="13" s="1"/>
  <c r="M142" i="13"/>
  <c r="L142" i="13"/>
  <c r="J142" i="13"/>
  <c r="I63" i="13"/>
  <c r="U63" i="13" s="1"/>
  <c r="H63" i="13"/>
  <c r="T63" i="13" s="1"/>
  <c r="M63" i="13"/>
  <c r="L63" i="13"/>
  <c r="J63" i="13"/>
  <c r="I129" i="13"/>
  <c r="U129" i="13" s="1"/>
  <c r="L129" i="13"/>
  <c r="M129" i="13"/>
  <c r="K129" i="13"/>
  <c r="J129" i="13"/>
  <c r="H129" i="13"/>
  <c r="K194" i="13"/>
  <c r="I194" i="13"/>
  <c r="U194" i="13" s="1"/>
  <c r="H194" i="13"/>
  <c r="T194" i="13" s="1"/>
  <c r="M194" i="13"/>
  <c r="L194" i="13"/>
  <c r="H229" i="13"/>
  <c r="T229" i="13" s="1"/>
  <c r="M229" i="13"/>
  <c r="J229" i="13"/>
  <c r="I229" i="13"/>
  <c r="U229" i="13" s="1"/>
  <c r="L229" i="13"/>
  <c r="K229" i="13"/>
  <c r="Q655" i="13"/>
  <c r="Q237" i="13"/>
  <c r="BM244" i="6"/>
  <c r="T244" i="6" s="1"/>
  <c r="M239" i="13"/>
  <c r="J239" i="13"/>
  <c r="H239" i="13"/>
  <c r="T239" i="13" s="1"/>
  <c r="L239" i="13"/>
  <c r="I239" i="13"/>
  <c r="U239" i="13" s="1"/>
  <c r="H257" i="13"/>
  <c r="T257" i="13" s="1"/>
  <c r="M257" i="13"/>
  <c r="L257" i="13"/>
  <c r="K257" i="13"/>
  <c r="J257" i="13"/>
  <c r="I257" i="13"/>
  <c r="U257" i="13" s="1"/>
  <c r="Q635" i="13"/>
  <c r="M303" i="13"/>
  <c r="L303" i="13"/>
  <c r="J303" i="13"/>
  <c r="H303" i="13"/>
  <c r="T303" i="13" s="1"/>
  <c r="I303" i="13"/>
  <c r="U303" i="13" s="1"/>
  <c r="K303" i="13"/>
  <c r="Q242" i="13"/>
  <c r="K130" i="13"/>
  <c r="H130" i="13"/>
  <c r="T130" i="13" s="1"/>
  <c r="M130" i="13"/>
  <c r="L130" i="13"/>
  <c r="Q586" i="13"/>
  <c r="K46" i="13"/>
  <c r="I46" i="13"/>
  <c r="U46" i="13" s="1"/>
  <c r="L46" i="13"/>
  <c r="I145" i="13"/>
  <c r="U145" i="13" s="1"/>
  <c r="Q157" i="13"/>
  <c r="H157" i="13"/>
  <c r="T157" i="13" s="1"/>
  <c r="M196" i="13"/>
  <c r="L247" i="13"/>
  <c r="K247" i="13"/>
  <c r="J247" i="13"/>
  <c r="I247" i="13"/>
  <c r="U247" i="13" s="1"/>
  <c r="M247" i="13"/>
  <c r="H247" i="13"/>
  <c r="T247" i="13" s="1"/>
  <c r="M328" i="13"/>
  <c r="L328" i="13"/>
  <c r="J328" i="13"/>
  <c r="K328" i="13"/>
  <c r="I328" i="13"/>
  <c r="U328" i="13" s="1"/>
  <c r="H328" i="13"/>
  <c r="T328" i="13" s="1"/>
  <c r="Q612" i="13"/>
  <c r="M371" i="13"/>
  <c r="L371" i="13"/>
  <c r="K371" i="13"/>
  <c r="J371" i="13"/>
  <c r="H371" i="13"/>
  <c r="I371" i="13"/>
  <c r="U371" i="13" s="1"/>
  <c r="H298" i="13"/>
  <c r="T298" i="13" s="1"/>
  <c r="J298" i="13"/>
  <c r="I298" i="13"/>
  <c r="U298" i="13" s="1"/>
  <c r="M298" i="13"/>
  <c r="L298" i="13"/>
  <c r="K298" i="13"/>
  <c r="M354" i="13"/>
  <c r="L354" i="13"/>
  <c r="K354" i="13"/>
  <c r="H354" i="13"/>
  <c r="T354" i="13" s="1"/>
  <c r="M256" i="13"/>
  <c r="L256" i="13"/>
  <c r="K256" i="13"/>
  <c r="H256" i="13"/>
  <c r="T256" i="13" s="1"/>
  <c r="J256" i="13"/>
  <c r="I256" i="13"/>
  <c r="U256" i="13" s="1"/>
  <c r="M316" i="13"/>
  <c r="M335" i="13"/>
  <c r="L335" i="13"/>
  <c r="K335" i="13"/>
  <c r="J335" i="13"/>
  <c r="H335" i="13"/>
  <c r="I335" i="13"/>
  <c r="U335" i="13" s="1"/>
  <c r="L382" i="13"/>
  <c r="J382" i="13"/>
  <c r="M382" i="13"/>
  <c r="H272" i="13"/>
  <c r="T272" i="13" s="1"/>
  <c r="M352" i="13"/>
  <c r="L352" i="13"/>
  <c r="J352" i="13"/>
  <c r="H352" i="13"/>
  <c r="T352" i="13" s="1"/>
  <c r="K352" i="13"/>
  <c r="I352" i="13"/>
  <c r="U352" i="13" s="1"/>
  <c r="M60" i="13"/>
  <c r="L60" i="13"/>
  <c r="K60" i="13"/>
  <c r="J60" i="13"/>
  <c r="I60" i="13"/>
  <c r="U60" i="13" s="1"/>
  <c r="H60" i="13"/>
  <c r="H296" i="13"/>
  <c r="T296" i="13" s="1"/>
  <c r="Q280" i="13"/>
  <c r="J366" i="13"/>
  <c r="I366" i="13"/>
  <c r="U366" i="13" s="1"/>
  <c r="H366" i="13"/>
  <c r="T366" i="13" s="1"/>
  <c r="M366" i="13"/>
  <c r="L366" i="13"/>
  <c r="K366" i="13"/>
  <c r="K370" i="13"/>
  <c r="J370" i="13"/>
  <c r="I370" i="13"/>
  <c r="U370" i="13" s="1"/>
  <c r="H370" i="13"/>
  <c r="K82" i="13"/>
  <c r="I82" i="13"/>
  <c r="U82" i="13" s="1"/>
  <c r="H82" i="13"/>
  <c r="T82" i="13" s="1"/>
  <c r="J82" i="13"/>
  <c r="N375" i="13"/>
  <c r="I97" i="13"/>
  <c r="U97" i="13" s="1"/>
  <c r="L97" i="13"/>
  <c r="M97" i="13"/>
  <c r="K97" i="13"/>
  <c r="J97" i="13"/>
  <c r="H97" i="13"/>
  <c r="T97" i="13" s="1"/>
  <c r="Q187" i="13"/>
  <c r="H8" i="13"/>
  <c r="T8" i="13" s="1"/>
  <c r="I12" i="13"/>
  <c r="U12" i="13" s="1"/>
  <c r="L16" i="13"/>
  <c r="H24" i="13"/>
  <c r="T24" i="13" s="1"/>
  <c r="I28" i="13"/>
  <c r="U28" i="13" s="1"/>
  <c r="L32" i="13"/>
  <c r="H40" i="13"/>
  <c r="T40" i="13" s="1"/>
  <c r="I48" i="13"/>
  <c r="L52" i="13"/>
  <c r="I68" i="13"/>
  <c r="U68" i="13" s="1"/>
  <c r="J72" i="13"/>
  <c r="L80" i="13"/>
  <c r="H100" i="13"/>
  <c r="T100" i="13" s="1"/>
  <c r="I108" i="13"/>
  <c r="J116" i="13"/>
  <c r="L124" i="13"/>
  <c r="K148" i="13"/>
  <c r="I152" i="13"/>
  <c r="U152" i="13" s="1"/>
  <c r="J164" i="13"/>
  <c r="J180" i="13"/>
  <c r="L184" i="13"/>
  <c r="H188" i="13"/>
  <c r="T188" i="13" s="1"/>
  <c r="K196" i="13"/>
  <c r="M204" i="13"/>
  <c r="J216" i="13"/>
  <c r="H248" i="13"/>
  <c r="T248" i="13" s="1"/>
  <c r="K260" i="13"/>
  <c r="I280" i="13"/>
  <c r="U280" i="13" s="1"/>
  <c r="I296" i="13"/>
  <c r="U296" i="13" s="1"/>
  <c r="J300" i="13"/>
  <c r="H312" i="13"/>
  <c r="T312" i="13" s="1"/>
  <c r="J316" i="13"/>
  <c r="M341" i="13"/>
  <c r="H357" i="13"/>
  <c r="T357" i="13" s="1"/>
  <c r="H159" i="13"/>
  <c r="T159" i="13" s="1"/>
  <c r="I223" i="13"/>
  <c r="U223" i="13" s="1"/>
  <c r="K225" i="13"/>
  <c r="M265" i="13"/>
  <c r="M281" i="13"/>
  <c r="L285" i="13"/>
  <c r="K301" i="13"/>
  <c r="I305" i="13"/>
  <c r="U305" i="13" s="1"/>
  <c r="M325" i="13"/>
  <c r="L365" i="13"/>
  <c r="I147" i="13"/>
  <c r="I295" i="13"/>
  <c r="U295" i="13" s="1"/>
  <c r="J315" i="13"/>
  <c r="L9" i="13"/>
  <c r="I21" i="13"/>
  <c r="U21" i="13" s="1"/>
  <c r="L25" i="13"/>
  <c r="I37" i="13"/>
  <c r="L45" i="13"/>
  <c r="H57" i="13"/>
  <c r="T57" i="13" s="1"/>
  <c r="L61" i="13"/>
  <c r="M77" i="13"/>
  <c r="K93" i="13"/>
  <c r="L101" i="13"/>
  <c r="J117" i="13"/>
  <c r="L121" i="13"/>
  <c r="K137" i="13"/>
  <c r="H141" i="13"/>
  <c r="T141" i="13" s="1"/>
  <c r="K149" i="13"/>
  <c r="H153" i="13"/>
  <c r="T153" i="13" s="1"/>
  <c r="K161" i="13"/>
  <c r="I177" i="13"/>
  <c r="U177" i="13" s="1"/>
  <c r="M185" i="13"/>
  <c r="M193" i="13"/>
  <c r="I209" i="13"/>
  <c r="U209" i="13" s="1"/>
  <c r="J217" i="13"/>
  <c r="J269" i="13"/>
  <c r="L289" i="13"/>
  <c r="H313" i="13"/>
  <c r="T313" i="13" s="1"/>
  <c r="M15" i="13"/>
  <c r="I55" i="13"/>
  <c r="U55" i="13" s="1"/>
  <c r="M131" i="13"/>
  <c r="L307" i="13"/>
  <c r="H38" i="13"/>
  <c r="T38" i="13" s="1"/>
  <c r="I70" i="13"/>
  <c r="U70" i="13" s="1"/>
  <c r="M94" i="13"/>
  <c r="I106" i="13"/>
  <c r="U106" i="13" s="1"/>
  <c r="H122" i="13"/>
  <c r="T122" i="13" s="1"/>
  <c r="L138" i="13"/>
  <c r="H170" i="13"/>
  <c r="H190" i="13"/>
  <c r="T190" i="13" s="1"/>
  <c r="H222" i="13"/>
  <c r="T222" i="13" s="1"/>
  <c r="L258" i="13"/>
  <c r="H278" i="13"/>
  <c r="T278" i="13" s="1"/>
  <c r="I302" i="13"/>
  <c r="U302" i="13" s="1"/>
  <c r="K63" i="13"/>
  <c r="H139" i="13"/>
  <c r="I251" i="13"/>
  <c r="U251" i="13" s="1"/>
  <c r="H19" i="13"/>
  <c r="T19" i="13" s="1"/>
  <c r="K71" i="13"/>
  <c r="M183" i="13"/>
  <c r="J321" i="13"/>
  <c r="K163" i="13"/>
  <c r="M107" i="13"/>
  <c r="K107" i="13"/>
  <c r="J107" i="13"/>
  <c r="H107" i="13"/>
  <c r="I107" i="13"/>
  <c r="U107" i="13" s="1"/>
  <c r="L107" i="13"/>
  <c r="Q213" i="13"/>
  <c r="K213" i="13"/>
  <c r="J213" i="13"/>
  <c r="L213" i="13"/>
  <c r="Q261" i="13"/>
  <c r="M203" i="13"/>
  <c r="L203" i="13"/>
  <c r="K203" i="13"/>
  <c r="J203" i="13"/>
  <c r="I203" i="13"/>
  <c r="U203" i="13" s="1"/>
  <c r="H203" i="13"/>
  <c r="T203" i="13" s="1"/>
  <c r="I266" i="13"/>
  <c r="U266" i="13" s="1"/>
  <c r="H266" i="13"/>
  <c r="T266" i="13" s="1"/>
  <c r="L266" i="13"/>
  <c r="K266" i="13"/>
  <c r="M266" i="13"/>
  <c r="J266" i="13"/>
  <c r="M252" i="13"/>
  <c r="L252" i="13"/>
  <c r="K252" i="13"/>
  <c r="J252" i="13"/>
  <c r="I252" i="13"/>
  <c r="H252" i="13"/>
  <c r="M337" i="13"/>
  <c r="I337" i="13"/>
  <c r="U337" i="13" s="1"/>
  <c r="H337" i="13"/>
  <c r="T337" i="13" s="1"/>
  <c r="J337" i="13"/>
  <c r="L231" i="13"/>
  <c r="K231" i="13"/>
  <c r="I231" i="13"/>
  <c r="U231" i="13" s="1"/>
  <c r="J231" i="13"/>
  <c r="H231" i="13"/>
  <c r="T231" i="13" s="1"/>
  <c r="M231" i="13"/>
  <c r="K57" i="13"/>
  <c r="L59" i="13"/>
  <c r="K59" i="13"/>
  <c r="J59" i="13"/>
  <c r="M59" i="13"/>
  <c r="I54" i="13"/>
  <c r="U54" i="13" s="1"/>
  <c r="M54" i="13"/>
  <c r="L54" i="13"/>
  <c r="K54" i="13"/>
  <c r="Q173" i="13"/>
  <c r="H173" i="13"/>
  <c r="T173" i="13" s="1"/>
  <c r="I58" i="13"/>
  <c r="U58" i="13" s="1"/>
  <c r="H58" i="13"/>
  <c r="T58" i="13" s="1"/>
  <c r="M58" i="13"/>
  <c r="L58" i="13"/>
  <c r="K58" i="13"/>
  <c r="J58" i="13"/>
  <c r="K11" i="13"/>
  <c r="J11" i="13"/>
  <c r="I11" i="13"/>
  <c r="H11" i="13"/>
  <c r="M11" i="13"/>
  <c r="L11" i="13"/>
  <c r="Q221" i="13"/>
  <c r="M304" i="13"/>
  <c r="K304" i="13"/>
  <c r="I304" i="13"/>
  <c r="U304" i="13" s="1"/>
  <c r="H304" i="13"/>
  <c r="T304" i="13" s="1"/>
  <c r="J304" i="13"/>
  <c r="I18" i="13"/>
  <c r="M18" i="13"/>
  <c r="L18" i="13"/>
  <c r="J18" i="13"/>
  <c r="H79" i="13"/>
  <c r="T79" i="13" s="1"/>
  <c r="J79" i="13"/>
  <c r="K150" i="13"/>
  <c r="J150" i="13"/>
  <c r="I150" i="13"/>
  <c r="U150" i="13" s="1"/>
  <c r="L150" i="13"/>
  <c r="M186" i="13"/>
  <c r="L186" i="13"/>
  <c r="K186" i="13"/>
  <c r="H186" i="13"/>
  <c r="T186" i="13" s="1"/>
  <c r="M112" i="13"/>
  <c r="L112" i="13"/>
  <c r="J112" i="13"/>
  <c r="K112" i="13"/>
  <c r="I112" i="13"/>
  <c r="U112" i="13" s="1"/>
  <c r="H112" i="13"/>
  <c r="J155" i="13"/>
  <c r="H155" i="13"/>
  <c r="T155" i="13" s="1"/>
  <c r="M155" i="13"/>
  <c r="I155" i="13"/>
  <c r="U155" i="13" s="1"/>
  <c r="Q163" i="13"/>
  <c r="H103" i="13"/>
  <c r="T103" i="13" s="1"/>
  <c r="J135" i="13"/>
  <c r="H135" i="13"/>
  <c r="T135" i="13" s="1"/>
  <c r="I135" i="13"/>
  <c r="K135" i="13"/>
  <c r="BM172" i="6"/>
  <c r="T172" i="6" s="1"/>
  <c r="I167" i="13"/>
  <c r="U167" i="13" s="1"/>
  <c r="H226" i="13"/>
  <c r="T226" i="13" s="1"/>
  <c r="J226" i="13"/>
  <c r="I226" i="13"/>
  <c r="U226" i="13" s="1"/>
  <c r="K226" i="13"/>
  <c r="I22" i="13"/>
  <c r="U22" i="13" s="1"/>
  <c r="H22" i="13"/>
  <c r="T22" i="13" s="1"/>
  <c r="M22" i="13"/>
  <c r="J22" i="13"/>
  <c r="L162" i="13"/>
  <c r="J162" i="13"/>
  <c r="I162" i="13"/>
  <c r="U162" i="13" s="1"/>
  <c r="M162" i="13"/>
  <c r="M136" i="13"/>
  <c r="L136" i="13"/>
  <c r="J136" i="13"/>
  <c r="K136" i="13"/>
  <c r="I136" i="13"/>
  <c r="U136" i="13" s="1"/>
  <c r="H136" i="13"/>
  <c r="T136" i="13" s="1"/>
  <c r="Q160" i="13"/>
  <c r="M197" i="13"/>
  <c r="Q246" i="13"/>
  <c r="H237" i="13"/>
  <c r="T237" i="13" s="1"/>
  <c r="M237" i="13"/>
  <c r="L237" i="13"/>
  <c r="K237" i="13"/>
  <c r="J237" i="13"/>
  <c r="I237" i="13"/>
  <c r="U237" i="13" s="1"/>
  <c r="L284" i="13"/>
  <c r="Q241" i="13"/>
  <c r="L279" i="13"/>
  <c r="K279" i="13"/>
  <c r="I279" i="13"/>
  <c r="U279" i="13" s="1"/>
  <c r="H279" i="13"/>
  <c r="T279" i="13" s="1"/>
  <c r="Q623" i="13"/>
  <c r="H255" i="13"/>
  <c r="T255" i="13" s="1"/>
  <c r="K255" i="13"/>
  <c r="M255" i="13"/>
  <c r="Q238" i="13"/>
  <c r="J242" i="13"/>
  <c r="I242" i="13"/>
  <c r="U242" i="13" s="1"/>
  <c r="H242" i="13"/>
  <c r="T242" i="13" s="1"/>
  <c r="L242" i="13"/>
  <c r="K242" i="13"/>
  <c r="M242" i="13"/>
  <c r="Q294" i="13"/>
  <c r="I294" i="13"/>
  <c r="L294" i="13"/>
  <c r="J294" i="13"/>
  <c r="M294" i="13"/>
  <c r="Q164" i="13"/>
  <c r="M51" i="13"/>
  <c r="L51" i="13"/>
  <c r="K51" i="13"/>
  <c r="H51" i="13"/>
  <c r="T51" i="13" s="1"/>
  <c r="I99" i="13"/>
  <c r="U99" i="13" s="1"/>
  <c r="L99" i="13"/>
  <c r="M99" i="13"/>
  <c r="H99" i="13"/>
  <c r="T99" i="13" s="1"/>
  <c r="M92" i="13"/>
  <c r="L92" i="13"/>
  <c r="J92" i="13"/>
  <c r="K92" i="13"/>
  <c r="I92" i="13"/>
  <c r="U92" i="13" s="1"/>
  <c r="H92" i="13"/>
  <c r="Q581" i="13"/>
  <c r="Q244" i="13"/>
  <c r="J254" i="13"/>
  <c r="I254" i="13"/>
  <c r="U254" i="13" s="1"/>
  <c r="H254" i="13"/>
  <c r="T254" i="13" s="1"/>
  <c r="M254" i="13"/>
  <c r="M331" i="13"/>
  <c r="L331" i="13"/>
  <c r="K331" i="13"/>
  <c r="J331" i="13"/>
  <c r="H331" i="13"/>
  <c r="T331" i="13" s="1"/>
  <c r="I331" i="13"/>
  <c r="U331" i="13" s="1"/>
  <c r="M208" i="13"/>
  <c r="H208" i="13"/>
  <c r="T208" i="13" s="1"/>
  <c r="L208" i="13"/>
  <c r="K208" i="13"/>
  <c r="I208" i="13"/>
  <c r="U208" i="13" s="1"/>
  <c r="J208" i="13"/>
  <c r="M336" i="13"/>
  <c r="L336" i="13"/>
  <c r="J336" i="13"/>
  <c r="K336" i="13"/>
  <c r="I336" i="13"/>
  <c r="U336" i="13" s="1"/>
  <c r="H336" i="13"/>
  <c r="T336" i="13" s="1"/>
  <c r="M356" i="13"/>
  <c r="L356" i="13"/>
  <c r="J356" i="13"/>
  <c r="K356" i="13"/>
  <c r="I356" i="13"/>
  <c r="U356" i="13" s="1"/>
  <c r="H356" i="13"/>
  <c r="T356" i="13" s="1"/>
  <c r="K318" i="13"/>
  <c r="J318" i="13"/>
  <c r="I318" i="13"/>
  <c r="U318" i="13" s="1"/>
  <c r="H318" i="13"/>
  <c r="T318" i="13" s="1"/>
  <c r="H362" i="13"/>
  <c r="T362" i="13" s="1"/>
  <c r="L362" i="13"/>
  <c r="M362" i="13"/>
  <c r="I362" i="13"/>
  <c r="U362" i="13" s="1"/>
  <c r="H4" i="13"/>
  <c r="I4" i="13"/>
  <c r="U4" i="13" s="1"/>
  <c r="J4" i="13"/>
  <c r="K4" i="13"/>
  <c r="M4" i="13"/>
  <c r="L81" i="13"/>
  <c r="M275" i="13"/>
  <c r="J275" i="13"/>
  <c r="H275" i="13"/>
  <c r="T275" i="13" s="1"/>
  <c r="L275" i="13"/>
  <c r="K275" i="13"/>
  <c r="I275" i="13"/>
  <c r="U275" i="13" s="1"/>
  <c r="M376" i="13"/>
  <c r="L376" i="13"/>
  <c r="K376" i="13"/>
  <c r="J376" i="13"/>
  <c r="I376" i="13"/>
  <c r="U376" i="13" s="1"/>
  <c r="H376" i="13"/>
  <c r="H179" i="13"/>
  <c r="T179" i="13" s="1"/>
  <c r="M179" i="13"/>
  <c r="L179" i="13"/>
  <c r="I179" i="13"/>
  <c r="U179" i="13" s="1"/>
  <c r="L374" i="13"/>
  <c r="K374" i="13"/>
  <c r="J374" i="13"/>
  <c r="M374" i="13"/>
  <c r="M323" i="13"/>
  <c r="L323" i="13"/>
  <c r="K323" i="13"/>
  <c r="J323" i="13"/>
  <c r="H323" i="13"/>
  <c r="T323" i="13" s="1"/>
  <c r="I323" i="13"/>
  <c r="U323" i="13" s="1"/>
  <c r="M207" i="13"/>
  <c r="L207" i="13"/>
  <c r="K207" i="13"/>
  <c r="J207" i="13"/>
  <c r="I207" i="13"/>
  <c r="U207" i="13" s="1"/>
  <c r="H207" i="13"/>
  <c r="T207" i="13" s="1"/>
  <c r="J219" i="13"/>
  <c r="L219" i="13"/>
  <c r="M219" i="13"/>
  <c r="M104" i="13"/>
  <c r="L104" i="13"/>
  <c r="J104" i="13"/>
  <c r="K104" i="13"/>
  <c r="I104" i="13"/>
  <c r="U104" i="13" s="1"/>
  <c r="H104" i="13"/>
  <c r="T104" i="13" s="1"/>
  <c r="M344" i="13"/>
  <c r="L344" i="13"/>
  <c r="J344" i="13"/>
  <c r="K344" i="13"/>
  <c r="I344" i="13"/>
  <c r="U344" i="13" s="1"/>
  <c r="H344" i="13"/>
  <c r="T344" i="13" s="1"/>
  <c r="K39" i="13"/>
  <c r="J39" i="13"/>
  <c r="I39" i="13"/>
  <c r="U39" i="13" s="1"/>
  <c r="H39" i="13"/>
  <c r="L39" i="13"/>
  <c r="M39" i="13"/>
  <c r="L235" i="13"/>
  <c r="K235" i="13"/>
  <c r="I235" i="13"/>
  <c r="U235" i="13" s="1"/>
  <c r="M235" i="13"/>
  <c r="J235" i="13"/>
  <c r="H235" i="13"/>
  <c r="T235" i="13" s="1"/>
  <c r="M379" i="13"/>
  <c r="L379" i="13"/>
  <c r="K379" i="13"/>
  <c r="J379" i="13"/>
  <c r="I379" i="13"/>
  <c r="U379" i="13" s="1"/>
  <c r="H379" i="13"/>
  <c r="T379" i="13" s="1"/>
  <c r="K342" i="13"/>
  <c r="J342" i="13"/>
  <c r="I342" i="13"/>
  <c r="U342" i="13" s="1"/>
  <c r="H342" i="13"/>
  <c r="T342" i="13" s="1"/>
  <c r="M342" i="13"/>
  <c r="L342" i="13"/>
  <c r="L206" i="13"/>
  <c r="K206" i="13"/>
  <c r="J206" i="13"/>
  <c r="I206" i="13"/>
  <c r="U206" i="13" s="1"/>
  <c r="H206" i="13"/>
  <c r="T206" i="13" s="1"/>
  <c r="M206" i="13"/>
  <c r="K28" i="13"/>
  <c r="J40" i="13"/>
  <c r="J68" i="13"/>
  <c r="M124" i="13"/>
  <c r="M168" i="13"/>
  <c r="I176" i="13"/>
  <c r="U176" i="13" s="1"/>
  <c r="M184" i="13"/>
  <c r="J192" i="13"/>
  <c r="L196" i="13"/>
  <c r="H212" i="13"/>
  <c r="T212" i="13" s="1"/>
  <c r="K216" i="13"/>
  <c r="H244" i="13"/>
  <c r="T244" i="13" s="1"/>
  <c r="K248" i="13"/>
  <c r="L260" i="13"/>
  <c r="K272" i="13"/>
  <c r="K280" i="13"/>
  <c r="K296" i="13"/>
  <c r="L300" i="13"/>
  <c r="L316" i="13"/>
  <c r="J341" i="13"/>
  <c r="I159" i="13"/>
  <c r="U159" i="13" s="1"/>
  <c r="K223" i="13"/>
  <c r="L225" i="13"/>
  <c r="H265" i="13"/>
  <c r="T265" i="13" s="1"/>
  <c r="H281" i="13"/>
  <c r="T281" i="13" s="1"/>
  <c r="I285" i="13"/>
  <c r="U285" i="13" s="1"/>
  <c r="L301" i="13"/>
  <c r="J317" i="13"/>
  <c r="L325" i="13"/>
  <c r="H365" i="13"/>
  <c r="T365" i="13" s="1"/>
  <c r="H147" i="13"/>
  <c r="T147" i="13" s="1"/>
  <c r="K295" i="13"/>
  <c r="L315" i="13"/>
  <c r="M9" i="13"/>
  <c r="J21" i="13"/>
  <c r="M25" i="13"/>
  <c r="M45" i="13"/>
  <c r="I57" i="13"/>
  <c r="U57" i="13" s="1"/>
  <c r="K61" i="13"/>
  <c r="J73" i="13"/>
  <c r="L77" i="13"/>
  <c r="H89" i="13"/>
  <c r="T89" i="13" s="1"/>
  <c r="M93" i="13"/>
  <c r="I101" i="13"/>
  <c r="U101" i="13" s="1"/>
  <c r="K117" i="13"/>
  <c r="J137" i="13"/>
  <c r="I141" i="13"/>
  <c r="U141" i="13" s="1"/>
  <c r="M149" i="13"/>
  <c r="I153" i="13"/>
  <c r="U153" i="13" s="1"/>
  <c r="M161" i="13"/>
  <c r="J165" i="13"/>
  <c r="M173" i="13"/>
  <c r="L181" i="13"/>
  <c r="H185" i="13"/>
  <c r="T185" i="13" s="1"/>
  <c r="H193" i="13"/>
  <c r="T193" i="13" s="1"/>
  <c r="K209" i="13"/>
  <c r="M217" i="13"/>
  <c r="M269" i="13"/>
  <c r="I289" i="13"/>
  <c r="U289" i="13" s="1"/>
  <c r="I313" i="13"/>
  <c r="U313" i="13" s="1"/>
  <c r="L255" i="13"/>
  <c r="J15" i="13"/>
  <c r="J55" i="13"/>
  <c r="M79" i="13"/>
  <c r="M103" i="13"/>
  <c r="H143" i="13"/>
  <c r="T143" i="13" s="1"/>
  <c r="J179" i="13"/>
  <c r="J10" i="13"/>
  <c r="L22" i="13"/>
  <c r="K42" i="13"/>
  <c r="H54" i="13"/>
  <c r="T54" i="13" s="1"/>
  <c r="J78" i="13"/>
  <c r="K94" i="13"/>
  <c r="M110" i="13"/>
  <c r="I122" i="13"/>
  <c r="U122" i="13" s="1"/>
  <c r="I138" i="13"/>
  <c r="U138" i="13" s="1"/>
  <c r="H154" i="13"/>
  <c r="T154" i="13" s="1"/>
  <c r="M170" i="13"/>
  <c r="K190" i="13"/>
  <c r="K222" i="13"/>
  <c r="H258" i="13"/>
  <c r="T258" i="13" s="1"/>
  <c r="K278" i="13"/>
  <c r="L302" i="13"/>
  <c r="L334" i="13"/>
  <c r="K362" i="13"/>
  <c r="L75" i="13"/>
  <c r="J139" i="13"/>
  <c r="J251" i="13"/>
  <c r="I19" i="13"/>
  <c r="U19" i="13" s="1"/>
  <c r="M71" i="13"/>
  <c r="K321" i="13"/>
  <c r="K239" i="13"/>
  <c r="J28" i="6"/>
  <c r="S348" i="6"/>
  <c r="S64" i="6"/>
  <c r="S128" i="6"/>
  <c r="S192" i="6"/>
  <c r="S256" i="6"/>
  <c r="S320" i="6"/>
  <c r="S384" i="6"/>
  <c r="S212" i="6"/>
  <c r="S25" i="6"/>
  <c r="S89" i="6"/>
  <c r="S153" i="6"/>
  <c r="S217" i="6"/>
  <c r="S281" i="6"/>
  <c r="S345" i="6"/>
  <c r="S18" i="6"/>
  <c r="S90" i="6"/>
  <c r="S154" i="6"/>
  <c r="S218" i="6"/>
  <c r="S282" i="6"/>
  <c r="S346" i="6"/>
  <c r="J214" i="6"/>
  <c r="J188" i="6"/>
  <c r="J316" i="6"/>
  <c r="J242" i="6"/>
  <c r="J60" i="6"/>
  <c r="Z8" i="6"/>
  <c r="Z34" i="6"/>
  <c r="S196" i="6"/>
  <c r="S32" i="6"/>
  <c r="S96" i="6"/>
  <c r="S160" i="6"/>
  <c r="S224" i="6"/>
  <c r="S288" i="6"/>
  <c r="S352" i="6"/>
  <c r="S108" i="6"/>
  <c r="S332" i="6"/>
  <c r="S57" i="6"/>
  <c r="S121" i="6"/>
  <c r="S185" i="6"/>
  <c r="S249" i="6"/>
  <c r="S313" i="6"/>
  <c r="S377" i="6"/>
  <c r="S50" i="6"/>
  <c r="S122" i="6"/>
  <c r="S186" i="6"/>
  <c r="S250" i="6"/>
  <c r="S314" i="6"/>
  <c r="S378" i="6"/>
  <c r="J36" i="6"/>
  <c r="Q6" i="7"/>
  <c r="J127" i="6"/>
  <c r="AE37" i="6"/>
  <c r="AE36" i="6"/>
  <c r="AK8" i="6"/>
  <c r="AL8" i="6"/>
  <c r="AL34" i="6"/>
  <c r="J225" i="6"/>
  <c r="U6" i="7"/>
  <c r="J212" i="6"/>
  <c r="J137" i="6"/>
  <c r="J238" i="6"/>
  <c r="AI37" i="6"/>
  <c r="AI36" i="6"/>
  <c r="AI35" i="6"/>
  <c r="AE35" i="6"/>
  <c r="AG8" i="6"/>
  <c r="AG34" i="6"/>
  <c r="AD8" i="6"/>
  <c r="AD34" i="6"/>
  <c r="AH8" i="6"/>
  <c r="AH34" i="6"/>
  <c r="J384" i="6"/>
  <c r="Q545" i="13"/>
  <c r="Q222" i="13"/>
  <c r="Q208" i="13"/>
  <c r="Q620" i="13"/>
  <c r="Q546" i="13"/>
  <c r="Q200" i="13"/>
  <c r="Q220" i="13"/>
  <c r="Q305" i="13"/>
  <c r="Q175" i="13"/>
  <c r="Q177" i="13"/>
  <c r="Q494" i="13"/>
  <c r="Q114" i="13"/>
  <c r="Q63" i="13"/>
  <c r="Q443" i="13"/>
  <c r="Q136" i="13"/>
  <c r="Q516" i="13"/>
  <c r="Q464" i="13"/>
  <c r="Q84" i="13"/>
  <c r="Q24" i="13"/>
  <c r="Q404" i="13"/>
  <c r="Q79" i="13"/>
  <c r="Q459" i="13"/>
  <c r="Q511" i="13"/>
  <c r="Q131" i="13"/>
  <c r="Q406" i="13"/>
  <c r="Q26" i="13"/>
  <c r="Q424" i="13"/>
  <c r="Q44" i="13"/>
  <c r="Q32" i="13"/>
  <c r="Q412" i="13"/>
  <c r="Q495" i="13"/>
  <c r="Q115" i="13"/>
  <c r="Q447" i="13"/>
  <c r="Q67" i="13"/>
  <c r="Q479" i="13"/>
  <c r="Q99" i="13"/>
  <c r="Q471" i="13"/>
  <c r="Q91" i="13"/>
  <c r="Q97" i="13"/>
  <c r="Q477" i="13"/>
  <c r="Q87" i="13"/>
  <c r="Q467" i="13"/>
  <c r="Q103" i="13"/>
  <c r="Q483" i="13"/>
  <c r="Q408" i="13"/>
  <c r="Q28" i="13"/>
  <c r="Q656" i="13"/>
  <c r="Q23" i="13"/>
  <c r="Q403" i="13"/>
  <c r="Q64" i="13"/>
  <c r="Q444" i="13"/>
  <c r="Q470" i="13"/>
  <c r="Q90" i="13"/>
  <c r="Q143" i="13"/>
  <c r="Q523" i="13"/>
  <c r="Q446" i="13"/>
  <c r="Q66" i="13"/>
  <c r="Q458" i="13"/>
  <c r="Q78" i="13"/>
  <c r="Q672" i="13"/>
  <c r="Q426" i="13"/>
  <c r="Q46" i="13"/>
  <c r="Q25" i="13"/>
  <c r="Q405" i="13"/>
  <c r="Q490" i="13"/>
  <c r="Q110" i="13"/>
  <c r="Q457" i="13"/>
  <c r="Q77" i="13"/>
  <c r="Q226" i="13"/>
  <c r="Q686" i="13"/>
  <c r="Q168" i="13"/>
  <c r="Q171" i="13"/>
  <c r="Q120" i="13"/>
  <c r="Q500" i="13"/>
  <c r="Q48" i="13"/>
  <c r="Q428" i="13"/>
  <c r="Q104" i="13"/>
  <c r="Q484" i="13"/>
  <c r="Q47" i="13"/>
  <c r="Q427" i="13"/>
  <c r="Q31" i="13"/>
  <c r="Q411" i="13"/>
  <c r="N587" i="13"/>
  <c r="Q503" i="13"/>
  <c r="Q123" i="13"/>
  <c r="Q421" i="13"/>
  <c r="Q41" i="13"/>
  <c r="Q472" i="13"/>
  <c r="Q92" i="13"/>
  <c r="Q461" i="13"/>
  <c r="Q81" i="13"/>
  <c r="Q151" i="13"/>
  <c r="Q531" i="13"/>
  <c r="Q39" i="13"/>
  <c r="Q419" i="13"/>
  <c r="Q513" i="13"/>
  <c r="Q133" i="13"/>
  <c r="Q480" i="13"/>
  <c r="Q100" i="13"/>
  <c r="N65" i="13"/>
  <c r="Q65" i="13"/>
  <c r="Q445" i="13"/>
  <c r="Q530" i="13"/>
  <c r="Q150" i="13"/>
  <c r="Q578" i="13"/>
  <c r="Q256" i="13"/>
  <c r="Q191" i="13"/>
  <c r="Q442" i="13"/>
  <c r="Q62" i="13"/>
  <c r="Q512" i="13"/>
  <c r="Q132" i="13"/>
  <c r="Q539" i="13"/>
  <c r="Q193" i="13"/>
  <c r="Q230" i="13"/>
  <c r="Q269" i="13"/>
  <c r="Q248" i="13"/>
  <c r="Q49" i="13"/>
  <c r="Q429" i="13"/>
  <c r="Q488" i="13"/>
  <c r="Q108" i="13"/>
  <c r="Q33" i="13"/>
  <c r="Q413" i="13"/>
  <c r="Q534" i="13"/>
  <c r="Q154" i="13"/>
  <c r="Q449" i="13"/>
  <c r="Q69" i="13"/>
  <c r="Q417" i="13"/>
  <c r="Q37" i="13"/>
  <c r="Q486" i="13"/>
  <c r="Q106" i="13"/>
  <c r="Q505" i="13"/>
  <c r="Q125" i="13"/>
  <c r="Q418" i="13"/>
  <c r="Q38" i="13"/>
  <c r="Q415" i="13"/>
  <c r="Q35" i="13"/>
  <c r="Q422" i="13"/>
  <c r="Q42" i="13"/>
  <c r="Q465" i="13"/>
  <c r="Q85" i="13"/>
  <c r="Q57" i="13"/>
  <c r="Q437" i="13"/>
  <c r="Q466" i="13"/>
  <c r="Q86" i="13"/>
  <c r="Q521" i="13"/>
  <c r="Q141" i="13"/>
  <c r="Q448" i="13"/>
  <c r="Q68" i="13"/>
  <c r="Q478" i="13"/>
  <c r="Q98" i="13"/>
  <c r="Q268" i="13"/>
  <c r="Q195" i="13"/>
  <c r="Q88" i="13"/>
  <c r="Q468" i="13"/>
  <c r="Q410" i="13"/>
  <c r="Q30" i="13"/>
  <c r="Q234" i="13"/>
  <c r="Q145" i="13"/>
  <c r="Q525" i="13"/>
  <c r="Q510" i="13"/>
  <c r="Q130" i="13"/>
  <c r="Q40" i="13"/>
  <c r="Q420" i="13"/>
  <c r="Q438" i="13"/>
  <c r="Q58" i="13"/>
  <c r="Q469" i="13"/>
  <c r="Q89" i="13"/>
  <c r="Q489" i="13"/>
  <c r="Q109" i="13"/>
  <c r="Q73" i="13"/>
  <c r="Q453" i="13"/>
  <c r="Q401" i="13"/>
  <c r="Q21" i="13"/>
  <c r="Q95" i="13"/>
  <c r="Q475" i="13"/>
  <c r="Q522" i="13"/>
  <c r="Q142" i="13"/>
  <c r="Q473" i="13"/>
  <c r="Q93" i="13"/>
  <c r="Q432" i="13"/>
  <c r="Q52" i="13"/>
  <c r="Q455" i="13"/>
  <c r="Q75" i="13"/>
  <c r="Q135" i="13"/>
  <c r="Q515" i="13"/>
  <c r="Q119" i="13"/>
  <c r="Q499" i="13"/>
  <c r="Q198" i="13"/>
  <c r="Q203" i="13"/>
  <c r="Q80" i="13"/>
  <c r="Q460" i="13"/>
  <c r="N53" i="13"/>
  <c r="Q433" i="13"/>
  <c r="Q53" i="13"/>
  <c r="Q144" i="13"/>
  <c r="Q524" i="13"/>
  <c r="Q533" i="13"/>
  <c r="Q153" i="13"/>
  <c r="Q456" i="13"/>
  <c r="Q76" i="13"/>
  <c r="Q423" i="13"/>
  <c r="Q43" i="13"/>
  <c r="Q519" i="13"/>
  <c r="Q139" i="13"/>
  <c r="Q518" i="13"/>
  <c r="Q138" i="13"/>
  <c r="Q528" i="13"/>
  <c r="Q148" i="13"/>
  <c r="Q434" i="13"/>
  <c r="Q54" i="13"/>
  <c r="Q454" i="13"/>
  <c r="Q74" i="13"/>
  <c r="Q105" i="13"/>
  <c r="Q485" i="13"/>
  <c r="Q520" i="13"/>
  <c r="Q140" i="13"/>
  <c r="Q441" i="13"/>
  <c r="Q61" i="13"/>
  <c r="Q497" i="13"/>
  <c r="Q117" i="13"/>
  <c r="Q450" i="13"/>
  <c r="Q70" i="13"/>
  <c r="Q498" i="13"/>
  <c r="Q118" i="13"/>
  <c r="Q71" i="13"/>
  <c r="Q451" i="13"/>
  <c r="Q575" i="13"/>
  <c r="Q207" i="13"/>
  <c r="Q137" i="13"/>
  <c r="Q517" i="13"/>
  <c r="Q640" i="13"/>
  <c r="Q281" i="13"/>
  <c r="Q611" i="13"/>
  <c r="Q502" i="13"/>
  <c r="Q122" i="13"/>
  <c r="Q55" i="13"/>
  <c r="Q435" i="13"/>
  <c r="Q501" i="13"/>
  <c r="Q121" i="13"/>
  <c r="Q493" i="13"/>
  <c r="Q113" i="13"/>
  <c r="Q128" i="13"/>
  <c r="Q508" i="13"/>
  <c r="Q529" i="13"/>
  <c r="Q149" i="13"/>
  <c r="Q474" i="13"/>
  <c r="Q94" i="13"/>
  <c r="Q514" i="13"/>
  <c r="Q134" i="13"/>
  <c r="Q96" i="13"/>
  <c r="Q476" i="13"/>
  <c r="Q407" i="13"/>
  <c r="Q27" i="13"/>
  <c r="Q416" i="13"/>
  <c r="Q36" i="13"/>
  <c r="Q414" i="13"/>
  <c r="Q34" i="13"/>
  <c r="Q526" i="13"/>
  <c r="Q146" i="13"/>
  <c r="Q527" i="13"/>
  <c r="Q147" i="13"/>
  <c r="Q496" i="13"/>
  <c r="Q116" i="13"/>
  <c r="Q127" i="13"/>
  <c r="Q507" i="13"/>
  <c r="Q402" i="13"/>
  <c r="Q22" i="13"/>
  <c r="N509" i="13"/>
  <c r="Q129" i="13"/>
  <c r="Q509" i="13"/>
  <c r="Q487" i="13"/>
  <c r="Q107" i="13"/>
  <c r="Q583" i="13"/>
  <c r="Q439" i="13"/>
  <c r="Q59" i="13"/>
  <c r="Q300" i="13"/>
  <c r="Q152" i="13"/>
  <c r="Q532" i="13"/>
  <c r="Q430" i="13"/>
  <c r="Q50" i="13"/>
  <c r="Q440" i="13"/>
  <c r="Q60" i="13"/>
  <c r="Q535" i="13"/>
  <c r="Q155" i="13"/>
  <c r="Q506" i="13"/>
  <c r="Q126" i="13"/>
  <c r="Q72" i="13"/>
  <c r="Q452" i="13"/>
  <c r="Q536" i="13"/>
  <c r="Q156" i="13"/>
  <c r="Q56" i="13"/>
  <c r="Q436" i="13"/>
  <c r="Q482" i="13"/>
  <c r="Q102" i="13"/>
  <c r="Q112" i="13"/>
  <c r="Q492" i="13"/>
  <c r="Q504" i="13"/>
  <c r="Q124" i="13"/>
  <c r="Q409" i="13"/>
  <c r="Q29" i="13"/>
  <c r="Q111" i="13"/>
  <c r="Q491" i="13"/>
  <c r="Q463" i="13"/>
  <c r="Q83" i="13"/>
  <c r="Q425" i="13"/>
  <c r="Q45" i="13"/>
  <c r="Q481" i="13"/>
  <c r="Q101" i="13"/>
  <c r="Q462" i="13"/>
  <c r="Q82" i="13"/>
  <c r="Q431" i="13"/>
  <c r="Q51" i="13"/>
  <c r="Q587" i="13"/>
  <c r="Q566" i="13"/>
  <c r="Q162" i="13"/>
  <c r="Q295" i="13"/>
  <c r="Q212" i="13"/>
  <c r="Q299" i="13"/>
  <c r="Q570" i="13"/>
  <c r="Q188" i="13"/>
  <c r="Q666" i="13"/>
  <c r="Q309" i="13"/>
  <c r="Q282" i="13"/>
  <c r="Q215" i="13"/>
  <c r="Q537" i="13"/>
  <c r="Q260" i="13"/>
  <c r="Q159" i="13"/>
  <c r="Q236" i="13"/>
  <c r="Q596" i="13"/>
  <c r="Q660" i="13"/>
  <c r="Q201" i="13"/>
  <c r="Q645" i="13"/>
  <c r="Q174" i="13"/>
  <c r="Q211" i="13"/>
  <c r="Q275" i="13"/>
  <c r="Q614" i="13"/>
  <c r="Q618" i="13"/>
  <c r="Q617" i="13"/>
  <c r="Q290" i="13"/>
  <c r="Q258" i="13"/>
  <c r="Q223" i="13"/>
  <c r="Q592" i="13"/>
  <c r="Q653" i="13"/>
  <c r="Q204" i="13"/>
  <c r="Q240" i="13"/>
  <c r="Q664" i="13"/>
  <c r="Q205" i="13"/>
  <c r="Q649" i="13"/>
  <c r="Q182" i="13"/>
  <c r="Q231" i="13"/>
  <c r="Q283" i="13"/>
  <c r="Q559" i="13"/>
  <c r="Q542" i="13"/>
  <c r="Q158" i="13"/>
  <c r="Q659" i="13"/>
  <c r="Q610" i="13"/>
  <c r="Q541" i="13"/>
  <c r="Q196" i="13"/>
  <c r="Q674" i="13"/>
  <c r="Q298" i="13"/>
  <c r="Q170" i="13"/>
  <c r="Q548" i="13"/>
  <c r="Q682" i="13"/>
  <c r="Q622" i="13"/>
  <c r="Q598" i="13"/>
  <c r="Q621" i="13"/>
  <c r="Q252" i="13"/>
  <c r="Q624" i="13"/>
  <c r="Q668" i="13"/>
  <c r="Q589" i="13"/>
  <c r="Q661" i="13"/>
  <c r="Q202" i="13"/>
  <c r="Q235" i="13"/>
  <c r="Q287" i="13"/>
  <c r="Q563" i="13"/>
  <c r="Q178" i="13"/>
  <c r="Q197" i="13"/>
  <c r="Q606" i="13"/>
  <c r="Q254" i="13"/>
  <c r="Q263" i="13"/>
  <c r="Q165" i="13"/>
  <c r="Q219" i="13"/>
  <c r="Q625" i="13"/>
  <c r="Q553" i="13"/>
  <c r="Q540" i="13"/>
  <c r="Q601" i="13"/>
  <c r="Q665" i="13"/>
  <c r="Q206" i="13"/>
  <c r="Q243" i="13"/>
  <c r="Q291" i="13"/>
  <c r="Q567" i="13"/>
  <c r="Q561" i="13"/>
  <c r="Q626" i="13"/>
  <c r="Q169" i="13"/>
  <c r="Q605" i="13"/>
  <c r="Q609" i="13"/>
  <c r="Q613" i="13"/>
  <c r="Q658" i="13"/>
  <c r="Q573" i="13"/>
  <c r="Q184" i="13"/>
  <c r="Q176" i="13"/>
  <c r="Q293" i="13"/>
  <c r="Q192" i="13"/>
  <c r="Q544" i="13"/>
  <c r="Q644" i="13"/>
  <c r="Q676" i="13"/>
  <c r="Q629" i="13"/>
  <c r="Q669" i="13"/>
  <c r="Q210" i="13"/>
  <c r="Q247" i="13"/>
  <c r="Q303" i="13"/>
  <c r="Q630" i="13"/>
  <c r="Q675" i="13"/>
  <c r="Q679" i="13"/>
  <c r="Q557" i="13"/>
  <c r="Q266" i="13"/>
  <c r="Q255" i="13"/>
  <c r="Q597" i="13"/>
  <c r="Q262" i="13"/>
  <c r="Q628" i="13"/>
  <c r="Q224" i="13"/>
  <c r="Q552" i="13"/>
  <c r="Q680" i="13"/>
  <c r="Q633" i="13"/>
  <c r="Q681" i="13"/>
  <c r="Q574" i="13"/>
  <c r="Q259" i="13"/>
  <c r="Q543" i="13"/>
  <c r="Q307" i="13"/>
  <c r="Q277" i="13"/>
  <c r="Q602" i="13"/>
  <c r="Q594" i="13"/>
  <c r="Q239" i="13"/>
  <c r="Q588" i="13"/>
  <c r="Q251" i="13"/>
  <c r="Q227" i="13"/>
  <c r="Q228" i="13"/>
  <c r="Q560" i="13"/>
  <c r="Q652" i="13"/>
  <c r="Q684" i="13"/>
  <c r="Q637" i="13"/>
  <c r="Q685" i="13"/>
  <c r="Q267" i="13"/>
  <c r="Q547" i="13"/>
  <c r="Q569" i="13"/>
  <c r="Q185" i="13"/>
  <c r="Q297" i="13"/>
  <c r="Q274" i="13"/>
  <c r="Q306" i="13"/>
  <c r="Q593" i="13"/>
  <c r="Q650" i="13"/>
  <c r="Q232" i="13"/>
  <c r="Q688" i="13"/>
  <c r="Q641" i="13"/>
  <c r="Q166" i="13"/>
  <c r="Q199" i="13"/>
  <c r="Q271" i="13"/>
  <c r="Q551" i="13"/>
  <c r="J219" i="6"/>
  <c r="J209" i="6"/>
  <c r="J166" i="6"/>
  <c r="J120" i="6"/>
  <c r="J334" i="6"/>
  <c r="J143" i="6"/>
  <c r="J240" i="6"/>
  <c r="J237" i="6"/>
  <c r="J368" i="6"/>
  <c r="J190" i="6"/>
  <c r="J170" i="6"/>
  <c r="K73" i="7"/>
  <c r="K8" i="7"/>
  <c r="K289" i="7"/>
  <c r="K250" i="7"/>
  <c r="K236" i="7"/>
  <c r="K270" i="7"/>
  <c r="K368" i="7"/>
  <c r="K263" i="7"/>
  <c r="K200" i="7"/>
  <c r="K75" i="7"/>
  <c r="K334" i="7"/>
  <c r="K61" i="7"/>
  <c r="K13" i="7"/>
  <c r="K170" i="7"/>
  <c r="K293" i="7"/>
  <c r="K376" i="7"/>
  <c r="K68" i="7"/>
  <c r="K83" i="7"/>
  <c r="K159" i="7"/>
  <c r="K41" i="7"/>
  <c r="K377" i="7"/>
  <c r="K148" i="7"/>
  <c r="K201" i="7"/>
  <c r="K261" i="7"/>
  <c r="K283" i="7"/>
  <c r="K383" i="7"/>
  <c r="K118" i="7"/>
  <c r="K141" i="7"/>
  <c r="K231" i="7"/>
  <c r="K74" i="7"/>
  <c r="K337" i="7"/>
  <c r="K70" i="7"/>
  <c r="K251" i="7"/>
  <c r="K342" i="7"/>
  <c r="K82" i="7"/>
  <c r="K375" i="7"/>
  <c r="K120" i="7"/>
  <c r="K26" i="7"/>
  <c r="K359" i="7"/>
  <c r="K315" i="7"/>
  <c r="K88" i="7"/>
  <c r="K360" i="7"/>
  <c r="K306" i="7"/>
  <c r="K97" i="7"/>
  <c r="K221" i="7"/>
  <c r="K362" i="7"/>
  <c r="K198" i="7"/>
  <c r="K150" i="7"/>
  <c r="K126" i="7"/>
  <c r="K372" i="7"/>
  <c r="K324" i="7"/>
  <c r="K367" i="7"/>
  <c r="K385" i="7"/>
  <c r="K169" i="7"/>
  <c r="K365" i="7"/>
  <c r="K21" i="7"/>
  <c r="K20" i="7"/>
  <c r="K243" i="7"/>
  <c r="K164" i="7"/>
  <c r="K274" i="7"/>
  <c r="K346" i="7"/>
  <c r="K349" i="7"/>
  <c r="K307" i="7"/>
  <c r="K121" i="7"/>
  <c r="K302" i="7"/>
  <c r="K7" i="7"/>
  <c r="K117" i="7"/>
  <c r="K184" i="7"/>
  <c r="K154" i="7"/>
  <c r="K364" i="7"/>
  <c r="K40" i="7"/>
  <c r="K316" i="7"/>
  <c r="K155" i="7"/>
  <c r="K151" i="7"/>
  <c r="K129" i="7"/>
  <c r="K99" i="7"/>
  <c r="K142" i="7"/>
  <c r="K272" i="7"/>
  <c r="K273" i="7"/>
  <c r="K317" i="7"/>
  <c r="K378" i="7"/>
  <c r="K25" i="7"/>
  <c r="K167" i="7"/>
  <c r="K105" i="7"/>
  <c r="K59" i="7"/>
  <c r="K345" i="7"/>
  <c r="K42" i="7"/>
  <c r="K175" i="7"/>
  <c r="K33" i="7"/>
  <c r="K144" i="7"/>
  <c r="K93" i="7"/>
  <c r="K125" i="7"/>
  <c r="K267" i="7"/>
  <c r="K188" i="7"/>
  <c r="K69" i="7"/>
  <c r="K246" i="7"/>
  <c r="K320" i="7"/>
  <c r="K35" i="7"/>
  <c r="K256" i="7"/>
  <c r="K96" i="7"/>
  <c r="K361" i="7"/>
  <c r="K22" i="7"/>
  <c r="K48" i="7"/>
  <c r="K199" i="7"/>
  <c r="K191" i="7"/>
  <c r="K12" i="7"/>
  <c r="K28" i="7"/>
  <c r="K312" i="7"/>
  <c r="K355" i="7"/>
  <c r="K172" i="7"/>
  <c r="K39" i="7"/>
  <c r="K357" i="7"/>
  <c r="K354" i="7"/>
  <c r="K266" i="7"/>
  <c r="K152" i="7"/>
  <c r="K57" i="7"/>
  <c r="K111" i="7"/>
  <c r="K113" i="7"/>
  <c r="K87" i="7"/>
  <c r="K124" i="7"/>
  <c r="K46" i="7"/>
  <c r="K109" i="7"/>
  <c r="K296" i="7"/>
  <c r="K265" i="7"/>
  <c r="K295" i="7"/>
  <c r="K348" i="7"/>
  <c r="K77" i="7"/>
  <c r="K182" i="7"/>
  <c r="K223" i="7"/>
  <c r="K149" i="7"/>
  <c r="K340" i="7"/>
  <c r="K140" i="7"/>
  <c r="K78" i="7"/>
  <c r="K284" i="7"/>
  <c r="K171" i="7"/>
  <c r="K298" i="7"/>
  <c r="K311" i="7"/>
  <c r="K37" i="7"/>
  <c r="K244" i="7"/>
  <c r="K127" i="7"/>
  <c r="K292" i="7"/>
  <c r="K174" i="7"/>
  <c r="K123" i="7"/>
  <c r="K327" i="7"/>
  <c r="K32" i="7"/>
  <c r="K185" i="7"/>
  <c r="K341" i="7"/>
  <c r="K260" i="7"/>
  <c r="K232" i="7"/>
  <c r="K145" i="7"/>
  <c r="K189" i="7"/>
  <c r="K210" i="7"/>
  <c r="K242" i="7"/>
  <c r="K195" i="7"/>
  <c r="K290" i="7"/>
  <c r="K211" i="7"/>
  <c r="K16" i="7"/>
  <c r="K347" i="7"/>
  <c r="K27" i="7"/>
  <c r="K11" i="7"/>
  <c r="K122" i="7"/>
  <c r="K310" i="7"/>
  <c r="K81" i="7"/>
  <c r="H29" i="15"/>
  <c r="G29" i="15"/>
  <c r="AA8" i="6"/>
  <c r="K71" i="7"/>
  <c r="K108" i="7"/>
  <c r="K95" i="7"/>
  <c r="K353" i="7"/>
  <c r="K218" i="7"/>
  <c r="K240" i="7"/>
  <c r="K65" i="7"/>
  <c r="K162" i="7"/>
  <c r="K18" i="7"/>
  <c r="K136" i="7"/>
  <c r="K305" i="7"/>
  <c r="K181" i="7"/>
  <c r="K58" i="7"/>
  <c r="K280" i="7"/>
  <c r="K373" i="7"/>
  <c r="K332" i="7"/>
  <c r="K224" i="7"/>
  <c r="K114" i="7"/>
  <c r="K297" i="7"/>
  <c r="K277" i="7"/>
  <c r="K288" i="7"/>
  <c r="K98" i="7"/>
  <c r="K386" i="7"/>
  <c r="K112" i="7"/>
  <c r="K137" i="7"/>
  <c r="K168" i="7"/>
  <c r="K309" i="7"/>
  <c r="K178" i="7"/>
  <c r="K130" i="7"/>
  <c r="K100" i="7"/>
  <c r="K230" i="7"/>
  <c r="K34" i="7"/>
  <c r="K72" i="7"/>
  <c r="K92" i="7"/>
  <c r="B8" i="6"/>
  <c r="K104" i="7"/>
  <c r="K165" i="7"/>
  <c r="K62" i="7"/>
  <c r="K276" i="7"/>
  <c r="K366" i="7"/>
  <c r="K86" i="7"/>
  <c r="K237" i="7"/>
  <c r="K186" i="7"/>
  <c r="K328" i="7"/>
  <c r="K66" i="7"/>
  <c r="K24" i="7"/>
  <c r="K294" i="7"/>
  <c r="K371" i="7"/>
  <c r="AC8" i="6"/>
  <c r="T6" i="7"/>
  <c r="D8" i="6"/>
  <c r="C2" i="14"/>
  <c r="AI62" i="14"/>
  <c r="BO186" i="14"/>
  <c r="AE51" i="14"/>
  <c r="BG149" i="14"/>
  <c r="K101" i="7"/>
  <c r="K115" i="7"/>
  <c r="K135" i="7"/>
  <c r="K45" i="7"/>
  <c r="K76" i="7"/>
  <c r="K110" i="7"/>
  <c r="K132" i="7"/>
  <c r="K54" i="7"/>
  <c r="K64" i="7"/>
  <c r="K336" i="7"/>
  <c r="K253" i="7"/>
  <c r="K382" i="7"/>
  <c r="K325" i="7"/>
  <c r="K220" i="7"/>
  <c r="K103" i="7"/>
  <c r="K194" i="7"/>
  <c r="K291" i="7"/>
  <c r="K319" i="7"/>
  <c r="K381" i="7"/>
  <c r="K258" i="7"/>
  <c r="K228" i="7"/>
  <c r="K279" i="7"/>
  <c r="K278" i="7"/>
  <c r="K179" i="7"/>
  <c r="K369" i="7"/>
  <c r="K321" i="7"/>
  <c r="K300" i="7"/>
  <c r="K84" i="7"/>
  <c r="K262" i="7"/>
  <c r="K161" i="7"/>
  <c r="K31" i="7"/>
  <c r="K374" i="7"/>
  <c r="K91" i="7"/>
  <c r="K245" i="7"/>
  <c r="K255" i="7"/>
  <c r="K343" i="7"/>
  <c r="K43" i="7"/>
  <c r="K107" i="7"/>
  <c r="K225" i="7"/>
  <c r="K233" i="7"/>
  <c r="K60" i="7"/>
  <c r="K339" i="7"/>
  <c r="K322" i="7"/>
  <c r="K229" i="7"/>
  <c r="K183" i="7"/>
  <c r="K281" i="7"/>
  <c r="C8" i="6"/>
  <c r="C6" i="7"/>
  <c r="B6" i="8"/>
  <c r="K213" i="7"/>
  <c r="K331" i="7"/>
  <c r="AB8" i="6"/>
  <c r="K146" i="7"/>
  <c r="K352" i="7"/>
  <c r="K323" i="7"/>
  <c r="K176" i="7"/>
  <c r="K330" i="7"/>
  <c r="K147" i="7"/>
  <c r="K63" i="7"/>
  <c r="K241" i="7"/>
  <c r="K248" i="7"/>
  <c r="K212" i="7"/>
  <c r="K138" i="7"/>
  <c r="K234" i="7"/>
  <c r="K204" i="7"/>
  <c r="K79" i="7"/>
  <c r="K356" i="7"/>
  <c r="K269" i="7"/>
  <c r="K287" i="7"/>
  <c r="K29" i="7"/>
  <c r="K227" i="7"/>
  <c r="K214" i="7"/>
  <c r="K15" i="7"/>
  <c r="K205" i="7"/>
  <c r="K19" i="7"/>
  <c r="K239" i="7"/>
  <c r="K254" i="7"/>
  <c r="K238" i="7"/>
  <c r="K264" i="7"/>
  <c r="K55" i="7"/>
  <c r="K259" i="7"/>
  <c r="K53" i="7"/>
  <c r="K217" i="7"/>
  <c r="K153" i="7"/>
  <c r="K203" i="7"/>
  <c r="K335" i="7"/>
  <c r="K158" i="7"/>
  <c r="K209" i="7"/>
  <c r="K94" i="7"/>
  <c r="K80" i="7"/>
  <c r="K56" i="7"/>
  <c r="K275" i="7"/>
  <c r="K358" i="7"/>
  <c r="K49" i="7"/>
  <c r="K44" i="7"/>
  <c r="K350" i="7"/>
  <c r="K384" i="7"/>
  <c r="AI13" i="6"/>
  <c r="AI26" i="6"/>
  <c r="AE25" i="6"/>
  <c r="AE21" i="6"/>
  <c r="AE17" i="6"/>
  <c r="AE13" i="6"/>
  <c r="AE20" i="6"/>
  <c r="AI22" i="6"/>
  <c r="AI28" i="6"/>
  <c r="AI24" i="6"/>
  <c r="AI20" i="6"/>
  <c r="AI16" i="6"/>
  <c r="AI12" i="6"/>
  <c r="AE9" i="6"/>
  <c r="AE24" i="6"/>
  <c r="AE16" i="6"/>
  <c r="AI27" i="6"/>
  <c r="AI19" i="6"/>
  <c r="AI11" i="6"/>
  <c r="AI14" i="6"/>
  <c r="AE28" i="6"/>
  <c r="AE12" i="6"/>
  <c r="AI23" i="6"/>
  <c r="AI15" i="6"/>
  <c r="AI18" i="6"/>
  <c r="AE27" i="6"/>
  <c r="AE23" i="6"/>
  <c r="AE19" i="6"/>
  <c r="AE15" i="6"/>
  <c r="AE11" i="6"/>
  <c r="AI10" i="6"/>
  <c r="AE26" i="6"/>
  <c r="AE22" i="6"/>
  <c r="AE18" i="6"/>
  <c r="AE14" i="6"/>
  <c r="AE10" i="6"/>
  <c r="AI25" i="6"/>
  <c r="AI21" i="6"/>
  <c r="AI17" i="6"/>
  <c r="J68" i="6"/>
  <c r="K363" i="7"/>
  <c r="K187" i="7"/>
  <c r="K180" i="7"/>
  <c r="K131" i="7"/>
  <c r="K304" i="7"/>
  <c r="K17" i="7"/>
  <c r="K215" i="7"/>
  <c r="K157" i="7"/>
  <c r="K30" i="7"/>
  <c r="K173" i="7"/>
  <c r="K286" i="7"/>
  <c r="K282" i="7"/>
  <c r="K326" i="7"/>
  <c r="K192" i="7"/>
  <c r="K38" i="7"/>
  <c r="K247" i="7"/>
  <c r="K116" i="7"/>
  <c r="K299" i="7"/>
  <c r="K193" i="7"/>
  <c r="K208" i="7"/>
  <c r="K308" i="7"/>
  <c r="K313" i="7"/>
  <c r="K216" i="7"/>
  <c r="K226" i="7"/>
  <c r="K329" i="7"/>
  <c r="K257" i="7"/>
  <c r="K163" i="7"/>
  <c r="K90" i="7"/>
  <c r="K47" i="7"/>
  <c r="K370" i="7"/>
  <c r="K67" i="7"/>
  <c r="K344" i="7"/>
  <c r="K207" i="7"/>
  <c r="K51" i="7"/>
  <c r="K14" i="7"/>
  <c r="K102" i="7"/>
  <c r="K106" i="7"/>
  <c r="K303" i="7"/>
  <c r="K128" i="7"/>
  <c r="K23" i="7"/>
  <c r="K271" i="7"/>
  <c r="K177" i="7"/>
  <c r="K160" i="7"/>
  <c r="K196" i="7"/>
  <c r="K314" i="7"/>
  <c r="K36" i="7"/>
  <c r="K197" i="7"/>
  <c r="K89" i="7"/>
  <c r="K133" i="7"/>
  <c r="K156" i="7"/>
  <c r="K134" i="7"/>
  <c r="K301" i="7"/>
  <c r="K338" i="7"/>
  <c r="K52" i="7"/>
  <c r="K379" i="7"/>
  <c r="K380" i="7"/>
  <c r="K222" i="7"/>
  <c r="K166" i="7"/>
  <c r="K206" i="7"/>
  <c r="G19" i="15"/>
  <c r="G14" i="15"/>
  <c r="N174" i="13"/>
  <c r="T114" i="13"/>
  <c r="T168" i="13"/>
  <c r="T314" i="13"/>
  <c r="T176" i="13"/>
  <c r="U139" i="13"/>
  <c r="T70" i="13"/>
  <c r="T91" i="13"/>
  <c r="T219" i="13"/>
  <c r="U165" i="13"/>
  <c r="T277" i="13"/>
  <c r="U169" i="13"/>
  <c r="T370" i="13"/>
  <c r="U217" i="13"/>
  <c r="T213" i="13"/>
  <c r="U123" i="13"/>
  <c r="U131" i="13"/>
  <c r="T67" i="13"/>
  <c r="N646" i="13"/>
  <c r="N635" i="13"/>
  <c r="U10" i="13"/>
  <c r="U244" i="13"/>
  <c r="T47" i="13"/>
  <c r="U59" i="13"/>
  <c r="N265" i="13"/>
  <c r="U47" i="13"/>
  <c r="U79" i="13"/>
  <c r="N618" i="13"/>
  <c r="BM165" i="6"/>
  <c r="T165" i="6" s="1"/>
  <c r="BM214" i="6"/>
  <c r="R214" i="6" s="1"/>
  <c r="T269" i="13"/>
  <c r="BM25" i="6"/>
  <c r="R25" i="6" s="1"/>
  <c r="BM42" i="6"/>
  <c r="T42" i="6" s="1"/>
  <c r="BM339" i="6"/>
  <c r="R339" i="6" s="1"/>
  <c r="BM164" i="6"/>
  <c r="T164" i="6" s="1"/>
  <c r="BM313" i="6"/>
  <c r="T313" i="6" s="1"/>
  <c r="BM269" i="6"/>
  <c r="T269" i="6" s="1"/>
  <c r="BM142" i="6"/>
  <c r="T142" i="6" s="1"/>
  <c r="BM47" i="6"/>
  <c r="T47" i="6" s="1"/>
  <c r="BM199" i="6"/>
  <c r="T199" i="6" s="1"/>
  <c r="BM86" i="6"/>
  <c r="R86" i="6" s="1"/>
  <c r="BM155" i="6"/>
  <c r="R155" i="6" s="1"/>
  <c r="BM387" i="6"/>
  <c r="R387" i="6" s="1"/>
  <c r="T290" i="6"/>
  <c r="R290" i="6"/>
  <c r="T98" i="6"/>
  <c r="R98" i="6"/>
  <c r="T73" i="6"/>
  <c r="R73" i="6"/>
  <c r="T129" i="6"/>
  <c r="R129" i="6"/>
  <c r="T45" i="6"/>
  <c r="R45" i="6"/>
  <c r="T33" i="6"/>
  <c r="R33" i="6"/>
  <c r="BM225" i="6"/>
  <c r="BM35" i="6"/>
  <c r="BM36" i="6"/>
  <c r="BM110" i="6"/>
  <c r="T107" i="13"/>
  <c r="BM112" i="6"/>
  <c r="U182" i="13"/>
  <c r="BM187" i="6"/>
  <c r="BM49" i="6"/>
  <c r="BM208" i="6"/>
  <c r="BM264" i="6"/>
  <c r="BM345" i="6"/>
  <c r="U252" i="13"/>
  <c r="BM257" i="6"/>
  <c r="BM327" i="6"/>
  <c r="U349" i="13"/>
  <c r="BM354" i="6"/>
  <c r="BM388" i="6"/>
  <c r="BM204" i="6"/>
  <c r="BM236" i="6"/>
  <c r="BM237" i="6"/>
  <c r="BM12" i="6"/>
  <c r="T60" i="6"/>
  <c r="R60" i="6"/>
  <c r="T92" i="6"/>
  <c r="R92" i="6"/>
  <c r="T128" i="6"/>
  <c r="R128" i="6"/>
  <c r="BM168" i="6"/>
  <c r="T232" i="6"/>
  <c r="R232" i="6"/>
  <c r="BM312" i="6"/>
  <c r="T28" i="13"/>
  <c r="BM69" i="6"/>
  <c r="BM121" i="6"/>
  <c r="BM169" i="6"/>
  <c r="T201" i="6"/>
  <c r="R201" i="6"/>
  <c r="U216" i="13"/>
  <c r="BM277" i="6"/>
  <c r="BM317" i="6"/>
  <c r="BM50" i="6"/>
  <c r="BM94" i="6"/>
  <c r="BM146" i="6"/>
  <c r="T178" i="6"/>
  <c r="R178" i="6"/>
  <c r="T218" i="6"/>
  <c r="R218" i="6"/>
  <c r="BM286" i="6"/>
  <c r="R318" i="6"/>
  <c r="T318" i="6"/>
  <c r="BM362" i="6"/>
  <c r="BM15" i="6"/>
  <c r="R51" i="6"/>
  <c r="T51" i="6"/>
  <c r="R59" i="6"/>
  <c r="T59" i="6"/>
  <c r="BM91" i="6"/>
  <c r="T127" i="6"/>
  <c r="R127" i="6"/>
  <c r="BM159" i="6"/>
  <c r="R219" i="6"/>
  <c r="T219" i="6"/>
  <c r="R267" i="6"/>
  <c r="T267" i="6"/>
  <c r="R299" i="6"/>
  <c r="T299" i="6"/>
  <c r="T351" i="6"/>
  <c r="R351" i="6"/>
  <c r="BM250" i="6"/>
  <c r="BM331" i="6"/>
  <c r="BM113" i="6"/>
  <c r="T197" i="6"/>
  <c r="R197" i="6"/>
  <c r="BM123" i="6"/>
  <c r="T263" i="6"/>
  <c r="R263" i="6"/>
  <c r="T295" i="6"/>
  <c r="R295" i="6"/>
  <c r="BM63" i="6"/>
  <c r="BM16" i="6"/>
  <c r="BM79" i="6"/>
  <c r="BM254" i="6"/>
  <c r="BM368" i="6"/>
  <c r="T327" i="13"/>
  <c r="BM332" i="6"/>
  <c r="BM296" i="6"/>
  <c r="BM233" i="6"/>
  <c r="BM156" i="6"/>
  <c r="BM356" i="6"/>
  <c r="U236" i="13"/>
  <c r="BM241" i="6"/>
  <c r="BM203" i="6"/>
  <c r="T52" i="6"/>
  <c r="R52" i="6"/>
  <c r="BM84" i="6"/>
  <c r="T120" i="6"/>
  <c r="R120" i="6"/>
  <c r="BM160" i="6"/>
  <c r="T224" i="6"/>
  <c r="R224" i="6"/>
  <c r="BM300" i="6"/>
  <c r="BM57" i="6"/>
  <c r="BM61" i="6"/>
  <c r="BM105" i="6"/>
  <c r="BM161" i="6"/>
  <c r="T193" i="6"/>
  <c r="R193" i="6"/>
  <c r="T265" i="6"/>
  <c r="R265" i="6"/>
  <c r="BM309" i="6"/>
  <c r="T34" i="6"/>
  <c r="R34" i="6"/>
  <c r="BM82" i="6"/>
  <c r="BM138" i="6"/>
  <c r="T170" i="6"/>
  <c r="R170" i="6"/>
  <c r="T202" i="6"/>
  <c r="R202" i="6"/>
  <c r="R278" i="6"/>
  <c r="T278" i="6"/>
  <c r="BM310" i="6"/>
  <c r="R350" i="6"/>
  <c r="T350" i="6"/>
  <c r="R83" i="6"/>
  <c r="T83" i="6"/>
  <c r="T119" i="6"/>
  <c r="R119" i="6"/>
  <c r="U118" i="13"/>
  <c r="BM151" i="6"/>
  <c r="BM195" i="6"/>
  <c r="R259" i="6"/>
  <c r="T259" i="6"/>
  <c r="R291" i="6"/>
  <c r="T291" i="6"/>
  <c r="R323" i="6"/>
  <c r="T323" i="6"/>
  <c r="R379" i="6"/>
  <c r="T379" i="6"/>
  <c r="BM46" i="6"/>
  <c r="BM348" i="6"/>
  <c r="BM245" i="6"/>
  <c r="T56" i="6"/>
  <c r="R56" i="6"/>
  <c r="T88" i="6"/>
  <c r="R88" i="6"/>
  <c r="T124" i="6"/>
  <c r="R124" i="6"/>
  <c r="T228" i="6"/>
  <c r="R228" i="6"/>
  <c r="R174" i="6"/>
  <c r="T174" i="6"/>
  <c r="T282" i="6"/>
  <c r="R282" i="6"/>
  <c r="BM95" i="6"/>
  <c r="BM38" i="6"/>
  <c r="BM196" i="6"/>
  <c r="BM258" i="6"/>
  <c r="BM276" i="6"/>
  <c r="BM200" i="6"/>
  <c r="BM210" i="6"/>
  <c r="BM81" i="6"/>
  <c r="BM377" i="6"/>
  <c r="BM337" i="6"/>
  <c r="BM229" i="6"/>
  <c r="BM383" i="6"/>
  <c r="BM360" i="6"/>
  <c r="T210" i="13"/>
  <c r="BM215" i="6"/>
  <c r="BM40" i="6"/>
  <c r="BM374" i="6"/>
  <c r="T48" i="6"/>
  <c r="R48" i="6"/>
  <c r="T80" i="6"/>
  <c r="R80" i="6"/>
  <c r="U95" i="13"/>
  <c r="BM116" i="6"/>
  <c r="BM152" i="6"/>
  <c r="BM192" i="6"/>
  <c r="BM284" i="6"/>
  <c r="T299" i="13"/>
  <c r="BM17" i="6"/>
  <c r="BM53" i="6"/>
  <c r="BM101" i="6"/>
  <c r="BM157" i="6"/>
  <c r="T189" i="6"/>
  <c r="R189" i="6"/>
  <c r="T253" i="6"/>
  <c r="R253" i="6"/>
  <c r="U264" i="13"/>
  <c r="BM305" i="6"/>
  <c r="R30" i="6"/>
  <c r="T30" i="6"/>
  <c r="BM78" i="6"/>
  <c r="BM126" i="6"/>
  <c r="R166" i="6"/>
  <c r="T166" i="6"/>
  <c r="R198" i="6"/>
  <c r="T198" i="6"/>
  <c r="BM274" i="6"/>
  <c r="BM306" i="6"/>
  <c r="BM346" i="6"/>
  <c r="R9" i="6"/>
  <c r="T9" i="6"/>
  <c r="BM19" i="6"/>
  <c r="BM39" i="6"/>
  <c r="R75" i="6"/>
  <c r="T75" i="6"/>
  <c r="BM115" i="6"/>
  <c r="BM147" i="6"/>
  <c r="BM191" i="6"/>
  <c r="T239" i="6"/>
  <c r="R239" i="6"/>
  <c r="T287" i="6"/>
  <c r="R287" i="6"/>
  <c r="T319" i="6"/>
  <c r="R319" i="6"/>
  <c r="T375" i="6"/>
  <c r="R375" i="6"/>
  <c r="BM133" i="6"/>
  <c r="BM266" i="6"/>
  <c r="BM272" i="6"/>
  <c r="BM180" i="6"/>
  <c r="BM207" i="6"/>
  <c r="BM380" i="6"/>
  <c r="BM373" i="6"/>
  <c r="BM220" i="6"/>
  <c r="BM363" i="6"/>
  <c r="U381" i="13"/>
  <c r="BM386" i="6"/>
  <c r="BM352" i="6"/>
  <c r="BM206" i="6"/>
  <c r="BM334" i="6"/>
  <c r="BM32" i="6"/>
  <c r="T76" i="6"/>
  <c r="R76" i="6"/>
  <c r="T108" i="6"/>
  <c r="R108" i="6"/>
  <c r="BM148" i="6"/>
  <c r="BM188" i="6"/>
  <c r="BM268" i="6"/>
  <c r="BM13" i="6"/>
  <c r="BM89" i="6"/>
  <c r="BM153" i="6"/>
  <c r="BM185" i="6"/>
  <c r="BM249" i="6"/>
  <c r="BM301" i="6"/>
  <c r="T26" i="6"/>
  <c r="R26" i="6"/>
  <c r="BM74" i="6"/>
  <c r="BM122" i="6"/>
  <c r="T162" i="6"/>
  <c r="R162" i="6"/>
  <c r="T194" i="6"/>
  <c r="R194" i="6"/>
  <c r="BM270" i="6"/>
  <c r="U269" i="13"/>
  <c r="R302" i="6"/>
  <c r="T302" i="6"/>
  <c r="R342" i="6"/>
  <c r="T342" i="6"/>
  <c r="U341" i="13"/>
  <c r="R382" i="6"/>
  <c r="T382" i="6"/>
  <c r="BM31" i="6"/>
  <c r="T71" i="6"/>
  <c r="R71" i="6"/>
  <c r="T111" i="6"/>
  <c r="R111" i="6"/>
  <c r="BM143" i="6"/>
  <c r="BM183" i="6"/>
  <c r="R235" i="6"/>
  <c r="T235" i="6"/>
  <c r="R283" i="6"/>
  <c r="T283" i="6"/>
  <c r="R315" i="6"/>
  <c r="T315" i="6"/>
  <c r="BM371" i="6"/>
  <c r="BM255" i="6"/>
  <c r="U292" i="13"/>
  <c r="BM297" i="6"/>
  <c r="R358" i="6"/>
  <c r="T358" i="6"/>
  <c r="BM145" i="6"/>
  <c r="BM238" i="6"/>
  <c r="BM11" i="6"/>
  <c r="BM333" i="6"/>
  <c r="BM261" i="6"/>
  <c r="BM357" i="6"/>
  <c r="BM65" i="6"/>
  <c r="BM102" i="6"/>
  <c r="BM28" i="6"/>
  <c r="T72" i="6"/>
  <c r="R72" i="6"/>
  <c r="T104" i="6"/>
  <c r="R104" i="6"/>
  <c r="T144" i="6"/>
  <c r="R144" i="6"/>
  <c r="BM184" i="6"/>
  <c r="BM260" i="6"/>
  <c r="BM324" i="6"/>
  <c r="BM21" i="6"/>
  <c r="BM29" i="6"/>
  <c r="BM41" i="6"/>
  <c r="BM85" i="6"/>
  <c r="BM149" i="6"/>
  <c r="T181" i="6"/>
  <c r="R181" i="6"/>
  <c r="BM221" i="6"/>
  <c r="BM293" i="6"/>
  <c r="U300" i="13"/>
  <c r="BM22" i="6"/>
  <c r="BM66" i="6"/>
  <c r="T69" i="13"/>
  <c r="BM118" i="6"/>
  <c r="R158" i="6"/>
  <c r="T158" i="6"/>
  <c r="R190" i="6"/>
  <c r="T190" i="6"/>
  <c r="R230" i="6"/>
  <c r="T230" i="6"/>
  <c r="U265" i="13"/>
  <c r="T298" i="6"/>
  <c r="R298" i="6"/>
  <c r="BM330" i="6"/>
  <c r="BM378" i="6"/>
  <c r="T10" i="13"/>
  <c r="U14" i="13"/>
  <c r="BM27" i="6"/>
  <c r="R67" i="6"/>
  <c r="T67" i="6"/>
  <c r="BM107" i="6"/>
  <c r="BM139" i="6"/>
  <c r="BM175" i="6"/>
  <c r="T231" i="6"/>
  <c r="R231" i="6"/>
  <c r="T279" i="6"/>
  <c r="R279" i="6"/>
  <c r="T311" i="6"/>
  <c r="R311" i="6"/>
  <c r="T367" i="6"/>
  <c r="R367" i="6"/>
  <c r="BM171" i="6"/>
  <c r="BM365" i="6"/>
  <c r="BM288" i="6"/>
  <c r="BM93" i="6"/>
  <c r="T314" i="6"/>
  <c r="R314" i="6"/>
  <c r="T87" i="6"/>
  <c r="R87" i="6"/>
  <c r="BM114" i="6"/>
  <c r="BM134" i="6"/>
  <c r="BM234" i="6"/>
  <c r="BM262" i="6"/>
  <c r="BM308" i="6"/>
  <c r="BM252" i="6"/>
  <c r="BM376" i="6"/>
  <c r="BM340" i="6"/>
  <c r="BM18" i="6"/>
  <c r="BM117" i="6"/>
  <c r="BM141" i="6"/>
  <c r="BM242" i="6"/>
  <c r="BM247" i="6"/>
  <c r="BM97" i="6"/>
  <c r="BM336" i="6"/>
  <c r="BM213" i="6"/>
  <c r="BM341" i="6"/>
  <c r="BM361" i="6"/>
  <c r="BM280" i="6"/>
  <c r="BM381" i="6"/>
  <c r="BM328" i="6"/>
  <c r="BM212" i="6"/>
  <c r="BM109" i="6"/>
  <c r="BM349" i="6"/>
  <c r="BM44" i="6"/>
  <c r="BM240" i="6"/>
  <c r="BM384" i="6"/>
  <c r="BM347" i="6"/>
  <c r="BM211" i="6"/>
  <c r="BM24" i="6"/>
  <c r="BM68" i="6"/>
  <c r="BM100" i="6"/>
  <c r="T140" i="6"/>
  <c r="R140" i="6"/>
  <c r="BM176" i="6"/>
  <c r="BM256" i="6"/>
  <c r="BM320" i="6"/>
  <c r="BM37" i="6"/>
  <c r="BM77" i="6"/>
  <c r="BM137" i="6"/>
  <c r="T148" i="13"/>
  <c r="BM177" i="6"/>
  <c r="T217" i="6"/>
  <c r="R217" i="6"/>
  <c r="BM289" i="6"/>
  <c r="T288" i="13"/>
  <c r="R14" i="6"/>
  <c r="T14" i="6"/>
  <c r="BM62" i="6"/>
  <c r="BM106" i="6"/>
  <c r="T154" i="6"/>
  <c r="R154" i="6"/>
  <c r="T186" i="6"/>
  <c r="R186" i="6"/>
  <c r="BM226" i="6"/>
  <c r="BM294" i="6"/>
  <c r="R326" i="6"/>
  <c r="T326" i="6"/>
  <c r="T370" i="6"/>
  <c r="R370" i="6"/>
  <c r="BM23" i="6"/>
  <c r="BM43" i="6"/>
  <c r="R103" i="6"/>
  <c r="T103" i="6"/>
  <c r="T135" i="6"/>
  <c r="R135" i="6"/>
  <c r="BM167" i="6"/>
  <c r="BM227" i="6"/>
  <c r="R275" i="6"/>
  <c r="T275" i="6"/>
  <c r="R307" i="6"/>
  <c r="T307" i="6"/>
  <c r="T359" i="6"/>
  <c r="R359" i="6"/>
  <c r="T174" i="13"/>
  <c r="BM179" i="6"/>
  <c r="BM281" i="6"/>
  <c r="BM329" i="6"/>
  <c r="U367" i="13"/>
  <c r="BM372" i="6"/>
  <c r="BM353" i="6"/>
  <c r="BM304" i="6"/>
  <c r="U132" i="13"/>
  <c r="BM132" i="6"/>
  <c r="BM130" i="6"/>
  <c r="BM251" i="6"/>
  <c r="BM246" i="6"/>
  <c r="BM243" i="6"/>
  <c r="T287" i="13"/>
  <c r="BM292" i="6"/>
  <c r="BM205" i="6"/>
  <c r="BM248" i="6"/>
  <c r="BM344" i="6"/>
  <c r="T320" i="13"/>
  <c r="BM325" i="6"/>
  <c r="U359" i="13"/>
  <c r="T359" i="13"/>
  <c r="BM364" i="6"/>
  <c r="BM273" i="6"/>
  <c r="U364" i="13"/>
  <c r="BM369" i="6"/>
  <c r="BM58" i="6"/>
  <c r="U380" i="13"/>
  <c r="BM385" i="6"/>
  <c r="BM90" i="6"/>
  <c r="BM335" i="6"/>
  <c r="BM343" i="6"/>
  <c r="BM10" i="6"/>
  <c r="BM216" i="6"/>
  <c r="U65" i="13"/>
  <c r="BM70" i="6"/>
  <c r="BM125" i="6"/>
  <c r="BM338" i="6"/>
  <c r="T64" i="6"/>
  <c r="R64" i="6"/>
  <c r="T96" i="6"/>
  <c r="R96" i="6"/>
  <c r="T136" i="6"/>
  <c r="R136" i="6"/>
  <c r="T173" i="6"/>
  <c r="R173" i="6"/>
  <c r="T209" i="6"/>
  <c r="R209" i="6"/>
  <c r="T321" i="6"/>
  <c r="R321" i="6"/>
  <c r="R150" i="6"/>
  <c r="T150" i="6"/>
  <c r="R182" i="6"/>
  <c r="T182" i="6"/>
  <c r="R222" i="6"/>
  <c r="T222" i="6"/>
  <c r="T322" i="6"/>
  <c r="R322" i="6"/>
  <c r="R366" i="6"/>
  <c r="T366" i="6"/>
  <c r="T55" i="6"/>
  <c r="R55" i="6"/>
  <c r="R99" i="6"/>
  <c r="T99" i="6"/>
  <c r="T223" i="6"/>
  <c r="R223" i="6"/>
  <c r="T271" i="6"/>
  <c r="R271" i="6"/>
  <c r="T303" i="6"/>
  <c r="R303" i="6"/>
  <c r="N203" i="13"/>
  <c r="N188" i="13"/>
  <c r="N283" i="13"/>
  <c r="N302" i="13"/>
  <c r="N258" i="13"/>
  <c r="N633" i="13"/>
  <c r="N677" i="13"/>
  <c r="N361" i="13"/>
  <c r="N554" i="13"/>
  <c r="N541" i="13"/>
  <c r="N182" i="13"/>
  <c r="N445" i="13"/>
  <c r="N567" i="13"/>
  <c r="N196" i="13"/>
  <c r="N297" i="13"/>
  <c r="N213" i="13"/>
  <c r="N129" i="13"/>
  <c r="N689" i="13"/>
  <c r="N687" i="13"/>
  <c r="N290" i="13"/>
  <c r="N285" i="13"/>
  <c r="N282" i="13"/>
  <c r="N274" i="13"/>
  <c r="N266" i="13"/>
  <c r="N645" i="13"/>
  <c r="N263" i="13"/>
  <c r="N257" i="13"/>
  <c r="N255" i="13"/>
  <c r="N631" i="13"/>
  <c r="N249" i="13"/>
  <c r="N246" i="13"/>
  <c r="N244" i="13"/>
  <c r="N241" i="13"/>
  <c r="N238" i="13"/>
  <c r="N610" i="13"/>
  <c r="N605" i="13"/>
  <c r="N603" i="13"/>
  <c r="N219" i="13"/>
  <c r="N595" i="13"/>
  <c r="N593" i="13"/>
  <c r="N589" i="13"/>
  <c r="N576" i="13"/>
  <c r="N193" i="13"/>
  <c r="N568" i="13"/>
  <c r="N187" i="13"/>
  <c r="N564" i="13"/>
  <c r="N550" i="13"/>
  <c r="N549" i="13"/>
  <c r="N164" i="13"/>
  <c r="N161" i="13"/>
  <c r="N477" i="13"/>
  <c r="N465" i="13"/>
  <c r="N85" i="13"/>
  <c r="N97" i="13"/>
  <c r="N629" i="13"/>
  <c r="N562" i="13"/>
  <c r="N215" i="13"/>
  <c r="N195" i="13"/>
  <c r="N209" i="13"/>
  <c r="N581" i="13"/>
  <c r="N643" i="13"/>
  <c r="N223" i="13"/>
  <c r="N573" i="13"/>
  <c r="N253" i="13"/>
  <c r="N637" i="13"/>
  <c r="N662" i="13"/>
  <c r="N170" i="13"/>
  <c r="N225" i="13"/>
  <c r="N665" i="13"/>
  <c r="N433" i="13"/>
  <c r="N670" i="13"/>
  <c r="N230" i="13"/>
  <c r="N578" i="13"/>
  <c r="N251" i="13"/>
  <c r="N169" i="13"/>
  <c r="N582" i="13"/>
  <c r="N608" i="13"/>
  <c r="N682" i="13"/>
  <c r="N307" i="13"/>
  <c r="N654" i="13"/>
  <c r="N184" i="13"/>
  <c r="N624" i="13"/>
  <c r="N621" i="13"/>
  <c r="N599" i="13"/>
  <c r="N638" i="13"/>
  <c r="N544" i="13"/>
  <c r="N167" i="13"/>
  <c r="N547" i="13"/>
  <c r="N200" i="13"/>
  <c r="N580" i="13"/>
  <c r="N552" i="13"/>
  <c r="N172" i="13"/>
  <c r="N276" i="13"/>
  <c r="N656" i="13"/>
  <c r="N616" i="13"/>
  <c r="N236" i="13"/>
  <c r="N294" i="13"/>
  <c r="N674" i="13"/>
  <c r="N159" i="13"/>
  <c r="N539" i="13"/>
  <c r="N309" i="13"/>
  <c r="N292" i="13"/>
  <c r="N672" i="13"/>
  <c r="N298" i="13"/>
  <c r="N678" i="13"/>
  <c r="N218" i="13"/>
  <c r="N598" i="13"/>
  <c r="N569" i="13"/>
  <c r="N189" i="13"/>
  <c r="N555" i="13"/>
  <c r="N175" i="13"/>
  <c r="N227" i="13"/>
  <c r="N607" i="13"/>
  <c r="N235" i="13"/>
  <c r="N615" i="13"/>
  <c r="N186" i="13"/>
  <c r="N566" i="13"/>
  <c r="N667" i="13"/>
  <c r="N287" i="13"/>
  <c r="N640" i="13"/>
  <c r="N260" i="13"/>
  <c r="N212" i="13"/>
  <c r="N592" i="13"/>
  <c r="N206" i="13"/>
  <c r="N586" i="13"/>
  <c r="N626" i="13"/>
  <c r="N178" i="13"/>
  <c r="N558" i="13"/>
  <c r="N671" i="13"/>
  <c r="N160" i="13"/>
  <c r="N540" i="13"/>
  <c r="N243" i="13"/>
  <c r="N623" i="13"/>
  <c r="N259" i="13"/>
  <c r="N639" i="13"/>
  <c r="N612" i="13"/>
  <c r="N232" i="13"/>
  <c r="N197" i="13"/>
  <c r="N577" i="13"/>
  <c r="N261" i="13"/>
  <c r="N641" i="13"/>
  <c r="N191" i="13"/>
  <c r="N571" i="13"/>
  <c r="N190" i="13"/>
  <c r="N570" i="13"/>
  <c r="N688" i="13"/>
  <c r="N308" i="13"/>
  <c r="N636" i="13"/>
  <c r="N256" i="13"/>
  <c r="N651" i="13"/>
  <c r="N271" i="13"/>
  <c r="N649" i="13"/>
  <c r="N269" i="13"/>
  <c r="N660" i="13"/>
  <c r="N280" i="13"/>
  <c r="N601" i="13"/>
  <c r="N221" i="13"/>
  <c r="N617" i="13"/>
  <c r="N237" i="13"/>
  <c r="N229" i="13"/>
  <c r="N609" i="13"/>
  <c r="N199" i="13"/>
  <c r="N579" i="13"/>
  <c r="N545" i="13"/>
  <c r="N165" i="13"/>
  <c r="N655" i="13"/>
  <c r="N275" i="13"/>
  <c r="N163" i="13"/>
  <c r="N543" i="13"/>
  <c r="N597" i="13"/>
  <c r="N217" i="13"/>
  <c r="N231" i="13"/>
  <c r="N611" i="13"/>
  <c r="N226" i="13"/>
  <c r="N606" i="13"/>
  <c r="N680" i="13"/>
  <c r="N300" i="13"/>
  <c r="N669" i="13"/>
  <c r="N289" i="13"/>
  <c r="N634" i="13"/>
  <c r="N254" i="13"/>
  <c r="N644" i="13"/>
  <c r="N264" i="13"/>
  <c r="N537" i="13"/>
  <c r="N157" i="13"/>
  <c r="N277" i="13"/>
  <c r="N657" i="13"/>
  <c r="N559" i="13"/>
  <c r="N179" i="13"/>
  <c r="N208" i="13"/>
  <c r="N588" i="13"/>
  <c r="N542" i="13"/>
  <c r="N162" i="13"/>
  <c r="N168" i="13"/>
  <c r="N548" i="13"/>
  <c r="N288" i="13"/>
  <c r="N668" i="13"/>
  <c r="N220" i="13"/>
  <c r="N600" i="13"/>
  <c r="N538" i="13"/>
  <c r="N158" i="13"/>
  <c r="N268" i="13"/>
  <c r="N648" i="13"/>
  <c r="Q384" i="13"/>
  <c r="Q4" i="13"/>
  <c r="N625" i="13"/>
  <c r="N245" i="13"/>
  <c r="N560" i="13"/>
  <c r="N180" i="13"/>
  <c r="N250" i="13"/>
  <c r="N630" i="13"/>
  <c r="N286" i="13"/>
  <c r="N666" i="13"/>
  <c r="N561" i="13"/>
  <c r="N181" i="13"/>
  <c r="N304" i="13"/>
  <c r="N684" i="13"/>
  <c r="N686" i="13"/>
  <c r="N306" i="13"/>
  <c r="N234" i="13"/>
  <c r="N614" i="13"/>
  <c r="N551" i="13"/>
  <c r="N171" i="13"/>
  <c r="N299" i="13"/>
  <c r="N679" i="13"/>
  <c r="N194" i="13"/>
  <c r="N574" i="13"/>
  <c r="N652" i="13"/>
  <c r="N272" i="13"/>
  <c r="N585" i="13"/>
  <c r="N205" i="13"/>
  <c r="N216" i="13"/>
  <c r="N596" i="13"/>
  <c r="N279" i="13"/>
  <c r="N659" i="13"/>
  <c r="N553" i="13"/>
  <c r="N173" i="13"/>
  <c r="N650" i="13"/>
  <c r="N270" i="13"/>
  <c r="N653" i="13"/>
  <c r="N273" i="13"/>
  <c r="N305" i="13"/>
  <c r="N685" i="13"/>
  <c r="N177" i="13"/>
  <c r="N557" i="13"/>
  <c r="N591" i="13"/>
  <c r="N211" i="13"/>
  <c r="N185" i="13"/>
  <c r="N565" i="13"/>
  <c r="N278" i="13"/>
  <c r="N658" i="13"/>
  <c r="N673" i="13"/>
  <c r="N293" i="13"/>
  <c r="N622" i="13"/>
  <c r="N242" i="13"/>
  <c r="N295" i="13"/>
  <c r="N675" i="13"/>
  <c r="N681" i="13"/>
  <c r="N301" i="13"/>
  <c r="N628" i="13"/>
  <c r="N248" i="13"/>
  <c r="N222" i="13"/>
  <c r="N602" i="13"/>
  <c r="N613" i="13"/>
  <c r="N233" i="13"/>
  <c r="N204" i="13"/>
  <c r="N584" i="13"/>
  <c r="N563" i="13"/>
  <c r="N183" i="13"/>
  <c r="N604" i="13"/>
  <c r="N224" i="13"/>
  <c r="N676" i="13"/>
  <c r="N296" i="13"/>
  <c r="N210" i="13"/>
  <c r="N590" i="13"/>
  <c r="N303" i="13"/>
  <c r="N683" i="13"/>
  <c r="N664" i="13"/>
  <c r="N284" i="13"/>
  <c r="N620" i="13"/>
  <c r="N240" i="13"/>
  <c r="N546" i="13"/>
  <c r="N166" i="13"/>
  <c r="N214" i="13"/>
  <c r="N594" i="13"/>
  <c r="N267" i="13"/>
  <c r="N647" i="13"/>
  <c r="N192" i="13"/>
  <c r="N572" i="13"/>
  <c r="N281" i="13"/>
  <c r="N661" i="13"/>
  <c r="N239" i="13"/>
  <c r="N619" i="13"/>
  <c r="F6" i="7"/>
  <c r="N642" i="13"/>
  <c r="N262" i="13"/>
  <c r="N556" i="13"/>
  <c r="N176" i="13"/>
  <c r="N735" i="13"/>
  <c r="N762" i="13"/>
  <c r="N350" i="13"/>
  <c r="B24" i="3"/>
  <c r="L158" i="7" s="1"/>
  <c r="N460" i="13"/>
  <c r="N351" i="13"/>
  <c r="T204" i="13"/>
  <c r="N347" i="13"/>
  <c r="U193" i="13"/>
  <c r="N413" i="13"/>
  <c r="T59" i="13"/>
  <c r="N486" i="13"/>
  <c r="T86" i="13"/>
  <c r="N515" i="13"/>
  <c r="N124" i="13"/>
  <c r="N483" i="13"/>
  <c r="N369" i="13"/>
  <c r="N759" i="13"/>
  <c r="N82" i="13"/>
  <c r="N25" i="13"/>
  <c r="N365" i="13"/>
  <c r="N105" i="13"/>
  <c r="N141" i="13"/>
  <c r="N521" i="13"/>
  <c r="N695" i="13"/>
  <c r="T301" i="13"/>
  <c r="N745" i="13"/>
  <c r="N753" i="13"/>
  <c r="N374" i="13"/>
  <c r="N755" i="13"/>
  <c r="N345" i="13"/>
  <c r="N741" i="13"/>
  <c r="N367" i="13"/>
  <c r="N346" i="13"/>
  <c r="N526" i="13"/>
  <c r="L13" i="7"/>
  <c r="N387" i="13"/>
  <c r="N444" i="13"/>
  <c r="N496" i="13"/>
  <c r="N40" i="13"/>
  <c r="N420" i="13"/>
  <c r="N514" i="13"/>
  <c r="N134" i="13"/>
  <c r="N102" i="13"/>
  <c r="N482" i="13"/>
  <c r="N422" i="13"/>
  <c r="N140" i="13"/>
  <c r="N370" i="13"/>
  <c r="N750" i="13"/>
  <c r="L309" i="7"/>
  <c r="N410" i="13"/>
  <c r="B73" i="6"/>
  <c r="N391" i="13"/>
  <c r="B16" i="6"/>
  <c r="N462" i="13"/>
  <c r="N139" i="13"/>
  <c r="N383" i="13"/>
  <c r="B97" i="6"/>
  <c r="N524" i="13"/>
  <c r="N144" i="13"/>
  <c r="B224" i="6"/>
  <c r="N721" i="13"/>
  <c r="N726" i="13"/>
  <c r="T291" i="13"/>
  <c r="N715" i="13"/>
  <c r="N717" i="13"/>
  <c r="N337" i="13"/>
  <c r="N501" i="13"/>
  <c r="N754" i="13"/>
  <c r="N737" i="13"/>
  <c r="N12" i="13"/>
  <c r="N392" i="13"/>
  <c r="N333" i="13"/>
  <c r="N723" i="13"/>
  <c r="N378" i="13"/>
  <c r="N398" i="13"/>
  <c r="N478" i="13"/>
  <c r="N481" i="13"/>
  <c r="N101" i="13"/>
  <c r="T302" i="13"/>
  <c r="N386" i="13"/>
  <c r="T73" i="13"/>
  <c r="N118" i="13"/>
  <c r="N498" i="13"/>
  <c r="N334" i="13"/>
  <c r="N714" i="13"/>
  <c r="N108" i="13"/>
  <c r="N511" i="13"/>
  <c r="N98" i="13"/>
  <c r="N81" i="13"/>
  <c r="N461" i="13"/>
  <c r="N449" i="13"/>
  <c r="N69" i="13"/>
  <c r="N363" i="13"/>
  <c r="N699" i="13"/>
  <c r="N319" i="13"/>
  <c r="N354" i="13"/>
  <c r="N734" i="13"/>
  <c r="L310" i="7"/>
  <c r="B65" i="6"/>
  <c r="B218" i="6"/>
  <c r="L112" i="7"/>
  <c r="N523" i="13"/>
  <c r="N148" i="13"/>
  <c r="N528" i="13"/>
  <c r="N36" i="13"/>
  <c r="N416" i="13"/>
  <c r="B106" i="6"/>
  <c r="B132" i="6"/>
  <c r="L263" i="7"/>
  <c r="B242" i="6"/>
  <c r="L118" i="7"/>
  <c r="B117" i="6"/>
  <c r="L248" i="7"/>
  <c r="B247" i="6"/>
  <c r="L276" i="7"/>
  <c r="B186" i="6"/>
  <c r="L62" i="7"/>
  <c r="B61" i="6"/>
  <c r="L192" i="7"/>
  <c r="B191" i="6"/>
  <c r="L164" i="7"/>
  <c r="B130" i="6"/>
  <c r="B387" i="6"/>
  <c r="L287" i="7"/>
  <c r="L136" i="7"/>
  <c r="B135" i="6"/>
  <c r="L20" i="7"/>
  <c r="B362" i="6"/>
  <c r="L347" i="7"/>
  <c r="B331" i="6"/>
  <c r="B164" i="6"/>
  <c r="L80" i="7"/>
  <c r="B310" i="6"/>
  <c r="B271" i="6"/>
  <c r="L312" i="7"/>
  <c r="L283" i="7"/>
  <c r="B18" i="6"/>
  <c r="B44" i="6"/>
  <c r="L175" i="7"/>
  <c r="L152" i="7"/>
  <c r="B382" i="6"/>
  <c r="B291" i="6"/>
  <c r="B124" i="6"/>
  <c r="L40" i="7"/>
  <c r="B270" i="6"/>
  <c r="B167" i="6"/>
  <c r="B314" i="6"/>
  <c r="B32" i="6"/>
  <c r="L51" i="7"/>
  <c r="N466" i="13"/>
  <c r="N86" i="13"/>
  <c r="N703" i="13"/>
  <c r="N323" i="13"/>
  <c r="L147" i="7"/>
  <c r="L299" i="7"/>
  <c r="L340" i="7"/>
  <c r="L27" i="7"/>
  <c r="L61" i="7"/>
  <c r="L96" i="7"/>
  <c r="B347" i="6"/>
  <c r="N156" i="13"/>
  <c r="N536" i="13"/>
  <c r="N41" i="13"/>
  <c r="N421" i="13"/>
  <c r="N706" i="13"/>
  <c r="N326" i="13"/>
  <c r="B336" i="6"/>
  <c r="B353" i="6"/>
  <c r="L157" i="7"/>
  <c r="B282" i="6"/>
  <c r="L370" i="7"/>
  <c r="B337" i="6"/>
  <c r="B111" i="6"/>
  <c r="L247" i="7"/>
  <c r="B26" i="6"/>
  <c r="N502" i="13"/>
  <c r="T170" i="13"/>
  <c r="N691" i="13"/>
  <c r="N409" i="13"/>
  <c r="N29" i="13"/>
  <c r="N405" i="13"/>
  <c r="N729" i="13"/>
  <c r="N349" i="13"/>
  <c r="N377" i="13"/>
  <c r="N757" i="13"/>
  <c r="L101" i="7"/>
  <c r="L342" i="7"/>
  <c r="L349" i="7"/>
  <c r="B352" i="6"/>
  <c r="L331" i="7"/>
  <c r="L346" i="7"/>
  <c r="L320" i="7"/>
  <c r="B279" i="6"/>
  <c r="L32" i="7"/>
  <c r="B219" i="6"/>
  <c r="N388" i="13"/>
  <c r="N8" i="13"/>
  <c r="N429" i="13"/>
  <c r="N49" i="13"/>
  <c r="N114" i="13"/>
  <c r="N494" i="13"/>
  <c r="N738" i="13"/>
  <c r="N358" i="13"/>
  <c r="N325" i="13"/>
  <c r="N705" i="13"/>
  <c r="N366" i="13"/>
  <c r="N746" i="13"/>
  <c r="N725" i="13"/>
  <c r="L240" i="7"/>
  <c r="N411" i="13"/>
  <c r="N423" i="13"/>
  <c r="N43" i="13"/>
  <c r="N519" i="13"/>
  <c r="N493" i="13"/>
  <c r="N113" i="13"/>
  <c r="N692" i="13"/>
  <c r="N312" i="13"/>
  <c r="N381" i="13"/>
  <c r="N761" i="13"/>
  <c r="L319" i="7"/>
  <c r="L326" i="7"/>
  <c r="B289" i="6"/>
  <c r="B306" i="6"/>
  <c r="L75" i="7"/>
  <c r="L330" i="7"/>
  <c r="L245" i="7"/>
  <c r="B223" i="6"/>
  <c r="B198" i="6"/>
  <c r="B91" i="6"/>
  <c r="N742" i="13"/>
  <c r="N362" i="13"/>
  <c r="N4" i="13"/>
  <c r="N384" i="13"/>
  <c r="N342" i="13"/>
  <c r="N353" i="13"/>
  <c r="N733" i="13"/>
  <c r="N17" i="13"/>
  <c r="N34" i="13"/>
  <c r="N7" i="13"/>
  <c r="N42" i="13"/>
  <c r="N71" i="13"/>
  <c r="N451" i="13"/>
  <c r="N476" i="13"/>
  <c r="N458" i="13"/>
  <c r="N78" i="13"/>
  <c r="N59" i="13"/>
  <c r="N439" i="13"/>
  <c r="N100" i="13"/>
  <c r="N480" i="13"/>
  <c r="N457" i="13"/>
  <c r="N77" i="13"/>
  <c r="N488" i="13"/>
  <c r="U124" i="13"/>
  <c r="N142" i="13"/>
  <c r="N522" i="13"/>
  <c r="N492" i="13"/>
  <c r="N151" i="13"/>
  <c r="N531" i="13"/>
  <c r="N33" i="13"/>
  <c r="N143" i="13"/>
  <c r="N317" i="13"/>
  <c r="N697" i="13"/>
  <c r="N318" i="13"/>
  <c r="N698" i="13"/>
  <c r="U272" i="13"/>
  <c r="N21" i="13"/>
  <c r="N401" i="13"/>
  <c r="N32" i="13"/>
  <c r="N9" i="13"/>
  <c r="N389" i="13"/>
  <c r="N22" i="13"/>
  <c r="N16" i="13"/>
  <c r="N396" i="13"/>
  <c r="N419" i="13"/>
  <c r="N39" i="13"/>
  <c r="N414" i="13"/>
  <c r="N31" i="13"/>
  <c r="N428" i="13"/>
  <c r="N80" i="13"/>
  <c r="N412" i="13"/>
  <c r="N441" i="13"/>
  <c r="N61" i="13"/>
  <c r="N79" i="13"/>
  <c r="N459" i="13"/>
  <c r="N503" i="13"/>
  <c r="N123" i="13"/>
  <c r="N513" i="13"/>
  <c r="N133" i="13"/>
  <c r="N149" i="13"/>
  <c r="N529" i="13"/>
  <c r="N399" i="13"/>
  <c r="N19" i="13"/>
  <c r="N110" i="13"/>
  <c r="N490" i="13"/>
  <c r="N525" i="13"/>
  <c r="N145" i="13"/>
  <c r="N322" i="13"/>
  <c r="N702" i="13"/>
  <c r="N321" i="13"/>
  <c r="N701" i="13"/>
  <c r="N24" i="13"/>
  <c r="N404" i="13"/>
  <c r="N38" i="13"/>
  <c r="N418" i="13"/>
  <c r="N84" i="13"/>
  <c r="N464" i="13"/>
  <c r="N45" i="13"/>
  <c r="N425" i="13"/>
  <c r="N63" i="13"/>
  <c r="N104" i="13"/>
  <c r="N484" i="13"/>
  <c r="N506" i="13"/>
  <c r="N126" i="13"/>
  <c r="N470" i="13"/>
  <c r="N90" i="13"/>
  <c r="N491" i="13"/>
  <c r="N127" i="13"/>
  <c r="N146" i="13"/>
  <c r="N103" i="13"/>
  <c r="N135" i="13"/>
  <c r="N153" i="13"/>
  <c r="N533" i="13"/>
  <c r="T317" i="13"/>
  <c r="N60" i="13"/>
  <c r="N440" i="13"/>
  <c r="N472" i="13"/>
  <c r="N92" i="13"/>
  <c r="N417" i="13"/>
  <c r="N51" i="13"/>
  <c r="N431" i="13"/>
  <c r="N463" i="13"/>
  <c r="N83" i="13"/>
  <c r="N13" i="13"/>
  <c r="N393" i="13"/>
  <c r="N55" i="13"/>
  <c r="N435" i="13"/>
  <c r="N62" i="13"/>
  <c r="N442" i="13"/>
  <c r="N66" i="13"/>
  <c r="N446" i="13"/>
  <c r="N47" i="13"/>
  <c r="N427" i="13"/>
  <c r="N530" i="13"/>
  <c r="N150" i="13"/>
  <c r="N109" i="13"/>
  <c r="N489" i="13"/>
  <c r="N504" i="13"/>
  <c r="N117" i="13"/>
  <c r="N497" i="13"/>
  <c r="N106" i="13"/>
  <c r="N138" i="13"/>
  <c r="N518" i="13"/>
  <c r="N402" i="13"/>
  <c r="N74" i="13"/>
  <c r="N454" i="13"/>
  <c r="N23" i="13"/>
  <c r="N403" i="13"/>
  <c r="N14" i="13"/>
  <c r="N394" i="13"/>
  <c r="N27" i="13"/>
  <c r="N407" i="13"/>
  <c r="N64" i="13"/>
  <c r="N499" i="13"/>
  <c r="N119" i="13"/>
  <c r="N50" i="13"/>
  <c r="N430" i="13"/>
  <c r="N448" i="13"/>
  <c r="N68" i="13"/>
  <c r="N89" i="13"/>
  <c r="N469" i="13"/>
  <c r="N468" i="13"/>
  <c r="N88" i="13"/>
  <c r="N111" i="13"/>
  <c r="N131" i="13"/>
  <c r="N475" i="13"/>
  <c r="N116" i="13"/>
  <c r="N132" i="13"/>
  <c r="N512" i="13"/>
  <c r="N125" i="13"/>
  <c r="N505" i="13"/>
  <c r="N520" i="13"/>
  <c r="N122" i="13"/>
  <c r="N694" i="13"/>
  <c r="N314" i="13"/>
  <c r="N311" i="13"/>
  <c r="N35" i="13"/>
  <c r="N415" i="13"/>
  <c r="N115" i="13"/>
  <c r="N495" i="13"/>
  <c r="N28" i="13"/>
  <c r="N408" i="13"/>
  <c r="N87" i="13"/>
  <c r="N467" i="13"/>
  <c r="N94" i="13"/>
  <c r="N474" i="13"/>
  <c r="N432" i="13"/>
  <c r="N52" i="13"/>
  <c r="N471" i="13"/>
  <c r="N91" i="13"/>
  <c r="N450" i="13"/>
  <c r="N70" i="13"/>
  <c r="N136" i="13"/>
  <c r="N516" i="13"/>
  <c r="N154" i="13"/>
  <c r="N152" i="13"/>
  <c r="N532" i="13"/>
  <c r="N112" i="13"/>
  <c r="N507" i="13"/>
  <c r="N508" i="13"/>
  <c r="N696" i="13"/>
  <c r="N316" i="13"/>
  <c r="N6" i="13"/>
  <c r="N15" i="13"/>
  <c r="N395" i="13"/>
  <c r="N18" i="13"/>
  <c r="N10" i="13"/>
  <c r="N390" i="13"/>
  <c r="N46" i="13"/>
  <c r="N426" i="13"/>
  <c r="N96" i="13"/>
  <c r="N73" i="13"/>
  <c r="N453" i="13"/>
  <c r="N54" i="13"/>
  <c r="N434" i="13"/>
  <c r="N452" i="13"/>
  <c r="N72" i="13"/>
  <c r="N93" i="13"/>
  <c r="N473" i="13"/>
  <c r="N128" i="13"/>
  <c r="N443" i="13"/>
  <c r="N534" i="13"/>
  <c r="N313" i="13"/>
  <c r="N693" i="13"/>
  <c r="N26" i="13"/>
  <c r="N406" i="13"/>
  <c r="N37" i="13"/>
  <c r="N400" i="13"/>
  <c r="N20" i="13"/>
  <c r="N30" i="13"/>
  <c r="N397" i="13"/>
  <c r="N76" i="13"/>
  <c r="N456" i="13"/>
  <c r="N44" i="13"/>
  <c r="N424" i="13"/>
  <c r="N447" i="13"/>
  <c r="N67" i="13"/>
  <c r="N99" i="13"/>
  <c r="N479" i="13"/>
  <c r="N48" i="13"/>
  <c r="N437" i="13"/>
  <c r="N57" i="13"/>
  <c r="N75" i="13"/>
  <c r="N455" i="13"/>
  <c r="N56" i="13"/>
  <c r="N436" i="13"/>
  <c r="N95" i="13"/>
  <c r="N500" i="13"/>
  <c r="N120" i="13"/>
  <c r="N485" i="13"/>
  <c r="N121" i="13"/>
  <c r="N137" i="13"/>
  <c r="N517" i="13"/>
  <c r="N58" i="13"/>
  <c r="N438" i="13"/>
  <c r="N535" i="13"/>
  <c r="N155" i="13"/>
  <c r="N510" i="13"/>
  <c r="N130" i="13"/>
  <c r="N147" i="13"/>
  <c r="N527" i="13"/>
  <c r="N11" i="13"/>
  <c r="N107" i="13"/>
  <c r="N487" i="13"/>
  <c r="N315" i="13"/>
  <c r="N310" i="13"/>
  <c r="N690" i="13"/>
  <c r="L224" i="7" l="1"/>
  <c r="B249" i="6"/>
  <c r="B104" i="6"/>
  <c r="B48" i="6"/>
  <c r="L211" i="7"/>
  <c r="B349" i="6"/>
  <c r="B95" i="6"/>
  <c r="L202" i="7"/>
  <c r="B105" i="6"/>
  <c r="L258" i="7"/>
  <c r="L153" i="7"/>
  <c r="L234" i="7"/>
  <c r="B370" i="6"/>
  <c r="B113" i="6"/>
  <c r="L98" i="7"/>
  <c r="L363" i="7"/>
  <c r="B354" i="6"/>
  <c r="L203" i="7"/>
  <c r="L107" i="7"/>
  <c r="B334" i="6"/>
  <c r="B188" i="6"/>
  <c r="B87" i="6"/>
  <c r="L239" i="7"/>
  <c r="B82" i="6"/>
  <c r="L369" i="7"/>
  <c r="B374" i="6"/>
  <c r="B228" i="6"/>
  <c r="B10" i="6"/>
  <c r="L180" i="7"/>
  <c r="L200" i="7"/>
  <c r="B92" i="6"/>
  <c r="L292" i="7"/>
  <c r="L256" i="7"/>
  <c r="B148" i="6"/>
  <c r="L352" i="7"/>
  <c r="B30" i="6"/>
  <c r="B204" i="6"/>
  <c r="B45" i="6"/>
  <c r="B170" i="6"/>
  <c r="B93" i="6"/>
  <c r="L306" i="7"/>
  <c r="L117" i="7"/>
  <c r="B150" i="6"/>
  <c r="L296" i="7"/>
  <c r="L73" i="7"/>
  <c r="B256" i="6"/>
  <c r="L298" i="7"/>
  <c r="L77" i="7"/>
  <c r="L383" i="7"/>
  <c r="B214" i="6"/>
  <c r="B52" i="6"/>
  <c r="L50" i="7"/>
  <c r="B281" i="6"/>
  <c r="L140" i="7"/>
  <c r="B81" i="6"/>
  <c r="B283" i="6"/>
  <c r="B287" i="6"/>
  <c r="B304" i="6"/>
  <c r="L285" i="7"/>
  <c r="L259" i="7"/>
  <c r="B180" i="6"/>
  <c r="L344" i="7"/>
  <c r="L12" i="7"/>
  <c r="L322" i="7"/>
  <c r="L42" i="7"/>
  <c r="L168" i="7"/>
  <c r="B60" i="6"/>
  <c r="B318" i="6"/>
  <c r="B172" i="6"/>
  <c r="B169" i="6"/>
  <c r="L196" i="7"/>
  <c r="L208" i="7"/>
  <c r="B100" i="6"/>
  <c r="L267" i="7"/>
  <c r="B263" i="6"/>
  <c r="L72" i="7"/>
  <c r="B323" i="6"/>
  <c r="B319" i="6"/>
  <c r="L128" i="7"/>
  <c r="B379" i="6"/>
  <c r="B375" i="6"/>
  <c r="L184" i="7"/>
  <c r="L54" i="7"/>
  <c r="B260" i="6"/>
  <c r="B42" i="6"/>
  <c r="L84" i="7"/>
  <c r="B265" i="6"/>
  <c r="L371" i="7"/>
  <c r="B312" i="6"/>
  <c r="L334" i="7"/>
  <c r="L343" i="7"/>
  <c r="B31" i="6"/>
  <c r="L132" i="7"/>
  <c r="B41" i="6"/>
  <c r="L226" i="7"/>
  <c r="L89" i="7"/>
  <c r="L183" i="7"/>
  <c r="B296" i="6"/>
  <c r="L171" i="7"/>
  <c r="L269" i="7"/>
  <c r="B313" i="6"/>
  <c r="B116" i="6"/>
  <c r="L90" i="7"/>
  <c r="L187" i="7"/>
  <c r="B144" i="6"/>
  <c r="B29" i="6"/>
  <c r="L67" i="7"/>
  <c r="L173" i="7"/>
  <c r="B280" i="6"/>
  <c r="B231" i="6"/>
  <c r="L104" i="7"/>
  <c r="B355" i="6"/>
  <c r="B254" i="6"/>
  <c r="B108" i="6"/>
  <c r="L355" i="7"/>
  <c r="L43" i="7"/>
  <c r="L144" i="7"/>
  <c r="L14" i="7"/>
  <c r="L133" i="7"/>
  <c r="B199" i="6"/>
  <c r="B69" i="6"/>
  <c r="B259" i="6"/>
  <c r="B255" i="6"/>
  <c r="B125" i="6"/>
  <c r="B315" i="6"/>
  <c r="B311" i="6"/>
  <c r="B181" i="6"/>
  <c r="B371" i="6"/>
  <c r="B196" i="6"/>
  <c r="L384" i="7"/>
  <c r="L53" i="7"/>
  <c r="L212" i="7"/>
  <c r="L375" i="7"/>
  <c r="B328" i="6"/>
  <c r="L222" i="7"/>
  <c r="L26" i="7"/>
  <c r="B193" i="6"/>
  <c r="L99" i="7"/>
  <c r="B17" i="6"/>
  <c r="B155" i="6"/>
  <c r="L288" i="7"/>
  <c r="B320" i="6"/>
  <c r="B232" i="6"/>
  <c r="B112" i="6"/>
  <c r="L243" i="7"/>
  <c r="L48" i="7"/>
  <c r="L44" i="7"/>
  <c r="L172" i="7"/>
  <c r="L141" i="7"/>
  <c r="B70" i="6"/>
  <c r="L378" i="7"/>
  <c r="L365" i="7"/>
  <c r="L329" i="7"/>
  <c r="B103" i="6"/>
  <c r="B37" i="6"/>
  <c r="B227" i="6"/>
  <c r="L88" i="7"/>
  <c r="B339" i="6"/>
  <c r="L155" i="7"/>
  <c r="B207" i="6"/>
  <c r="B77" i="6"/>
  <c r="B267" i="6"/>
  <c r="B160" i="6"/>
  <c r="L49" i="7"/>
  <c r="L223" i="7"/>
  <c r="B66" i="6"/>
  <c r="L105" i="7"/>
  <c r="L279" i="7"/>
  <c r="B122" i="6"/>
  <c r="L161" i="7"/>
  <c r="B53" i="6"/>
  <c r="B178" i="6"/>
  <c r="L46" i="7"/>
  <c r="L94" i="7"/>
  <c r="L374" i="7"/>
  <c r="L366" i="7"/>
  <c r="L29" i="7"/>
  <c r="L385" i="7"/>
  <c r="L55" i="7"/>
  <c r="B120" i="6"/>
  <c r="L92" i="7"/>
  <c r="L237" i="7"/>
  <c r="B272" i="6"/>
  <c r="L286" i="7"/>
  <c r="B262" i="6"/>
  <c r="L321" i="7"/>
  <c r="L116" i="7"/>
  <c r="B330" i="6"/>
  <c r="L335" i="7"/>
  <c r="B22" i="6"/>
  <c r="L337" i="7"/>
  <c r="L332" i="7"/>
  <c r="L274" i="7"/>
  <c r="L201" i="7"/>
  <c r="B322" i="6"/>
  <c r="L162" i="7"/>
  <c r="L52" i="7"/>
  <c r="B297" i="6"/>
  <c r="L209" i="7"/>
  <c r="L255" i="7"/>
  <c r="B98" i="6"/>
  <c r="L24" i="7"/>
  <c r="B275" i="6"/>
  <c r="B385" i="6"/>
  <c r="B143" i="6"/>
  <c r="B13" i="6"/>
  <c r="B138" i="6"/>
  <c r="L361" i="7"/>
  <c r="B366" i="6"/>
  <c r="B220" i="6"/>
  <c r="B128" i="6"/>
  <c r="L41" i="7"/>
  <c r="B276" i="6"/>
  <c r="B58" i="6"/>
  <c r="L97" i="7"/>
  <c r="B332" i="6"/>
  <c r="B114" i="6"/>
  <c r="B363" i="6"/>
  <c r="B175" i="6"/>
  <c r="L83" i="7"/>
  <c r="B233" i="6"/>
  <c r="B285" i="6"/>
  <c r="L228" i="7"/>
  <c r="L307" i="7"/>
  <c r="L333" i="7"/>
  <c r="L60" i="7"/>
  <c r="L119" i="7"/>
  <c r="L137" i="7"/>
  <c r="B321" i="6"/>
  <c r="L324" i="7"/>
  <c r="L123" i="7"/>
  <c r="B278" i="6"/>
  <c r="B344" i="6"/>
  <c r="B137" i="6"/>
  <c r="L350" i="7"/>
  <c r="B303" i="6"/>
  <c r="L219" i="7"/>
  <c r="B145" i="6"/>
  <c r="L315" i="7"/>
  <c r="L244" i="7"/>
  <c r="L17" i="7"/>
  <c r="L191" i="7"/>
  <c r="B34" i="6"/>
  <c r="B21" i="6"/>
  <c r="B211" i="6"/>
  <c r="B192" i="6"/>
  <c r="L57" i="7"/>
  <c r="L231" i="7"/>
  <c r="B74" i="6"/>
  <c r="L303" i="7"/>
  <c r="B302" i="6"/>
  <c r="B156" i="6"/>
  <c r="L360" i="7"/>
  <c r="B358" i="6"/>
  <c r="B212" i="6"/>
  <c r="B121" i="6"/>
  <c r="L33" i="7"/>
  <c r="B268" i="6"/>
  <c r="B109" i="6"/>
  <c r="B299" i="6"/>
  <c r="B351" i="6"/>
  <c r="AK37" i="6"/>
  <c r="R172" i="6"/>
  <c r="T54" i="6"/>
  <c r="O71" i="13"/>
  <c r="O234" i="13"/>
  <c r="O294" i="13"/>
  <c r="AA294" i="13" s="1"/>
  <c r="O354" i="13"/>
  <c r="Z354" i="13" s="1"/>
  <c r="O212" i="13"/>
  <c r="Y212" i="13" s="1"/>
  <c r="O55" i="13"/>
  <c r="X55" i="13" s="1"/>
  <c r="O248" i="13"/>
  <c r="V248" i="13" s="1"/>
  <c r="O219" i="13"/>
  <c r="Y219" i="13" s="1"/>
  <c r="O365" i="13"/>
  <c r="O204" i="13"/>
  <c r="Z204" i="13" s="1"/>
  <c r="O59" i="13"/>
  <c r="X59" i="13" s="1"/>
  <c r="O309" i="13"/>
  <c r="X309" i="13" s="1"/>
  <c r="O218" i="13"/>
  <c r="Y218" i="13" s="1"/>
  <c r="O317" i="13"/>
  <c r="Y317" i="13" s="1"/>
  <c r="O316" i="13"/>
  <c r="AA316" i="13" s="1"/>
  <c r="O91" i="13"/>
  <c r="V91" i="13" s="1"/>
  <c r="O226" i="13"/>
  <c r="O188" i="13"/>
  <c r="X188" i="13" s="1"/>
  <c r="AK35" i="6"/>
  <c r="T20" i="6"/>
  <c r="O15" i="13" s="1"/>
  <c r="R244" i="6"/>
  <c r="O239" i="13" s="1"/>
  <c r="AA239" i="13" s="1"/>
  <c r="O290" i="13"/>
  <c r="AA290" i="13" s="1"/>
  <c r="O149" i="13"/>
  <c r="X149" i="13" s="1"/>
  <c r="O51" i="13"/>
  <c r="X51" i="13" s="1"/>
  <c r="O87" i="13"/>
  <c r="O321" i="13"/>
  <c r="X321" i="13" s="1"/>
  <c r="O293" i="13"/>
  <c r="Z293" i="13" s="1"/>
  <c r="O130" i="13"/>
  <c r="V130" i="13" s="1"/>
  <c r="O99" i="13"/>
  <c r="X99" i="13" s="1"/>
  <c r="O114" i="13"/>
  <c r="Y114" i="13" s="1"/>
  <c r="O192" i="13"/>
  <c r="Y192" i="13" s="1"/>
  <c r="O346" i="13"/>
  <c r="W346" i="13" s="1"/>
  <c r="O282" i="13"/>
  <c r="O260" i="13"/>
  <c r="Z260" i="13" s="1"/>
  <c r="O122" i="13"/>
  <c r="W122" i="13" s="1"/>
  <c r="O213" i="13"/>
  <c r="AA213" i="13" s="1"/>
  <c r="O173" i="13"/>
  <c r="W173" i="13" s="1"/>
  <c r="O49" i="13"/>
  <c r="X49" i="13" s="1"/>
  <c r="O167" i="13"/>
  <c r="Z167" i="13" s="1"/>
  <c r="O177" i="13"/>
  <c r="Z177" i="13" s="1"/>
  <c r="O377" i="13"/>
  <c r="O274" i="13"/>
  <c r="W274" i="13" s="1"/>
  <c r="O277" i="13"/>
  <c r="X277" i="13" s="1"/>
  <c r="O83" i="13"/>
  <c r="AA83" i="13" s="1"/>
  <c r="O345" i="13"/>
  <c r="Y345" i="13" s="1"/>
  <c r="O165" i="13"/>
  <c r="Y165" i="13" s="1"/>
  <c r="R313" i="6"/>
  <c r="O308" i="13" s="1"/>
  <c r="Z308" i="13" s="1"/>
  <c r="R285" i="6"/>
  <c r="O280" i="13" s="1"/>
  <c r="X280" i="13" s="1"/>
  <c r="O193" i="13"/>
  <c r="O298" i="13"/>
  <c r="AA298" i="13" s="1"/>
  <c r="O50" i="13"/>
  <c r="Y50" i="13" s="1"/>
  <c r="O168" i="13"/>
  <c r="Y168" i="13" s="1"/>
  <c r="O82" i="13"/>
  <c r="Z82" i="13" s="1"/>
  <c r="O362" i="13"/>
  <c r="V362" i="13" s="1"/>
  <c r="O153" i="13"/>
  <c r="Y153" i="13" s="1"/>
  <c r="O66" i="13"/>
  <c r="V66" i="13" s="1"/>
  <c r="O157" i="13"/>
  <c r="O103" i="13"/>
  <c r="AA103" i="13" s="1"/>
  <c r="T387" i="6"/>
  <c r="O382" i="13" s="1"/>
  <c r="O54" i="13"/>
  <c r="Y54" i="13" s="1"/>
  <c r="O313" i="13"/>
  <c r="Y313" i="13" s="1"/>
  <c r="O196" i="13"/>
  <c r="Y196" i="13" s="1"/>
  <c r="O93" i="13"/>
  <c r="Y93" i="13" s="1"/>
  <c r="R316" i="6"/>
  <c r="O311" i="13" s="1"/>
  <c r="AA311" i="13" s="1"/>
  <c r="AK36" i="6"/>
  <c r="O230" i="13"/>
  <c r="Z230" i="13" s="1"/>
  <c r="O297" i="13"/>
  <c r="X297" i="13" s="1"/>
  <c r="O374" i="13"/>
  <c r="X374" i="13" s="1"/>
  <c r="O78" i="13"/>
  <c r="W78" i="13" s="1"/>
  <c r="T163" i="6"/>
  <c r="O158" i="13" s="1"/>
  <c r="O337" i="13"/>
  <c r="W337" i="13" s="1"/>
  <c r="O361" i="13"/>
  <c r="Z361" i="13" s="1"/>
  <c r="O145" i="13"/>
  <c r="O135" i="13"/>
  <c r="V135" i="13" s="1"/>
  <c r="O306" i="13"/>
  <c r="W306" i="13" s="1"/>
  <c r="O176" i="13"/>
  <c r="Y176" i="13" s="1"/>
  <c r="O67" i="13"/>
  <c r="Y67" i="13" s="1"/>
  <c r="O370" i="13"/>
  <c r="X370" i="13" s="1"/>
  <c r="O70" i="13"/>
  <c r="X70" i="13" s="1"/>
  <c r="O119" i="13"/>
  <c r="Y119" i="13" s="1"/>
  <c r="O318" i="13"/>
  <c r="O197" i="13"/>
  <c r="X197" i="13" s="1"/>
  <c r="O302" i="13"/>
  <c r="V302" i="13" s="1"/>
  <c r="O225" i="13"/>
  <c r="Y225" i="13" s="1"/>
  <c r="O353" i="13"/>
  <c r="Z353" i="13" s="1"/>
  <c r="O262" i="13"/>
  <c r="Z262" i="13" s="1"/>
  <c r="T355" i="6"/>
  <c r="O350" i="13" s="1"/>
  <c r="T214" i="6"/>
  <c r="O209" i="13" s="1"/>
  <c r="O94" i="13"/>
  <c r="O217" i="13"/>
  <c r="X217" i="13" s="1"/>
  <c r="O270" i="13"/>
  <c r="W270" i="13" s="1"/>
  <c r="O98" i="13"/>
  <c r="Z98" i="13" s="1"/>
  <c r="O185" i="13"/>
  <c r="Y185" i="13" s="1"/>
  <c r="O310" i="13"/>
  <c r="V310" i="13" s="1"/>
  <c r="O314" i="13"/>
  <c r="Z314" i="13" s="1"/>
  <c r="O184" i="13"/>
  <c r="X184" i="13" s="1"/>
  <c r="O286" i="13"/>
  <c r="X286" i="13" s="1"/>
  <c r="O115" i="13"/>
  <c r="Y115" i="13" s="1"/>
  <c r="O214" i="13"/>
  <c r="Y214" i="13" s="1"/>
  <c r="O227" i="13"/>
  <c r="X227" i="13" s="1"/>
  <c r="O285" i="13"/>
  <c r="X285" i="13" s="1"/>
  <c r="O278" i="13"/>
  <c r="Z278" i="13" s="1"/>
  <c r="O169" i="13"/>
  <c r="W169" i="13" s="1"/>
  <c r="O254" i="13"/>
  <c r="Y254" i="13" s="1"/>
  <c r="O273" i="13"/>
  <c r="Z273" i="13" s="1"/>
  <c r="O124" i="13"/>
  <c r="AA124" i="13" s="1"/>
  <c r="O266" i="13"/>
  <c r="X266" i="13" s="1"/>
  <c r="O131" i="13"/>
  <c r="W131" i="13" s="1"/>
  <c r="O62" i="13"/>
  <c r="V62" i="13" s="1"/>
  <c r="O139" i="13"/>
  <c r="X139" i="13" s="1"/>
  <c r="O106" i="13"/>
  <c r="AA106" i="13" s="1"/>
  <c r="O189" i="13"/>
  <c r="V189" i="13" s="1"/>
  <c r="O161" i="13"/>
  <c r="W161" i="13" s="1"/>
  <c r="O75" i="13"/>
  <c r="Z75" i="13" s="1"/>
  <c r="O223" i="13"/>
  <c r="AA223" i="13" s="1"/>
  <c r="O181" i="13"/>
  <c r="X181" i="13" s="1"/>
  <c r="O258" i="13"/>
  <c r="W258" i="13" s="1"/>
  <c r="O123" i="13"/>
  <c r="X123" i="13" s="1"/>
  <c r="O68" i="13"/>
  <c r="X68" i="13" s="1"/>
  <c r="AA193" i="13"/>
  <c r="X193" i="13"/>
  <c r="Y193" i="13"/>
  <c r="V193" i="13"/>
  <c r="Z193" i="13"/>
  <c r="W193" i="13"/>
  <c r="W114" i="13"/>
  <c r="AA273" i="13"/>
  <c r="X226" i="13"/>
  <c r="Y226" i="13"/>
  <c r="V226" i="13"/>
  <c r="W226" i="13"/>
  <c r="Z226" i="13"/>
  <c r="AA226" i="13"/>
  <c r="X145" i="13"/>
  <c r="Y145" i="13"/>
  <c r="AA145" i="13"/>
  <c r="V145" i="13"/>
  <c r="Z145" i="13"/>
  <c r="W145" i="13"/>
  <c r="Y294" i="13"/>
  <c r="X294" i="13"/>
  <c r="W294" i="13"/>
  <c r="V294" i="13"/>
  <c r="Z294" i="13"/>
  <c r="Y71" i="13"/>
  <c r="X71" i="13"/>
  <c r="W71" i="13"/>
  <c r="V71" i="13"/>
  <c r="Z71" i="13"/>
  <c r="AA71" i="13"/>
  <c r="Y365" i="13"/>
  <c r="X365" i="13"/>
  <c r="W365" i="13"/>
  <c r="V365" i="13"/>
  <c r="Z365" i="13"/>
  <c r="AA365" i="13"/>
  <c r="AA157" i="13"/>
  <c r="Y157" i="13"/>
  <c r="V157" i="13"/>
  <c r="X157" i="13"/>
  <c r="Z157" i="13"/>
  <c r="W157" i="13"/>
  <c r="X318" i="13"/>
  <c r="Y318" i="13"/>
  <c r="Z318" i="13"/>
  <c r="W318" i="13"/>
  <c r="AA318" i="13"/>
  <c r="V318" i="13"/>
  <c r="X377" i="13"/>
  <c r="Y377" i="13"/>
  <c r="AA377" i="13"/>
  <c r="W377" i="13"/>
  <c r="Z377" i="13"/>
  <c r="V377" i="13"/>
  <c r="Y204" i="13"/>
  <c r="W204" i="13"/>
  <c r="W87" i="13"/>
  <c r="X87" i="13"/>
  <c r="Y87" i="13"/>
  <c r="AA87" i="13"/>
  <c r="Z87" i="13"/>
  <c r="V87" i="13"/>
  <c r="X94" i="13"/>
  <c r="Y94" i="13"/>
  <c r="Z94" i="13"/>
  <c r="W94" i="13"/>
  <c r="AA94" i="13"/>
  <c r="V94" i="13"/>
  <c r="W286" i="13"/>
  <c r="AA286" i="13"/>
  <c r="V286" i="13"/>
  <c r="X282" i="13"/>
  <c r="Y282" i="13"/>
  <c r="V282" i="13"/>
  <c r="AA282" i="13"/>
  <c r="Z282" i="13"/>
  <c r="W282" i="13"/>
  <c r="Y234" i="13"/>
  <c r="X234" i="13"/>
  <c r="V234" i="13"/>
  <c r="AA234" i="13"/>
  <c r="Z234" i="13"/>
  <c r="W234" i="13"/>
  <c r="R142" i="6"/>
  <c r="O137" i="13" s="1"/>
  <c r="R165" i="6"/>
  <c r="O160" i="13" s="1"/>
  <c r="T339" i="6"/>
  <c r="O334" i="13" s="1"/>
  <c r="T86" i="6"/>
  <c r="O81" i="13" s="1"/>
  <c r="T131" i="6"/>
  <c r="O126" i="13" s="1"/>
  <c r="T155" i="6"/>
  <c r="O150" i="13" s="1"/>
  <c r="T25" i="6"/>
  <c r="O25" i="13"/>
  <c r="O29" i="13"/>
  <c r="O40" i="13"/>
  <c r="O9" i="13"/>
  <c r="O21" i="13"/>
  <c r="O46" i="13"/>
  <c r="O43" i="13"/>
  <c r="O47" i="13"/>
  <c r="O28" i="13"/>
  <c r="O4" i="13"/>
  <c r="R164" i="6"/>
  <c r="R47" i="6"/>
  <c r="R42" i="6"/>
  <c r="R199" i="6"/>
  <c r="O194" i="13" s="1"/>
  <c r="R269" i="6"/>
  <c r="O264" i="13" s="1"/>
  <c r="T77" i="6"/>
  <c r="R77" i="6"/>
  <c r="T68" i="6"/>
  <c r="R68" i="6"/>
  <c r="T18" i="6"/>
  <c r="R18" i="6"/>
  <c r="T364" i="6"/>
  <c r="R364" i="6"/>
  <c r="R251" i="6"/>
  <c r="T251" i="6"/>
  <c r="T329" i="6"/>
  <c r="R329" i="6"/>
  <c r="R294" i="6"/>
  <c r="T294" i="6"/>
  <c r="T349" i="6"/>
  <c r="R349" i="6"/>
  <c r="T213" i="6"/>
  <c r="R213" i="6"/>
  <c r="T340" i="6"/>
  <c r="R340" i="6"/>
  <c r="R139" i="6"/>
  <c r="T139" i="6"/>
  <c r="T293" i="6"/>
  <c r="R293" i="6"/>
  <c r="T21" i="6"/>
  <c r="R21" i="6"/>
  <c r="T65" i="6"/>
  <c r="R65" i="6"/>
  <c r="R11" i="6"/>
  <c r="T11" i="6"/>
  <c r="T143" i="6"/>
  <c r="R143" i="6"/>
  <c r="T74" i="6"/>
  <c r="R74" i="6"/>
  <c r="T249" i="6"/>
  <c r="R249" i="6"/>
  <c r="T386" i="6"/>
  <c r="R386" i="6"/>
  <c r="T39" i="6"/>
  <c r="R39" i="6"/>
  <c r="T274" i="6"/>
  <c r="R274" i="6"/>
  <c r="T284" i="6"/>
  <c r="R284" i="6"/>
  <c r="R374" i="6"/>
  <c r="T374" i="6"/>
  <c r="T81" i="6"/>
  <c r="R81" i="6"/>
  <c r="R46" i="6"/>
  <c r="T46" i="6"/>
  <c r="T296" i="6"/>
  <c r="R296" i="6"/>
  <c r="R123" i="6"/>
  <c r="T123" i="6"/>
  <c r="R91" i="6"/>
  <c r="T91" i="6"/>
  <c r="T312" i="6"/>
  <c r="R312" i="6"/>
  <c r="T12" i="6"/>
  <c r="R12" i="6"/>
  <c r="T236" i="6"/>
  <c r="R236" i="6"/>
  <c r="T208" i="6"/>
  <c r="R208" i="6"/>
  <c r="R246" i="6"/>
  <c r="T246" i="6"/>
  <c r="T346" i="6"/>
  <c r="R346" i="6"/>
  <c r="T95" i="6"/>
  <c r="R95" i="6"/>
  <c r="T264" i="6"/>
  <c r="R264" i="6"/>
  <c r="R70" i="6"/>
  <c r="T70" i="6"/>
  <c r="T369" i="6"/>
  <c r="R369" i="6"/>
  <c r="R243" i="6"/>
  <c r="T243" i="6"/>
  <c r="T353" i="6"/>
  <c r="R353" i="6"/>
  <c r="R43" i="6"/>
  <c r="T43" i="6"/>
  <c r="T240" i="6"/>
  <c r="R240" i="6"/>
  <c r="T361" i="6"/>
  <c r="R361" i="6"/>
  <c r="T117" i="6"/>
  <c r="R117" i="6"/>
  <c r="R134" i="6"/>
  <c r="T134" i="6"/>
  <c r="R171" i="6"/>
  <c r="T171" i="6"/>
  <c r="T330" i="6"/>
  <c r="R330" i="6"/>
  <c r="R22" i="6"/>
  <c r="T22" i="6"/>
  <c r="T260" i="6"/>
  <c r="R260" i="6"/>
  <c r="T145" i="6"/>
  <c r="R145" i="6"/>
  <c r="R206" i="6"/>
  <c r="T206" i="6"/>
  <c r="T180" i="6"/>
  <c r="R180" i="6"/>
  <c r="T266" i="6"/>
  <c r="R266" i="6"/>
  <c r="R126" i="6"/>
  <c r="T126" i="6"/>
  <c r="T53" i="6"/>
  <c r="R53" i="6"/>
  <c r="T337" i="6"/>
  <c r="R337" i="6"/>
  <c r="R38" i="6"/>
  <c r="T38" i="6"/>
  <c r="T245" i="6"/>
  <c r="R245" i="6"/>
  <c r="T138" i="6"/>
  <c r="R138" i="6"/>
  <c r="T300" i="6"/>
  <c r="R300" i="6"/>
  <c r="T156" i="6"/>
  <c r="R156" i="6"/>
  <c r="T63" i="6"/>
  <c r="R63" i="6"/>
  <c r="T69" i="6"/>
  <c r="R69" i="6"/>
  <c r="T345" i="6"/>
  <c r="R345" i="6"/>
  <c r="T17" i="6"/>
  <c r="R17" i="6"/>
  <c r="T233" i="6"/>
  <c r="R233" i="6"/>
  <c r="T125" i="6"/>
  <c r="R125" i="6"/>
  <c r="T58" i="6"/>
  <c r="R58" i="6"/>
  <c r="T292" i="6"/>
  <c r="R292" i="6"/>
  <c r="T226" i="6"/>
  <c r="R226" i="6"/>
  <c r="T137" i="6"/>
  <c r="R137" i="6"/>
  <c r="T256" i="6"/>
  <c r="R256" i="6"/>
  <c r="T384" i="6"/>
  <c r="R384" i="6"/>
  <c r="T280" i="6"/>
  <c r="R280" i="6"/>
  <c r="T141" i="6"/>
  <c r="R141" i="6"/>
  <c r="T234" i="6"/>
  <c r="R234" i="6"/>
  <c r="T365" i="6"/>
  <c r="R365" i="6"/>
  <c r="T324" i="6"/>
  <c r="R324" i="6"/>
  <c r="R238" i="6"/>
  <c r="T238" i="6"/>
  <c r="T301" i="6"/>
  <c r="R301" i="6"/>
  <c r="T268" i="6"/>
  <c r="R268" i="6"/>
  <c r="R334" i="6"/>
  <c r="T334" i="6"/>
  <c r="T207" i="6"/>
  <c r="R207" i="6"/>
  <c r="T272" i="6"/>
  <c r="R272" i="6"/>
  <c r="R19" i="6"/>
  <c r="T19" i="6"/>
  <c r="T101" i="6"/>
  <c r="R101" i="6"/>
  <c r="T152" i="6"/>
  <c r="R152" i="6"/>
  <c r="T229" i="6"/>
  <c r="R229" i="6"/>
  <c r="T196" i="6"/>
  <c r="R196" i="6"/>
  <c r="R310" i="6"/>
  <c r="T310" i="6"/>
  <c r="T61" i="6"/>
  <c r="R61" i="6"/>
  <c r="T356" i="6"/>
  <c r="R356" i="6"/>
  <c r="T16" i="6"/>
  <c r="R16" i="6"/>
  <c r="T15" i="6"/>
  <c r="R15" i="6"/>
  <c r="T121" i="6"/>
  <c r="R121" i="6"/>
  <c r="T257" i="6"/>
  <c r="R257" i="6"/>
  <c r="T36" i="6"/>
  <c r="R36" i="6"/>
  <c r="T225" i="6"/>
  <c r="R225" i="6"/>
  <c r="T114" i="6"/>
  <c r="R114" i="6"/>
  <c r="R102" i="6"/>
  <c r="T102" i="6"/>
  <c r="T122" i="6"/>
  <c r="R122" i="6"/>
  <c r="R115" i="6"/>
  <c r="T115" i="6"/>
  <c r="T348" i="6"/>
  <c r="R348" i="6"/>
  <c r="T82" i="6"/>
  <c r="R82" i="6"/>
  <c r="T338" i="6"/>
  <c r="R338" i="6"/>
  <c r="T385" i="6"/>
  <c r="R385" i="6"/>
  <c r="T205" i="6"/>
  <c r="R205" i="6"/>
  <c r="T167" i="6"/>
  <c r="R167" i="6"/>
  <c r="R62" i="6"/>
  <c r="T62" i="6"/>
  <c r="T24" i="6"/>
  <c r="R24" i="6"/>
  <c r="R347" i="6"/>
  <c r="T347" i="6"/>
  <c r="T381" i="6"/>
  <c r="R381" i="6"/>
  <c r="T242" i="6"/>
  <c r="R242" i="6"/>
  <c r="R262" i="6"/>
  <c r="T262" i="6"/>
  <c r="T288" i="6"/>
  <c r="R288" i="6"/>
  <c r="R107" i="6"/>
  <c r="T107" i="6"/>
  <c r="R27" i="6"/>
  <c r="T27" i="6"/>
  <c r="T41" i="6"/>
  <c r="R41" i="6"/>
  <c r="T255" i="6"/>
  <c r="R255" i="6"/>
  <c r="R371" i="6"/>
  <c r="T371" i="6"/>
  <c r="T31" i="6"/>
  <c r="R31" i="6"/>
  <c r="T13" i="6"/>
  <c r="R13" i="6"/>
  <c r="T380" i="6"/>
  <c r="R380" i="6"/>
  <c r="T306" i="6"/>
  <c r="R306" i="6"/>
  <c r="T157" i="6"/>
  <c r="R157" i="6"/>
  <c r="T192" i="6"/>
  <c r="R192" i="6"/>
  <c r="T116" i="6"/>
  <c r="R116" i="6"/>
  <c r="T383" i="6"/>
  <c r="R383" i="6"/>
  <c r="T258" i="6"/>
  <c r="R258" i="6"/>
  <c r="T151" i="6"/>
  <c r="R151" i="6"/>
  <c r="T57" i="6"/>
  <c r="R57" i="6"/>
  <c r="T84" i="6"/>
  <c r="R84" i="6"/>
  <c r="T241" i="6"/>
  <c r="R241" i="6"/>
  <c r="T79" i="6"/>
  <c r="R79" i="6"/>
  <c r="T50" i="6"/>
  <c r="R50" i="6"/>
  <c r="T169" i="6"/>
  <c r="R169" i="6"/>
  <c r="T327" i="6"/>
  <c r="R327" i="6"/>
  <c r="R110" i="6"/>
  <c r="T110" i="6"/>
  <c r="T304" i="6"/>
  <c r="R304" i="6"/>
  <c r="T341" i="6"/>
  <c r="R341" i="6"/>
  <c r="T185" i="6"/>
  <c r="R185" i="6"/>
  <c r="T133" i="6"/>
  <c r="R133" i="6"/>
  <c r="R78" i="6"/>
  <c r="T78" i="6"/>
  <c r="T377" i="6"/>
  <c r="R377" i="6"/>
  <c r="T237" i="6"/>
  <c r="R237" i="6"/>
  <c r="T90" i="6"/>
  <c r="R90" i="6"/>
  <c r="T248" i="6"/>
  <c r="R248" i="6"/>
  <c r="T177" i="6"/>
  <c r="R177" i="6"/>
  <c r="T320" i="6"/>
  <c r="R320" i="6"/>
  <c r="R211" i="6"/>
  <c r="T211" i="6"/>
  <c r="T328" i="6"/>
  <c r="R328" i="6"/>
  <c r="T247" i="6"/>
  <c r="R247" i="6"/>
  <c r="T308" i="6"/>
  <c r="R308" i="6"/>
  <c r="T93" i="6"/>
  <c r="R93" i="6"/>
  <c r="T221" i="6"/>
  <c r="R221" i="6"/>
  <c r="T85" i="6"/>
  <c r="R85" i="6"/>
  <c r="T333" i="6"/>
  <c r="R333" i="6"/>
  <c r="T297" i="6"/>
  <c r="R297" i="6"/>
  <c r="T373" i="6"/>
  <c r="R373" i="6"/>
  <c r="R147" i="6"/>
  <c r="T147" i="6"/>
  <c r="T305" i="6"/>
  <c r="R305" i="6"/>
  <c r="T360" i="6"/>
  <c r="R360" i="6"/>
  <c r="T276" i="6"/>
  <c r="R276" i="6"/>
  <c r="R195" i="6"/>
  <c r="T195" i="6"/>
  <c r="T309" i="6"/>
  <c r="R309" i="6"/>
  <c r="T105" i="6"/>
  <c r="R105" i="6"/>
  <c r="R203" i="6"/>
  <c r="T203" i="6"/>
  <c r="R254" i="6"/>
  <c r="T254" i="6"/>
  <c r="T362" i="6"/>
  <c r="R362" i="6"/>
  <c r="R94" i="6"/>
  <c r="T94" i="6"/>
  <c r="T277" i="6"/>
  <c r="R277" i="6"/>
  <c r="T354" i="6"/>
  <c r="R354" i="6"/>
  <c r="T112" i="6"/>
  <c r="R112" i="6"/>
  <c r="R35" i="6"/>
  <c r="T35" i="6"/>
  <c r="T216" i="6"/>
  <c r="R216" i="6"/>
  <c r="T273" i="6"/>
  <c r="R273" i="6"/>
  <c r="T372" i="6"/>
  <c r="R372" i="6"/>
  <c r="T44" i="6"/>
  <c r="R44" i="6"/>
  <c r="T175" i="6"/>
  <c r="R175" i="6"/>
  <c r="T183" i="6"/>
  <c r="R183" i="6"/>
  <c r="T352" i="6"/>
  <c r="R352" i="6"/>
  <c r="T10" i="6"/>
  <c r="R10" i="6"/>
  <c r="T335" i="6"/>
  <c r="R335" i="6"/>
  <c r="T344" i="6"/>
  <c r="R344" i="6"/>
  <c r="T132" i="6"/>
  <c r="R132" i="6"/>
  <c r="R179" i="6"/>
  <c r="T179" i="6"/>
  <c r="R227" i="6"/>
  <c r="T227" i="6"/>
  <c r="T23" i="6"/>
  <c r="R23" i="6"/>
  <c r="T106" i="6"/>
  <c r="R106" i="6"/>
  <c r="T289" i="6"/>
  <c r="R289" i="6"/>
  <c r="T212" i="6"/>
  <c r="R212" i="6"/>
  <c r="T97" i="6"/>
  <c r="R97" i="6"/>
  <c r="T252" i="6"/>
  <c r="R252" i="6"/>
  <c r="T66" i="6"/>
  <c r="R66" i="6"/>
  <c r="T149" i="6"/>
  <c r="R149" i="6"/>
  <c r="T29" i="6"/>
  <c r="R29" i="6"/>
  <c r="T184" i="6"/>
  <c r="R184" i="6"/>
  <c r="T28" i="6"/>
  <c r="R28" i="6"/>
  <c r="T261" i="6"/>
  <c r="R261" i="6"/>
  <c r="R270" i="6"/>
  <c r="T270" i="6"/>
  <c r="T89" i="6"/>
  <c r="R89" i="6"/>
  <c r="T148" i="6"/>
  <c r="R148" i="6"/>
  <c r="T220" i="6"/>
  <c r="R220" i="6"/>
  <c r="T191" i="6"/>
  <c r="R191" i="6"/>
  <c r="T215" i="6"/>
  <c r="R215" i="6"/>
  <c r="T200" i="6"/>
  <c r="R200" i="6"/>
  <c r="T161" i="6"/>
  <c r="R161" i="6"/>
  <c r="T368" i="6"/>
  <c r="R368" i="6"/>
  <c r="T113" i="6"/>
  <c r="R113" i="6"/>
  <c r="T250" i="6"/>
  <c r="R250" i="6"/>
  <c r="T159" i="6"/>
  <c r="R159" i="6"/>
  <c r="R286" i="6"/>
  <c r="T286" i="6"/>
  <c r="T146" i="6"/>
  <c r="R146" i="6"/>
  <c r="T317" i="6"/>
  <c r="R317" i="6"/>
  <c r="T168" i="6"/>
  <c r="R168" i="6"/>
  <c r="T388" i="6"/>
  <c r="R388" i="6"/>
  <c r="R187" i="6"/>
  <c r="T187" i="6"/>
  <c r="T343" i="6"/>
  <c r="R343" i="6"/>
  <c r="T325" i="6"/>
  <c r="R325" i="6"/>
  <c r="T130" i="6"/>
  <c r="R130" i="6"/>
  <c r="T281" i="6"/>
  <c r="R281" i="6"/>
  <c r="T37" i="6"/>
  <c r="R37" i="6"/>
  <c r="T176" i="6"/>
  <c r="R176" i="6"/>
  <c r="T100" i="6"/>
  <c r="R100" i="6"/>
  <c r="T109" i="6"/>
  <c r="R109" i="6"/>
  <c r="T336" i="6"/>
  <c r="R336" i="6"/>
  <c r="T376" i="6"/>
  <c r="R376" i="6"/>
  <c r="T378" i="6"/>
  <c r="R378" i="6"/>
  <c r="R118" i="6"/>
  <c r="T118" i="6"/>
  <c r="T357" i="6"/>
  <c r="R357" i="6"/>
  <c r="T153" i="6"/>
  <c r="R153" i="6"/>
  <c r="T188" i="6"/>
  <c r="R188" i="6"/>
  <c r="T32" i="6"/>
  <c r="R32" i="6"/>
  <c r="R363" i="6"/>
  <c r="T363" i="6"/>
  <c r="T40" i="6"/>
  <c r="R40" i="6"/>
  <c r="T210" i="6"/>
  <c r="R210" i="6"/>
  <c r="T160" i="6"/>
  <c r="R160" i="6"/>
  <c r="T332" i="6"/>
  <c r="R332" i="6"/>
  <c r="R331" i="6"/>
  <c r="T331" i="6"/>
  <c r="T204" i="6"/>
  <c r="R204" i="6"/>
  <c r="T49" i="6"/>
  <c r="R49" i="6"/>
  <c r="T4" i="13"/>
  <c r="B154" i="6"/>
  <c r="B386" i="6"/>
  <c r="L338" i="7"/>
  <c r="B273" i="6"/>
  <c r="L93" i="7"/>
  <c r="L311" i="7"/>
  <c r="L266" i="7"/>
  <c r="L291" i="7"/>
  <c r="L186" i="7"/>
  <c r="B72" i="6"/>
  <c r="L382" i="7"/>
  <c r="L260" i="7"/>
  <c r="L341" i="7"/>
  <c r="L367" i="7"/>
  <c r="L36" i="7"/>
  <c r="L236" i="7"/>
  <c r="B64" i="6"/>
  <c r="L9" i="7"/>
  <c r="B343" i="6"/>
  <c r="L30" i="7"/>
  <c r="B234" i="6"/>
  <c r="L110" i="7"/>
  <c r="B324" i="6"/>
  <c r="B173" i="6"/>
  <c r="B51" i="6"/>
  <c r="L182" i="7"/>
  <c r="L15" i="7"/>
  <c r="B245" i="6"/>
  <c r="B94" i="6"/>
  <c r="L225" i="7"/>
  <c r="L58" i="7"/>
  <c r="B338" i="6"/>
  <c r="B250" i="6"/>
  <c r="L126" i="7"/>
  <c r="B340" i="6"/>
  <c r="B189" i="6"/>
  <c r="B38" i="6"/>
  <c r="L169" i="7"/>
  <c r="B383" i="6"/>
  <c r="B153" i="6"/>
  <c r="B194" i="6"/>
  <c r="L70" i="7"/>
  <c r="B284" i="6"/>
  <c r="B133" i="6"/>
  <c r="L264" i="7"/>
  <c r="L113" i="7"/>
  <c r="B327" i="6"/>
  <c r="L368" i="7"/>
  <c r="L154" i="7"/>
  <c r="B136" i="6"/>
  <c r="B202" i="6"/>
  <c r="L78" i="7"/>
  <c r="B292" i="6"/>
  <c r="B141" i="6"/>
  <c r="L272" i="7"/>
  <c r="L121" i="7"/>
  <c r="B335" i="6"/>
  <c r="L376" i="7"/>
  <c r="L170" i="7"/>
  <c r="B168" i="6"/>
  <c r="B146" i="6"/>
  <c r="L22" i="7"/>
  <c r="B236" i="6"/>
  <c r="B85" i="6"/>
  <c r="L216" i="7"/>
  <c r="L65" i="7"/>
  <c r="B162" i="6"/>
  <c r="L38" i="7"/>
  <c r="B252" i="6"/>
  <c r="B101" i="6"/>
  <c r="L232" i="7"/>
  <c r="L81" i="7"/>
  <c r="B295" i="6"/>
  <c r="L336" i="7"/>
  <c r="L68" i="7"/>
  <c r="L379" i="7"/>
  <c r="L358" i="7"/>
  <c r="B372" i="6"/>
  <c r="L227" i="7"/>
  <c r="B177" i="6"/>
  <c r="L235" i="7"/>
  <c r="B290" i="6"/>
  <c r="L213" i="7"/>
  <c r="B241" i="6"/>
  <c r="L108" i="7"/>
  <c r="B225" i="6"/>
  <c r="L100" i="7"/>
  <c r="B47" i="6"/>
  <c r="L35" i="7"/>
  <c r="L301" i="7"/>
  <c r="B240" i="6"/>
  <c r="L11" i="7"/>
  <c r="L197" i="7"/>
  <c r="B134" i="6"/>
  <c r="B159" i="6"/>
  <c r="B43" i="6"/>
  <c r="L174" i="7"/>
  <c r="B9" i="6"/>
  <c r="B237" i="6"/>
  <c r="B115" i="6"/>
  <c r="L246" i="7"/>
  <c r="L79" i="7"/>
  <c r="B309" i="6"/>
  <c r="B158" i="6"/>
  <c r="L289" i="7"/>
  <c r="L122" i="7"/>
  <c r="L131" i="7"/>
  <c r="B59" i="6"/>
  <c r="L190" i="7"/>
  <c r="L23" i="7"/>
  <c r="B253" i="6"/>
  <c r="B102" i="6"/>
  <c r="L233" i="7"/>
  <c r="L66" i="7"/>
  <c r="B361" i="6"/>
  <c r="B258" i="6"/>
  <c r="L134" i="7"/>
  <c r="B348" i="6"/>
  <c r="B197" i="6"/>
  <c r="B46" i="6"/>
  <c r="L177" i="7"/>
  <c r="L10" i="7"/>
  <c r="B185" i="6"/>
  <c r="L282" i="7"/>
  <c r="B346" i="6"/>
  <c r="B11" i="6"/>
  <c r="L142" i="7"/>
  <c r="B356" i="6"/>
  <c r="B205" i="6"/>
  <c r="B54" i="6"/>
  <c r="L185" i="7"/>
  <c r="L18" i="7"/>
  <c r="B217" i="6"/>
  <c r="L295" i="7"/>
  <c r="B369" i="6"/>
  <c r="B210" i="6"/>
  <c r="L86" i="7"/>
  <c r="B300" i="6"/>
  <c r="B149" i="6"/>
  <c r="L280" i="7"/>
  <c r="L129" i="7"/>
  <c r="B226" i="6"/>
  <c r="L102" i="7"/>
  <c r="B316" i="6"/>
  <c r="B165" i="6"/>
  <c r="B14" i="6"/>
  <c r="L145" i="7"/>
  <c r="B359" i="6"/>
  <c r="B57" i="6"/>
  <c r="L218" i="7"/>
  <c r="B264" i="6"/>
  <c r="L290" i="7"/>
  <c r="B201" i="6"/>
  <c r="L250" i="7"/>
  <c r="B151" i="6"/>
  <c r="B90" i="6"/>
  <c r="L189" i="7"/>
  <c r="L380" i="7"/>
  <c r="L210" i="7"/>
  <c r="L327" i="7"/>
  <c r="L314" i="7"/>
  <c r="L300" i="7"/>
  <c r="L34" i="7"/>
  <c r="L242" i="7"/>
  <c r="B367" i="6"/>
  <c r="L195" i="7"/>
  <c r="L45" i="7"/>
  <c r="L373" i="7"/>
  <c r="B27" i="6"/>
  <c r="L252" i="7"/>
  <c r="L179" i="7"/>
  <c r="L381" i="7"/>
  <c r="B40" i="6"/>
  <c r="B25" i="6"/>
  <c r="L160" i="7"/>
  <c r="L217" i="7"/>
  <c r="B107" i="6"/>
  <c r="L238" i="7"/>
  <c r="L71" i="7"/>
  <c r="B301" i="6"/>
  <c r="B179" i="6"/>
  <c r="B12" i="6"/>
  <c r="L143" i="7"/>
  <c r="B373" i="6"/>
  <c r="B222" i="6"/>
  <c r="B55" i="6"/>
  <c r="B152" i="6"/>
  <c r="L261" i="7"/>
  <c r="B123" i="6"/>
  <c r="L254" i="7"/>
  <c r="L87" i="7"/>
  <c r="B317" i="6"/>
  <c r="B166" i="6"/>
  <c r="L297" i="7"/>
  <c r="L130" i="7"/>
  <c r="L149" i="7"/>
  <c r="B67" i="6"/>
  <c r="L198" i="7"/>
  <c r="L31" i="7"/>
  <c r="B261" i="6"/>
  <c r="B110" i="6"/>
  <c r="L241" i="7"/>
  <c r="L74" i="7"/>
  <c r="B384" i="6"/>
  <c r="L354" i="7"/>
  <c r="L139" i="7"/>
  <c r="B75" i="6"/>
  <c r="L206" i="7"/>
  <c r="L39" i="7"/>
  <c r="B269" i="6"/>
  <c r="B118" i="6"/>
  <c r="L249" i="7"/>
  <c r="L82" i="7"/>
  <c r="L21" i="7"/>
  <c r="L362" i="7"/>
  <c r="L156" i="7"/>
  <c r="B19" i="6"/>
  <c r="L150" i="7"/>
  <c r="B364" i="6"/>
  <c r="B213" i="6"/>
  <c r="B62" i="6"/>
  <c r="L193" i="7"/>
  <c r="B35" i="6"/>
  <c r="L166" i="7"/>
  <c r="B380" i="6"/>
  <c r="B229" i="6"/>
  <c r="B78" i="6"/>
  <c r="L109" i="7"/>
  <c r="L37" i="7"/>
  <c r="B274" i="6"/>
  <c r="B200" i="6"/>
  <c r="B377" i="6"/>
  <c r="L313" i="7"/>
  <c r="B266" i="6"/>
  <c r="L176" i="7"/>
  <c r="B208" i="6"/>
  <c r="B221" i="6"/>
  <c r="B49" i="6"/>
  <c r="B89" i="6"/>
  <c r="L76" i="7"/>
  <c r="L323" i="7"/>
  <c r="L19" i="7"/>
  <c r="L317" i="7"/>
  <c r="L251" i="7"/>
  <c r="L125" i="7"/>
  <c r="B157" i="6"/>
  <c r="B342" i="6"/>
  <c r="B171" i="6"/>
  <c r="L302" i="7"/>
  <c r="L135" i="7"/>
  <c r="B365" i="6"/>
  <c r="B243" i="6"/>
  <c r="B76" i="6"/>
  <c r="L207" i="7"/>
  <c r="L56" i="7"/>
  <c r="B286" i="6"/>
  <c r="B119" i="6"/>
  <c r="B360" i="6"/>
  <c r="L345" i="7"/>
  <c r="B187" i="6"/>
  <c r="B20" i="6"/>
  <c r="L151" i="7"/>
  <c r="B381" i="6"/>
  <c r="B230" i="6"/>
  <c r="B63" i="6"/>
  <c r="B184" i="6"/>
  <c r="L277" i="7"/>
  <c r="B131" i="6"/>
  <c r="L262" i="7"/>
  <c r="L95" i="7"/>
  <c r="B325" i="6"/>
  <c r="B174" i="6"/>
  <c r="L305" i="7"/>
  <c r="L138" i="7"/>
  <c r="L165" i="7"/>
  <c r="B129" i="6"/>
  <c r="L268" i="7"/>
  <c r="B139" i="6"/>
  <c r="L270" i="7"/>
  <c r="L103" i="7"/>
  <c r="B333" i="6"/>
  <c r="B182" i="6"/>
  <c r="B15" i="6"/>
  <c r="L146" i="7"/>
  <c r="L181" i="7"/>
  <c r="B161" i="6"/>
  <c r="L284" i="7"/>
  <c r="B83" i="6"/>
  <c r="L214" i="7"/>
  <c r="L47" i="7"/>
  <c r="B277" i="6"/>
  <c r="B126" i="6"/>
  <c r="L257" i="7"/>
  <c r="B99" i="6"/>
  <c r="L230" i="7"/>
  <c r="L63" i="7"/>
  <c r="B293" i="6"/>
  <c r="B142" i="6"/>
  <c r="L273" i="7"/>
  <c r="L106" i="7"/>
  <c r="L85" i="7"/>
  <c r="L7" i="7"/>
  <c r="L204" i="7"/>
  <c r="L351" i="7"/>
  <c r="B376" i="6"/>
  <c r="L188" i="7"/>
  <c r="L377" i="7"/>
  <c r="B326" i="6"/>
  <c r="L124" i="7"/>
  <c r="L357" i="7"/>
  <c r="L339" i="7"/>
  <c r="L328" i="7"/>
  <c r="B329" i="6"/>
  <c r="B239" i="6"/>
  <c r="L318" i="7"/>
  <c r="B56" i="6"/>
  <c r="L253" i="7"/>
  <c r="L221" i="7"/>
  <c r="L178" i="7"/>
  <c r="B215" i="6"/>
  <c r="L308" i="7"/>
  <c r="L359" i="7"/>
  <c r="B33" i="6"/>
  <c r="B209" i="6"/>
  <c r="L205" i="7"/>
  <c r="L28" i="7"/>
  <c r="B24" i="6"/>
  <c r="B308" i="6"/>
  <c r="B86" i="6"/>
  <c r="B235" i="6"/>
  <c r="B68" i="6"/>
  <c r="L199" i="7"/>
  <c r="B50" i="6"/>
  <c r="B307" i="6"/>
  <c r="B140" i="6"/>
  <c r="L271" i="7"/>
  <c r="L120" i="7"/>
  <c r="B350" i="6"/>
  <c r="B183" i="6"/>
  <c r="L148" i="7"/>
  <c r="B96" i="6"/>
  <c r="B251" i="6"/>
  <c r="B84" i="6"/>
  <c r="L215" i="7"/>
  <c r="L64" i="7"/>
  <c r="B294" i="6"/>
  <c r="B127" i="6"/>
  <c r="B378" i="6"/>
  <c r="L353" i="7"/>
  <c r="B195" i="6"/>
  <c r="B28" i="6"/>
  <c r="L159" i="7"/>
  <c r="L8" i="7"/>
  <c r="B238" i="6"/>
  <c r="B71" i="6"/>
  <c r="B216" i="6"/>
  <c r="L293" i="7"/>
  <c r="B345" i="6"/>
  <c r="L348" i="7"/>
  <c r="B203" i="6"/>
  <c r="B36" i="6"/>
  <c r="L167" i="7"/>
  <c r="L16" i="7"/>
  <c r="B246" i="6"/>
  <c r="B79" i="6"/>
  <c r="B248" i="6"/>
  <c r="L304" i="7"/>
  <c r="B368" i="6"/>
  <c r="L356" i="7"/>
  <c r="B147" i="6"/>
  <c r="L278" i="7"/>
  <c r="L111" i="7"/>
  <c r="B341" i="6"/>
  <c r="B190" i="6"/>
  <c r="B23" i="6"/>
  <c r="B163" i="6"/>
  <c r="L294" i="7"/>
  <c r="L127" i="7"/>
  <c r="B357" i="6"/>
  <c r="B206" i="6"/>
  <c r="B39" i="6"/>
  <c r="B88" i="6"/>
  <c r="L229" i="7"/>
  <c r="B257" i="6"/>
  <c r="L316" i="7"/>
  <c r="L275" i="7"/>
  <c r="B176" i="6"/>
  <c r="B305" i="6"/>
  <c r="B80" i="6"/>
  <c r="L325" i="7"/>
  <c r="L220" i="7"/>
  <c r="L25" i="7"/>
  <c r="B288" i="6"/>
  <c r="L115" i="7"/>
  <c r="L69" i="7"/>
  <c r="L364" i="7"/>
  <c r="L163" i="7"/>
  <c r="B298" i="6"/>
  <c r="L59" i="7"/>
  <c r="L281" i="7"/>
  <c r="L194" i="7"/>
  <c r="L372" i="7"/>
  <c r="L91" i="7"/>
  <c r="L265" i="7"/>
  <c r="L114" i="7"/>
  <c r="B244" i="6"/>
  <c r="T351" i="13"/>
  <c r="T355" i="13"/>
  <c r="T49" i="13"/>
  <c r="T346" i="13"/>
  <c r="T139" i="13"/>
  <c r="T305" i="13"/>
  <c r="T325" i="13"/>
  <c r="T376" i="13"/>
  <c r="T280" i="13"/>
  <c r="T335" i="13"/>
  <c r="T358" i="13"/>
  <c r="T371" i="13"/>
  <c r="T349" i="13"/>
  <c r="T347" i="13"/>
  <c r="T332" i="13"/>
  <c r="T232" i="13"/>
  <c r="U274" i="13"/>
  <c r="T5" i="13"/>
  <c r="U294" i="13"/>
  <c r="T132" i="13"/>
  <c r="T156" i="13"/>
  <c r="T228" i="13"/>
  <c r="T169" i="13"/>
  <c r="U195" i="13"/>
  <c r="T252" i="13"/>
  <c r="T284" i="13"/>
  <c r="U143" i="13"/>
  <c r="T112" i="13"/>
  <c r="U48" i="13"/>
  <c r="T60" i="13"/>
  <c r="U13" i="13"/>
  <c r="T241" i="13"/>
  <c r="U187" i="13"/>
  <c r="U222" i="13"/>
  <c r="U135" i="13"/>
  <c r="U147" i="13"/>
  <c r="T166" i="13"/>
  <c r="T74" i="13"/>
  <c r="U64" i="13"/>
  <c r="T33" i="13"/>
  <c r="T171" i="13"/>
  <c r="U30" i="13"/>
  <c r="T11" i="13"/>
  <c r="T105" i="13"/>
  <c r="T30" i="13"/>
  <c r="U37" i="13"/>
  <c r="U108" i="13"/>
  <c r="U11" i="13"/>
  <c r="T214" i="13"/>
  <c r="U7" i="13"/>
  <c r="T13" i="13"/>
  <c r="T6" i="13"/>
  <c r="U6" i="13"/>
  <c r="U56" i="13"/>
  <c r="T92" i="13"/>
  <c r="T129" i="13"/>
  <c r="U45" i="13"/>
  <c r="T124" i="13"/>
  <c r="T163" i="13"/>
  <c r="T191" i="13"/>
  <c r="T108" i="13"/>
  <c r="T39" i="13"/>
  <c r="T196" i="13"/>
  <c r="T101" i="13"/>
  <c r="U16" i="13"/>
  <c r="T246" i="13"/>
  <c r="T68" i="13"/>
  <c r="U18" i="13"/>
  <c r="U35" i="13"/>
  <c r="T175" i="13"/>
  <c r="T140" i="13"/>
  <c r="T15" i="13"/>
  <c r="Y260" i="13" l="1"/>
  <c r="W149" i="13"/>
  <c r="Z248" i="13"/>
  <c r="Z286" i="13"/>
  <c r="AA248" i="13"/>
  <c r="Y286" i="13"/>
  <c r="Y316" i="13"/>
  <c r="X316" i="13"/>
  <c r="X260" i="13"/>
  <c r="AA317" i="13"/>
  <c r="AA167" i="13"/>
  <c r="Z161" i="13"/>
  <c r="W273" i="13"/>
  <c r="Y273" i="13"/>
  <c r="W309" i="13"/>
  <c r="AA161" i="13"/>
  <c r="W290" i="13"/>
  <c r="AA91" i="13"/>
  <c r="W374" i="13"/>
  <c r="X161" i="13"/>
  <c r="V225" i="13"/>
  <c r="AA54" i="13"/>
  <c r="X176" i="13"/>
  <c r="X168" i="13"/>
  <c r="V212" i="13"/>
  <c r="Y290" i="13"/>
  <c r="W212" i="13"/>
  <c r="W317" i="13"/>
  <c r="V317" i="13"/>
  <c r="Y173" i="13"/>
  <c r="AA212" i="13"/>
  <c r="X67" i="13"/>
  <c r="Z212" i="13"/>
  <c r="X212" i="13"/>
  <c r="Z55" i="13"/>
  <c r="V55" i="13"/>
  <c r="W55" i="13"/>
  <c r="W219" i="13"/>
  <c r="Y91" i="13"/>
  <c r="AA280" i="13"/>
  <c r="W153" i="13"/>
  <c r="Z192" i="13"/>
  <c r="AA149" i="13"/>
  <c r="W248" i="13"/>
  <c r="W51" i="13"/>
  <c r="Z219" i="13"/>
  <c r="X91" i="13"/>
  <c r="V167" i="13"/>
  <c r="V192" i="13"/>
  <c r="Z149" i="13"/>
  <c r="Y248" i="13"/>
  <c r="AA51" i="13"/>
  <c r="AA219" i="13"/>
  <c r="X337" i="13"/>
  <c r="X167" i="13"/>
  <c r="AA192" i="13"/>
  <c r="V149" i="13"/>
  <c r="X248" i="13"/>
  <c r="V316" i="13"/>
  <c r="V51" i="13"/>
  <c r="X219" i="13"/>
  <c r="Y337" i="13"/>
  <c r="Y167" i="13"/>
  <c r="O471" i="13"/>
  <c r="P471" i="13" s="1"/>
  <c r="W192" i="13"/>
  <c r="Y149" i="13"/>
  <c r="W316" i="13"/>
  <c r="Z51" i="13"/>
  <c r="V219" i="13"/>
  <c r="Z91" i="13"/>
  <c r="W167" i="13"/>
  <c r="X192" i="13"/>
  <c r="Z316" i="13"/>
  <c r="Y51" i="13"/>
  <c r="W91" i="13"/>
  <c r="AA227" i="13"/>
  <c r="AA119" i="13"/>
  <c r="V98" i="13"/>
  <c r="X83" i="13"/>
  <c r="Z130" i="13"/>
  <c r="Z168" i="13"/>
  <c r="V213" i="13"/>
  <c r="Y374" i="13"/>
  <c r="X290" i="13"/>
  <c r="W354" i="13"/>
  <c r="Y55" i="13"/>
  <c r="Z309" i="13"/>
  <c r="X54" i="13"/>
  <c r="W227" i="13"/>
  <c r="W98" i="13"/>
  <c r="V83" i="13"/>
  <c r="AA130" i="13"/>
  <c r="W168" i="13"/>
  <c r="W213" i="13"/>
  <c r="Y131" i="13"/>
  <c r="X354" i="13"/>
  <c r="AA309" i="13"/>
  <c r="W54" i="13"/>
  <c r="Z225" i="13"/>
  <c r="Y130" i="13"/>
  <c r="V168" i="13"/>
  <c r="Y213" i="13"/>
  <c r="W176" i="13"/>
  <c r="Y354" i="13"/>
  <c r="V227" i="13"/>
  <c r="Y98" i="13"/>
  <c r="Z83" i="13"/>
  <c r="O434" i="13"/>
  <c r="R434" i="13" s="1"/>
  <c r="V309" i="13"/>
  <c r="Z54" i="13"/>
  <c r="Z227" i="13"/>
  <c r="X98" i="13"/>
  <c r="Y83" i="13"/>
  <c r="AA93" i="13"/>
  <c r="AA225" i="13"/>
  <c r="X130" i="13"/>
  <c r="AA168" i="13"/>
  <c r="X213" i="13"/>
  <c r="Y70" i="13"/>
  <c r="Z176" i="13"/>
  <c r="Z317" i="13"/>
  <c r="Z181" i="13"/>
  <c r="Y308" i="13"/>
  <c r="Y49" i="13"/>
  <c r="Y309" i="13"/>
  <c r="V54" i="13"/>
  <c r="Y227" i="13"/>
  <c r="Y310" i="13"/>
  <c r="W225" i="13"/>
  <c r="V176" i="13"/>
  <c r="Z374" i="13"/>
  <c r="V290" i="13"/>
  <c r="AA354" i="13"/>
  <c r="O605" i="13"/>
  <c r="R605" i="13" s="1"/>
  <c r="AA98" i="13"/>
  <c r="W83" i="13"/>
  <c r="X225" i="13"/>
  <c r="W130" i="13"/>
  <c r="Z213" i="13"/>
  <c r="X317" i="13"/>
  <c r="AA374" i="13"/>
  <c r="Z290" i="13"/>
  <c r="V354" i="13"/>
  <c r="AA55" i="13"/>
  <c r="V374" i="13"/>
  <c r="X204" i="13"/>
  <c r="W181" i="13"/>
  <c r="Z124" i="13"/>
  <c r="W135" i="13"/>
  <c r="X298" i="13"/>
  <c r="V188" i="13"/>
  <c r="Y103" i="13"/>
  <c r="AA188" i="13"/>
  <c r="W103" i="13"/>
  <c r="AA204" i="13"/>
  <c r="V75" i="13"/>
  <c r="V204" i="13"/>
  <c r="X306" i="13"/>
  <c r="Z59" i="13"/>
  <c r="AA59" i="13"/>
  <c r="AA308" i="13"/>
  <c r="Y298" i="13"/>
  <c r="V122" i="13"/>
  <c r="V59" i="13"/>
  <c r="V293" i="13"/>
  <c r="AA274" i="13"/>
  <c r="W115" i="13"/>
  <c r="V184" i="13"/>
  <c r="Y59" i="13"/>
  <c r="W230" i="13"/>
  <c r="W59" i="13"/>
  <c r="Y311" i="13"/>
  <c r="Y274" i="13"/>
  <c r="X115" i="13"/>
  <c r="X230" i="13"/>
  <c r="V67" i="13"/>
  <c r="W302" i="13"/>
  <c r="X218" i="13"/>
  <c r="X131" i="13"/>
  <c r="X173" i="13"/>
  <c r="X270" i="13"/>
  <c r="AA277" i="13"/>
  <c r="W99" i="13"/>
  <c r="W218" i="13"/>
  <c r="AA181" i="13"/>
  <c r="Z218" i="13"/>
  <c r="V218" i="13"/>
  <c r="AA176" i="13"/>
  <c r="V181" i="13"/>
  <c r="AA218" i="13"/>
  <c r="Y181" i="13"/>
  <c r="V131" i="13"/>
  <c r="Z131" i="13"/>
  <c r="V274" i="13"/>
  <c r="X214" i="13"/>
  <c r="AA270" i="13"/>
  <c r="Y217" i="13"/>
  <c r="AA293" i="13"/>
  <c r="X103" i="13"/>
  <c r="Y297" i="13"/>
  <c r="Y321" i="13"/>
  <c r="AA302" i="13"/>
  <c r="AA260" i="13"/>
  <c r="Y197" i="13"/>
  <c r="Z277" i="13"/>
  <c r="Y306" i="13"/>
  <c r="V230" i="13"/>
  <c r="X223" i="13"/>
  <c r="Y266" i="13"/>
  <c r="V298" i="13"/>
  <c r="Y223" i="13"/>
  <c r="Y270" i="13"/>
  <c r="W293" i="13"/>
  <c r="Z302" i="13"/>
  <c r="Z122" i="13"/>
  <c r="X274" i="13"/>
  <c r="Z214" i="13"/>
  <c r="AA115" i="13"/>
  <c r="W217" i="13"/>
  <c r="X293" i="13"/>
  <c r="Z188" i="13"/>
  <c r="AA297" i="13"/>
  <c r="Z321" i="13"/>
  <c r="X302" i="13"/>
  <c r="AA197" i="13"/>
  <c r="W277" i="13"/>
  <c r="W50" i="13"/>
  <c r="Y230" i="13"/>
  <c r="W75" i="13"/>
  <c r="Z266" i="13"/>
  <c r="Z135" i="13"/>
  <c r="Z298" i="13"/>
  <c r="V277" i="13"/>
  <c r="AA50" i="13"/>
  <c r="Y122" i="13"/>
  <c r="Z274" i="13"/>
  <c r="AA214" i="13"/>
  <c r="V115" i="13"/>
  <c r="Z217" i="13"/>
  <c r="Y293" i="13"/>
  <c r="W188" i="13"/>
  <c r="V297" i="13"/>
  <c r="AA321" i="13"/>
  <c r="Y302" i="13"/>
  <c r="W197" i="13"/>
  <c r="Y277" i="13"/>
  <c r="Z306" i="13"/>
  <c r="Z50" i="13"/>
  <c r="V223" i="13"/>
  <c r="AA266" i="13"/>
  <c r="Y135" i="13"/>
  <c r="X122" i="13"/>
  <c r="V214" i="13"/>
  <c r="Z115" i="13"/>
  <c r="V270" i="13"/>
  <c r="V217" i="13"/>
  <c r="Y188" i="13"/>
  <c r="V103" i="13"/>
  <c r="W297" i="13"/>
  <c r="V321" i="13"/>
  <c r="W260" i="13"/>
  <c r="Z197" i="13"/>
  <c r="AA306" i="13"/>
  <c r="V50" i="13"/>
  <c r="W223" i="13"/>
  <c r="V266" i="13"/>
  <c r="X135" i="13"/>
  <c r="AA122" i="13"/>
  <c r="W214" i="13"/>
  <c r="Z270" i="13"/>
  <c r="AA217" i="13"/>
  <c r="Z103" i="13"/>
  <c r="Z297" i="13"/>
  <c r="W321" i="13"/>
  <c r="V260" i="13"/>
  <c r="V197" i="13"/>
  <c r="V306" i="13"/>
  <c r="X50" i="13"/>
  <c r="AA230" i="13"/>
  <c r="Z223" i="13"/>
  <c r="W266" i="13"/>
  <c r="W298" i="13"/>
  <c r="O455" i="13"/>
  <c r="R455" i="13" s="1"/>
  <c r="AA185" i="13"/>
  <c r="Z370" i="13"/>
  <c r="AA49" i="13"/>
  <c r="Z114" i="13"/>
  <c r="W185" i="13"/>
  <c r="V262" i="13"/>
  <c r="V353" i="13"/>
  <c r="V258" i="13"/>
  <c r="X75" i="13"/>
  <c r="W124" i="13"/>
  <c r="AA278" i="13"/>
  <c r="V114" i="13"/>
  <c r="W165" i="13"/>
  <c r="W262" i="13"/>
  <c r="Z123" i="13"/>
  <c r="V78" i="13"/>
  <c r="V124" i="13"/>
  <c r="W362" i="13"/>
  <c r="AA114" i="13"/>
  <c r="AA285" i="13"/>
  <c r="AA345" i="13"/>
  <c r="Y362" i="13"/>
  <c r="W49" i="13"/>
  <c r="X114" i="13"/>
  <c r="V313" i="13"/>
  <c r="W285" i="13"/>
  <c r="X345" i="13"/>
  <c r="Y124" i="13"/>
  <c r="W82" i="13"/>
  <c r="V49" i="13"/>
  <c r="Z313" i="13"/>
  <c r="Y139" i="13"/>
  <c r="Z49" i="13"/>
  <c r="W310" i="13"/>
  <c r="Z62" i="13"/>
  <c r="W119" i="13"/>
  <c r="Z66" i="13"/>
  <c r="W361" i="13"/>
  <c r="AA189" i="13"/>
  <c r="V346" i="13"/>
  <c r="O86" i="13"/>
  <c r="AA86" i="13" s="1"/>
  <c r="AA313" i="13"/>
  <c r="X177" i="13"/>
  <c r="Z173" i="13"/>
  <c r="V285" i="13"/>
  <c r="AA184" i="13"/>
  <c r="X185" i="13"/>
  <c r="Z311" i="13"/>
  <c r="W353" i="13"/>
  <c r="Y66" i="13"/>
  <c r="Y99" i="13"/>
  <c r="Y239" i="13"/>
  <c r="Z78" i="13"/>
  <c r="AA361" i="13"/>
  <c r="AA75" i="13"/>
  <c r="Z189" i="13"/>
  <c r="AA131" i="13"/>
  <c r="X124" i="13"/>
  <c r="X254" i="13"/>
  <c r="Y82" i="13"/>
  <c r="AA346" i="13"/>
  <c r="AA135" i="13"/>
  <c r="W311" i="13"/>
  <c r="X353" i="13"/>
  <c r="Z119" i="13"/>
  <c r="X66" i="13"/>
  <c r="AA258" i="13"/>
  <c r="Y78" i="13"/>
  <c r="X361" i="13"/>
  <c r="X189" i="13"/>
  <c r="X82" i="13"/>
  <c r="Y346" i="13"/>
  <c r="Y177" i="13"/>
  <c r="O326" i="13"/>
  <c r="Y326" i="13" s="1"/>
  <c r="O222" i="13"/>
  <c r="X222" i="13" s="1"/>
  <c r="O198" i="13"/>
  <c r="AA198" i="13" s="1"/>
  <c r="O73" i="13"/>
  <c r="AA73" i="13" s="1"/>
  <c r="O342" i="13"/>
  <c r="W342" i="13" s="1"/>
  <c r="O233" i="13"/>
  <c r="X233" i="13" s="1"/>
  <c r="O201" i="13"/>
  <c r="V201" i="13" s="1"/>
  <c r="O238" i="13"/>
  <c r="X238" i="13" s="1"/>
  <c r="O118" i="13"/>
  <c r="Y118" i="13" s="1"/>
  <c r="O369" i="13"/>
  <c r="W369" i="13" s="1"/>
  <c r="O134" i="13"/>
  <c r="AA134" i="13" s="1"/>
  <c r="O289" i="13"/>
  <c r="Z289" i="13" s="1"/>
  <c r="W313" i="13"/>
  <c r="AA177" i="13"/>
  <c r="AA173" i="13"/>
  <c r="Y285" i="13"/>
  <c r="V345" i="13"/>
  <c r="W67" i="13"/>
  <c r="X311" i="13"/>
  <c r="Y353" i="13"/>
  <c r="V119" i="13"/>
  <c r="AA66" i="13"/>
  <c r="AA123" i="13"/>
  <c r="Z258" i="13"/>
  <c r="X78" i="13"/>
  <c r="Y361" i="13"/>
  <c r="Y75" i="13"/>
  <c r="W189" i="13"/>
  <c r="Z280" i="13"/>
  <c r="V278" i="13"/>
  <c r="V82" i="13"/>
  <c r="X346" i="13"/>
  <c r="V239" i="13"/>
  <c r="W254" i="13"/>
  <c r="X313" i="13"/>
  <c r="Z184" i="13"/>
  <c r="Z185" i="13"/>
  <c r="W345" i="13"/>
  <c r="Z67" i="13"/>
  <c r="X119" i="13"/>
  <c r="V99" i="13"/>
  <c r="W239" i="13"/>
  <c r="X258" i="13"/>
  <c r="V280" i="13"/>
  <c r="V254" i="13"/>
  <c r="Y189" i="13"/>
  <c r="O155" i="13"/>
  <c r="V155" i="13" s="1"/>
  <c r="O104" i="13"/>
  <c r="Z104" i="13" s="1"/>
  <c r="O276" i="13"/>
  <c r="AA276" i="13" s="1"/>
  <c r="O141" i="13"/>
  <c r="X141" i="13" s="1"/>
  <c r="O108" i="13"/>
  <c r="V108" i="13" s="1"/>
  <c r="O210" i="13"/>
  <c r="V210" i="13" s="1"/>
  <c r="O84" i="13"/>
  <c r="Z84" i="13" s="1"/>
  <c r="O179" i="13"/>
  <c r="R179" i="13" s="1"/>
  <c r="O247" i="13"/>
  <c r="X247" i="13" s="1"/>
  <c r="O101" i="13"/>
  <c r="Z101" i="13" s="1"/>
  <c r="O127" i="13"/>
  <c r="X127" i="13" s="1"/>
  <c r="O347" i="13"/>
  <c r="R347" i="13" s="1"/>
  <c r="O367" i="13"/>
  <c r="Y367" i="13" s="1"/>
  <c r="O107" i="13"/>
  <c r="AA107" i="13" s="1"/>
  <c r="O357" i="13"/>
  <c r="Z357" i="13" s="1"/>
  <c r="O304" i="13"/>
  <c r="X304" i="13" s="1"/>
  <c r="O300" i="13"/>
  <c r="Y300" i="13" s="1"/>
  <c r="O328" i="13"/>
  <c r="X328" i="13" s="1"/>
  <c r="O303" i="13"/>
  <c r="AA303" i="13" s="1"/>
  <c r="O315" i="13"/>
  <c r="AA315" i="13" s="1"/>
  <c r="O232" i="13"/>
  <c r="AA232" i="13" s="1"/>
  <c r="O180" i="13"/>
  <c r="W180" i="13" s="1"/>
  <c r="O322" i="13"/>
  <c r="P322" i="13" s="1"/>
  <c r="O236" i="13"/>
  <c r="Y236" i="13" s="1"/>
  <c r="V177" i="13"/>
  <c r="V173" i="13"/>
  <c r="Z285" i="13"/>
  <c r="W184" i="13"/>
  <c r="V185" i="13"/>
  <c r="Z345" i="13"/>
  <c r="AA67" i="13"/>
  <c r="AA353" i="13"/>
  <c r="W66" i="13"/>
  <c r="Z99" i="13"/>
  <c r="X239" i="13"/>
  <c r="AA78" i="13"/>
  <c r="V361" i="13"/>
  <c r="AA62" i="13"/>
  <c r="W280" i="13"/>
  <c r="AA254" i="13"/>
  <c r="AA82" i="13"/>
  <c r="Z346" i="13"/>
  <c r="W177" i="13"/>
  <c r="Y184" i="13"/>
  <c r="V311" i="13"/>
  <c r="AA99" i="13"/>
  <c r="Z239" i="13"/>
  <c r="Y280" i="13"/>
  <c r="Z254" i="13"/>
  <c r="X62" i="13"/>
  <c r="W158" i="13"/>
  <c r="AA158" i="13"/>
  <c r="X158" i="13"/>
  <c r="Y158" i="13"/>
  <c r="V158" i="13"/>
  <c r="Z158" i="13"/>
  <c r="V382" i="13"/>
  <c r="AA382" i="13"/>
  <c r="X382" i="13"/>
  <c r="Y382" i="13"/>
  <c r="Z382" i="13"/>
  <c r="W382" i="13"/>
  <c r="O358" i="13"/>
  <c r="AA358" i="13" s="1"/>
  <c r="O253" i="13"/>
  <c r="W253" i="13" s="1"/>
  <c r="O152" i="13"/>
  <c r="X152" i="13" s="1"/>
  <c r="O237" i="13"/>
  <c r="S237" i="13" s="1"/>
  <c r="O333" i="13"/>
  <c r="V333" i="13" s="1"/>
  <c r="O117" i="13"/>
  <c r="Z117" i="13" s="1"/>
  <c r="O191" i="13"/>
  <c r="Y191" i="13" s="1"/>
  <c r="O263" i="13"/>
  <c r="Y263" i="13" s="1"/>
  <c r="O360" i="13"/>
  <c r="AA360" i="13" s="1"/>
  <c r="O379" i="13"/>
  <c r="V379" i="13" s="1"/>
  <c r="O287" i="13"/>
  <c r="X287" i="13" s="1"/>
  <c r="O151" i="13"/>
  <c r="Y151" i="13" s="1"/>
  <c r="O261" i="13"/>
  <c r="X261" i="13" s="1"/>
  <c r="X310" i="13"/>
  <c r="V165" i="13"/>
  <c r="V93" i="13"/>
  <c r="AA262" i="13"/>
  <c r="W370" i="13"/>
  <c r="W123" i="13"/>
  <c r="W196" i="13"/>
  <c r="W278" i="13"/>
  <c r="X362" i="13"/>
  <c r="AA153" i="13"/>
  <c r="AA165" i="13"/>
  <c r="W93" i="13"/>
  <c r="X262" i="13"/>
  <c r="Z70" i="13"/>
  <c r="AA370" i="13"/>
  <c r="V123" i="13"/>
  <c r="Z139" i="13"/>
  <c r="V196" i="13"/>
  <c r="Y278" i="13"/>
  <c r="O174" i="13"/>
  <c r="Y174" i="13" s="1"/>
  <c r="Z153" i="13"/>
  <c r="AA314" i="13"/>
  <c r="Z165" i="13"/>
  <c r="Z93" i="13"/>
  <c r="Y262" i="13"/>
  <c r="W70" i="13"/>
  <c r="V370" i="13"/>
  <c r="Y123" i="13"/>
  <c r="AA337" i="13"/>
  <c r="W139" i="13"/>
  <c r="V308" i="13"/>
  <c r="AA196" i="13"/>
  <c r="X278" i="13"/>
  <c r="V153" i="13"/>
  <c r="Z310" i="13"/>
  <c r="X165" i="13"/>
  <c r="X93" i="13"/>
  <c r="V70" i="13"/>
  <c r="Y370" i="13"/>
  <c r="Z337" i="13"/>
  <c r="AA139" i="13"/>
  <c r="X308" i="13"/>
  <c r="Z196" i="13"/>
  <c r="Z362" i="13"/>
  <c r="X153" i="13"/>
  <c r="AA310" i="13"/>
  <c r="AA70" i="13"/>
  <c r="V337" i="13"/>
  <c r="V139" i="13"/>
  <c r="W308" i="13"/>
  <c r="X196" i="13"/>
  <c r="AA362" i="13"/>
  <c r="O89" i="13"/>
  <c r="Z89" i="13" s="1"/>
  <c r="W68" i="13"/>
  <c r="Y209" i="13"/>
  <c r="X209" i="13"/>
  <c r="W209" i="13"/>
  <c r="V209" i="13"/>
  <c r="Z209" i="13"/>
  <c r="AA209" i="13"/>
  <c r="AA350" i="13"/>
  <c r="V350" i="13"/>
  <c r="Z350" i="13"/>
  <c r="X350" i="13"/>
  <c r="Y350" i="13"/>
  <c r="W350" i="13"/>
  <c r="O199" i="13"/>
  <c r="S579" i="13" s="1"/>
  <c r="O205" i="13"/>
  <c r="Y205" i="13" s="1"/>
  <c r="O183" i="13"/>
  <c r="Y183" i="13" s="1"/>
  <c r="O373" i="13"/>
  <c r="V373" i="13" s="1"/>
  <c r="O95" i="13"/>
  <c r="X95" i="13" s="1"/>
  <c r="O125" i="13"/>
  <c r="Y125" i="13" s="1"/>
  <c r="O383" i="13"/>
  <c r="V383" i="13" s="1"/>
  <c r="O363" i="13"/>
  <c r="AA363" i="13" s="1"/>
  <c r="O186" i="13"/>
  <c r="Z186" i="13" s="1"/>
  <c r="O92" i="13"/>
  <c r="W92" i="13" s="1"/>
  <c r="O339" i="13"/>
  <c r="X339" i="13" s="1"/>
  <c r="O178" i="13"/>
  <c r="Y178" i="13" s="1"/>
  <c r="O268" i="13"/>
  <c r="W268" i="13" s="1"/>
  <c r="O349" i="13"/>
  <c r="W349" i="13" s="1"/>
  <c r="O80" i="13"/>
  <c r="AA80" i="13" s="1"/>
  <c r="O242" i="13"/>
  <c r="AA242" i="13" s="1"/>
  <c r="O172" i="13"/>
  <c r="S552" i="13" s="1"/>
  <c r="O372" i="13"/>
  <c r="Y372" i="13" s="1"/>
  <c r="O336" i="13"/>
  <c r="W336" i="13" s="1"/>
  <c r="O164" i="13"/>
  <c r="W164" i="13" s="1"/>
  <c r="O79" i="13"/>
  <c r="S79" i="13" s="1"/>
  <c r="O378" i="13"/>
  <c r="Y378" i="13" s="1"/>
  <c r="O301" i="13"/>
  <c r="X301" i="13" s="1"/>
  <c r="O376" i="13"/>
  <c r="Y376" i="13" s="1"/>
  <c r="O162" i="13"/>
  <c r="S542" i="13" s="1"/>
  <c r="O77" i="13"/>
  <c r="X77" i="13" s="1"/>
  <c r="O252" i="13"/>
  <c r="Z252" i="13" s="1"/>
  <c r="O351" i="13"/>
  <c r="X351" i="13" s="1"/>
  <c r="O224" i="13"/>
  <c r="X224" i="13" s="1"/>
  <c r="O267" i="13"/>
  <c r="Y267" i="13" s="1"/>
  <c r="O296" i="13"/>
  <c r="Z296" i="13" s="1"/>
  <c r="O229" i="13"/>
  <c r="X229" i="13" s="1"/>
  <c r="O251" i="13"/>
  <c r="P251" i="13" s="1"/>
  <c r="O53" i="13"/>
  <c r="X53" i="13" s="1"/>
  <c r="O340" i="13"/>
  <c r="W340" i="13" s="1"/>
  <c r="O295" i="13"/>
  <c r="S675" i="13" s="1"/>
  <c r="O332" i="13"/>
  <c r="Z332" i="13" s="1"/>
  <c r="O175" i="13"/>
  <c r="X175" i="13" s="1"/>
  <c r="O112" i="13"/>
  <c r="AA112" i="13" s="1"/>
  <c r="Y314" i="13"/>
  <c r="Y68" i="13"/>
  <c r="V161" i="13"/>
  <c r="W62" i="13"/>
  <c r="V273" i="13"/>
  <c r="V314" i="13"/>
  <c r="Y258" i="13"/>
  <c r="Y161" i="13"/>
  <c r="V106" i="13"/>
  <c r="Y62" i="13"/>
  <c r="X273" i="13"/>
  <c r="AA169" i="13"/>
  <c r="X314" i="13"/>
  <c r="Z106" i="13"/>
  <c r="V169" i="13"/>
  <c r="Z68" i="13"/>
  <c r="W106" i="13"/>
  <c r="Z169" i="13"/>
  <c r="O206" i="13"/>
  <c r="X206" i="13" s="1"/>
  <c r="O105" i="13"/>
  <c r="V105" i="13" s="1"/>
  <c r="O257" i="13"/>
  <c r="W257" i="13" s="1"/>
  <c r="O110" i="13"/>
  <c r="X110" i="13" s="1"/>
  <c r="O305" i="13"/>
  <c r="Z305" i="13" s="1"/>
  <c r="O329" i="13"/>
  <c r="X329" i="13" s="1"/>
  <c r="O121" i="13"/>
  <c r="V121" i="13" s="1"/>
  <c r="O166" i="13"/>
  <c r="Z166" i="13" s="1"/>
  <c r="AA68" i="13"/>
  <c r="Y106" i="13"/>
  <c r="X169" i="13"/>
  <c r="O255" i="13"/>
  <c r="AA255" i="13" s="1"/>
  <c r="O307" i="13"/>
  <c r="W307" i="13" s="1"/>
  <c r="O269" i="13"/>
  <c r="O649" i="13" s="1"/>
  <c r="P649" i="13" s="1"/>
  <c r="O69" i="13"/>
  <c r="V69" i="13" s="1"/>
  <c r="O208" i="13"/>
  <c r="Z208" i="13" s="1"/>
  <c r="O72" i="13"/>
  <c r="P72" i="13" s="1"/>
  <c r="W314" i="13"/>
  <c r="V68" i="13"/>
  <c r="X106" i="13"/>
  <c r="Y169" i="13"/>
  <c r="X81" i="13"/>
  <c r="Y81" i="13"/>
  <c r="AA81" i="13"/>
  <c r="W81" i="13"/>
  <c r="V81" i="13"/>
  <c r="Z81" i="13"/>
  <c r="X126" i="13"/>
  <c r="Y126" i="13"/>
  <c r="V126" i="13"/>
  <c r="AA126" i="13"/>
  <c r="W126" i="13"/>
  <c r="Z126" i="13"/>
  <c r="X150" i="13"/>
  <c r="W150" i="13"/>
  <c r="Y150" i="13"/>
  <c r="AA150" i="13"/>
  <c r="Z150" i="13"/>
  <c r="V150" i="13"/>
  <c r="O327" i="13"/>
  <c r="S707" i="13" s="1"/>
  <c r="O352" i="13"/>
  <c r="S352" i="13" s="1"/>
  <c r="O331" i="13"/>
  <c r="S331" i="13" s="1"/>
  <c r="O338" i="13"/>
  <c r="S718" i="13" s="1"/>
  <c r="O312" i="13"/>
  <c r="S692" i="13" s="1"/>
  <c r="O245" i="13"/>
  <c r="S245" i="13" s="1"/>
  <c r="O195" i="13"/>
  <c r="O575" i="13" s="1"/>
  <c r="O143" i="13"/>
  <c r="S143" i="13" s="1"/>
  <c r="O61" i="13"/>
  <c r="S61" i="13" s="1"/>
  <c r="O284" i="13"/>
  <c r="S284" i="13" s="1"/>
  <c r="O100" i="13"/>
  <c r="P100" i="13" s="1"/>
  <c r="O355" i="13"/>
  <c r="S735" i="13" s="1"/>
  <c r="O292" i="13"/>
  <c r="O672" i="13" s="1"/>
  <c r="O88" i="13"/>
  <c r="S88" i="13" s="1"/>
  <c r="O85" i="13"/>
  <c r="R85" i="13" s="1"/>
  <c r="O128" i="13"/>
  <c r="O508" i="13" s="1"/>
  <c r="O74" i="13"/>
  <c r="S454" i="13" s="1"/>
  <c r="O146" i="13"/>
  <c r="P146" i="13" s="1"/>
  <c r="O187" i="13"/>
  <c r="S187" i="13" s="1"/>
  <c r="O380" i="13"/>
  <c r="S380" i="13" s="1"/>
  <c r="O220" i="13"/>
  <c r="S220" i="13" s="1"/>
  <c r="O96" i="13"/>
  <c r="S96" i="13" s="1"/>
  <c r="O319" i="13"/>
  <c r="R319" i="13" s="1"/>
  <c r="O275" i="13"/>
  <c r="S275" i="13" s="1"/>
  <c r="O221" i="13"/>
  <c r="O601" i="13" s="1"/>
  <c r="O228" i="13"/>
  <c r="R228" i="13" s="1"/>
  <c r="O58" i="13"/>
  <c r="P58" i="13" s="1"/>
  <c r="O240" i="13"/>
  <c r="S240" i="13" s="1"/>
  <c r="O140" i="13"/>
  <c r="S140" i="13" s="1"/>
  <c r="O235" i="13"/>
  <c r="S235" i="13" s="1"/>
  <c r="O364" i="13"/>
  <c r="O341" i="13"/>
  <c r="P341" i="13" s="1"/>
  <c r="O291" i="13"/>
  <c r="O671" i="13" s="1"/>
  <c r="O279" i="13"/>
  <c r="S659" i="13" s="1"/>
  <c r="O244" i="13"/>
  <c r="S624" i="13" s="1"/>
  <c r="O60" i="13"/>
  <c r="P60" i="13" s="1"/>
  <c r="O335" i="13"/>
  <c r="S335" i="13" s="1"/>
  <c r="O324" i="13"/>
  <c r="O704" i="13" s="1"/>
  <c r="O63" i="13"/>
  <c r="P63" i="13" s="1"/>
  <c r="W137" i="13"/>
  <c r="Y137" i="13"/>
  <c r="X137" i="13"/>
  <c r="AA137" i="13"/>
  <c r="Z137" i="13"/>
  <c r="V137" i="13"/>
  <c r="Y247" i="13"/>
  <c r="Y334" i="13"/>
  <c r="X334" i="13"/>
  <c r="Z334" i="13"/>
  <c r="W334" i="13"/>
  <c r="AA334" i="13"/>
  <c r="V334" i="13"/>
  <c r="O113" i="13"/>
  <c r="O182" i="13"/>
  <c r="S562" i="13" s="1"/>
  <c r="O57" i="13"/>
  <c r="S57" i="13" s="1"/>
  <c r="O129" i="13"/>
  <c r="S509" i="13" s="1"/>
  <c r="O65" i="13"/>
  <c r="P65" i="13" s="1"/>
  <c r="O241" i="13"/>
  <c r="S241" i="13" s="1"/>
  <c r="O246" i="13"/>
  <c r="O626" i="13" s="1"/>
  <c r="O348" i="13"/>
  <c r="S348" i="13" s="1"/>
  <c r="O259" i="13"/>
  <c r="S259" i="13" s="1"/>
  <c r="O203" i="13"/>
  <c r="S583" i="13" s="1"/>
  <c r="O76" i="13"/>
  <c r="S456" i="13" s="1"/>
  <c r="O138" i="13"/>
  <c r="S138" i="13" s="1"/>
  <c r="O288" i="13"/>
  <c r="O668" i="13" s="1"/>
  <c r="O344" i="13"/>
  <c r="S344" i="13" s="1"/>
  <c r="O359" i="13"/>
  <c r="R359" i="13" s="1"/>
  <c r="X264" i="13"/>
  <c r="Y264" i="13"/>
  <c r="W264" i="13"/>
  <c r="AA264" i="13"/>
  <c r="Z264" i="13"/>
  <c r="V264" i="13"/>
  <c r="Y160" i="13"/>
  <c r="X160" i="13"/>
  <c r="Z160" i="13"/>
  <c r="AA160" i="13"/>
  <c r="W160" i="13"/>
  <c r="V160" i="13"/>
  <c r="O281" i="13"/>
  <c r="S281" i="13" s="1"/>
  <c r="O265" i="13"/>
  <c r="S265" i="13" s="1"/>
  <c r="O249" i="13"/>
  <c r="S249" i="13" s="1"/>
  <c r="O190" i="13"/>
  <c r="S190" i="13" s="1"/>
  <c r="O142" i="13"/>
  <c r="S142" i="13" s="1"/>
  <c r="O366" i="13"/>
  <c r="O102" i="13"/>
  <c r="S102" i="13" s="1"/>
  <c r="O97" i="13"/>
  <c r="R97" i="13" s="1"/>
  <c r="X194" i="13"/>
  <c r="V194" i="13"/>
  <c r="AA194" i="13"/>
  <c r="Z194" i="13"/>
  <c r="Y194" i="13"/>
  <c r="W194" i="13"/>
  <c r="O148" i="13"/>
  <c r="R148" i="13" s="1"/>
  <c r="O371" i="13"/>
  <c r="R371" i="13" s="1"/>
  <c r="O171" i="13"/>
  <c r="S171" i="13" s="1"/>
  <c r="O320" i="13"/>
  <c r="P320" i="13" s="1"/>
  <c r="O163" i="13"/>
  <c r="R163" i="13" s="1"/>
  <c r="O154" i="13"/>
  <c r="P154" i="13" s="1"/>
  <c r="O156" i="13"/>
  <c r="O536" i="13" s="1"/>
  <c r="O215" i="13"/>
  <c r="S215" i="13" s="1"/>
  <c r="O256" i="13"/>
  <c r="S636" i="13" s="1"/>
  <c r="O144" i="13"/>
  <c r="O207" i="13"/>
  <c r="S587" i="13" s="1"/>
  <c r="O330" i="13"/>
  <c r="O710" i="13" s="1"/>
  <c r="O170" i="13"/>
  <c r="S170" i="13" s="1"/>
  <c r="O211" i="13"/>
  <c r="O591" i="13" s="1"/>
  <c r="O272" i="13"/>
  <c r="P272" i="13" s="1"/>
  <c r="O271" i="13"/>
  <c r="S271" i="13" s="1"/>
  <c r="O368" i="13"/>
  <c r="R368" i="13" s="1"/>
  <c r="O216" i="13"/>
  <c r="P216" i="13" s="1"/>
  <c r="O323" i="13"/>
  <c r="O703" i="13" s="1"/>
  <c r="O243" i="13"/>
  <c r="S243" i="13" s="1"/>
  <c r="O299" i="13"/>
  <c r="P299" i="13" s="1"/>
  <c r="O52" i="13"/>
  <c r="P52" i="13" s="1"/>
  <c r="O111" i="13"/>
  <c r="S111" i="13" s="1"/>
  <c r="O375" i="13"/>
  <c r="R375" i="13" s="1"/>
  <c r="O250" i="13"/>
  <c r="S250" i="13" s="1"/>
  <c r="O283" i="13"/>
  <c r="O200" i="13"/>
  <c r="P200" i="13" s="1"/>
  <c r="O343" i="13"/>
  <c r="R343" i="13" s="1"/>
  <c r="O109" i="13"/>
  <c r="P109" i="13" s="1"/>
  <c r="O116" i="13"/>
  <c r="S116" i="13" s="1"/>
  <c r="O56" i="13"/>
  <c r="O147" i="13"/>
  <c r="S147" i="13" s="1"/>
  <c r="O202" i="13"/>
  <c r="O582" i="13" s="1"/>
  <c r="O136" i="13"/>
  <c r="R136" i="13" s="1"/>
  <c r="O132" i="13"/>
  <c r="S132" i="13" s="1"/>
  <c r="O120" i="13"/>
  <c r="S500" i="13" s="1"/>
  <c r="O64" i="13"/>
  <c r="O444" i="13" s="1"/>
  <c r="O133" i="13"/>
  <c r="S133" i="13" s="1"/>
  <c r="O325" i="13"/>
  <c r="S705" i="13" s="1"/>
  <c r="O356" i="13"/>
  <c r="R356" i="13" s="1"/>
  <c r="O90" i="13"/>
  <c r="O470" i="13" s="1"/>
  <c r="O231" i="13"/>
  <c r="O381" i="13"/>
  <c r="S381" i="13" s="1"/>
  <c r="X43" i="13"/>
  <c r="Y43" i="13"/>
  <c r="Y46" i="13"/>
  <c r="X46" i="13"/>
  <c r="Y21" i="13"/>
  <c r="X21" i="13"/>
  <c r="Y9" i="13"/>
  <c r="X9" i="13"/>
  <c r="Y4" i="13"/>
  <c r="X4" i="13"/>
  <c r="Y40" i="13"/>
  <c r="X40" i="13"/>
  <c r="Y28" i="13"/>
  <c r="X28" i="13"/>
  <c r="Y29" i="13"/>
  <c r="X29" i="13"/>
  <c r="X47" i="13"/>
  <c r="Y47" i="13"/>
  <c r="Y25" i="13"/>
  <c r="X25" i="13"/>
  <c r="X15" i="13"/>
  <c r="Y15" i="13"/>
  <c r="O159" i="13"/>
  <c r="O20" i="13"/>
  <c r="V20" i="13" s="1"/>
  <c r="O23" i="13"/>
  <c r="R23" i="13" s="1"/>
  <c r="O5" i="13"/>
  <c r="O39" i="13"/>
  <c r="R39" i="13" s="1"/>
  <c r="O8" i="13"/>
  <c r="O388" i="13" s="1"/>
  <c r="O19" i="13"/>
  <c r="R19" i="13" s="1"/>
  <c r="O30" i="13"/>
  <c r="V40" i="13"/>
  <c r="W40" i="13"/>
  <c r="O32" i="13"/>
  <c r="R32" i="13" s="1"/>
  <c r="O44" i="13"/>
  <c r="R44" i="13" s="1"/>
  <c r="O27" i="13"/>
  <c r="O26" i="13"/>
  <c r="R26" i="13" s="1"/>
  <c r="O31" i="13"/>
  <c r="R31" i="13" s="1"/>
  <c r="O11" i="13"/>
  <c r="R11" i="13" s="1"/>
  <c r="O12" i="13"/>
  <c r="R12" i="13" s="1"/>
  <c r="O16" i="13"/>
  <c r="R16" i="13" s="1"/>
  <c r="V43" i="13"/>
  <c r="W43" i="13"/>
  <c r="O22" i="13"/>
  <c r="O14" i="13"/>
  <c r="O394" i="13" s="1"/>
  <c r="O33" i="13"/>
  <c r="R33" i="13" s="1"/>
  <c r="O38" i="13"/>
  <c r="O41" i="13"/>
  <c r="V28" i="13"/>
  <c r="W28" i="13"/>
  <c r="V46" i="13"/>
  <c r="W46" i="13"/>
  <c r="V29" i="13"/>
  <c r="W29" i="13"/>
  <c r="O34" i="13"/>
  <c r="O414" i="13" s="1"/>
  <c r="O24" i="13"/>
  <c r="O17" i="13"/>
  <c r="R17" i="13" s="1"/>
  <c r="W47" i="13"/>
  <c r="V47" i="13"/>
  <c r="V21" i="13"/>
  <c r="W21" i="13"/>
  <c r="O35" i="13"/>
  <c r="O45" i="13"/>
  <c r="O48" i="13"/>
  <c r="O13" i="13"/>
  <c r="R13" i="13" s="1"/>
  <c r="O37" i="13"/>
  <c r="O417" i="13" s="1"/>
  <c r="O6" i="13"/>
  <c r="O386" i="13" s="1"/>
  <c r="O42" i="13"/>
  <c r="R42" i="13" s="1"/>
  <c r="V15" i="13"/>
  <c r="W15" i="13"/>
  <c r="O36" i="13"/>
  <c r="O416" i="13" s="1"/>
  <c r="O10" i="13"/>
  <c r="O390" i="13" s="1"/>
  <c r="R390" i="13" s="1"/>
  <c r="O7" i="13"/>
  <c r="R7" i="13" s="1"/>
  <c r="W9" i="13"/>
  <c r="V9" i="13"/>
  <c r="V25" i="13"/>
  <c r="W25" i="13"/>
  <c r="AD35" i="6"/>
  <c r="AD37" i="6"/>
  <c r="AD36" i="6"/>
  <c r="O18" i="13"/>
  <c r="O398" i="13" s="1"/>
  <c r="AF37" i="6"/>
  <c r="AF36" i="6"/>
  <c r="AF35" i="6"/>
  <c r="W4" i="13"/>
  <c r="V4" i="13"/>
  <c r="AA35" i="6" a="1"/>
  <c r="AA35" i="6" s="1"/>
  <c r="AC35" i="6" a="1"/>
  <c r="AC35" i="6" s="1"/>
  <c r="AB37" i="6" a="1"/>
  <c r="AB37" i="6" s="1"/>
  <c r="AC37" i="6" a="1"/>
  <c r="AC37" i="6" s="1"/>
  <c r="AA37" i="6" a="1"/>
  <c r="AA37" i="6" s="1"/>
  <c r="AB35" i="6" a="1"/>
  <c r="AB35" i="6" s="1"/>
  <c r="AA36" i="6" a="1"/>
  <c r="AA36" i="6" s="1"/>
  <c r="AC36" i="6" a="1"/>
  <c r="AC36" i="6" s="1"/>
  <c r="AB36" i="6" a="1"/>
  <c r="AB36" i="6" s="1"/>
  <c r="S286" i="13"/>
  <c r="S666" i="13"/>
  <c r="P286" i="13"/>
  <c r="R286" i="13"/>
  <c r="S168" i="13"/>
  <c r="S548" i="13"/>
  <c r="R168" i="13"/>
  <c r="P168" i="13"/>
  <c r="O734" i="13"/>
  <c r="S354" i="13"/>
  <c r="S734" i="13"/>
  <c r="R354" i="13"/>
  <c r="P354" i="13"/>
  <c r="S258" i="13"/>
  <c r="S638" i="13"/>
  <c r="P258" i="13"/>
  <c r="R258" i="13"/>
  <c r="S439" i="13"/>
  <c r="S59" i="13"/>
  <c r="P59" i="13"/>
  <c r="R59" i="13"/>
  <c r="S160" i="13"/>
  <c r="S540" i="13"/>
  <c r="R160" i="13"/>
  <c r="P160" i="13"/>
  <c r="S310" i="13"/>
  <c r="S690" i="13"/>
  <c r="P310" i="13"/>
  <c r="R310" i="13"/>
  <c r="S306" i="13"/>
  <c r="S686" i="13"/>
  <c r="R306" i="13"/>
  <c r="P306" i="13"/>
  <c r="S448" i="13"/>
  <c r="S68" i="13"/>
  <c r="R68" i="13"/>
  <c r="P68" i="13"/>
  <c r="S226" i="13"/>
  <c r="S606" i="13"/>
  <c r="P226" i="13"/>
  <c r="R226" i="13"/>
  <c r="S691" i="13"/>
  <c r="S311" i="13"/>
  <c r="P311" i="13"/>
  <c r="R311" i="13"/>
  <c r="S227" i="13"/>
  <c r="S607" i="13"/>
  <c r="R227" i="13"/>
  <c r="P227" i="13"/>
  <c r="S426" i="13"/>
  <c r="S46" i="13"/>
  <c r="R46" i="13"/>
  <c r="S370" i="13"/>
  <c r="S750" i="13"/>
  <c r="R370" i="13"/>
  <c r="P370" i="13"/>
  <c r="S153" i="13"/>
  <c r="S533" i="13"/>
  <c r="R153" i="13"/>
  <c r="P153" i="13"/>
  <c r="S81" i="13"/>
  <c r="S461" i="13"/>
  <c r="R81" i="13"/>
  <c r="P81" i="13"/>
  <c r="S334" i="13"/>
  <c r="S714" i="13"/>
  <c r="P334" i="13"/>
  <c r="R334" i="13"/>
  <c r="S345" i="13"/>
  <c r="S725" i="13"/>
  <c r="P345" i="13"/>
  <c r="R345" i="13"/>
  <c r="S361" i="13"/>
  <c r="S741" i="13"/>
  <c r="P361" i="13"/>
  <c r="R361" i="13"/>
  <c r="S450" i="13"/>
  <c r="S70" i="13"/>
  <c r="P70" i="13"/>
  <c r="R70" i="13"/>
  <c r="S350" i="13"/>
  <c r="S730" i="13"/>
  <c r="P350" i="13"/>
  <c r="R350" i="13"/>
  <c r="R43" i="13"/>
  <c r="S280" i="13"/>
  <c r="S660" i="13"/>
  <c r="R280" i="13"/>
  <c r="P280" i="13"/>
  <c r="O446" i="13"/>
  <c r="S446" i="13"/>
  <c r="S66" i="13"/>
  <c r="R66" i="13"/>
  <c r="P66" i="13"/>
  <c r="S119" i="13"/>
  <c r="S499" i="13"/>
  <c r="R119" i="13"/>
  <c r="P119" i="13"/>
  <c r="S308" i="13"/>
  <c r="S688" i="13"/>
  <c r="P308" i="13"/>
  <c r="R308" i="13"/>
  <c r="S122" i="13"/>
  <c r="S502" i="13"/>
  <c r="P122" i="13"/>
  <c r="R122" i="13"/>
  <c r="S302" i="13"/>
  <c r="S682" i="13"/>
  <c r="P302" i="13"/>
  <c r="R302" i="13"/>
  <c r="S365" i="13"/>
  <c r="S745" i="13"/>
  <c r="R365" i="13"/>
  <c r="P365" i="13"/>
  <c r="S362" i="13"/>
  <c r="S742" i="13"/>
  <c r="R362" i="13"/>
  <c r="P362" i="13"/>
  <c r="S219" i="13"/>
  <c r="S599" i="13"/>
  <c r="R219" i="13"/>
  <c r="P219" i="13"/>
  <c r="S318" i="13"/>
  <c r="S698" i="13"/>
  <c r="P318" i="13"/>
  <c r="R318" i="13"/>
  <c r="S353" i="13"/>
  <c r="S733" i="13"/>
  <c r="P353" i="13"/>
  <c r="R353" i="13"/>
  <c r="S114" i="13"/>
  <c r="S494" i="13"/>
  <c r="P114" i="13"/>
  <c r="R114" i="13"/>
  <c r="R326" i="13"/>
  <c r="O420" i="13"/>
  <c r="S40" i="13"/>
  <c r="R40" i="13"/>
  <c r="P156" i="13"/>
  <c r="S262" i="13"/>
  <c r="S642" i="13"/>
  <c r="P262" i="13"/>
  <c r="R262" i="13"/>
  <c r="S309" i="13"/>
  <c r="S689" i="13"/>
  <c r="R309" i="13"/>
  <c r="P309" i="13"/>
  <c r="S173" i="13"/>
  <c r="S553" i="13"/>
  <c r="R173" i="13"/>
  <c r="P173" i="13"/>
  <c r="S135" i="13"/>
  <c r="S515" i="13"/>
  <c r="R135" i="13"/>
  <c r="P135" i="13"/>
  <c r="S169" i="13"/>
  <c r="S549" i="13"/>
  <c r="R169" i="13"/>
  <c r="P169" i="13"/>
  <c r="S87" i="13"/>
  <c r="S467" i="13"/>
  <c r="R87" i="13"/>
  <c r="P87" i="13"/>
  <c r="S314" i="13"/>
  <c r="S694" i="13"/>
  <c r="R314" i="13"/>
  <c r="P314" i="13"/>
  <c r="S321" i="13"/>
  <c r="S701" i="13"/>
  <c r="P321" i="13"/>
  <c r="R321" i="13"/>
  <c r="S260" i="13"/>
  <c r="S640" i="13"/>
  <c r="R260" i="13"/>
  <c r="P260" i="13"/>
  <c r="S377" i="13"/>
  <c r="S757" i="13"/>
  <c r="P377" i="13"/>
  <c r="R377" i="13"/>
  <c r="O574" i="13"/>
  <c r="S194" i="13"/>
  <c r="S574" i="13"/>
  <c r="P194" i="13"/>
  <c r="R194" i="13"/>
  <c r="S316" i="13"/>
  <c r="S696" i="13"/>
  <c r="P316" i="13"/>
  <c r="R316" i="13"/>
  <c r="S382" i="13"/>
  <c r="S762" i="13"/>
  <c r="P382" i="13"/>
  <c r="R382" i="13"/>
  <c r="S430" i="13"/>
  <c r="S50" i="13"/>
  <c r="R50" i="13"/>
  <c r="P50" i="13"/>
  <c r="O644" i="13"/>
  <c r="S264" i="13"/>
  <c r="S644" i="13"/>
  <c r="R264" i="13"/>
  <c r="P264" i="13"/>
  <c r="S603" i="13"/>
  <c r="S223" i="13"/>
  <c r="P223" i="13"/>
  <c r="R223" i="13"/>
  <c r="S293" i="13"/>
  <c r="S673" i="13"/>
  <c r="R293" i="13"/>
  <c r="P293" i="13"/>
  <c r="S230" i="13"/>
  <c r="S610" i="13"/>
  <c r="R230" i="13"/>
  <c r="P230" i="13"/>
  <c r="S282" i="13"/>
  <c r="S662" i="13"/>
  <c r="R282" i="13"/>
  <c r="P282" i="13"/>
  <c r="S82" i="13"/>
  <c r="S462" i="13"/>
  <c r="P82" i="13"/>
  <c r="R82" i="13"/>
  <c r="S431" i="13"/>
  <c r="S51" i="13"/>
  <c r="P51" i="13"/>
  <c r="R51" i="13"/>
  <c r="S297" i="13"/>
  <c r="S677" i="13"/>
  <c r="P297" i="13"/>
  <c r="R297" i="13"/>
  <c r="S619" i="13"/>
  <c r="S239" i="13"/>
  <c r="P239" i="13"/>
  <c r="R239" i="13"/>
  <c r="S374" i="13"/>
  <c r="S754" i="13"/>
  <c r="P374" i="13"/>
  <c r="R374" i="13"/>
  <c r="S218" i="13"/>
  <c r="S598" i="13"/>
  <c r="P218" i="13"/>
  <c r="R218" i="13"/>
  <c r="S124" i="13"/>
  <c r="S504" i="13"/>
  <c r="R124" i="13"/>
  <c r="P124" i="13"/>
  <c r="S196" i="13"/>
  <c r="S576" i="13"/>
  <c r="P196" i="13"/>
  <c r="R196" i="13"/>
  <c r="S184" i="13"/>
  <c r="S564" i="13"/>
  <c r="R184" i="13"/>
  <c r="P184" i="13"/>
  <c r="S214" i="13"/>
  <c r="S594" i="13"/>
  <c r="R214" i="13"/>
  <c r="P214" i="13"/>
  <c r="S217" i="13"/>
  <c r="S597" i="13"/>
  <c r="R217" i="13"/>
  <c r="P217" i="13"/>
  <c r="S254" i="13"/>
  <c r="S634" i="13"/>
  <c r="R254" i="13"/>
  <c r="P254" i="13"/>
  <c r="R28" i="13"/>
  <c r="S181" i="13"/>
  <c r="S561" i="13"/>
  <c r="R181" i="13"/>
  <c r="P181" i="13"/>
  <c r="S294" i="13"/>
  <c r="S674" i="13"/>
  <c r="P294" i="13"/>
  <c r="R294" i="13"/>
  <c r="S225" i="13"/>
  <c r="S605" i="13"/>
  <c r="R225" i="13"/>
  <c r="P225" i="13"/>
  <c r="S165" i="13"/>
  <c r="S545" i="13"/>
  <c r="R165" i="13"/>
  <c r="P165" i="13"/>
  <c r="S434" i="13"/>
  <c r="S54" i="13"/>
  <c r="R54" i="13"/>
  <c r="P54" i="13"/>
  <c r="S188" i="13"/>
  <c r="S568" i="13"/>
  <c r="P188" i="13"/>
  <c r="R188" i="13"/>
  <c r="S455" i="13"/>
  <c r="S75" i="13"/>
  <c r="P75" i="13"/>
  <c r="R75" i="13"/>
  <c r="S91" i="13"/>
  <c r="S471" i="13"/>
  <c r="P91" i="13"/>
  <c r="R91" i="13"/>
  <c r="S193" i="13"/>
  <c r="S573" i="13"/>
  <c r="R193" i="13"/>
  <c r="P193" i="13"/>
  <c r="S139" i="13"/>
  <c r="S519" i="13"/>
  <c r="P139" i="13"/>
  <c r="R139" i="13"/>
  <c r="S248" i="13"/>
  <c r="S628" i="13"/>
  <c r="R248" i="13"/>
  <c r="P248" i="13"/>
  <c r="S273" i="13"/>
  <c r="S653" i="13"/>
  <c r="P273" i="13"/>
  <c r="R273" i="13"/>
  <c r="S274" i="13"/>
  <c r="S654" i="13"/>
  <c r="R274" i="13"/>
  <c r="P274" i="13"/>
  <c r="S212" i="13"/>
  <c r="S592" i="13"/>
  <c r="P212" i="13"/>
  <c r="R212" i="13"/>
  <c r="S113" i="13"/>
  <c r="S493" i="13"/>
  <c r="R113" i="13"/>
  <c r="P113" i="13"/>
  <c r="S106" i="13"/>
  <c r="S486" i="13"/>
  <c r="P106" i="13"/>
  <c r="R106" i="13"/>
  <c r="S652" i="13"/>
  <c r="S285" i="13"/>
  <c r="S665" i="13"/>
  <c r="R285" i="13"/>
  <c r="P285" i="13"/>
  <c r="S177" i="13"/>
  <c r="S557" i="13"/>
  <c r="R177" i="13"/>
  <c r="P177" i="13"/>
  <c r="S185" i="13"/>
  <c r="S565" i="13"/>
  <c r="R185" i="13"/>
  <c r="P185" i="13"/>
  <c r="S547" i="13"/>
  <c r="S167" i="13"/>
  <c r="P167" i="13"/>
  <c r="R167" i="13"/>
  <c r="R29" i="13"/>
  <c r="S346" i="13"/>
  <c r="S726" i="13"/>
  <c r="R346" i="13"/>
  <c r="P346" i="13"/>
  <c r="S192" i="13"/>
  <c r="S572" i="13"/>
  <c r="R192" i="13"/>
  <c r="P192" i="13"/>
  <c r="S277" i="13"/>
  <c r="S657" i="13"/>
  <c r="R277" i="13"/>
  <c r="P277" i="13"/>
  <c r="S94" i="13"/>
  <c r="S474" i="13"/>
  <c r="P94" i="13"/>
  <c r="R94" i="13"/>
  <c r="S130" i="13"/>
  <c r="S510" i="13"/>
  <c r="P130" i="13"/>
  <c r="R130" i="13"/>
  <c r="S103" i="13"/>
  <c r="S483" i="13"/>
  <c r="R103" i="13"/>
  <c r="P103" i="13"/>
  <c r="S451" i="13"/>
  <c r="S71" i="13"/>
  <c r="R71" i="13"/>
  <c r="P71" i="13"/>
  <c r="S123" i="13"/>
  <c r="S503" i="13"/>
  <c r="P123" i="13"/>
  <c r="R123" i="13"/>
  <c r="S189" i="13"/>
  <c r="S569" i="13"/>
  <c r="R189" i="13"/>
  <c r="P189" i="13"/>
  <c r="S99" i="13"/>
  <c r="S479" i="13"/>
  <c r="P99" i="13"/>
  <c r="R99" i="13"/>
  <c r="S209" i="13"/>
  <c r="S589" i="13"/>
  <c r="R209" i="13"/>
  <c r="P209" i="13"/>
  <c r="S83" i="13"/>
  <c r="S463" i="13"/>
  <c r="P83" i="13"/>
  <c r="R83" i="13"/>
  <c r="S266" i="13"/>
  <c r="S646" i="13"/>
  <c r="P266" i="13"/>
  <c r="R266" i="13"/>
  <c r="R9" i="13"/>
  <c r="S150" i="13"/>
  <c r="S530" i="13"/>
  <c r="P150" i="13"/>
  <c r="R150" i="13"/>
  <c r="S298" i="13"/>
  <c r="S678" i="13"/>
  <c r="R298" i="13"/>
  <c r="P298" i="13"/>
  <c r="S473" i="13"/>
  <c r="S93" i="13"/>
  <c r="R93" i="13"/>
  <c r="P93" i="13"/>
  <c r="S137" i="13"/>
  <c r="S517" i="13"/>
  <c r="R137" i="13"/>
  <c r="P137" i="13"/>
  <c r="R21" i="13"/>
  <c r="S126" i="13"/>
  <c r="S506" i="13"/>
  <c r="P126" i="13"/>
  <c r="R126" i="13"/>
  <c r="S435" i="13"/>
  <c r="S55" i="13"/>
  <c r="R55" i="13"/>
  <c r="P55" i="13"/>
  <c r="S313" i="13"/>
  <c r="S693" i="13"/>
  <c r="P313" i="13"/>
  <c r="R313" i="13"/>
  <c r="R15" i="13"/>
  <c r="R4" i="13"/>
  <c r="S290" i="13"/>
  <c r="S670" i="13"/>
  <c r="R290" i="13"/>
  <c r="P290" i="13"/>
  <c r="R47" i="13"/>
  <c r="S98" i="13"/>
  <c r="S478" i="13"/>
  <c r="P98" i="13"/>
  <c r="R98" i="13"/>
  <c r="S458" i="13"/>
  <c r="S78" i="13"/>
  <c r="P78" i="13"/>
  <c r="R78" i="13"/>
  <c r="S204" i="13"/>
  <c r="S584" i="13"/>
  <c r="P204" i="13"/>
  <c r="R204" i="13"/>
  <c r="S337" i="13"/>
  <c r="S717" i="13"/>
  <c r="P337" i="13"/>
  <c r="R337" i="13"/>
  <c r="S317" i="13"/>
  <c r="S697" i="13"/>
  <c r="R317" i="13"/>
  <c r="P317" i="13"/>
  <c r="P359" i="13"/>
  <c r="S234" i="13"/>
  <c r="S614" i="13"/>
  <c r="P234" i="13"/>
  <c r="R234" i="13"/>
  <c r="S161" i="13"/>
  <c r="S541" i="13"/>
  <c r="R161" i="13"/>
  <c r="P161" i="13"/>
  <c r="S131" i="13"/>
  <c r="S511" i="13"/>
  <c r="P131" i="13"/>
  <c r="R131" i="13"/>
  <c r="S213" i="13"/>
  <c r="S593" i="13"/>
  <c r="R213" i="13"/>
  <c r="P213" i="13"/>
  <c r="S197" i="13"/>
  <c r="S577" i="13"/>
  <c r="R197" i="13"/>
  <c r="P197" i="13"/>
  <c r="S270" i="13"/>
  <c r="S650" i="13"/>
  <c r="P270" i="13"/>
  <c r="R270" i="13"/>
  <c r="S115" i="13"/>
  <c r="S495" i="13"/>
  <c r="P115" i="13"/>
  <c r="R115" i="13"/>
  <c r="S447" i="13"/>
  <c r="S67" i="13"/>
  <c r="P67" i="13"/>
  <c r="R67" i="13"/>
  <c r="S158" i="13"/>
  <c r="S538" i="13"/>
  <c r="S278" i="13"/>
  <c r="S658" i="13"/>
  <c r="P278" i="13"/>
  <c r="R278" i="13"/>
  <c r="S529" i="13"/>
  <c r="S149" i="13"/>
  <c r="R149" i="13"/>
  <c r="P149" i="13"/>
  <c r="S62" i="13"/>
  <c r="S442" i="13"/>
  <c r="R62" i="13"/>
  <c r="P62" i="13"/>
  <c r="S145" i="13"/>
  <c r="S525" i="13"/>
  <c r="R145" i="13"/>
  <c r="P145" i="13"/>
  <c r="S537" i="13"/>
  <c r="S157" i="13"/>
  <c r="R157" i="13"/>
  <c r="P157" i="13"/>
  <c r="S405" i="13"/>
  <c r="S25" i="13"/>
  <c r="R25" i="13"/>
  <c r="S429" i="13"/>
  <c r="S49" i="13"/>
  <c r="R49" i="13"/>
  <c r="P49" i="13"/>
  <c r="S176" i="13"/>
  <c r="S556" i="13"/>
  <c r="R176" i="13"/>
  <c r="P176" i="13"/>
  <c r="P158" i="13"/>
  <c r="O510" i="13"/>
  <c r="O614" i="13"/>
  <c r="O462" i="13"/>
  <c r="O439" i="13"/>
  <c r="O666" i="13"/>
  <c r="O665" i="13"/>
  <c r="O682" i="13"/>
  <c r="O745" i="13"/>
  <c r="O698" i="13"/>
  <c r="O494" i="13"/>
  <c r="O686" i="13"/>
  <c r="O548" i="13"/>
  <c r="O486" i="13"/>
  <c r="O640" i="13"/>
  <c r="O595" i="13"/>
  <c r="O696" i="13"/>
  <c r="O762" i="13"/>
  <c r="O430" i="13"/>
  <c r="O545" i="13"/>
  <c r="O619" i="13"/>
  <c r="O533" i="13"/>
  <c r="O741" i="13"/>
  <c r="O690" i="13"/>
  <c r="O473" i="13"/>
  <c r="O547" i="13"/>
  <c r="O726" i="13"/>
  <c r="O573" i="13"/>
  <c r="O502" i="13"/>
  <c r="O556" i="13"/>
  <c r="O447" i="13"/>
  <c r="O401" i="13"/>
  <c r="O693" i="13"/>
  <c r="O395" i="13"/>
  <c r="O670" i="13"/>
  <c r="O478" i="13"/>
  <c r="O628" i="13"/>
  <c r="R158" i="13"/>
  <c r="O529" i="13"/>
  <c r="O525" i="13"/>
  <c r="O479" i="13"/>
  <c r="O717" i="13"/>
  <c r="O642" i="13"/>
  <c r="O757" i="13"/>
  <c r="O572" i="13"/>
  <c r="O458" i="13"/>
  <c r="O653" i="13"/>
  <c r="O673" i="13"/>
  <c r="O519" i="13"/>
  <c r="O603" i="13"/>
  <c r="O474" i="13"/>
  <c r="O18" i="3"/>
  <c r="O21" i="3"/>
  <c r="O9" i="3"/>
  <c r="O15" i="3"/>
  <c r="O13" i="3"/>
  <c r="O11" i="3"/>
  <c r="O12" i="3"/>
  <c r="O16" i="3"/>
  <c r="O8" i="3"/>
  <c r="O22" i="3"/>
  <c r="O6" i="3"/>
  <c r="O17" i="3"/>
  <c r="O20" i="3"/>
  <c r="O23" i="3"/>
  <c r="O7" i="3"/>
  <c r="O19" i="3"/>
  <c r="O14" i="3"/>
  <c r="O660" i="13"/>
  <c r="O681" i="13"/>
  <c r="O754" i="13"/>
  <c r="O730" i="13"/>
  <c r="O429" i="13"/>
  <c r="O694" i="13"/>
  <c r="O714" i="13"/>
  <c r="O725" i="13"/>
  <c r="O537" i="13"/>
  <c r="O405" i="13"/>
  <c r="O442" i="13"/>
  <c r="O658" i="13"/>
  <c r="O650" i="13"/>
  <c r="O538" i="13"/>
  <c r="O561" i="13"/>
  <c r="O657" i="13"/>
  <c r="O384" i="13"/>
  <c r="O584" i="13"/>
  <c r="O427" i="13"/>
  <c r="O423" i="13"/>
  <c r="O517" i="13"/>
  <c r="O742" i="13"/>
  <c r="O733" i="13"/>
  <c r="O565" i="13"/>
  <c r="O450" i="13"/>
  <c r="O461" i="13"/>
  <c r="O541" i="13"/>
  <c r="O540" i="13"/>
  <c r="O409" i="13"/>
  <c r="O557" i="13"/>
  <c r="O691" i="13"/>
  <c r="O688" i="13"/>
  <c r="O506" i="13"/>
  <c r="O599" i="13"/>
  <c r="O451" i="13"/>
  <c r="O592" i="13"/>
  <c r="O750" i="13"/>
  <c r="O678" i="13"/>
  <c r="O701" i="13"/>
  <c r="O568" i="13"/>
  <c r="O689" i="13"/>
  <c r="O435" i="13"/>
  <c r="O654" i="13"/>
  <c r="O426" i="13"/>
  <c r="O674" i="13"/>
  <c r="O467" i="13"/>
  <c r="O549" i="13"/>
  <c r="O677" i="13"/>
  <c r="O495" i="13"/>
  <c r="O408" i="13"/>
  <c r="O607" i="13"/>
  <c r="O598" i="13"/>
  <c r="O569" i="13"/>
  <c r="O593" i="13"/>
  <c r="O564" i="13"/>
  <c r="O610" i="13"/>
  <c r="O638" i="13"/>
  <c r="O606" i="13"/>
  <c r="O594" i="13"/>
  <c r="O431" i="13"/>
  <c r="O662" i="13"/>
  <c r="O577" i="13"/>
  <c r="O4" i="3"/>
  <c r="O5" i="3"/>
  <c r="O10" i="3"/>
  <c r="O530" i="13"/>
  <c r="O634" i="13"/>
  <c r="O448" i="13"/>
  <c r="O463" i="13"/>
  <c r="O589" i="13"/>
  <c r="O503" i="13"/>
  <c r="O646" i="13"/>
  <c r="O504" i="13"/>
  <c r="O389" i="13"/>
  <c r="O553" i="13"/>
  <c r="O597" i="13"/>
  <c r="O483" i="13"/>
  <c r="O576" i="13"/>
  <c r="O511" i="13"/>
  <c r="O499" i="13"/>
  <c r="O633" i="13"/>
  <c r="O493" i="13"/>
  <c r="O697" i="13"/>
  <c r="O515" i="13"/>
  <c r="O396" i="13" l="1"/>
  <c r="O586" i="13"/>
  <c r="V357" i="13"/>
  <c r="O585" i="13"/>
  <c r="O464" i="13"/>
  <c r="S72" i="13"/>
  <c r="S359" i="13"/>
  <c r="S702" i="13"/>
  <c r="X342" i="13"/>
  <c r="S739" i="13"/>
  <c r="P92" i="13"/>
  <c r="Y92" i="13"/>
  <c r="W84" i="13"/>
  <c r="S77" i="13"/>
  <c r="Z174" i="13"/>
  <c r="S608" i="13"/>
  <c r="W358" i="13"/>
  <c r="O739" i="13"/>
  <c r="AA72" i="13"/>
  <c r="R206" i="13"/>
  <c r="X360" i="13"/>
  <c r="O702" i="13"/>
  <c r="O737" i="13"/>
  <c r="P737" i="13" s="1"/>
  <c r="R342" i="13"/>
  <c r="P358" i="13"/>
  <c r="Z322" i="13"/>
  <c r="O454" i="13"/>
  <c r="P221" i="13"/>
  <c r="O661" i="13"/>
  <c r="R661" i="13" s="1"/>
  <c r="R74" i="13"/>
  <c r="O707" i="13"/>
  <c r="R707" i="13" s="1"/>
  <c r="Z25" i="13"/>
  <c r="P229" i="13"/>
  <c r="S616" i="13"/>
  <c r="R58" i="13"/>
  <c r="S244" i="13"/>
  <c r="R89" i="13"/>
  <c r="Y89" i="13"/>
  <c r="R304" i="13"/>
  <c r="Y253" i="13"/>
  <c r="Z233" i="13"/>
  <c r="S379" i="13"/>
  <c r="Z179" i="13"/>
  <c r="O624" i="13"/>
  <c r="R100" i="13"/>
  <c r="S179" i="13"/>
  <c r="O711" i="13"/>
  <c r="R711" i="13" s="1"/>
  <c r="P187" i="13"/>
  <c r="P300" i="13"/>
  <c r="S58" i="13"/>
  <c r="S480" i="13"/>
  <c r="O567" i="13"/>
  <c r="R187" i="13"/>
  <c r="P331" i="13"/>
  <c r="S438" i="13"/>
  <c r="S100" i="13"/>
  <c r="Z155" i="13"/>
  <c r="O438" i="13"/>
  <c r="R331" i="13"/>
  <c r="W201" i="13"/>
  <c r="O480" i="13"/>
  <c r="P480" i="13" s="1"/>
  <c r="S567" i="13"/>
  <c r="S711" i="13"/>
  <c r="R155" i="13"/>
  <c r="P455" i="13"/>
  <c r="R244" i="13"/>
  <c r="P244" i="13"/>
  <c r="O664" i="13"/>
  <c r="O469" i="13"/>
  <c r="P469" i="13" s="1"/>
  <c r="O732" i="13"/>
  <c r="R732" i="13" s="1"/>
  <c r="R236" i="13"/>
  <c r="R379" i="13"/>
  <c r="P236" i="13"/>
  <c r="S759" i="13"/>
  <c r="P304" i="13"/>
  <c r="P228" i="13"/>
  <c r="P183" i="13"/>
  <c r="P89" i="13"/>
  <c r="S559" i="13"/>
  <c r="R348" i="13"/>
  <c r="S427" i="13"/>
  <c r="X253" i="13"/>
  <c r="W179" i="13"/>
  <c r="Y233" i="13"/>
  <c r="Y379" i="13"/>
  <c r="W89" i="13"/>
  <c r="O526" i="13"/>
  <c r="P526" i="13" s="1"/>
  <c r="S236" i="13"/>
  <c r="R146" i="13"/>
  <c r="S684" i="13"/>
  <c r="S228" i="13"/>
  <c r="S469" i="13"/>
  <c r="P233" i="13"/>
  <c r="S252" i="13"/>
  <c r="AA340" i="13"/>
  <c r="V304" i="13"/>
  <c r="V179" i="13"/>
  <c r="V236" i="13"/>
  <c r="X89" i="13"/>
  <c r="O608" i="13"/>
  <c r="P352" i="13"/>
  <c r="S304" i="13"/>
  <c r="P284" i="13"/>
  <c r="S339" i="13"/>
  <c r="S89" i="13"/>
  <c r="R233" i="13"/>
  <c r="X252" i="13"/>
  <c r="W304" i="13"/>
  <c r="AA179" i="13"/>
  <c r="W379" i="13"/>
  <c r="W236" i="13"/>
  <c r="AA89" i="13"/>
  <c r="O616" i="13"/>
  <c r="P616" i="13" s="1"/>
  <c r="R284" i="13"/>
  <c r="P279" i="13"/>
  <c r="S613" i="13"/>
  <c r="V183" i="13"/>
  <c r="Y336" i="13"/>
  <c r="Z253" i="13"/>
  <c r="AA304" i="13"/>
  <c r="X179" i="13"/>
  <c r="W233" i="13"/>
  <c r="Z379" i="13"/>
  <c r="Z236" i="13"/>
  <c r="P253" i="13"/>
  <c r="O559" i="13"/>
  <c r="R559" i="13" s="1"/>
  <c r="S732" i="13"/>
  <c r="S664" i="13"/>
  <c r="R279" i="13"/>
  <c r="R253" i="13"/>
  <c r="S233" i="13"/>
  <c r="S28" i="13"/>
  <c r="AA253" i="13"/>
  <c r="Z304" i="13"/>
  <c r="Y179" i="13"/>
  <c r="V233" i="13"/>
  <c r="AA379" i="13"/>
  <c r="AA236" i="13"/>
  <c r="X105" i="13"/>
  <c r="O728" i="13"/>
  <c r="O684" i="13"/>
  <c r="R684" i="13" s="1"/>
  <c r="O613" i="13"/>
  <c r="R613" i="13" s="1"/>
  <c r="S526" i="13"/>
  <c r="R352" i="13"/>
  <c r="O759" i="13"/>
  <c r="R759" i="13" s="1"/>
  <c r="S146" i="13"/>
  <c r="O659" i="13"/>
  <c r="S336" i="13"/>
  <c r="P379" i="13"/>
  <c r="S279" i="13"/>
  <c r="S633" i="13"/>
  <c r="P179" i="13"/>
  <c r="V253" i="13"/>
  <c r="Y304" i="13"/>
  <c r="AA233" i="13"/>
  <c r="X379" i="13"/>
  <c r="X236" i="13"/>
  <c r="V89" i="13"/>
  <c r="P330" i="13"/>
  <c r="S253" i="13"/>
  <c r="O413" i="13"/>
  <c r="R413" i="13" s="1"/>
  <c r="S47" i="13"/>
  <c r="AA47" i="13"/>
  <c r="S423" i="13"/>
  <c r="S408" i="13"/>
  <c r="Z86" i="13"/>
  <c r="AA237" i="13"/>
  <c r="S369" i="13"/>
  <c r="S649" i="13"/>
  <c r="P381" i="13"/>
  <c r="R117" i="13"/>
  <c r="Z347" i="13"/>
  <c r="P605" i="13"/>
  <c r="S751" i="13"/>
  <c r="P348" i="13"/>
  <c r="X315" i="13"/>
  <c r="O761" i="13"/>
  <c r="R761" i="13" s="1"/>
  <c r="S347" i="13"/>
  <c r="S580" i="13"/>
  <c r="S728" i="13"/>
  <c r="Z383" i="13"/>
  <c r="S315" i="13"/>
  <c r="P323" i="13"/>
  <c r="O492" i="13"/>
  <c r="P492" i="13" s="1"/>
  <c r="S301" i="13"/>
  <c r="O587" i="13"/>
  <c r="R587" i="13" s="1"/>
  <c r="O709" i="13"/>
  <c r="O602" i="13"/>
  <c r="O460" i="13"/>
  <c r="R460" i="13" s="1"/>
  <c r="O491" i="13"/>
  <c r="P491" i="13" s="1"/>
  <c r="R272" i="13"/>
  <c r="S325" i="13"/>
  <c r="S498" i="13"/>
  <c r="S272" i="13"/>
  <c r="P111" i="13"/>
  <c r="R156" i="13"/>
  <c r="R111" i="13"/>
  <c r="S536" i="13"/>
  <c r="Y80" i="13"/>
  <c r="R8" i="13"/>
  <c r="S491" i="13"/>
  <c r="S156" i="13"/>
  <c r="O505" i="13"/>
  <c r="O498" i="13"/>
  <c r="S736" i="13"/>
  <c r="P325" i="13"/>
  <c r="O600" i="13"/>
  <c r="P600" i="13" s="1"/>
  <c r="O652" i="13"/>
  <c r="R652" i="13" s="1"/>
  <c r="R175" i="13"/>
  <c r="R325" i="13"/>
  <c r="Y112" i="13"/>
  <c r="X369" i="13"/>
  <c r="S679" i="13"/>
  <c r="R242" i="13"/>
  <c r="Z376" i="13"/>
  <c r="Z242" i="13"/>
  <c r="Y134" i="13"/>
  <c r="O488" i="13"/>
  <c r="P488" i="13" s="1"/>
  <c r="O571" i="13"/>
  <c r="S363" i="13"/>
  <c r="V198" i="13"/>
  <c r="O756" i="13"/>
  <c r="R756" i="13" s="1"/>
  <c r="P376" i="13"/>
  <c r="R121" i="13"/>
  <c r="S134" i="13"/>
  <c r="O514" i="13"/>
  <c r="R514" i="13" s="1"/>
  <c r="S129" i="13"/>
  <c r="P129" i="13"/>
  <c r="O509" i="13"/>
  <c r="P509" i="13" s="1"/>
  <c r="R129" i="13"/>
  <c r="Y206" i="13"/>
  <c r="R57" i="13"/>
  <c r="AA296" i="13"/>
  <c r="O629" i="13"/>
  <c r="R629" i="13" s="1"/>
  <c r="R72" i="13"/>
  <c r="P206" i="13"/>
  <c r="R322" i="13"/>
  <c r="S205" i="13"/>
  <c r="R77" i="13"/>
  <c r="R358" i="13"/>
  <c r="S372" i="13"/>
  <c r="S441" i="13"/>
  <c r="AA92" i="13"/>
  <c r="Y342" i="13"/>
  <c r="W72" i="13"/>
  <c r="Y360" i="13"/>
  <c r="AA357" i="13"/>
  <c r="V84" i="13"/>
  <c r="AA206" i="13"/>
  <c r="W174" i="13"/>
  <c r="V358" i="13"/>
  <c r="S452" i="13"/>
  <c r="S586" i="13"/>
  <c r="P84" i="13"/>
  <c r="S322" i="13"/>
  <c r="P342" i="13"/>
  <c r="P74" i="13"/>
  <c r="P357" i="13"/>
  <c r="S457" i="13"/>
  <c r="S738" i="13"/>
  <c r="P174" i="13"/>
  <c r="R221" i="13"/>
  <c r="R92" i="13"/>
  <c r="X92" i="13"/>
  <c r="AA53" i="13"/>
  <c r="AA77" i="13"/>
  <c r="X372" i="13"/>
  <c r="X205" i="13"/>
  <c r="V72" i="13"/>
  <c r="W322" i="13"/>
  <c r="W357" i="13"/>
  <c r="X84" i="13"/>
  <c r="AA174" i="13"/>
  <c r="X358" i="13"/>
  <c r="O740" i="13"/>
  <c r="O554" i="13"/>
  <c r="R554" i="13" s="1"/>
  <c r="O452" i="13"/>
  <c r="R452" i="13" s="1"/>
  <c r="O441" i="13"/>
  <c r="R441" i="13" s="1"/>
  <c r="O722" i="13"/>
  <c r="P722" i="13" s="1"/>
  <c r="S206" i="13"/>
  <c r="R84" i="13"/>
  <c r="S722" i="13"/>
  <c r="S74" i="13"/>
  <c r="R357" i="13"/>
  <c r="P291" i="13"/>
  <c r="S358" i="13"/>
  <c r="R174" i="13"/>
  <c r="S601" i="13"/>
  <c r="S472" i="13"/>
  <c r="Z92" i="13"/>
  <c r="W53" i="13"/>
  <c r="Z77" i="13"/>
  <c r="V372" i="13"/>
  <c r="AA205" i="13"/>
  <c r="Y72" i="13"/>
  <c r="V322" i="13"/>
  <c r="Y357" i="13"/>
  <c r="Y84" i="13"/>
  <c r="V174" i="13"/>
  <c r="Y358" i="13"/>
  <c r="P360" i="13"/>
  <c r="S464" i="13"/>
  <c r="S342" i="13"/>
  <c r="S737" i="13"/>
  <c r="R327" i="13"/>
  <c r="R291" i="13"/>
  <c r="O738" i="13"/>
  <c r="S554" i="13"/>
  <c r="P53" i="13"/>
  <c r="S221" i="13"/>
  <c r="S92" i="13"/>
  <c r="Z342" i="13"/>
  <c r="Y53" i="13"/>
  <c r="V77" i="13"/>
  <c r="W372" i="13"/>
  <c r="Z205" i="13"/>
  <c r="X72" i="13"/>
  <c r="W360" i="13"/>
  <c r="AA322" i="13"/>
  <c r="X357" i="13"/>
  <c r="X174" i="13"/>
  <c r="O472" i="13"/>
  <c r="R472" i="13" s="1"/>
  <c r="O457" i="13"/>
  <c r="O433" i="13"/>
  <c r="R433" i="13" s="1"/>
  <c r="R360" i="13"/>
  <c r="S84" i="13"/>
  <c r="P205" i="13"/>
  <c r="R246" i="13"/>
  <c r="S357" i="13"/>
  <c r="P327" i="13"/>
  <c r="S671" i="13"/>
  <c r="R372" i="13"/>
  <c r="S174" i="13"/>
  <c r="R53" i="13"/>
  <c r="P61" i="13"/>
  <c r="AA342" i="13"/>
  <c r="Z53" i="13"/>
  <c r="W77" i="13"/>
  <c r="Z372" i="13"/>
  <c r="V205" i="13"/>
  <c r="Z72" i="13"/>
  <c r="V360" i="13"/>
  <c r="X322" i="13"/>
  <c r="O752" i="13"/>
  <c r="R752" i="13" s="1"/>
  <c r="S740" i="13"/>
  <c r="R205" i="13"/>
  <c r="S327" i="13"/>
  <c r="S291" i="13"/>
  <c r="P372" i="13"/>
  <c r="S53" i="13"/>
  <c r="R61" i="13"/>
  <c r="V92" i="13"/>
  <c r="V342" i="13"/>
  <c r="V53" i="13"/>
  <c r="Y77" i="13"/>
  <c r="AA372" i="13"/>
  <c r="W205" i="13"/>
  <c r="Z360" i="13"/>
  <c r="Y322" i="13"/>
  <c r="AA84" i="13"/>
  <c r="Z358" i="13"/>
  <c r="S360" i="13"/>
  <c r="S585" i="13"/>
  <c r="P77" i="13"/>
  <c r="S752" i="13"/>
  <c r="S433" i="13"/>
  <c r="Z206" i="13"/>
  <c r="O609" i="13"/>
  <c r="R609" i="13" s="1"/>
  <c r="P121" i="13"/>
  <c r="S743" i="13"/>
  <c r="S514" i="13"/>
  <c r="W376" i="13"/>
  <c r="Z198" i="13"/>
  <c r="V134" i="13"/>
  <c r="O622" i="13"/>
  <c r="P622" i="13" s="1"/>
  <c r="S501" i="13"/>
  <c r="R229" i="13"/>
  <c r="P242" i="13"/>
  <c r="R376" i="13"/>
  <c r="Y242" i="13"/>
  <c r="Y198" i="13"/>
  <c r="Y232" i="13"/>
  <c r="V367" i="13"/>
  <c r="X134" i="13"/>
  <c r="O612" i="13"/>
  <c r="P612" i="13" s="1"/>
  <c r="O501" i="13"/>
  <c r="P501" i="13" s="1"/>
  <c r="S121" i="13"/>
  <c r="P249" i="13"/>
  <c r="P198" i="13"/>
  <c r="S609" i="13"/>
  <c r="R191" i="13"/>
  <c r="S622" i="13"/>
  <c r="S756" i="13"/>
  <c r="S85" i="13"/>
  <c r="X242" i="13"/>
  <c r="X198" i="13"/>
  <c r="X232" i="13"/>
  <c r="W367" i="13"/>
  <c r="O449" i="13"/>
  <c r="R449" i="13" s="1"/>
  <c r="R367" i="13"/>
  <c r="P69" i="13"/>
  <c r="R249" i="13"/>
  <c r="P232" i="13"/>
  <c r="P108" i="13"/>
  <c r="R198" i="13"/>
  <c r="S229" i="13"/>
  <c r="P191" i="13"/>
  <c r="S242" i="13"/>
  <c r="S376" i="13"/>
  <c r="Z367" i="13"/>
  <c r="X108" i="13"/>
  <c r="P367" i="13"/>
  <c r="R69" i="13"/>
  <c r="S629" i="13"/>
  <c r="R232" i="13"/>
  <c r="R108" i="13"/>
  <c r="S578" i="13"/>
  <c r="S191" i="13"/>
  <c r="X363" i="13"/>
  <c r="O578" i="13"/>
  <c r="P578" i="13" s="1"/>
  <c r="Y108" i="13"/>
  <c r="O443" i="13"/>
  <c r="P443" i="13" s="1"/>
  <c r="O699" i="13"/>
  <c r="R699" i="13" s="1"/>
  <c r="S367" i="13"/>
  <c r="S69" i="13"/>
  <c r="P319" i="13"/>
  <c r="S612" i="13"/>
  <c r="S488" i="13"/>
  <c r="S198" i="13"/>
  <c r="S571" i="13"/>
  <c r="P363" i="13"/>
  <c r="R134" i="13"/>
  <c r="AA229" i="13"/>
  <c r="Y363" i="13"/>
  <c r="W198" i="13"/>
  <c r="Z108" i="13"/>
  <c r="O743" i="13"/>
  <c r="R743" i="13" s="1"/>
  <c r="O747" i="13"/>
  <c r="P747" i="13" s="1"/>
  <c r="S747" i="13"/>
  <c r="S449" i="13"/>
  <c r="S232" i="13"/>
  <c r="S108" i="13"/>
  <c r="R363" i="13"/>
  <c r="P134" i="13"/>
  <c r="V376" i="13"/>
  <c r="Z134" i="13"/>
  <c r="R471" i="13"/>
  <c r="Y229" i="13"/>
  <c r="V242" i="13"/>
  <c r="V363" i="13"/>
  <c r="W232" i="13"/>
  <c r="AA108" i="13"/>
  <c r="W134" i="13"/>
  <c r="S368" i="13"/>
  <c r="X210" i="13"/>
  <c r="O630" i="13"/>
  <c r="R630" i="13" s="1"/>
  <c r="P259" i="13"/>
  <c r="Z229" i="13"/>
  <c r="AA376" i="13"/>
  <c r="W191" i="13"/>
  <c r="AA367" i="13"/>
  <c r="S148" i="13"/>
  <c r="V229" i="13"/>
  <c r="X376" i="13"/>
  <c r="Z363" i="13"/>
  <c r="V191" i="13"/>
  <c r="Z232" i="13"/>
  <c r="X367" i="13"/>
  <c r="O621" i="13"/>
  <c r="R621" i="13" s="1"/>
  <c r="W229" i="13"/>
  <c r="W242" i="13"/>
  <c r="W363" i="13"/>
  <c r="Y69" i="13"/>
  <c r="Z191" i="13"/>
  <c r="V232" i="13"/>
  <c r="W108" i="13"/>
  <c r="Y121" i="13"/>
  <c r="R202" i="13"/>
  <c r="S755" i="13"/>
  <c r="X69" i="13"/>
  <c r="X191" i="13"/>
  <c r="X121" i="13"/>
  <c r="O683" i="13"/>
  <c r="P125" i="13"/>
  <c r="P267" i="13"/>
  <c r="Z326" i="13"/>
  <c r="O715" i="13"/>
  <c r="R715" i="13" s="1"/>
  <c r="AA125" i="13"/>
  <c r="AA118" i="13"/>
  <c r="Z307" i="13"/>
  <c r="O729" i="13"/>
  <c r="X349" i="13"/>
  <c r="X333" i="13"/>
  <c r="P127" i="13"/>
  <c r="AA378" i="13"/>
  <c r="R52" i="13"/>
  <c r="R303" i="13"/>
  <c r="P220" i="13"/>
  <c r="R292" i="13"/>
  <c r="W267" i="13"/>
  <c r="O758" i="13"/>
  <c r="P758" i="13" s="1"/>
  <c r="R154" i="13"/>
  <c r="S305" i="13"/>
  <c r="S513" i="13"/>
  <c r="S641" i="13"/>
  <c r="R10" i="13"/>
  <c r="V328" i="13"/>
  <c r="V101" i="13"/>
  <c r="O481" i="13"/>
  <c r="R481" i="13" s="1"/>
  <c r="R104" i="13"/>
  <c r="S401" i="13"/>
  <c r="AA268" i="13"/>
  <c r="W95" i="13"/>
  <c r="W206" i="13"/>
  <c r="P434" i="13"/>
  <c r="S516" i="13"/>
  <c r="P328" i="13"/>
  <c r="O516" i="13"/>
  <c r="R516" i="13" s="1"/>
  <c r="S604" i="13"/>
  <c r="R147" i="13"/>
  <c r="V79" i="13"/>
  <c r="Z269" i="13"/>
  <c r="V206" i="13"/>
  <c r="R95" i="13"/>
  <c r="S60" i="13"/>
  <c r="P281" i="13"/>
  <c r="O618" i="13"/>
  <c r="P618" i="13" s="1"/>
  <c r="S151" i="13"/>
  <c r="R216" i="13"/>
  <c r="R380" i="13"/>
  <c r="Y332" i="13"/>
  <c r="Y255" i="13"/>
  <c r="O639" i="13"/>
  <c r="R639" i="13" s="1"/>
  <c r="S163" i="13"/>
  <c r="Z199" i="13"/>
  <c r="Y107" i="13"/>
  <c r="W289" i="13"/>
  <c r="O566" i="13"/>
  <c r="R566" i="13" s="1"/>
  <c r="R259" i="13"/>
  <c r="P190" i="13"/>
  <c r="S639" i="13"/>
  <c r="S109" i="13"/>
  <c r="S208" i="13"/>
  <c r="Y186" i="13"/>
  <c r="W251" i="13"/>
  <c r="Z162" i="13"/>
  <c r="V172" i="13"/>
  <c r="O588" i="13"/>
  <c r="S631" i="13"/>
  <c r="S721" i="13"/>
  <c r="R263" i="13"/>
  <c r="P289" i="13"/>
  <c r="AA208" i="13"/>
  <c r="R64" i="13"/>
  <c r="Y180" i="13"/>
  <c r="O475" i="13"/>
  <c r="O484" i="13"/>
  <c r="P484" i="13" s="1"/>
  <c r="P95" i="13"/>
  <c r="S459" i="13"/>
  <c r="S203" i="13"/>
  <c r="S528" i="13"/>
  <c r="S332" i="13"/>
  <c r="S748" i="13"/>
  <c r="S531" i="13"/>
  <c r="P246" i="13"/>
  <c r="S256" i="13"/>
  <c r="P104" i="13"/>
  <c r="R60" i="13"/>
  <c r="S338" i="13"/>
  <c r="S238" i="13"/>
  <c r="S355" i="13"/>
  <c r="R224" i="13"/>
  <c r="S481" i="13"/>
  <c r="W86" i="13"/>
  <c r="Z268" i="13"/>
  <c r="Y95" i="13"/>
  <c r="AA332" i="13"/>
  <c r="Y224" i="13"/>
  <c r="AA79" i="13"/>
  <c r="X104" i="13"/>
  <c r="W328" i="13"/>
  <c r="Y101" i="13"/>
  <c r="X255" i="13"/>
  <c r="Y110" i="13"/>
  <c r="O635" i="13"/>
  <c r="P635" i="13" s="1"/>
  <c r="O748" i="13"/>
  <c r="R748" i="13" s="1"/>
  <c r="S475" i="13"/>
  <c r="R90" i="13"/>
  <c r="P202" i="13"/>
  <c r="R250" i="13"/>
  <c r="R86" i="13"/>
  <c r="S626" i="13"/>
  <c r="S484" i="13"/>
  <c r="S440" i="13"/>
  <c r="P380" i="13"/>
  <c r="P240" i="13"/>
  <c r="P268" i="13"/>
  <c r="S224" i="13"/>
  <c r="R328" i="13"/>
  <c r="V86" i="13"/>
  <c r="X268" i="13"/>
  <c r="W238" i="13"/>
  <c r="X332" i="13"/>
  <c r="Z79" i="13"/>
  <c r="Z328" i="13"/>
  <c r="W101" i="13"/>
  <c r="Z151" i="13"/>
  <c r="V237" i="13"/>
  <c r="O466" i="13"/>
  <c r="P466" i="13" s="1"/>
  <c r="O531" i="13"/>
  <c r="R531" i="13" s="1"/>
  <c r="O735" i="13"/>
  <c r="R735" i="13" s="1"/>
  <c r="S95" i="13"/>
  <c r="P90" i="13"/>
  <c r="S582" i="13"/>
  <c r="P250" i="13"/>
  <c r="R110" i="13"/>
  <c r="P86" i="13"/>
  <c r="S246" i="13"/>
  <c r="S104" i="13"/>
  <c r="S760" i="13"/>
  <c r="R240" i="13"/>
  <c r="R268" i="13"/>
  <c r="S708" i="13"/>
  <c r="Y86" i="13"/>
  <c r="Y268" i="13"/>
  <c r="V238" i="13"/>
  <c r="Z224" i="13"/>
  <c r="X79" i="13"/>
  <c r="W104" i="13"/>
  <c r="AA328" i="13"/>
  <c r="X101" i="13"/>
  <c r="W151" i="13"/>
  <c r="W237" i="13"/>
  <c r="O604" i="13"/>
  <c r="R604" i="13" s="1"/>
  <c r="O760" i="13"/>
  <c r="R760" i="13" s="1"/>
  <c r="O620" i="13"/>
  <c r="R620" i="13" s="1"/>
  <c r="S470" i="13"/>
  <c r="S202" i="13"/>
  <c r="P237" i="13"/>
  <c r="S630" i="13"/>
  <c r="P110" i="13"/>
  <c r="S466" i="13"/>
  <c r="R142" i="13"/>
  <c r="R255" i="13"/>
  <c r="S620" i="13"/>
  <c r="S648" i="13"/>
  <c r="S328" i="13"/>
  <c r="X86" i="13"/>
  <c r="V95" i="13"/>
  <c r="AA238" i="13"/>
  <c r="V224" i="13"/>
  <c r="Y79" i="13"/>
  <c r="AA104" i="13"/>
  <c r="Y328" i="13"/>
  <c r="V255" i="13"/>
  <c r="V151" i="13"/>
  <c r="Y237" i="13"/>
  <c r="O708" i="13"/>
  <c r="R708" i="13" s="1"/>
  <c r="O712" i="13"/>
  <c r="R712" i="13" s="1"/>
  <c r="O490" i="13"/>
  <c r="P490" i="13" s="1"/>
  <c r="P79" i="13"/>
  <c r="S90" i="13"/>
  <c r="P203" i="13"/>
  <c r="R237" i="13"/>
  <c r="S490" i="13"/>
  <c r="R332" i="13"/>
  <c r="S86" i="13"/>
  <c r="P256" i="13"/>
  <c r="P142" i="13"/>
  <c r="P255" i="13"/>
  <c r="P338" i="13"/>
  <c r="P238" i="13"/>
  <c r="S268" i="13"/>
  <c r="P355" i="13"/>
  <c r="R34" i="13"/>
  <c r="P101" i="13"/>
  <c r="AA95" i="13"/>
  <c r="Z238" i="13"/>
  <c r="V332" i="13"/>
  <c r="W224" i="13"/>
  <c r="W79" i="13"/>
  <c r="V104" i="13"/>
  <c r="W255" i="13"/>
  <c r="AA151" i="13"/>
  <c r="X237" i="13"/>
  <c r="O440" i="13"/>
  <c r="R440" i="13" s="1"/>
  <c r="O459" i="13"/>
  <c r="P459" i="13" s="1"/>
  <c r="O528" i="13"/>
  <c r="R528" i="13" s="1"/>
  <c r="O636" i="13"/>
  <c r="R636" i="13" s="1"/>
  <c r="R79" i="13"/>
  <c r="R203" i="13"/>
  <c r="S617" i="13"/>
  <c r="P148" i="13"/>
  <c r="S110" i="13"/>
  <c r="P332" i="13"/>
  <c r="P368" i="13"/>
  <c r="P151" i="13"/>
  <c r="R256" i="13"/>
  <c r="S522" i="13"/>
  <c r="S255" i="13"/>
  <c r="R338" i="13"/>
  <c r="R238" i="13"/>
  <c r="R355" i="13"/>
  <c r="R101" i="13"/>
  <c r="V268" i="13"/>
  <c r="Z95" i="13"/>
  <c r="Y238" i="13"/>
  <c r="W332" i="13"/>
  <c r="AA224" i="13"/>
  <c r="Y104" i="13"/>
  <c r="AA101" i="13"/>
  <c r="Z255" i="13"/>
  <c r="X151" i="13"/>
  <c r="Z237" i="13"/>
  <c r="W110" i="13"/>
  <c r="O718" i="13"/>
  <c r="P718" i="13" s="1"/>
  <c r="O617" i="13"/>
  <c r="P617" i="13" s="1"/>
  <c r="O522" i="13"/>
  <c r="P522" i="13" s="1"/>
  <c r="O648" i="13"/>
  <c r="R648" i="13" s="1"/>
  <c r="O583" i="13"/>
  <c r="R583" i="13" s="1"/>
  <c r="S712" i="13"/>
  <c r="R151" i="13"/>
  <c r="S635" i="13"/>
  <c r="S618" i="13"/>
  <c r="P224" i="13"/>
  <c r="S101" i="13"/>
  <c r="Z110" i="13"/>
  <c r="O424" i="13"/>
  <c r="R424" i="13" s="1"/>
  <c r="O489" i="13"/>
  <c r="P489" i="13" s="1"/>
  <c r="S727" i="13"/>
  <c r="S695" i="13"/>
  <c r="S749" i="13"/>
  <c r="R269" i="13"/>
  <c r="R299" i="13"/>
  <c r="R109" i="13"/>
  <c r="R281" i="13"/>
  <c r="P117" i="13"/>
  <c r="S543" i="13"/>
  <c r="S681" i="13"/>
  <c r="W383" i="13"/>
  <c r="W112" i="13"/>
  <c r="V296" i="13"/>
  <c r="X80" i="13"/>
  <c r="V315" i="13"/>
  <c r="W347" i="13"/>
  <c r="AA141" i="13"/>
  <c r="AA269" i="13"/>
  <c r="V117" i="13"/>
  <c r="Y369" i="13"/>
  <c r="O521" i="13"/>
  <c r="P521" i="13" s="1"/>
  <c r="P383" i="13"/>
  <c r="R649" i="13"/>
  <c r="S269" i="13"/>
  <c r="S299" i="13"/>
  <c r="S489" i="13"/>
  <c r="P141" i="13"/>
  <c r="P64" i="13"/>
  <c r="S661" i="13"/>
  <c r="S117" i="13"/>
  <c r="P80" i="13"/>
  <c r="S4" i="13"/>
  <c r="AA383" i="13"/>
  <c r="X112" i="13"/>
  <c r="W296" i="13"/>
  <c r="AA301" i="13"/>
  <c r="W80" i="13"/>
  <c r="Y315" i="13"/>
  <c r="AA347" i="13"/>
  <c r="V269" i="13"/>
  <c r="W222" i="13"/>
  <c r="V329" i="13"/>
  <c r="R383" i="13"/>
  <c r="P112" i="13"/>
  <c r="R141" i="13"/>
  <c r="S64" i="13"/>
  <c r="P296" i="13"/>
  <c r="S497" i="13"/>
  <c r="R80" i="13"/>
  <c r="X383" i="13"/>
  <c r="Y296" i="13"/>
  <c r="Z301" i="13"/>
  <c r="V347" i="13"/>
  <c r="W141" i="13"/>
  <c r="Y269" i="13"/>
  <c r="AA117" i="13"/>
  <c r="AA222" i="13"/>
  <c r="W329" i="13"/>
  <c r="O543" i="13"/>
  <c r="R543" i="13" s="1"/>
  <c r="O695" i="13"/>
  <c r="R695" i="13" s="1"/>
  <c r="O676" i="13"/>
  <c r="P676" i="13" s="1"/>
  <c r="O749" i="13"/>
  <c r="R749" i="13" s="1"/>
  <c r="S383" i="13"/>
  <c r="P222" i="13"/>
  <c r="R112" i="13"/>
  <c r="S141" i="13"/>
  <c r="S444" i="13"/>
  <c r="R296" i="13"/>
  <c r="R329" i="13"/>
  <c r="R170" i="13"/>
  <c r="S460" i="13"/>
  <c r="Y383" i="13"/>
  <c r="X296" i="13"/>
  <c r="V301" i="13"/>
  <c r="X347" i="13"/>
  <c r="Z141" i="13"/>
  <c r="W269" i="13"/>
  <c r="W117" i="13"/>
  <c r="Z369" i="13"/>
  <c r="Z222" i="13"/>
  <c r="Z329" i="13"/>
  <c r="O550" i="13"/>
  <c r="P550" i="13" s="1"/>
  <c r="O763" i="13"/>
  <c r="R763" i="13" s="1"/>
  <c r="S763" i="13"/>
  <c r="R222" i="13"/>
  <c r="R96" i="13"/>
  <c r="S65" i="13"/>
  <c r="S492" i="13"/>
  <c r="S521" i="13"/>
  <c r="S676" i="13"/>
  <c r="P329" i="13"/>
  <c r="P170" i="13"/>
  <c r="S80" i="13"/>
  <c r="Z112" i="13"/>
  <c r="W301" i="13"/>
  <c r="Z80" i="13"/>
  <c r="Z315" i="13"/>
  <c r="Y347" i="13"/>
  <c r="V141" i="13"/>
  <c r="X269" i="13"/>
  <c r="X117" i="13"/>
  <c r="AA369" i="13"/>
  <c r="V222" i="13"/>
  <c r="AA329" i="13"/>
  <c r="O497" i="13"/>
  <c r="R497" i="13" s="1"/>
  <c r="O727" i="13"/>
  <c r="R727" i="13" s="1"/>
  <c r="O679" i="13"/>
  <c r="R679" i="13" s="1"/>
  <c r="P347" i="13"/>
  <c r="P315" i="13"/>
  <c r="R369" i="13"/>
  <c r="S602" i="13"/>
  <c r="S112" i="13"/>
  <c r="S296" i="13"/>
  <c r="S709" i="13"/>
  <c r="S550" i="13"/>
  <c r="P163" i="13"/>
  <c r="P301" i="13"/>
  <c r="V112" i="13"/>
  <c r="Y301" i="13"/>
  <c r="V80" i="13"/>
  <c r="W315" i="13"/>
  <c r="Y141" i="13"/>
  <c r="Y117" i="13"/>
  <c r="V369" i="13"/>
  <c r="Y222" i="13"/>
  <c r="Y329" i="13"/>
  <c r="R315" i="13"/>
  <c r="P369" i="13"/>
  <c r="S222" i="13"/>
  <c r="P269" i="13"/>
  <c r="S329" i="13"/>
  <c r="R301" i="13"/>
  <c r="O546" i="13"/>
  <c r="R546" i="13" s="1"/>
  <c r="P263" i="13"/>
  <c r="R65" i="13"/>
  <c r="R251" i="13"/>
  <c r="R289" i="13"/>
  <c r="S700" i="13"/>
  <c r="S172" i="13"/>
  <c r="S162" i="13"/>
  <c r="O590" i="13"/>
  <c r="R590" i="13" s="1"/>
  <c r="S588" i="13"/>
  <c r="V186" i="13"/>
  <c r="AA199" i="13"/>
  <c r="X180" i="13"/>
  <c r="X107" i="13"/>
  <c r="Y210" i="13"/>
  <c r="V289" i="13"/>
  <c r="W208" i="13"/>
  <c r="W69" i="13"/>
  <c r="AA191" i="13"/>
  <c r="W121" i="13"/>
  <c r="S263" i="13"/>
  <c r="R107" i="13"/>
  <c r="S445" i="13"/>
  <c r="S251" i="13"/>
  <c r="S669" i="13"/>
  <c r="X186" i="13"/>
  <c r="W199" i="13"/>
  <c r="Z251" i="13"/>
  <c r="AA162" i="13"/>
  <c r="W172" i="13"/>
  <c r="Y289" i="13"/>
  <c r="W73" i="13"/>
  <c r="Y208" i="13"/>
  <c r="V263" i="13"/>
  <c r="S643" i="13"/>
  <c r="P107" i="13"/>
  <c r="P73" i="13"/>
  <c r="S289" i="13"/>
  <c r="V199" i="13"/>
  <c r="AA251" i="13"/>
  <c r="V162" i="13"/>
  <c r="AA172" i="13"/>
  <c r="X289" i="13"/>
  <c r="V73" i="13"/>
  <c r="X208" i="13"/>
  <c r="AA263" i="13"/>
  <c r="V166" i="13"/>
  <c r="AA121" i="13"/>
  <c r="O721" i="13"/>
  <c r="P721" i="13" s="1"/>
  <c r="O700" i="13"/>
  <c r="R700" i="13" s="1"/>
  <c r="R180" i="13"/>
  <c r="P166" i="13"/>
  <c r="R199" i="13"/>
  <c r="S487" i="13"/>
  <c r="R186" i="13"/>
  <c r="R73" i="13"/>
  <c r="O669" i="13"/>
  <c r="R669" i="13" s="1"/>
  <c r="R210" i="13"/>
  <c r="X199" i="13"/>
  <c r="X251" i="13"/>
  <c r="W162" i="13"/>
  <c r="Z172" i="13"/>
  <c r="AA180" i="13"/>
  <c r="W107" i="13"/>
  <c r="W210" i="13"/>
  <c r="Z73" i="13"/>
  <c r="V208" i="13"/>
  <c r="Z263" i="13"/>
  <c r="AA166" i="13"/>
  <c r="O523" i="13"/>
  <c r="R523" i="13" s="1"/>
  <c r="O631" i="13"/>
  <c r="R631" i="13" s="1"/>
  <c r="O552" i="13"/>
  <c r="R552" i="13" s="1"/>
  <c r="O542" i="13"/>
  <c r="R542" i="13" s="1"/>
  <c r="O643" i="13"/>
  <c r="P643" i="13" s="1"/>
  <c r="O453" i="13"/>
  <c r="P453" i="13" s="1"/>
  <c r="P180" i="13"/>
  <c r="R166" i="13"/>
  <c r="P199" i="13"/>
  <c r="S107" i="13"/>
  <c r="P186" i="13"/>
  <c r="S73" i="13"/>
  <c r="R172" i="13"/>
  <c r="R162" i="13"/>
  <c r="P210" i="13"/>
  <c r="AA186" i="13"/>
  <c r="Y199" i="13"/>
  <c r="V251" i="13"/>
  <c r="Y162" i="13"/>
  <c r="X172" i="13"/>
  <c r="Z180" i="13"/>
  <c r="V107" i="13"/>
  <c r="Z210" i="13"/>
  <c r="Y73" i="13"/>
  <c r="AA69" i="13"/>
  <c r="W263" i="13"/>
  <c r="X166" i="13"/>
  <c r="O579" i="13"/>
  <c r="P579" i="13" s="1"/>
  <c r="S560" i="13"/>
  <c r="S546" i="13"/>
  <c r="S199" i="13"/>
  <c r="S566" i="13"/>
  <c r="S453" i="13"/>
  <c r="P172" i="13"/>
  <c r="P162" i="13"/>
  <c r="S590" i="13"/>
  <c r="P208" i="13"/>
  <c r="S97" i="13"/>
  <c r="W186" i="13"/>
  <c r="Y251" i="13"/>
  <c r="X162" i="13"/>
  <c r="Y172" i="13"/>
  <c r="V180" i="13"/>
  <c r="Z107" i="13"/>
  <c r="AA210" i="13"/>
  <c r="AA289" i="13"/>
  <c r="X73" i="13"/>
  <c r="Z69" i="13"/>
  <c r="X263" i="13"/>
  <c r="Z121" i="13"/>
  <c r="O560" i="13"/>
  <c r="P560" i="13" s="1"/>
  <c r="O445" i="13"/>
  <c r="R445" i="13" s="1"/>
  <c r="O623" i="13"/>
  <c r="P623" i="13" s="1"/>
  <c r="O487" i="13"/>
  <c r="P487" i="13" s="1"/>
  <c r="S180" i="13"/>
  <c r="S166" i="13"/>
  <c r="S186" i="13"/>
  <c r="S723" i="13"/>
  <c r="S210" i="13"/>
  <c r="R208" i="13"/>
  <c r="AA40" i="13"/>
  <c r="AA46" i="13"/>
  <c r="P155" i="13"/>
  <c r="S534" i="13"/>
  <c r="S52" i="13"/>
  <c r="P257" i="13"/>
  <c r="R300" i="13"/>
  <c r="P201" i="13"/>
  <c r="S420" i="13"/>
  <c r="W300" i="13"/>
  <c r="Y155" i="13"/>
  <c r="Y257" i="13"/>
  <c r="AA201" i="13"/>
  <c r="O680" i="13"/>
  <c r="R680" i="13" s="1"/>
  <c r="S535" i="13"/>
  <c r="S154" i="13"/>
  <c r="P211" i="13"/>
  <c r="S432" i="13"/>
  <c r="S680" i="13"/>
  <c r="R201" i="13"/>
  <c r="V300" i="13"/>
  <c r="X155" i="13"/>
  <c r="X201" i="13"/>
  <c r="O724" i="13"/>
  <c r="R724" i="13" s="1"/>
  <c r="S155" i="13"/>
  <c r="R211" i="13"/>
  <c r="S300" i="13"/>
  <c r="S581" i="13"/>
  <c r="V295" i="13"/>
  <c r="Z300" i="13"/>
  <c r="V247" i="13"/>
  <c r="Y201" i="13"/>
  <c r="O645" i="13"/>
  <c r="R645" i="13" s="1"/>
  <c r="O534" i="13"/>
  <c r="P534" i="13" s="1"/>
  <c r="O513" i="13"/>
  <c r="R513" i="13" s="1"/>
  <c r="O432" i="13"/>
  <c r="R432" i="13" s="1"/>
  <c r="O419" i="13"/>
  <c r="R419" i="13" s="1"/>
  <c r="R247" i="13"/>
  <c r="R265" i="13"/>
  <c r="S591" i="13"/>
  <c r="P344" i="13"/>
  <c r="S201" i="13"/>
  <c r="P116" i="13"/>
  <c r="S532" i="13"/>
  <c r="Z164" i="13"/>
  <c r="AA300" i="13"/>
  <c r="AA247" i="13"/>
  <c r="O675" i="13"/>
  <c r="R675" i="13" s="1"/>
  <c r="O496" i="13"/>
  <c r="P496" i="13" s="1"/>
  <c r="P247" i="13"/>
  <c r="P265" i="13"/>
  <c r="S211" i="13"/>
  <c r="R344" i="13"/>
  <c r="R116" i="13"/>
  <c r="P133" i="13"/>
  <c r="P245" i="13"/>
  <c r="X300" i="13"/>
  <c r="Z247" i="13"/>
  <c r="AA155" i="13"/>
  <c r="O581" i="13"/>
  <c r="R581" i="13" s="1"/>
  <c r="O535" i="13"/>
  <c r="P535" i="13" s="1"/>
  <c r="S247" i="13"/>
  <c r="S645" i="13"/>
  <c r="S724" i="13"/>
  <c r="S496" i="13"/>
  <c r="R133" i="13"/>
  <c r="R351" i="13"/>
  <c r="Y373" i="13"/>
  <c r="W247" i="13"/>
  <c r="W155" i="13"/>
  <c r="Z201" i="13"/>
  <c r="O627" i="13"/>
  <c r="R627" i="13" s="1"/>
  <c r="S627" i="13"/>
  <c r="P303" i="13"/>
  <c r="S685" i="13"/>
  <c r="S307" i="13"/>
  <c r="R341" i="13"/>
  <c r="R200" i="13"/>
  <c r="S349" i="13"/>
  <c r="S378" i="13"/>
  <c r="P118" i="13"/>
  <c r="R261" i="13"/>
  <c r="Y175" i="13"/>
  <c r="Z378" i="13"/>
  <c r="Y349" i="13"/>
  <c r="Z125" i="13"/>
  <c r="X118" i="13"/>
  <c r="V307" i="13"/>
  <c r="Y261" i="13"/>
  <c r="W333" i="13"/>
  <c r="Y303" i="13"/>
  <c r="Y127" i="13"/>
  <c r="Y276" i="13"/>
  <c r="AA110" i="13"/>
  <c r="O551" i="13"/>
  <c r="R551" i="13" s="1"/>
  <c r="O687" i="13"/>
  <c r="P687" i="13" s="1"/>
  <c r="O656" i="13"/>
  <c r="P656" i="13" s="1"/>
  <c r="O482" i="13"/>
  <c r="P482" i="13" s="1"/>
  <c r="P275" i="13"/>
  <c r="S303" i="13"/>
  <c r="R127" i="13"/>
  <c r="R125" i="13"/>
  <c r="P175" i="13"/>
  <c r="R323" i="13"/>
  <c r="P128" i="13"/>
  <c r="S341" i="13"/>
  <c r="S200" i="13"/>
  <c r="R267" i="13"/>
  <c r="S118" i="13"/>
  <c r="P171" i="13"/>
  <c r="P326" i="13"/>
  <c r="R381" i="13"/>
  <c r="S261" i="13"/>
  <c r="P241" i="13"/>
  <c r="Z267" i="13"/>
  <c r="V378" i="13"/>
  <c r="W125" i="13"/>
  <c r="AA326" i="13"/>
  <c r="AA307" i="13"/>
  <c r="Y333" i="13"/>
  <c r="O685" i="13"/>
  <c r="R685" i="13" s="1"/>
  <c r="P333" i="13"/>
  <c r="R207" i="13"/>
  <c r="R275" i="13"/>
  <c r="S683" i="13"/>
  <c r="S507" i="13"/>
  <c r="S125" i="13"/>
  <c r="S175" i="13"/>
  <c r="S703" i="13"/>
  <c r="R128" i="13"/>
  <c r="R276" i="13"/>
  <c r="R102" i="13"/>
  <c r="S647" i="13"/>
  <c r="R171" i="13"/>
  <c r="S706" i="13"/>
  <c r="S761" i="13"/>
  <c r="R241" i="13"/>
  <c r="W175" i="13"/>
  <c r="AA267" i="13"/>
  <c r="X378" i="13"/>
  <c r="V125" i="13"/>
  <c r="V326" i="13"/>
  <c r="X307" i="13"/>
  <c r="Z261" i="13"/>
  <c r="V303" i="13"/>
  <c r="W127" i="13"/>
  <c r="V276" i="13"/>
  <c r="AA305" i="13"/>
  <c r="O641" i="13"/>
  <c r="P641" i="13" s="1"/>
  <c r="O706" i="13"/>
  <c r="P706" i="13" s="1"/>
  <c r="R333" i="13"/>
  <c r="P207" i="13"/>
  <c r="S655" i="13"/>
  <c r="P132" i="13"/>
  <c r="S127" i="13"/>
  <c r="S505" i="13"/>
  <c r="P143" i="13"/>
  <c r="S555" i="13"/>
  <c r="S323" i="13"/>
  <c r="S508" i="13"/>
  <c r="P276" i="13"/>
  <c r="P102" i="13"/>
  <c r="S267" i="13"/>
  <c r="S551" i="13"/>
  <c r="S326" i="13"/>
  <c r="S621" i="13"/>
  <c r="V175" i="13"/>
  <c r="V267" i="13"/>
  <c r="AA349" i="13"/>
  <c r="X125" i="13"/>
  <c r="W118" i="13"/>
  <c r="W326" i="13"/>
  <c r="Y307" i="13"/>
  <c r="AA261" i="13"/>
  <c r="X303" i="13"/>
  <c r="AA127" i="13"/>
  <c r="X276" i="13"/>
  <c r="V305" i="13"/>
  <c r="O393" i="13"/>
  <c r="R393" i="13" s="1"/>
  <c r="O655" i="13"/>
  <c r="R655" i="13" s="1"/>
  <c r="O713" i="13"/>
  <c r="R713" i="13" s="1"/>
  <c r="S713" i="13"/>
  <c r="S207" i="13"/>
  <c r="R132" i="13"/>
  <c r="R143" i="13"/>
  <c r="P307" i="13"/>
  <c r="S128" i="13"/>
  <c r="S656" i="13"/>
  <c r="S482" i="13"/>
  <c r="P349" i="13"/>
  <c r="P378" i="13"/>
  <c r="AA175" i="13"/>
  <c r="X267" i="13"/>
  <c r="Z349" i="13"/>
  <c r="Z118" i="13"/>
  <c r="X326" i="13"/>
  <c r="V261" i="13"/>
  <c r="AA333" i="13"/>
  <c r="W303" i="13"/>
  <c r="V127" i="13"/>
  <c r="W276" i="13"/>
  <c r="Y166" i="13"/>
  <c r="W305" i="13"/>
  <c r="O647" i="13"/>
  <c r="P647" i="13" s="1"/>
  <c r="S333" i="13"/>
  <c r="S512" i="13"/>
  <c r="S523" i="13"/>
  <c r="R305" i="13"/>
  <c r="R307" i="13"/>
  <c r="S276" i="13"/>
  <c r="R349" i="13"/>
  <c r="R378" i="13"/>
  <c r="Z175" i="13"/>
  <c r="W378" i="13"/>
  <c r="V349" i="13"/>
  <c r="V118" i="13"/>
  <c r="W261" i="13"/>
  <c r="Z333" i="13"/>
  <c r="Z303" i="13"/>
  <c r="Z127" i="13"/>
  <c r="Z276" i="13"/>
  <c r="Y305" i="13"/>
  <c r="O507" i="13"/>
  <c r="R507" i="13" s="1"/>
  <c r="O555" i="13"/>
  <c r="R555" i="13" s="1"/>
  <c r="O512" i="13"/>
  <c r="R512" i="13" s="1"/>
  <c r="O580" i="13"/>
  <c r="R580" i="13" s="1"/>
  <c r="P305" i="13"/>
  <c r="S687" i="13"/>
  <c r="S729" i="13"/>
  <c r="S758" i="13"/>
  <c r="R118" i="13"/>
  <c r="P261" i="13"/>
  <c r="X305" i="13"/>
  <c r="O753" i="13"/>
  <c r="P753" i="13" s="1"/>
  <c r="O615" i="13"/>
  <c r="P615" i="13" s="1"/>
  <c r="O500" i="13"/>
  <c r="R500" i="13" s="1"/>
  <c r="P96" i="13"/>
  <c r="R257" i="13"/>
  <c r="S343" i="13"/>
  <c r="R320" i="13"/>
  <c r="S667" i="13"/>
  <c r="P152" i="13"/>
  <c r="P351" i="13"/>
  <c r="S477" i="13"/>
  <c r="S120" i="13"/>
  <c r="O412" i="13"/>
  <c r="R412" i="13" s="1"/>
  <c r="Z46" i="13"/>
  <c r="AA295" i="13"/>
  <c r="Y351" i="13"/>
  <c r="V164" i="13"/>
  <c r="X178" i="13"/>
  <c r="W373" i="13"/>
  <c r="Y287" i="13"/>
  <c r="AA152" i="13"/>
  <c r="AA257" i="13"/>
  <c r="O562" i="13"/>
  <c r="R562" i="13" s="1"/>
  <c r="O544" i="13"/>
  <c r="P544" i="13" s="1"/>
  <c r="O518" i="13"/>
  <c r="R518" i="13" s="1"/>
  <c r="R330" i="13"/>
  <c r="P88" i="13"/>
  <c r="S476" i="13"/>
  <c r="S637" i="13"/>
  <c r="O723" i="13"/>
  <c r="R723" i="13" s="1"/>
  <c r="R18" i="13"/>
  <c r="P243" i="13"/>
  <c r="S320" i="13"/>
  <c r="S152" i="13"/>
  <c r="S351" i="13"/>
  <c r="P373" i="13"/>
  <c r="R324" i="13"/>
  <c r="R178" i="13"/>
  <c r="R245" i="13"/>
  <c r="Z295" i="13"/>
  <c r="X164" i="13"/>
  <c r="X373" i="13"/>
  <c r="X257" i="13"/>
  <c r="O625" i="13"/>
  <c r="O403" i="13"/>
  <c r="R403" i="13" s="1"/>
  <c r="O476" i="13"/>
  <c r="R476" i="13" s="1"/>
  <c r="O558" i="13"/>
  <c r="R558" i="13" s="1"/>
  <c r="S710" i="13"/>
  <c r="R88" i="13"/>
  <c r="S257" i="13"/>
  <c r="R243" i="13"/>
  <c r="S731" i="13"/>
  <c r="R373" i="13"/>
  <c r="S43" i="13"/>
  <c r="P324" i="13"/>
  <c r="P178" i="13"/>
  <c r="S625" i="13"/>
  <c r="Z4" i="13"/>
  <c r="W295" i="13"/>
  <c r="V351" i="13"/>
  <c r="Y164" i="13"/>
  <c r="W178" i="13"/>
  <c r="V287" i="13"/>
  <c r="Z152" i="13"/>
  <c r="S330" i="13"/>
  <c r="S468" i="13"/>
  <c r="P295" i="13"/>
  <c r="P235" i="13"/>
  <c r="R164" i="13"/>
  <c r="S623" i="13"/>
  <c r="R138" i="13"/>
  <c r="O731" i="13"/>
  <c r="R731" i="13" s="1"/>
  <c r="S753" i="13"/>
  <c r="S704" i="13"/>
  <c r="S558" i="13"/>
  <c r="AA4" i="13"/>
  <c r="X295" i="13"/>
  <c r="W351" i="13"/>
  <c r="Z178" i="13"/>
  <c r="W287" i="13"/>
  <c r="V152" i="13"/>
  <c r="O637" i="13"/>
  <c r="R637" i="13" s="1"/>
  <c r="O468" i="13"/>
  <c r="R468" i="13" s="1"/>
  <c r="O532" i="13"/>
  <c r="P532" i="13" s="1"/>
  <c r="R295" i="13"/>
  <c r="R235" i="13"/>
  <c r="P164" i="13"/>
  <c r="P138" i="13"/>
  <c r="P287" i="13"/>
  <c r="S373" i="13"/>
  <c r="S324" i="13"/>
  <c r="S178" i="13"/>
  <c r="P120" i="13"/>
  <c r="S395" i="13"/>
  <c r="AA21" i="13"/>
  <c r="Y295" i="13"/>
  <c r="Z351" i="13"/>
  <c r="AA178" i="13"/>
  <c r="Z373" i="13"/>
  <c r="Z287" i="13"/>
  <c r="W152" i="13"/>
  <c r="Z257" i="13"/>
  <c r="O667" i="13"/>
  <c r="R667" i="13" s="1"/>
  <c r="O477" i="13"/>
  <c r="P477" i="13" s="1"/>
  <c r="S384" i="13"/>
  <c r="S182" i="13"/>
  <c r="P343" i="13"/>
  <c r="S295" i="13"/>
  <c r="S615" i="13"/>
  <c r="S544" i="13"/>
  <c r="S518" i="13"/>
  <c r="R287" i="13"/>
  <c r="P97" i="13"/>
  <c r="R120" i="13"/>
  <c r="AA351" i="13"/>
  <c r="AA164" i="13"/>
  <c r="V178" i="13"/>
  <c r="AA373" i="13"/>
  <c r="AA287" i="13"/>
  <c r="Y152" i="13"/>
  <c r="V257" i="13"/>
  <c r="S164" i="13"/>
  <c r="S287" i="13"/>
  <c r="R152" i="13"/>
  <c r="O485" i="13"/>
  <c r="R485" i="13" s="1"/>
  <c r="O719" i="13"/>
  <c r="P719" i="13" s="1"/>
  <c r="O755" i="13"/>
  <c r="R755" i="13" s="1"/>
  <c r="S312" i="13"/>
  <c r="S340" i="13"/>
  <c r="S716" i="13"/>
  <c r="S21" i="13"/>
  <c r="R220" i="13"/>
  <c r="P356" i="13"/>
  <c r="R183" i="13"/>
  <c r="S715" i="13"/>
  <c r="S595" i="13"/>
  <c r="S719" i="13"/>
  <c r="S375" i="13"/>
  <c r="S651" i="13"/>
  <c r="S632" i="13"/>
  <c r="Y339" i="13"/>
  <c r="Z340" i="13"/>
  <c r="AA252" i="13"/>
  <c r="Z336" i="13"/>
  <c r="AA105" i="13"/>
  <c r="O651" i="13"/>
  <c r="P651" i="13" s="1"/>
  <c r="O520" i="13"/>
  <c r="P520" i="13" s="1"/>
  <c r="R190" i="13"/>
  <c r="S600" i="13"/>
  <c r="P292" i="13"/>
  <c r="S356" i="13"/>
  <c r="S183" i="13"/>
  <c r="P147" i="13"/>
  <c r="AA183" i="13"/>
  <c r="Y340" i="13"/>
  <c r="Y252" i="13"/>
  <c r="X336" i="13"/>
  <c r="W166" i="13"/>
  <c r="V110" i="13"/>
  <c r="Y105" i="13"/>
  <c r="O570" i="13"/>
  <c r="R570" i="13" s="1"/>
  <c r="O527" i="13"/>
  <c r="P527" i="13" s="1"/>
  <c r="O406" i="13"/>
  <c r="R406" i="13" s="1"/>
  <c r="O716" i="13"/>
  <c r="R716" i="13" s="1"/>
  <c r="O399" i="13"/>
  <c r="R399" i="13" s="1"/>
  <c r="S570" i="13"/>
  <c r="S672" i="13"/>
  <c r="S563" i="13"/>
  <c r="S527" i="13"/>
  <c r="W339" i="13"/>
  <c r="W183" i="13"/>
  <c r="O720" i="13"/>
  <c r="R720" i="13" s="1"/>
  <c r="P140" i="13"/>
  <c r="P76" i="13"/>
  <c r="P105" i="13"/>
  <c r="S292" i="13"/>
  <c r="V339" i="13"/>
  <c r="Z183" i="13"/>
  <c r="O563" i="13"/>
  <c r="R563" i="13" s="1"/>
  <c r="O632" i="13"/>
  <c r="O736" i="13"/>
  <c r="R736" i="13" s="1"/>
  <c r="P312" i="13"/>
  <c r="R340" i="13"/>
  <c r="R140" i="13"/>
  <c r="S15" i="13"/>
  <c r="R76" i="13"/>
  <c r="R105" i="13"/>
  <c r="R335" i="13"/>
  <c r="R215" i="13"/>
  <c r="P271" i="13"/>
  <c r="AA25" i="13"/>
  <c r="Z339" i="13"/>
  <c r="X183" i="13"/>
  <c r="V340" i="13"/>
  <c r="W252" i="13"/>
  <c r="V336" i="13"/>
  <c r="Z105" i="13"/>
  <c r="O456" i="13"/>
  <c r="P456" i="13" s="1"/>
  <c r="O692" i="13"/>
  <c r="R692" i="13" s="1"/>
  <c r="R312" i="13"/>
  <c r="P340" i="13"/>
  <c r="P336" i="13"/>
  <c r="S520" i="13"/>
  <c r="S76" i="13"/>
  <c r="S485" i="13"/>
  <c r="P335" i="13"/>
  <c r="P215" i="13"/>
  <c r="P339" i="13"/>
  <c r="P375" i="13"/>
  <c r="R271" i="13"/>
  <c r="R252" i="13"/>
  <c r="AA339" i="13"/>
  <c r="X340" i="13"/>
  <c r="V252" i="13"/>
  <c r="AA336" i="13"/>
  <c r="W105" i="13"/>
  <c r="S720" i="13"/>
  <c r="R336" i="13"/>
  <c r="S105" i="13"/>
  <c r="R339" i="13"/>
  <c r="P252" i="13"/>
  <c r="X381" i="13"/>
  <c r="Y381" i="13"/>
  <c r="W381" i="13"/>
  <c r="V381" i="13"/>
  <c r="Z381" i="13"/>
  <c r="AA381" i="13"/>
  <c r="AA132" i="13"/>
  <c r="Y132" i="13"/>
  <c r="X132" i="13"/>
  <c r="Z132" i="13"/>
  <c r="W132" i="13"/>
  <c r="V132" i="13"/>
  <c r="AA200" i="13"/>
  <c r="X200" i="13"/>
  <c r="Y200" i="13"/>
  <c r="Z200" i="13"/>
  <c r="V200" i="13"/>
  <c r="W200" i="13"/>
  <c r="X323" i="13"/>
  <c r="Y323" i="13"/>
  <c r="AA323" i="13"/>
  <c r="Z323" i="13"/>
  <c r="V323" i="13"/>
  <c r="W323" i="13"/>
  <c r="Y207" i="13"/>
  <c r="Z207" i="13"/>
  <c r="X207" i="13"/>
  <c r="V207" i="13"/>
  <c r="W207" i="13"/>
  <c r="AA207" i="13"/>
  <c r="Y171" i="13"/>
  <c r="X171" i="13"/>
  <c r="V171" i="13"/>
  <c r="AA171" i="13"/>
  <c r="W171" i="13"/>
  <c r="Z171" i="13"/>
  <c r="X102" i="13"/>
  <c r="AA102" i="13"/>
  <c r="Y102" i="13"/>
  <c r="V102" i="13"/>
  <c r="W102" i="13"/>
  <c r="Z102" i="13"/>
  <c r="Y344" i="13"/>
  <c r="X344" i="13"/>
  <c r="AA344" i="13"/>
  <c r="Z344" i="13"/>
  <c r="W344" i="13"/>
  <c r="V344" i="13"/>
  <c r="AA57" i="13"/>
  <c r="Y57" i="13"/>
  <c r="X57" i="13"/>
  <c r="W57" i="13"/>
  <c r="V57" i="13"/>
  <c r="Z57" i="13"/>
  <c r="X341" i="13"/>
  <c r="Y341" i="13"/>
  <c r="W341" i="13"/>
  <c r="V341" i="13"/>
  <c r="AA341" i="13"/>
  <c r="Z341" i="13"/>
  <c r="Y275" i="13"/>
  <c r="X275" i="13"/>
  <c r="AA275" i="13"/>
  <c r="Z275" i="13"/>
  <c r="V275" i="13"/>
  <c r="W275" i="13"/>
  <c r="W128" i="13"/>
  <c r="Y128" i="13"/>
  <c r="X128" i="13"/>
  <c r="V128" i="13"/>
  <c r="Z128" i="13"/>
  <c r="AA128" i="13"/>
  <c r="Y143" i="13"/>
  <c r="X143" i="13"/>
  <c r="Z143" i="13"/>
  <c r="V143" i="13"/>
  <c r="W143" i="13"/>
  <c r="AA143" i="13"/>
  <c r="Y231" i="13"/>
  <c r="X231" i="13"/>
  <c r="W231" i="13"/>
  <c r="Z231" i="13"/>
  <c r="V231" i="13"/>
  <c r="AA231" i="13"/>
  <c r="AA136" i="13"/>
  <c r="X136" i="13"/>
  <c r="Y136" i="13"/>
  <c r="Z136" i="13"/>
  <c r="W136" i="13"/>
  <c r="V136" i="13"/>
  <c r="Y283" i="13"/>
  <c r="V283" i="13"/>
  <c r="AA283" i="13"/>
  <c r="Z283" i="13"/>
  <c r="W283" i="13"/>
  <c r="X283" i="13"/>
  <c r="X216" i="13"/>
  <c r="Y216" i="13"/>
  <c r="W216" i="13"/>
  <c r="Z216" i="13"/>
  <c r="AA216" i="13"/>
  <c r="V216" i="13"/>
  <c r="O596" i="13"/>
  <c r="W144" i="13"/>
  <c r="Y144" i="13"/>
  <c r="X144" i="13"/>
  <c r="AA144" i="13"/>
  <c r="Z144" i="13"/>
  <c r="V144" i="13"/>
  <c r="Y371" i="13"/>
  <c r="X371" i="13"/>
  <c r="AA371" i="13"/>
  <c r="Z371" i="13"/>
  <c r="V371" i="13"/>
  <c r="W371" i="13"/>
  <c r="Y366" i="13"/>
  <c r="Z366" i="13"/>
  <c r="AA366" i="13"/>
  <c r="X366" i="13"/>
  <c r="W366" i="13"/>
  <c r="V366" i="13"/>
  <c r="Y288" i="13"/>
  <c r="X288" i="13"/>
  <c r="W288" i="13"/>
  <c r="V288" i="13"/>
  <c r="AA288" i="13"/>
  <c r="Z288" i="13"/>
  <c r="Z182" i="13"/>
  <c r="Y182" i="13"/>
  <c r="X182" i="13"/>
  <c r="V182" i="13"/>
  <c r="AA182" i="13"/>
  <c r="W182" i="13"/>
  <c r="W63" i="13"/>
  <c r="Y63" i="13"/>
  <c r="X63" i="13"/>
  <c r="AA63" i="13"/>
  <c r="Z63" i="13"/>
  <c r="V63" i="13"/>
  <c r="X364" i="13"/>
  <c r="Y364" i="13"/>
  <c r="AA364" i="13"/>
  <c r="Z364" i="13"/>
  <c r="W364" i="13"/>
  <c r="V364" i="13"/>
  <c r="Y319" i="13"/>
  <c r="X319" i="13"/>
  <c r="AA319" i="13"/>
  <c r="Z319" i="13"/>
  <c r="W319" i="13"/>
  <c r="V319" i="13"/>
  <c r="Y85" i="13"/>
  <c r="X85" i="13"/>
  <c r="V85" i="13"/>
  <c r="Z85" i="13"/>
  <c r="W85" i="13"/>
  <c r="AA85" i="13"/>
  <c r="X195" i="13"/>
  <c r="Y195" i="13"/>
  <c r="Z195" i="13"/>
  <c r="V195" i="13"/>
  <c r="AA195" i="13"/>
  <c r="W195" i="13"/>
  <c r="R364" i="13"/>
  <c r="S319" i="13"/>
  <c r="S596" i="13"/>
  <c r="P288" i="13"/>
  <c r="S465" i="13"/>
  <c r="S136" i="13"/>
  <c r="S371" i="13"/>
  <c r="R63" i="13"/>
  <c r="Y90" i="13"/>
  <c r="X90" i="13"/>
  <c r="AA90" i="13"/>
  <c r="W90" i="13"/>
  <c r="Z90" i="13"/>
  <c r="V90" i="13"/>
  <c r="Y202" i="13"/>
  <c r="X202" i="13"/>
  <c r="V202" i="13"/>
  <c r="W202" i="13"/>
  <c r="AA202" i="13"/>
  <c r="Z202" i="13"/>
  <c r="X250" i="13"/>
  <c r="Y250" i="13"/>
  <c r="W250" i="13"/>
  <c r="V250" i="13"/>
  <c r="Z250" i="13"/>
  <c r="AA250" i="13"/>
  <c r="X368" i="13"/>
  <c r="Y368" i="13"/>
  <c r="Z368" i="13"/>
  <c r="W368" i="13"/>
  <c r="V368" i="13"/>
  <c r="AA368" i="13"/>
  <c r="Y256" i="13"/>
  <c r="X256" i="13"/>
  <c r="W256" i="13"/>
  <c r="V256" i="13"/>
  <c r="AA256" i="13"/>
  <c r="Z256" i="13"/>
  <c r="X148" i="13"/>
  <c r="W148" i="13"/>
  <c r="V148" i="13"/>
  <c r="Y148" i="13"/>
  <c r="Z148" i="13"/>
  <c r="AA148" i="13"/>
  <c r="X142" i="13"/>
  <c r="Y142" i="13"/>
  <c r="V142" i="13"/>
  <c r="AA142" i="13"/>
  <c r="Z142" i="13"/>
  <c r="W142" i="13"/>
  <c r="Y138" i="13"/>
  <c r="X138" i="13"/>
  <c r="AA138" i="13"/>
  <c r="Z138" i="13"/>
  <c r="V138" i="13"/>
  <c r="W138" i="13"/>
  <c r="AA113" i="13"/>
  <c r="Y113" i="13"/>
  <c r="X113" i="13"/>
  <c r="Z113" i="13"/>
  <c r="W113" i="13"/>
  <c r="V113" i="13"/>
  <c r="Y324" i="13"/>
  <c r="X324" i="13"/>
  <c r="AA324" i="13"/>
  <c r="Z324" i="13"/>
  <c r="W324" i="13"/>
  <c r="V324" i="13"/>
  <c r="Y235" i="13"/>
  <c r="X235" i="13"/>
  <c r="V235" i="13"/>
  <c r="AA235" i="13"/>
  <c r="W235" i="13"/>
  <c r="Z235" i="13"/>
  <c r="Y96" i="13"/>
  <c r="X96" i="13"/>
  <c r="W96" i="13"/>
  <c r="V96" i="13"/>
  <c r="Z96" i="13"/>
  <c r="AA96" i="13"/>
  <c r="X88" i="13"/>
  <c r="Y88" i="13"/>
  <c r="Z88" i="13"/>
  <c r="V88" i="13"/>
  <c r="AA88" i="13"/>
  <c r="W88" i="13"/>
  <c r="X245" i="13"/>
  <c r="Y245" i="13"/>
  <c r="W245" i="13"/>
  <c r="V245" i="13"/>
  <c r="AA245" i="13"/>
  <c r="Z245" i="13"/>
  <c r="O524" i="13"/>
  <c r="R524" i="13" s="1"/>
  <c r="O663" i="13"/>
  <c r="R663" i="13" s="1"/>
  <c r="O751" i="13"/>
  <c r="R751" i="13" s="1"/>
  <c r="P364" i="13"/>
  <c r="S699" i="13"/>
  <c r="P144" i="13"/>
  <c r="R231" i="13"/>
  <c r="S216" i="13"/>
  <c r="R288" i="13"/>
  <c r="R366" i="13"/>
  <c r="S63" i="13"/>
  <c r="Y356" i="13"/>
  <c r="X356" i="13"/>
  <c r="AA356" i="13"/>
  <c r="Z356" i="13"/>
  <c r="W356" i="13"/>
  <c r="V356" i="13"/>
  <c r="Y147" i="13"/>
  <c r="X147" i="13"/>
  <c r="V147" i="13"/>
  <c r="Z147" i="13"/>
  <c r="W147" i="13"/>
  <c r="AA147" i="13"/>
  <c r="Y375" i="13"/>
  <c r="X375" i="13"/>
  <c r="W375" i="13"/>
  <c r="Z375" i="13"/>
  <c r="AA375" i="13"/>
  <c r="V375" i="13"/>
  <c r="Y271" i="13"/>
  <c r="AA271" i="13"/>
  <c r="Z271" i="13"/>
  <c r="W271" i="13"/>
  <c r="X271" i="13"/>
  <c r="V271" i="13"/>
  <c r="Y215" i="13"/>
  <c r="X215" i="13"/>
  <c r="W215" i="13"/>
  <c r="Z215" i="13"/>
  <c r="AA215" i="13"/>
  <c r="V215" i="13"/>
  <c r="X190" i="13"/>
  <c r="Y190" i="13"/>
  <c r="V190" i="13"/>
  <c r="AA190" i="13"/>
  <c r="Z190" i="13"/>
  <c r="W190" i="13"/>
  <c r="Z76" i="13"/>
  <c r="X76" i="13"/>
  <c r="Y76" i="13"/>
  <c r="AA76" i="13"/>
  <c r="W76" i="13"/>
  <c r="V76" i="13"/>
  <c r="Y335" i="13"/>
  <c r="AA335" i="13"/>
  <c r="Z335" i="13"/>
  <c r="W335" i="13"/>
  <c r="X335" i="13"/>
  <c r="V335" i="13"/>
  <c r="Y140" i="13"/>
  <c r="X140" i="13"/>
  <c r="Z140" i="13"/>
  <c r="AA140" i="13"/>
  <c r="V140" i="13"/>
  <c r="W140" i="13"/>
  <c r="Y220" i="13"/>
  <c r="X220" i="13"/>
  <c r="AA220" i="13"/>
  <c r="Z220" i="13"/>
  <c r="W220" i="13"/>
  <c r="V220" i="13"/>
  <c r="Y292" i="13"/>
  <c r="X292" i="13"/>
  <c r="AA292" i="13"/>
  <c r="Z292" i="13"/>
  <c r="W292" i="13"/>
  <c r="V292" i="13"/>
  <c r="X312" i="13"/>
  <c r="Y312" i="13"/>
  <c r="AA312" i="13"/>
  <c r="Z312" i="13"/>
  <c r="W312" i="13"/>
  <c r="V312" i="13"/>
  <c r="S744" i="13"/>
  <c r="P195" i="13"/>
  <c r="R144" i="13"/>
  <c r="P231" i="13"/>
  <c r="S668" i="13"/>
  <c r="P366" i="13"/>
  <c r="P283" i="13"/>
  <c r="S443" i="13"/>
  <c r="Y325" i="13"/>
  <c r="X325" i="13"/>
  <c r="W325" i="13"/>
  <c r="V325" i="13"/>
  <c r="AA325" i="13"/>
  <c r="Z325" i="13"/>
  <c r="O705" i="13"/>
  <c r="Z56" i="13"/>
  <c r="Y56" i="13"/>
  <c r="X56" i="13"/>
  <c r="V56" i="13"/>
  <c r="AA56" i="13"/>
  <c r="W56" i="13"/>
  <c r="X111" i="13"/>
  <c r="Y111" i="13"/>
  <c r="W111" i="13"/>
  <c r="V111" i="13"/>
  <c r="AA111" i="13"/>
  <c r="Z111" i="13"/>
  <c r="X272" i="13"/>
  <c r="Y272" i="13"/>
  <c r="W272" i="13"/>
  <c r="AA272" i="13"/>
  <c r="Z272" i="13"/>
  <c r="V272" i="13"/>
  <c r="Y156" i="13"/>
  <c r="X156" i="13"/>
  <c r="Z156" i="13"/>
  <c r="W156" i="13"/>
  <c r="V156" i="13"/>
  <c r="AA156" i="13"/>
  <c r="X249" i="13"/>
  <c r="Y249" i="13"/>
  <c r="Z249" i="13"/>
  <c r="AA249" i="13"/>
  <c r="V249" i="13"/>
  <c r="W249" i="13"/>
  <c r="Y203" i="13"/>
  <c r="X203" i="13"/>
  <c r="W203" i="13"/>
  <c r="Z203" i="13"/>
  <c r="V203" i="13"/>
  <c r="AA203" i="13"/>
  <c r="X246" i="13"/>
  <c r="Y246" i="13"/>
  <c r="W246" i="13"/>
  <c r="V246" i="13"/>
  <c r="AA246" i="13"/>
  <c r="Z246" i="13"/>
  <c r="Z60" i="13"/>
  <c r="X60" i="13"/>
  <c r="Y60" i="13"/>
  <c r="AA60" i="13"/>
  <c r="V60" i="13"/>
  <c r="W60" i="13"/>
  <c r="X240" i="13"/>
  <c r="Y240" i="13"/>
  <c r="W240" i="13"/>
  <c r="AA240" i="13"/>
  <c r="Z240" i="13"/>
  <c r="V240" i="13"/>
  <c r="Y380" i="13"/>
  <c r="X380" i="13"/>
  <c r="AA380" i="13"/>
  <c r="Z380" i="13"/>
  <c r="V380" i="13"/>
  <c r="W380" i="13"/>
  <c r="X355" i="13"/>
  <c r="Y355" i="13"/>
  <c r="AA355" i="13"/>
  <c r="Z355" i="13"/>
  <c r="V355" i="13"/>
  <c r="W355" i="13"/>
  <c r="X338" i="13"/>
  <c r="Y338" i="13"/>
  <c r="V338" i="13"/>
  <c r="AA338" i="13"/>
  <c r="W338" i="13"/>
  <c r="Z338" i="13"/>
  <c r="O611" i="13"/>
  <c r="R611" i="13" s="1"/>
  <c r="S364" i="13"/>
  <c r="R195" i="13"/>
  <c r="S524" i="13"/>
  <c r="S231" i="13"/>
  <c r="S288" i="13"/>
  <c r="S746" i="13"/>
  <c r="R283" i="13"/>
  <c r="X133" i="13"/>
  <c r="W133" i="13"/>
  <c r="V133" i="13"/>
  <c r="Y133" i="13"/>
  <c r="AA133" i="13"/>
  <c r="Z133" i="13"/>
  <c r="W116" i="13"/>
  <c r="Y116" i="13"/>
  <c r="X116" i="13"/>
  <c r="V116" i="13"/>
  <c r="Z116" i="13"/>
  <c r="AA116" i="13"/>
  <c r="Z52" i="13"/>
  <c r="Y52" i="13"/>
  <c r="X52" i="13"/>
  <c r="W52" i="13"/>
  <c r="AA52" i="13"/>
  <c r="V52" i="13"/>
  <c r="Y211" i="13"/>
  <c r="X211" i="13"/>
  <c r="AA211" i="13"/>
  <c r="Z211" i="13"/>
  <c r="W211" i="13"/>
  <c r="V211" i="13"/>
  <c r="AA154" i="13"/>
  <c r="X154" i="13"/>
  <c r="Y154" i="13"/>
  <c r="V154" i="13"/>
  <c r="W154" i="13"/>
  <c r="Z154" i="13"/>
  <c r="Y265" i="13"/>
  <c r="X265" i="13"/>
  <c r="Z265" i="13"/>
  <c r="AA265" i="13"/>
  <c r="W265" i="13"/>
  <c r="V265" i="13"/>
  <c r="X259" i="13"/>
  <c r="Y259" i="13"/>
  <c r="AA259" i="13"/>
  <c r="Z259" i="13"/>
  <c r="V259" i="13"/>
  <c r="W259" i="13"/>
  <c r="Y241" i="13"/>
  <c r="X241" i="13"/>
  <c r="W241" i="13"/>
  <c r="AA241" i="13"/>
  <c r="V241" i="13"/>
  <c r="Z241" i="13"/>
  <c r="Y244" i="13"/>
  <c r="AA244" i="13"/>
  <c r="Z244" i="13"/>
  <c r="X244" i="13"/>
  <c r="V244" i="13"/>
  <c r="W244" i="13"/>
  <c r="AA58" i="13"/>
  <c r="Y58" i="13"/>
  <c r="Z58" i="13"/>
  <c r="W58" i="13"/>
  <c r="X58" i="13"/>
  <c r="V58" i="13"/>
  <c r="Y187" i="13"/>
  <c r="W187" i="13"/>
  <c r="X187" i="13"/>
  <c r="Z187" i="13"/>
  <c r="AA187" i="13"/>
  <c r="V187" i="13"/>
  <c r="W100" i="13"/>
  <c r="X100" i="13"/>
  <c r="Y100" i="13"/>
  <c r="V100" i="13"/>
  <c r="AA100" i="13"/>
  <c r="Z100" i="13"/>
  <c r="Y331" i="13"/>
  <c r="X331" i="13"/>
  <c r="V331" i="13"/>
  <c r="AA331" i="13"/>
  <c r="Z331" i="13"/>
  <c r="W331" i="13"/>
  <c r="O746" i="13"/>
  <c r="R746" i="13" s="1"/>
  <c r="S575" i="13"/>
  <c r="P182" i="13"/>
  <c r="S144" i="13"/>
  <c r="S611" i="13"/>
  <c r="S366" i="13"/>
  <c r="S663" i="13"/>
  <c r="W64" i="13"/>
  <c r="Y64" i="13"/>
  <c r="X64" i="13"/>
  <c r="V64" i="13"/>
  <c r="Z64" i="13"/>
  <c r="AA64" i="13"/>
  <c r="X109" i="13"/>
  <c r="Y109" i="13"/>
  <c r="W109" i="13"/>
  <c r="V109" i="13"/>
  <c r="Z109" i="13"/>
  <c r="AA109" i="13"/>
  <c r="Y299" i="13"/>
  <c r="X299" i="13"/>
  <c r="V299" i="13"/>
  <c r="AA299" i="13"/>
  <c r="Z299" i="13"/>
  <c r="W299" i="13"/>
  <c r="Y170" i="13"/>
  <c r="X170" i="13"/>
  <c r="AA170" i="13"/>
  <c r="V170" i="13"/>
  <c r="W170" i="13"/>
  <c r="Z170" i="13"/>
  <c r="X163" i="13"/>
  <c r="Y163" i="13"/>
  <c r="W163" i="13"/>
  <c r="Z163" i="13"/>
  <c r="V163" i="13"/>
  <c r="AA163" i="13"/>
  <c r="X281" i="13"/>
  <c r="Y281" i="13"/>
  <c r="W281" i="13"/>
  <c r="AA281" i="13"/>
  <c r="V281" i="13"/>
  <c r="Z281" i="13"/>
  <c r="X348" i="13"/>
  <c r="Y348" i="13"/>
  <c r="AA348" i="13"/>
  <c r="Z348" i="13"/>
  <c r="W348" i="13"/>
  <c r="V348" i="13"/>
  <c r="AA65" i="13"/>
  <c r="Y65" i="13"/>
  <c r="X65" i="13"/>
  <c r="W65" i="13"/>
  <c r="V65" i="13"/>
  <c r="Z65" i="13"/>
  <c r="Y279" i="13"/>
  <c r="X279" i="13"/>
  <c r="W279" i="13"/>
  <c r="Z279" i="13"/>
  <c r="AA279" i="13"/>
  <c r="V279" i="13"/>
  <c r="Y228" i="13"/>
  <c r="X228" i="13"/>
  <c r="AA228" i="13"/>
  <c r="Z228" i="13"/>
  <c r="V228" i="13"/>
  <c r="W228" i="13"/>
  <c r="X146" i="13"/>
  <c r="Y146" i="13"/>
  <c r="V146" i="13"/>
  <c r="AA146" i="13"/>
  <c r="Z146" i="13"/>
  <c r="W146" i="13"/>
  <c r="X284" i="13"/>
  <c r="Y284" i="13"/>
  <c r="AA284" i="13"/>
  <c r="Z284" i="13"/>
  <c r="W284" i="13"/>
  <c r="V284" i="13"/>
  <c r="Y352" i="13"/>
  <c r="X352" i="13"/>
  <c r="AA352" i="13"/>
  <c r="Z352" i="13"/>
  <c r="W352" i="13"/>
  <c r="V352" i="13"/>
  <c r="O744" i="13"/>
  <c r="P744" i="13" s="1"/>
  <c r="O465" i="13"/>
  <c r="R465" i="13" s="1"/>
  <c r="S195" i="13"/>
  <c r="R182" i="13"/>
  <c r="P85" i="13"/>
  <c r="P136" i="13"/>
  <c r="P371" i="13"/>
  <c r="S283" i="13"/>
  <c r="AA43" i="13"/>
  <c r="Z120" i="13"/>
  <c r="Y120" i="13"/>
  <c r="V120" i="13"/>
  <c r="X120" i="13"/>
  <c r="AA120" i="13"/>
  <c r="W120" i="13"/>
  <c r="Y343" i="13"/>
  <c r="X343" i="13"/>
  <c r="W343" i="13"/>
  <c r="Z343" i="13"/>
  <c r="AA343" i="13"/>
  <c r="V343" i="13"/>
  <c r="Y243" i="13"/>
  <c r="X243" i="13"/>
  <c r="AA243" i="13"/>
  <c r="Z243" i="13"/>
  <c r="V243" i="13"/>
  <c r="W243" i="13"/>
  <c r="X330" i="13"/>
  <c r="Y330" i="13"/>
  <c r="W330" i="13"/>
  <c r="V330" i="13"/>
  <c r="Z330" i="13"/>
  <c r="AA330" i="13"/>
  <c r="Y320" i="13"/>
  <c r="X320" i="13"/>
  <c r="Z320" i="13"/>
  <c r="W320" i="13"/>
  <c r="V320" i="13"/>
  <c r="AA320" i="13"/>
  <c r="AA97" i="13"/>
  <c r="Y97" i="13"/>
  <c r="X97" i="13"/>
  <c r="V97" i="13"/>
  <c r="Z97" i="13"/>
  <c r="W97" i="13"/>
  <c r="Y359" i="13"/>
  <c r="X359" i="13"/>
  <c r="W359" i="13"/>
  <c r="Z359" i="13"/>
  <c r="V359" i="13"/>
  <c r="AA359" i="13"/>
  <c r="AA129" i="13"/>
  <c r="Y129" i="13"/>
  <c r="X129" i="13"/>
  <c r="V129" i="13"/>
  <c r="Z129" i="13"/>
  <c r="W129" i="13"/>
  <c r="X291" i="13"/>
  <c r="Y291" i="13"/>
  <c r="AA291" i="13"/>
  <c r="Z291" i="13"/>
  <c r="V291" i="13"/>
  <c r="W291" i="13"/>
  <c r="Y221" i="13"/>
  <c r="X221" i="13"/>
  <c r="Z221" i="13"/>
  <c r="W221" i="13"/>
  <c r="V221" i="13"/>
  <c r="AA221" i="13"/>
  <c r="AA74" i="13"/>
  <c r="X74" i="13"/>
  <c r="Y74" i="13"/>
  <c r="W74" i="13"/>
  <c r="Z74" i="13"/>
  <c r="V74" i="13"/>
  <c r="X61" i="13"/>
  <c r="Y61" i="13"/>
  <c r="W61" i="13"/>
  <c r="Z61" i="13"/>
  <c r="AA61" i="13"/>
  <c r="V61" i="13"/>
  <c r="Y327" i="13"/>
  <c r="X327" i="13"/>
  <c r="W327" i="13"/>
  <c r="Z327" i="13"/>
  <c r="AA327" i="13"/>
  <c r="V327" i="13"/>
  <c r="O392" i="13"/>
  <c r="R392" i="13" s="1"/>
  <c r="Z40" i="13"/>
  <c r="O422" i="13"/>
  <c r="R422" i="13" s="1"/>
  <c r="Z28" i="13"/>
  <c r="Z21" i="13"/>
  <c r="Z47" i="13"/>
  <c r="Z43" i="13"/>
  <c r="AA29" i="13"/>
  <c r="S389" i="13"/>
  <c r="O400" i="13"/>
  <c r="R400" i="13" s="1"/>
  <c r="R14" i="13"/>
  <c r="AA15" i="13"/>
  <c r="AA28" i="13"/>
  <c r="R20" i="13"/>
  <c r="O391" i="13"/>
  <c r="R391" i="13" s="1"/>
  <c r="Z36" i="6"/>
  <c r="Z37" i="6"/>
  <c r="Z35" i="6"/>
  <c r="O397" i="13"/>
  <c r="R397" i="13" s="1"/>
  <c r="W20" i="13"/>
  <c r="P20" i="13" s="1"/>
  <c r="O387" i="13"/>
  <c r="R387" i="13" s="1"/>
  <c r="R36" i="13"/>
  <c r="Z29" i="13"/>
  <c r="S29" i="13"/>
  <c r="Z15" i="13"/>
  <c r="S409" i="13"/>
  <c r="Y159" i="13"/>
  <c r="X159" i="13"/>
  <c r="AA159" i="13" s="1"/>
  <c r="Y18" i="13"/>
  <c r="X18" i="13"/>
  <c r="Z9" i="13"/>
  <c r="Y34" i="13"/>
  <c r="X34" i="13"/>
  <c r="Y14" i="13"/>
  <c r="X14" i="13"/>
  <c r="X11" i="13"/>
  <c r="Y11" i="13"/>
  <c r="Y20" i="13"/>
  <c r="X20" i="13"/>
  <c r="AA9" i="13"/>
  <c r="Y13" i="13"/>
  <c r="X13" i="13"/>
  <c r="Y26" i="13"/>
  <c r="X26" i="13"/>
  <c r="Y30" i="13"/>
  <c r="X30" i="13"/>
  <c r="P159" i="13"/>
  <c r="Y42" i="13"/>
  <c r="X42" i="13"/>
  <c r="O428" i="13"/>
  <c r="R428" i="13" s="1"/>
  <c r="Y48" i="13"/>
  <c r="X48" i="13"/>
  <c r="X27" i="13"/>
  <c r="Y27" i="13"/>
  <c r="X19" i="13"/>
  <c r="Y19" i="13"/>
  <c r="Y22" i="13"/>
  <c r="X22" i="13"/>
  <c r="X7" i="13"/>
  <c r="Y7" i="13"/>
  <c r="Y6" i="13"/>
  <c r="X6" i="13"/>
  <c r="R45" i="13"/>
  <c r="Y45" i="13"/>
  <c r="X45" i="13"/>
  <c r="Y44" i="13"/>
  <c r="X44" i="13"/>
  <c r="Y8" i="13"/>
  <c r="X8" i="13"/>
  <c r="O402" i="13"/>
  <c r="R402" i="13" s="1"/>
  <c r="Y10" i="13"/>
  <c r="X10" i="13"/>
  <c r="X35" i="13"/>
  <c r="Y35" i="13"/>
  <c r="Y41" i="13"/>
  <c r="X41" i="13"/>
  <c r="Y32" i="13"/>
  <c r="X32" i="13"/>
  <c r="X39" i="13"/>
  <c r="Y39" i="13"/>
  <c r="X31" i="13"/>
  <c r="Y31" i="13"/>
  <c r="S9" i="13"/>
  <c r="R22" i="13"/>
  <c r="Y36" i="13"/>
  <c r="X36" i="13"/>
  <c r="Y17" i="13"/>
  <c r="X17" i="13"/>
  <c r="Y38" i="13"/>
  <c r="X38" i="13"/>
  <c r="Y16" i="13"/>
  <c r="X16" i="13"/>
  <c r="R5" i="13"/>
  <c r="Y5" i="13"/>
  <c r="X5" i="13"/>
  <c r="M6" i="3" s="1"/>
  <c r="Y37" i="13"/>
  <c r="X37" i="13"/>
  <c r="O539" i="13"/>
  <c r="O411" i="13"/>
  <c r="R411" i="13" s="1"/>
  <c r="R37" i="13"/>
  <c r="Y24" i="13"/>
  <c r="X24" i="13"/>
  <c r="Y33" i="13"/>
  <c r="X33" i="13"/>
  <c r="Y12" i="13"/>
  <c r="X12" i="13"/>
  <c r="X23" i="13"/>
  <c r="Y23" i="13"/>
  <c r="O407" i="13"/>
  <c r="R407" i="13" s="1"/>
  <c r="R48" i="13"/>
  <c r="O421" i="13"/>
  <c r="R421" i="13" s="1"/>
  <c r="R41" i="13"/>
  <c r="R27" i="13"/>
  <c r="O385" i="13"/>
  <c r="R385" i="13" s="1"/>
  <c r="R38" i="13"/>
  <c r="O410" i="13"/>
  <c r="R410" i="13" s="1"/>
  <c r="O418" i="13"/>
  <c r="R418" i="13" s="1"/>
  <c r="R30" i="13"/>
  <c r="O425" i="13"/>
  <c r="R425" i="13" s="1"/>
  <c r="W159" i="13"/>
  <c r="V159" i="13"/>
  <c r="V36" i="13"/>
  <c r="W36" i="13"/>
  <c r="W6" i="13"/>
  <c r="V6" i="13"/>
  <c r="V13" i="13"/>
  <c r="W13" i="13"/>
  <c r="W14" i="13"/>
  <c r="V14" i="13"/>
  <c r="V17" i="13"/>
  <c r="W17" i="13"/>
  <c r="V16" i="13"/>
  <c r="W16" i="13"/>
  <c r="W26" i="13"/>
  <c r="V26" i="13"/>
  <c r="W8" i="13"/>
  <c r="V8" i="13"/>
  <c r="W22" i="13"/>
  <c r="V22" i="13"/>
  <c r="V12" i="13"/>
  <c r="W12" i="13"/>
  <c r="W39" i="13"/>
  <c r="V39" i="13"/>
  <c r="W48" i="13"/>
  <c r="V48" i="13"/>
  <c r="V24" i="13"/>
  <c r="W24" i="13"/>
  <c r="W41" i="13"/>
  <c r="V41" i="13"/>
  <c r="V27" i="13"/>
  <c r="W27" i="13"/>
  <c r="W45" i="13"/>
  <c r="V45" i="13"/>
  <c r="W38" i="13"/>
  <c r="V38" i="13"/>
  <c r="W30" i="13"/>
  <c r="V30" i="13"/>
  <c r="W5" i="13"/>
  <c r="V5" i="13"/>
  <c r="V7" i="13"/>
  <c r="W7" i="13"/>
  <c r="W34" i="13"/>
  <c r="V34" i="13"/>
  <c r="V11" i="13"/>
  <c r="W11" i="13"/>
  <c r="W44" i="13"/>
  <c r="V44" i="13"/>
  <c r="V37" i="13"/>
  <c r="W37" i="13"/>
  <c r="V31" i="13"/>
  <c r="W31" i="13"/>
  <c r="W23" i="13"/>
  <c r="V23" i="13"/>
  <c r="V10" i="13"/>
  <c r="W10" i="13"/>
  <c r="W42" i="13"/>
  <c r="V42" i="13"/>
  <c r="W35" i="13"/>
  <c r="V35" i="13"/>
  <c r="V33" i="13"/>
  <c r="W33" i="13"/>
  <c r="V32" i="13"/>
  <c r="W32" i="13"/>
  <c r="W19" i="13"/>
  <c r="V19" i="13"/>
  <c r="W18" i="13"/>
  <c r="V18" i="13"/>
  <c r="S437" i="13"/>
  <c r="O436" i="13"/>
  <c r="R436" i="13" s="1"/>
  <c r="P57" i="13"/>
  <c r="O437" i="13"/>
  <c r="R437" i="13" s="1"/>
  <c r="O404" i="13"/>
  <c r="R404" i="13" s="1"/>
  <c r="O415" i="13"/>
  <c r="R415" i="13" s="1"/>
  <c r="R35" i="13"/>
  <c r="R24" i="13"/>
  <c r="P56" i="13"/>
  <c r="R6" i="13"/>
  <c r="R56" i="13"/>
  <c r="S56" i="13"/>
  <c r="S436" i="13"/>
  <c r="AG36" i="6"/>
  <c r="AG37" i="6"/>
  <c r="AG35" i="6"/>
  <c r="P47" i="13"/>
  <c r="P40" i="13"/>
  <c r="P9" i="13"/>
  <c r="P46" i="13"/>
  <c r="AL37" i="6"/>
  <c r="AL35" i="6"/>
  <c r="AL36" i="6"/>
  <c r="P29" i="13"/>
  <c r="P15" i="13"/>
  <c r="P21" i="13"/>
  <c r="P28" i="13"/>
  <c r="P25" i="13"/>
  <c r="P43" i="13"/>
  <c r="P4" i="13"/>
  <c r="R159" i="13"/>
  <c r="R626" i="13"/>
  <c r="P626" i="13"/>
  <c r="R634" i="13"/>
  <c r="P634" i="13"/>
  <c r="R662" i="13"/>
  <c r="P662" i="13"/>
  <c r="R495" i="13"/>
  <c r="P495" i="13"/>
  <c r="P451" i="13"/>
  <c r="R451" i="13"/>
  <c r="R540" i="13"/>
  <c r="P540" i="13"/>
  <c r="P427" i="13"/>
  <c r="R427" i="13"/>
  <c r="R703" i="13"/>
  <c r="P703" i="13"/>
  <c r="R511" i="13"/>
  <c r="P511" i="13"/>
  <c r="R589" i="13"/>
  <c r="P589" i="13"/>
  <c r="P760" i="13"/>
  <c r="R653" i="13"/>
  <c r="P653" i="13"/>
  <c r="R388" i="13"/>
  <c r="R628" i="13"/>
  <c r="P628" i="13"/>
  <c r="P585" i="13"/>
  <c r="R585" i="13"/>
  <c r="R414" i="13"/>
  <c r="R619" i="13"/>
  <c r="P619" i="13"/>
  <c r="P686" i="13"/>
  <c r="R686" i="13"/>
  <c r="R682" i="13"/>
  <c r="P682" i="13"/>
  <c r="P697" i="13"/>
  <c r="R697" i="13"/>
  <c r="P633" i="13"/>
  <c r="R633" i="13"/>
  <c r="P576" i="13"/>
  <c r="R576" i="13"/>
  <c r="P389" i="13"/>
  <c r="R389" i="13"/>
  <c r="R463" i="13"/>
  <c r="P463" i="13"/>
  <c r="P625" i="13"/>
  <c r="R625" i="13"/>
  <c r="P601" i="13"/>
  <c r="R601" i="13"/>
  <c r="R536" i="13"/>
  <c r="P536" i="13"/>
  <c r="R677" i="13"/>
  <c r="P677" i="13"/>
  <c r="R674" i="13"/>
  <c r="P674" i="13"/>
  <c r="R416" i="13"/>
  <c r="R701" i="13"/>
  <c r="P701" i="13"/>
  <c r="R599" i="13"/>
  <c r="P599" i="13"/>
  <c r="R450" i="13"/>
  <c r="P450" i="13"/>
  <c r="R384" i="13"/>
  <c r="P384" i="13"/>
  <c r="R650" i="13"/>
  <c r="P650" i="13"/>
  <c r="P405" i="13"/>
  <c r="R405" i="13"/>
  <c r="R730" i="13"/>
  <c r="P730" i="13"/>
  <c r="R454" i="13"/>
  <c r="P454" i="13"/>
  <c r="P499" i="13"/>
  <c r="R499" i="13"/>
  <c r="P483" i="13"/>
  <c r="R483" i="13"/>
  <c r="R504" i="13"/>
  <c r="P504" i="13"/>
  <c r="R470" i="13"/>
  <c r="P470" i="13"/>
  <c r="P593" i="13"/>
  <c r="R593" i="13"/>
  <c r="R607" i="13"/>
  <c r="P607" i="13"/>
  <c r="R549" i="13"/>
  <c r="P549" i="13"/>
  <c r="R426" i="13"/>
  <c r="P426" i="13"/>
  <c r="P497" i="13"/>
  <c r="P435" i="13"/>
  <c r="R435" i="13"/>
  <c r="R409" i="13"/>
  <c r="P409" i="13"/>
  <c r="P517" i="13"/>
  <c r="R517" i="13"/>
  <c r="P710" i="13"/>
  <c r="R710" i="13"/>
  <c r="R537" i="13"/>
  <c r="P537" i="13"/>
  <c r="R725" i="13"/>
  <c r="P725" i="13"/>
  <c r="R754" i="13"/>
  <c r="P754" i="13"/>
  <c r="R458" i="13"/>
  <c r="P458" i="13"/>
  <c r="P395" i="13"/>
  <c r="R395" i="13"/>
  <c r="R401" i="13"/>
  <c r="P401" i="13"/>
  <c r="R722" i="13"/>
  <c r="P475" i="13"/>
  <c r="R475" i="13"/>
  <c r="R690" i="13"/>
  <c r="P690" i="13"/>
  <c r="R430" i="13"/>
  <c r="P430" i="13"/>
  <c r="R696" i="13"/>
  <c r="P696" i="13"/>
  <c r="P582" i="13"/>
  <c r="R582" i="13"/>
  <c r="P577" i="13"/>
  <c r="R577" i="13"/>
  <c r="P569" i="13"/>
  <c r="R569" i="13"/>
  <c r="P408" i="13"/>
  <c r="R408" i="13"/>
  <c r="P664" i="13"/>
  <c r="R664" i="13"/>
  <c r="P689" i="13"/>
  <c r="R689" i="13"/>
  <c r="R506" i="13"/>
  <c r="P506" i="13"/>
  <c r="R565" i="13"/>
  <c r="P565" i="13"/>
  <c r="R714" i="13"/>
  <c r="P714" i="13"/>
  <c r="R709" i="13"/>
  <c r="P709" i="13"/>
  <c r="P681" i="13"/>
  <c r="R681" i="13"/>
  <c r="R444" i="13"/>
  <c r="P444" i="13"/>
  <c r="R398" i="13"/>
  <c r="R529" i="13"/>
  <c r="P529" i="13"/>
  <c r="R693" i="13"/>
  <c r="P693" i="13"/>
  <c r="R447" i="13"/>
  <c r="P447" i="13"/>
  <c r="P726" i="13"/>
  <c r="R726" i="13"/>
  <c r="P748" i="13"/>
  <c r="R588" i="13"/>
  <c r="P588" i="13"/>
  <c r="R741" i="13"/>
  <c r="P741" i="13"/>
  <c r="R737" i="13"/>
  <c r="P665" i="13"/>
  <c r="R665" i="13"/>
  <c r="R666" i="13"/>
  <c r="P666" i="13"/>
  <c r="R462" i="13"/>
  <c r="P462" i="13"/>
  <c r="R396" i="13"/>
  <c r="P646" i="13"/>
  <c r="R646" i="13"/>
  <c r="P448" i="13"/>
  <c r="R448" i="13"/>
  <c r="P493" i="13"/>
  <c r="R493" i="13"/>
  <c r="P533" i="13"/>
  <c r="R533" i="13"/>
  <c r="R762" i="13"/>
  <c r="P762" i="13"/>
  <c r="R548" i="13"/>
  <c r="P548" i="13"/>
  <c r="P614" i="13"/>
  <c r="R614" i="13"/>
  <c r="R474" i="13"/>
  <c r="P474" i="13"/>
  <c r="P712" i="13"/>
  <c r="R535" i="13"/>
  <c r="R642" i="13"/>
  <c r="P642" i="13"/>
  <c r="R670" i="13"/>
  <c r="P670" i="13"/>
  <c r="P624" i="13"/>
  <c r="R624" i="13"/>
  <c r="R547" i="13"/>
  <c r="P547" i="13"/>
  <c r="P720" i="13"/>
  <c r="P672" i="13"/>
  <c r="R672" i="13"/>
  <c r="R510" i="13"/>
  <c r="P510" i="13"/>
  <c r="R644" i="13"/>
  <c r="P644" i="13"/>
  <c r="R738" i="13"/>
  <c r="P738" i="13"/>
  <c r="R446" i="13"/>
  <c r="P446" i="13"/>
  <c r="R572" i="13"/>
  <c r="P572" i="13"/>
  <c r="P613" i="13"/>
  <c r="R603" i="13"/>
  <c r="P603" i="13"/>
  <c r="R519" i="13"/>
  <c r="P519" i="13"/>
  <c r="R739" i="13"/>
  <c r="P739" i="13"/>
  <c r="P525" i="13"/>
  <c r="R525" i="13"/>
  <c r="R573" i="13"/>
  <c r="P573" i="13"/>
  <c r="P545" i="13"/>
  <c r="R545" i="13"/>
  <c r="R486" i="13"/>
  <c r="P486" i="13"/>
  <c r="R698" i="13"/>
  <c r="P698" i="13"/>
  <c r="R439" i="13"/>
  <c r="P439" i="13"/>
  <c r="R574" i="13"/>
  <c r="P574" i="13"/>
  <c r="R505" i="13"/>
  <c r="P505" i="13"/>
  <c r="R602" i="13"/>
  <c r="P602" i="13"/>
  <c r="R508" i="13"/>
  <c r="P508" i="13"/>
  <c r="R457" i="13"/>
  <c r="P457" i="13"/>
  <c r="R594" i="13"/>
  <c r="P594" i="13"/>
  <c r="P608" i="13"/>
  <c r="R608" i="13"/>
  <c r="R654" i="13"/>
  <c r="P654" i="13"/>
  <c r="R683" i="13"/>
  <c r="P683" i="13"/>
  <c r="P678" i="13"/>
  <c r="R678" i="13"/>
  <c r="P592" i="13"/>
  <c r="R592" i="13"/>
  <c r="R688" i="13"/>
  <c r="P688" i="13"/>
  <c r="R469" i="13"/>
  <c r="P742" i="13"/>
  <c r="R742" i="13"/>
  <c r="R442" i="13"/>
  <c r="P442" i="13"/>
  <c r="P694" i="13"/>
  <c r="R694" i="13"/>
  <c r="P729" i="13"/>
  <c r="R729" i="13"/>
  <c r="R567" i="13"/>
  <c r="P567" i="13"/>
  <c r="R503" i="13"/>
  <c r="P503" i="13"/>
  <c r="R606" i="13"/>
  <c r="P606" i="13"/>
  <c r="P661" i="13"/>
  <c r="R394" i="13"/>
  <c r="R691" i="13"/>
  <c r="P691" i="13"/>
  <c r="P657" i="13"/>
  <c r="R657" i="13"/>
  <c r="R704" i="13"/>
  <c r="P704" i="13"/>
  <c r="R515" i="13"/>
  <c r="P515" i="13"/>
  <c r="R597" i="13"/>
  <c r="P597" i="13"/>
  <c r="R498" i="13"/>
  <c r="P498" i="13"/>
  <c r="P568" i="13"/>
  <c r="R568" i="13"/>
  <c r="R728" i="13"/>
  <c r="P728" i="13"/>
  <c r="R541" i="13"/>
  <c r="P541" i="13"/>
  <c r="R671" i="13"/>
  <c r="P671" i="13"/>
  <c r="P561" i="13"/>
  <c r="R561" i="13"/>
  <c r="R591" i="13"/>
  <c r="P591" i="13"/>
  <c r="R660" i="13"/>
  <c r="P660" i="13"/>
  <c r="R478" i="13"/>
  <c r="P478" i="13"/>
  <c r="R502" i="13"/>
  <c r="P502" i="13"/>
  <c r="R595" i="13"/>
  <c r="P595" i="13"/>
  <c r="R420" i="13"/>
  <c r="P420" i="13"/>
  <c r="R668" i="13"/>
  <c r="P668" i="13"/>
  <c r="R431" i="13"/>
  <c r="P431" i="13"/>
  <c r="R610" i="13"/>
  <c r="P610" i="13"/>
  <c r="P632" i="13"/>
  <c r="R632" i="13"/>
  <c r="P467" i="13"/>
  <c r="R467" i="13"/>
  <c r="P750" i="13"/>
  <c r="R750" i="13"/>
  <c r="R733" i="13"/>
  <c r="P733" i="13"/>
  <c r="R423" i="13"/>
  <c r="P423" i="13"/>
  <c r="R658" i="13"/>
  <c r="P658" i="13"/>
  <c r="R417" i="13"/>
  <c r="P429" i="13"/>
  <c r="R429" i="13"/>
  <c r="P702" i="13"/>
  <c r="R702" i="13"/>
  <c r="P684" i="13"/>
  <c r="R757" i="13"/>
  <c r="P757" i="13"/>
  <c r="R717" i="13"/>
  <c r="P717" i="13"/>
  <c r="R571" i="13"/>
  <c r="P571" i="13"/>
  <c r="P553" i="13"/>
  <c r="R553" i="13"/>
  <c r="P464" i="13"/>
  <c r="R464" i="13"/>
  <c r="R530" i="13"/>
  <c r="P530" i="13"/>
  <c r="R638" i="13"/>
  <c r="P638" i="13"/>
  <c r="R564" i="13"/>
  <c r="P564" i="13"/>
  <c r="R598" i="13"/>
  <c r="P598" i="13"/>
  <c r="R575" i="13"/>
  <c r="P575" i="13"/>
  <c r="R740" i="13"/>
  <c r="P740" i="13"/>
  <c r="R586" i="13"/>
  <c r="P586" i="13"/>
  <c r="P727" i="13"/>
  <c r="R557" i="13"/>
  <c r="P557" i="13"/>
  <c r="P461" i="13"/>
  <c r="R461" i="13"/>
  <c r="P584" i="13"/>
  <c r="R584" i="13"/>
  <c r="R438" i="13"/>
  <c r="P438" i="13"/>
  <c r="P673" i="13"/>
  <c r="R673" i="13"/>
  <c r="R479" i="13"/>
  <c r="P479" i="13"/>
  <c r="R556" i="13"/>
  <c r="P556" i="13"/>
  <c r="R473" i="13"/>
  <c r="P473" i="13"/>
  <c r="P713" i="13"/>
  <c r="P640" i="13"/>
  <c r="R640" i="13"/>
  <c r="R494" i="13"/>
  <c r="P494" i="13"/>
  <c r="P745" i="13"/>
  <c r="R745" i="13"/>
  <c r="R659" i="13"/>
  <c r="P659" i="13"/>
  <c r="P734" i="13"/>
  <c r="R734" i="13"/>
  <c r="R386" i="13"/>
  <c r="R538" i="13"/>
  <c r="P538" i="13"/>
  <c r="P707" i="13" l="1"/>
  <c r="P743" i="13"/>
  <c r="R480" i="13"/>
  <c r="P460" i="13"/>
  <c r="P761" i="13"/>
  <c r="P759" i="13"/>
  <c r="R616" i="13"/>
  <c r="Z37" i="13"/>
  <c r="S39" i="13"/>
  <c r="R600" i="13"/>
  <c r="P711" i="13"/>
  <c r="P449" i="13"/>
  <c r="R622" i="13"/>
  <c r="P715" i="13"/>
  <c r="R618" i="13"/>
  <c r="R526" i="13"/>
  <c r="P699" i="13"/>
  <c r="P609" i="13"/>
  <c r="P724" i="13"/>
  <c r="P756" i="13"/>
  <c r="P559" i="13"/>
  <c r="P732" i="13"/>
  <c r="P468" i="13"/>
  <c r="R488" i="13"/>
  <c r="P587" i="13"/>
  <c r="R647" i="13"/>
  <c r="P514" i="13"/>
  <c r="P432" i="13"/>
  <c r="AA32" i="13"/>
  <c r="P652" i="13"/>
  <c r="R492" i="13"/>
  <c r="R534" i="13"/>
  <c r="P630" i="13"/>
  <c r="P752" i="13"/>
  <c r="Z45" i="13"/>
  <c r="R612" i="13"/>
  <c r="P414" i="13"/>
  <c r="P440" i="13"/>
  <c r="P562" i="13"/>
  <c r="R687" i="13"/>
  <c r="P669" i="13"/>
  <c r="R522" i="13"/>
  <c r="R676" i="13"/>
  <c r="P441" i="13"/>
  <c r="R491" i="13"/>
  <c r="P546" i="13"/>
  <c r="P723" i="13"/>
  <c r="R509" i="13"/>
  <c r="P452" i="13"/>
  <c r="R641" i="13"/>
  <c r="P735" i="13"/>
  <c r="P554" i="13"/>
  <c r="R550" i="13"/>
  <c r="P716" i="13"/>
  <c r="R578" i="13"/>
  <c r="P523" i="13"/>
  <c r="R532" i="13"/>
  <c r="P433" i="13"/>
  <c r="P629" i="13"/>
  <c r="R453" i="13"/>
  <c r="P528" i="13"/>
  <c r="R490" i="13"/>
  <c r="R484" i="13"/>
  <c r="P763" i="13"/>
  <c r="R501" i="13"/>
  <c r="P472" i="13"/>
  <c r="R560" i="13"/>
  <c r="R719" i="13"/>
  <c r="R747" i="13"/>
  <c r="P552" i="13"/>
  <c r="P663" i="13"/>
  <c r="P476" i="13"/>
  <c r="R443" i="13"/>
  <c r="R456" i="13"/>
  <c r="P695" i="13"/>
  <c r="P516" i="13"/>
  <c r="R617" i="13"/>
  <c r="P507" i="13"/>
  <c r="P551" i="13"/>
  <c r="P639" i="13"/>
  <c r="R758" i="13"/>
  <c r="P679" i="13"/>
  <c r="P621" i="13"/>
  <c r="P481" i="13"/>
  <c r="P543" i="13"/>
  <c r="P620" i="13"/>
  <c r="R718" i="13"/>
  <c r="R615" i="13"/>
  <c r="P566" i="13"/>
  <c r="R623" i="13"/>
  <c r="R459" i="13"/>
  <c r="S5" i="13"/>
  <c r="P648" i="13"/>
  <c r="P749" i="13"/>
  <c r="P645" i="13"/>
  <c r="R643" i="13"/>
  <c r="P700" i="13"/>
  <c r="R496" i="13"/>
  <c r="P655" i="13"/>
  <c r="P465" i="13"/>
  <c r="P500" i="13"/>
  <c r="P708" i="13"/>
  <c r="P531" i="13"/>
  <c r="P581" i="13"/>
  <c r="P604" i="13"/>
  <c r="P583" i="13"/>
  <c r="R744" i="13"/>
  <c r="R651" i="13"/>
  <c r="R482" i="13"/>
  <c r="R489" i="13"/>
  <c r="R635" i="13"/>
  <c r="R527" i="13"/>
  <c r="P518" i="13"/>
  <c r="P513" i="13"/>
  <c r="P637" i="13"/>
  <c r="P580" i="13"/>
  <c r="R466" i="13"/>
  <c r="P636" i="13"/>
  <c r="R487" i="13"/>
  <c r="R753" i="13"/>
  <c r="P570" i="13"/>
  <c r="P590" i="13"/>
  <c r="P445" i="13"/>
  <c r="P755" i="13"/>
  <c r="R579" i="13"/>
  <c r="P627" i="13"/>
  <c r="R721" i="13"/>
  <c r="R521" i="13"/>
  <c r="P555" i="13"/>
  <c r="P675" i="13"/>
  <c r="P542" i="13"/>
  <c r="R706" i="13"/>
  <c r="P485" i="13"/>
  <c r="P680" i="13"/>
  <c r="P436" i="13"/>
  <c r="P736" i="13"/>
  <c r="P631" i="13"/>
  <c r="G22" i="3"/>
  <c r="P692" i="13"/>
  <c r="P413" i="13"/>
  <c r="R544" i="13"/>
  <c r="R477" i="13"/>
  <c r="P512" i="13"/>
  <c r="R656" i="13"/>
  <c r="Z41" i="13"/>
  <c r="P685" i="13"/>
  <c r="P731" i="13"/>
  <c r="P611" i="13"/>
  <c r="P751" i="13"/>
  <c r="G23" i="3"/>
  <c r="H22" i="3"/>
  <c r="P558" i="13"/>
  <c r="P667" i="13"/>
  <c r="R520" i="13"/>
  <c r="H23" i="3"/>
  <c r="S41" i="13"/>
  <c r="P424" i="13"/>
  <c r="AA33" i="13"/>
  <c r="P563" i="13"/>
  <c r="P411" i="13"/>
  <c r="R596" i="13"/>
  <c r="P596" i="13"/>
  <c r="P746" i="13"/>
  <c r="P524" i="13"/>
  <c r="P705" i="13"/>
  <c r="R705" i="13"/>
  <c r="P31" i="13"/>
  <c r="S421" i="13"/>
  <c r="S44" i="13"/>
  <c r="P27" i="13"/>
  <c r="S33" i="13"/>
  <c r="AA37" i="13"/>
  <c r="AA17" i="13"/>
  <c r="S419" i="13"/>
  <c r="S10" i="13"/>
  <c r="AA27" i="13"/>
  <c r="S410" i="13"/>
  <c r="S18" i="13"/>
  <c r="S428" i="13"/>
  <c r="AA26" i="13"/>
  <c r="P45" i="13"/>
  <c r="P48" i="13"/>
  <c r="Z12" i="13"/>
  <c r="S38" i="13"/>
  <c r="AA31" i="13"/>
  <c r="S415" i="13"/>
  <c r="AA22" i="13"/>
  <c r="AA13" i="13"/>
  <c r="AA30" i="13"/>
  <c r="Z30" i="13"/>
  <c r="S11" i="13"/>
  <c r="P400" i="13"/>
  <c r="Z159" i="13"/>
  <c r="S425" i="13"/>
  <c r="S37" i="13"/>
  <c r="Z31" i="13"/>
  <c r="S159" i="13"/>
  <c r="Z33" i="13"/>
  <c r="S539" i="13"/>
  <c r="R539" i="13"/>
  <c r="P417" i="13"/>
  <c r="S417" i="13"/>
  <c r="S36" i="13"/>
  <c r="S32" i="13"/>
  <c r="Z44" i="13"/>
  <c r="P37" i="13"/>
  <c r="P422" i="13"/>
  <c r="AA44" i="13"/>
  <c r="AA38" i="13"/>
  <c r="P33" i="13"/>
  <c r="AA11" i="13"/>
  <c r="P16" i="13"/>
  <c r="AA48" i="13"/>
  <c r="Z14" i="13"/>
  <c r="P403" i="13"/>
  <c r="P11" i="13"/>
  <c r="P36" i="13"/>
  <c r="S48" i="13"/>
  <c r="S413" i="13"/>
  <c r="S385" i="13"/>
  <c r="S390" i="13"/>
  <c r="S42" i="13"/>
  <c r="S34" i="13"/>
  <c r="S31" i="13"/>
  <c r="AA35" i="13"/>
  <c r="S411" i="13"/>
  <c r="S416" i="13"/>
  <c r="S35" i="13"/>
  <c r="Z35" i="13"/>
  <c r="P41" i="13"/>
  <c r="Z26" i="13"/>
  <c r="Z23" i="13"/>
  <c r="AA16" i="13"/>
  <c r="S14" i="13"/>
  <c r="P35" i="13"/>
  <c r="P387" i="13"/>
  <c r="Z38" i="13"/>
  <c r="Z48" i="13"/>
  <c r="S45" i="13"/>
  <c r="S424" i="13"/>
  <c r="AA14" i="13"/>
  <c r="P428" i="13"/>
  <c r="S22" i="13"/>
  <c r="AA23" i="13"/>
  <c r="P38" i="13"/>
  <c r="S422" i="13"/>
  <c r="S414" i="13"/>
  <c r="S412" i="13"/>
  <c r="AA45" i="13"/>
  <c r="P416" i="13"/>
  <c r="S418" i="13"/>
  <c r="AA42" i="13"/>
  <c r="AA34" i="13"/>
  <c r="AA41" i="13"/>
  <c r="Z39" i="13"/>
  <c r="Z13" i="13"/>
  <c r="AA36" i="13"/>
  <c r="Z36" i="13"/>
  <c r="Z22" i="13"/>
  <c r="Z42" i="13"/>
  <c r="P539" i="13"/>
  <c r="S402" i="13"/>
  <c r="Z32" i="13"/>
  <c r="Z10" i="13"/>
  <c r="P44" i="13"/>
  <c r="Z34" i="13"/>
  <c r="AA39" i="13"/>
  <c r="Z17" i="13"/>
  <c r="S391" i="13"/>
  <c r="P419" i="13"/>
  <c r="P421" i="13"/>
  <c r="Z18" i="13"/>
  <c r="AA18" i="13"/>
  <c r="Z11" i="13"/>
  <c r="AA5" i="13"/>
  <c r="S398" i="13"/>
  <c r="Z16" i="13"/>
  <c r="AA10" i="13"/>
  <c r="AA19" i="13"/>
  <c r="W13" i="3"/>
  <c r="AA12" i="13"/>
  <c r="Z5" i="13"/>
  <c r="Z19" i="13"/>
  <c r="G10" i="3"/>
  <c r="S12" i="13"/>
  <c r="H8" i="3"/>
  <c r="W10" i="3"/>
  <c r="S407" i="13"/>
  <c r="S30" i="13"/>
  <c r="L13" i="3"/>
  <c r="P18" i="13"/>
  <c r="H16" i="3"/>
  <c r="S404" i="13"/>
  <c r="H13" i="3"/>
  <c r="S406" i="13"/>
  <c r="K5" i="3"/>
  <c r="P396" i="13"/>
  <c r="S403" i="13"/>
  <c r="P391" i="13"/>
  <c r="Z27" i="13"/>
  <c r="AA24" i="13"/>
  <c r="L20" i="3"/>
  <c r="V9" i="3"/>
  <c r="S27" i="13"/>
  <c r="P407" i="13"/>
  <c r="P7" i="13"/>
  <c r="P425" i="13"/>
  <c r="P437" i="13"/>
  <c r="AA7" i="13"/>
  <c r="P392" i="13"/>
  <c r="S24" i="13"/>
  <c r="G14" i="3"/>
  <c r="Z24" i="13"/>
  <c r="S23" i="13"/>
  <c r="S26" i="13"/>
  <c r="Z7" i="13"/>
  <c r="L8" i="3"/>
  <c r="S8" i="13"/>
  <c r="L6" i="3"/>
  <c r="K14" i="3"/>
  <c r="W18" i="3"/>
  <c r="S17" i="13"/>
  <c r="S7" i="13"/>
  <c r="S400" i="13"/>
  <c r="V10" i="3"/>
  <c r="V12" i="3"/>
  <c r="V6" i="3"/>
  <c r="V23" i="3"/>
  <c r="U23" i="3" s="1"/>
  <c r="S16" i="13"/>
  <c r="W17" i="3"/>
  <c r="P19" i="13"/>
  <c r="S399" i="13"/>
  <c r="S13" i="13"/>
  <c r="P404" i="13"/>
  <c r="M20" i="3"/>
  <c r="M21" i="3"/>
  <c r="W14" i="3"/>
  <c r="V7" i="3"/>
  <c r="W16" i="3"/>
  <c r="K22" i="3"/>
  <c r="M12" i="3"/>
  <c r="M5" i="3"/>
  <c r="W20" i="3"/>
  <c r="L11" i="3"/>
  <c r="L16" i="3"/>
  <c r="L21" i="3"/>
  <c r="S6" i="13"/>
  <c r="S19" i="13"/>
  <c r="S393" i="13"/>
  <c r="M13" i="3"/>
  <c r="W11" i="3"/>
  <c r="V21" i="3"/>
  <c r="K15" i="3"/>
  <c r="K16" i="3"/>
  <c r="M7" i="3"/>
  <c r="V8" i="3"/>
  <c r="W5" i="3"/>
  <c r="V4" i="3"/>
  <c r="M15" i="3"/>
  <c r="H17" i="3"/>
  <c r="L12" i="3"/>
  <c r="L23" i="3"/>
  <c r="L5" i="3"/>
  <c r="S388" i="13"/>
  <c r="S387" i="13"/>
  <c r="S20" i="13"/>
  <c r="Z20" i="13"/>
  <c r="AA20" i="13"/>
  <c r="M19" i="3"/>
  <c r="V19" i="3"/>
  <c r="M23" i="3"/>
  <c r="K6" i="3"/>
  <c r="M18" i="3"/>
  <c r="W21" i="3"/>
  <c r="W7" i="3"/>
  <c r="W23" i="3"/>
  <c r="M11" i="3"/>
  <c r="V18" i="3"/>
  <c r="Z8" i="13"/>
  <c r="Z6" i="13"/>
  <c r="L18" i="3"/>
  <c r="J18" i="3" s="1"/>
  <c r="L15" i="3"/>
  <c r="K7" i="3"/>
  <c r="K8" i="3"/>
  <c r="W15" i="3"/>
  <c r="W6" i="3"/>
  <c r="K12" i="3"/>
  <c r="M8" i="3"/>
  <c r="K13" i="3"/>
  <c r="K21" i="3"/>
  <c r="V20" i="3"/>
  <c r="X20" i="3" s="1"/>
  <c r="M22" i="3"/>
  <c r="V13" i="3"/>
  <c r="AA6" i="13"/>
  <c r="S392" i="13"/>
  <c r="L10" i="3"/>
  <c r="L7" i="3"/>
  <c r="S397" i="13"/>
  <c r="K19" i="3"/>
  <c r="V11" i="3"/>
  <c r="W4" i="3"/>
  <c r="M17" i="3"/>
  <c r="M14" i="3"/>
  <c r="M4" i="3"/>
  <c r="K11" i="3"/>
  <c r="W19" i="3"/>
  <c r="K10" i="3"/>
  <c r="AA8" i="13"/>
  <c r="L17" i="3"/>
  <c r="L22" i="3"/>
  <c r="K18" i="3"/>
  <c r="W9" i="3"/>
  <c r="K4" i="3"/>
  <c r="V17" i="3"/>
  <c r="V5" i="3"/>
  <c r="K23" i="3"/>
  <c r="K9" i="3"/>
  <c r="K17" i="3"/>
  <c r="V16" i="3"/>
  <c r="V14" i="3"/>
  <c r="S386" i="13"/>
  <c r="L9" i="3"/>
  <c r="L14" i="3"/>
  <c r="V15" i="3"/>
  <c r="M9" i="3"/>
  <c r="M10" i="3"/>
  <c r="W22" i="3"/>
  <c r="W12" i="3"/>
  <c r="V22" i="3"/>
  <c r="K20" i="3"/>
  <c r="M16" i="3"/>
  <c r="W8" i="3"/>
  <c r="X8" i="3" s="1"/>
  <c r="L19" i="3"/>
  <c r="J19" i="3" s="1"/>
  <c r="L4" i="3"/>
  <c r="S396" i="13"/>
  <c r="S394" i="13"/>
  <c r="G9" i="3"/>
  <c r="G12" i="3"/>
  <c r="P399" i="13"/>
  <c r="P42" i="13"/>
  <c r="P412" i="13"/>
  <c r="P402" i="13"/>
  <c r="P34" i="13"/>
  <c r="P30" i="13"/>
  <c r="P12" i="13"/>
  <c r="P14" i="13"/>
  <c r="P386" i="13"/>
  <c r="P388" i="13"/>
  <c r="P22" i="13"/>
  <c r="G4" i="3"/>
  <c r="H11" i="3"/>
  <c r="H4" i="3"/>
  <c r="G16" i="3"/>
  <c r="I16" i="3" s="1"/>
  <c r="Y16" i="3" s="1"/>
  <c r="P6" i="13"/>
  <c r="P415" i="13"/>
  <c r="P8" i="13"/>
  <c r="P23" i="13"/>
  <c r="P394" i="13"/>
  <c r="P39" i="13"/>
  <c r="G7" i="3"/>
  <c r="H9" i="3"/>
  <c r="H15" i="3"/>
  <c r="H6" i="3"/>
  <c r="G8" i="3"/>
  <c r="I8" i="3" s="1"/>
  <c r="Y8" i="3" s="1"/>
  <c r="G20" i="3"/>
  <c r="H5" i="3"/>
  <c r="P10" i="13"/>
  <c r="H19" i="3"/>
  <c r="H10" i="3"/>
  <c r="I10" i="3" s="1"/>
  <c r="Y10" i="3" s="1"/>
  <c r="P397" i="13"/>
  <c r="H21" i="3"/>
  <c r="P418" i="13"/>
  <c r="G11" i="3"/>
  <c r="H18" i="3"/>
  <c r="P398" i="13"/>
  <c r="H20" i="3"/>
  <c r="G13" i="3"/>
  <c r="P390" i="13"/>
  <c r="G19" i="3"/>
  <c r="G15" i="3"/>
  <c r="G5" i="3"/>
  <c r="P17" i="13"/>
  <c r="P385" i="13"/>
  <c r="P13" i="13"/>
  <c r="H14" i="3"/>
  <c r="H12" i="3"/>
  <c r="P26" i="13"/>
  <c r="G21" i="3"/>
  <c r="P406" i="13"/>
  <c r="P410" i="13"/>
  <c r="P5" i="13"/>
  <c r="H7" i="3"/>
  <c r="I7" i="3" s="1"/>
  <c r="Y7" i="3" s="1"/>
  <c r="G17" i="3"/>
  <c r="G6" i="3"/>
  <c r="P393" i="13"/>
  <c r="P32" i="13"/>
  <c r="P24" i="13"/>
  <c r="G18" i="3"/>
  <c r="X9" i="3" l="1"/>
  <c r="J10" i="3"/>
  <c r="I23" i="3"/>
  <c r="Y23" i="3" s="1"/>
  <c r="I22" i="3"/>
  <c r="Y22" i="3" s="1"/>
  <c r="N13" i="3"/>
  <c r="J21" i="3"/>
  <c r="U19" i="3"/>
  <c r="X7" i="3"/>
  <c r="X17" i="3"/>
  <c r="J13" i="3"/>
  <c r="U21" i="3"/>
  <c r="J8" i="3"/>
  <c r="U8" i="3" s="1"/>
  <c r="X23" i="3"/>
  <c r="J17" i="3"/>
  <c r="U10" i="3"/>
  <c r="J23" i="3"/>
  <c r="J7" i="3"/>
  <c r="U7" i="3" s="1"/>
  <c r="J20" i="3"/>
  <c r="I13" i="3"/>
  <c r="Y13" i="3" s="1"/>
  <c r="X12" i="3"/>
  <c r="J9" i="3"/>
  <c r="U9" i="3" s="1"/>
  <c r="X4" i="3"/>
  <c r="X21" i="3"/>
  <c r="U17" i="3"/>
  <c r="J12" i="3"/>
  <c r="U12" i="3" s="1"/>
  <c r="N21" i="3"/>
  <c r="U13" i="3"/>
  <c r="N10" i="3"/>
  <c r="U20" i="3"/>
  <c r="X13" i="3"/>
  <c r="J11" i="3"/>
  <c r="U11" i="3" s="1"/>
  <c r="I17" i="3"/>
  <c r="Y17" i="3" s="1"/>
  <c r="N11" i="3"/>
  <c r="I14" i="3"/>
  <c r="Y14" i="3" s="1"/>
  <c r="N18" i="3"/>
  <c r="N4" i="3"/>
  <c r="X5" i="3"/>
  <c r="N19" i="3"/>
  <c r="J15" i="3"/>
  <c r="N6" i="3"/>
  <c r="X10" i="3"/>
  <c r="I12" i="3"/>
  <c r="Y12" i="3" s="1"/>
  <c r="J6" i="3"/>
  <c r="U6" i="3" s="1"/>
  <c r="N20" i="3"/>
  <c r="X6" i="3"/>
  <c r="U18" i="3"/>
  <c r="N15" i="3"/>
  <c r="X14" i="3"/>
  <c r="X18" i="3"/>
  <c r="N17" i="3"/>
  <c r="X19" i="3"/>
  <c r="X15" i="3"/>
  <c r="I9" i="3"/>
  <c r="N16" i="3"/>
  <c r="J5" i="3"/>
  <c r="U5" i="3" s="1"/>
  <c r="J16" i="3"/>
  <c r="U16" i="3" s="1"/>
  <c r="J4" i="3"/>
  <c r="U4" i="3" s="1"/>
  <c r="X22" i="3"/>
  <c r="J14" i="3"/>
  <c r="U14" i="3" s="1"/>
  <c r="N12" i="3"/>
  <c r="N7" i="3"/>
  <c r="I18" i="3"/>
  <c r="Y18" i="3" s="1"/>
  <c r="I5" i="3"/>
  <c r="Y5" i="3" s="1"/>
  <c r="N9" i="3"/>
  <c r="N23" i="3"/>
  <c r="N22" i="3"/>
  <c r="K24" i="3"/>
  <c r="X9" i="6" s="1"/>
  <c r="AP9" i="6" s="1"/>
  <c r="X16" i="3"/>
  <c r="N5" i="3"/>
  <c r="N14" i="3"/>
  <c r="U15" i="3"/>
  <c r="J22" i="3"/>
  <c r="U22" i="3" s="1"/>
  <c r="N8" i="3"/>
  <c r="X11" i="3"/>
  <c r="I4" i="3"/>
  <c r="Y4" i="3" s="1"/>
  <c r="I11" i="3"/>
  <c r="Y11" i="3" s="1"/>
  <c r="I15" i="3"/>
  <c r="Y15" i="3" s="1"/>
  <c r="I19" i="3"/>
  <c r="Y19" i="3" s="1"/>
  <c r="I6" i="3"/>
  <c r="Y6" i="3" s="1"/>
  <c r="I21" i="3"/>
  <c r="Y21" i="3" s="1"/>
  <c r="I20" i="3"/>
  <c r="Y20" i="3" s="1"/>
  <c r="Z10" i="3"/>
  <c r="Z22" i="3"/>
  <c r="Z7" i="3"/>
  <c r="Z8" i="3"/>
  <c r="Z16" i="3"/>
  <c r="Z14" i="3" l="1"/>
  <c r="Z23" i="3"/>
  <c r="Z13" i="3"/>
  <c r="Z17" i="3"/>
  <c r="Z12" i="3"/>
  <c r="Z9" i="3"/>
  <c r="Y9" i="3"/>
  <c r="Z18" i="3"/>
  <c r="Z5" i="3"/>
  <c r="Z19" i="3"/>
  <c r="Z15" i="3"/>
  <c r="Z4" i="3"/>
  <c r="Z11" i="3"/>
  <c r="Z6" i="3"/>
  <c r="Z21" i="3"/>
  <c r="Z20" i="3"/>
  <c r="AP35" i="6"/>
  <c r="AA7" i="3" l="1"/>
  <c r="R7" i="3" s="1"/>
  <c r="AA8" i="3"/>
  <c r="R8" i="3" s="1"/>
  <c r="AA16" i="3"/>
  <c r="R16" i="3" s="1"/>
  <c r="AA5" i="3"/>
  <c r="R5" i="3" s="1"/>
  <c r="AA19" i="3"/>
  <c r="R19" i="3" s="1"/>
  <c r="AA15" i="3"/>
  <c r="R15" i="3" s="1"/>
  <c r="AA10" i="3"/>
  <c r="R10" i="3" s="1"/>
  <c r="AA14" i="3"/>
  <c r="R14" i="3" s="1"/>
  <c r="AA23" i="3"/>
  <c r="R23" i="3" s="1"/>
  <c r="AA9" i="3"/>
  <c r="R9" i="3" s="1"/>
  <c r="AA12" i="3"/>
  <c r="R12" i="3" s="1"/>
  <c r="AA13" i="3"/>
  <c r="R13" i="3" s="1"/>
  <c r="AA6" i="3"/>
  <c r="R6" i="3" s="1"/>
  <c r="AA18" i="3"/>
  <c r="R18" i="3" s="1"/>
  <c r="AA17" i="3"/>
  <c r="R17" i="3" s="1"/>
  <c r="AA21" i="3"/>
  <c r="R21" i="3" s="1"/>
  <c r="AA22" i="3"/>
  <c r="R22" i="3" s="1"/>
  <c r="AA20" i="3"/>
  <c r="R20" i="3" s="1"/>
  <c r="AA4" i="3"/>
  <c r="R4" i="3" s="1"/>
  <c r="AA11" i="3"/>
  <c r="R11" i="3" s="1"/>
  <c r="T15" i="3" l="1"/>
  <c r="T8" i="3"/>
  <c r="T21" i="3"/>
  <c r="T14" i="3"/>
  <c r="T10" i="3"/>
  <c r="T9" i="3"/>
  <c r="T20" i="3"/>
  <c r="T23" i="3"/>
  <c r="T16" i="3"/>
  <c r="T11" i="3"/>
  <c r="T13" i="3"/>
  <c r="T22" i="3"/>
  <c r="T18" i="3"/>
  <c r="T7" i="3"/>
  <c r="T5" i="3"/>
  <c r="T17" i="3"/>
  <c r="T19" i="3"/>
  <c r="T12" i="3"/>
  <c r="T6" i="3"/>
  <c r="T4" i="3"/>
  <c r="E12" i="3" l="1"/>
  <c r="D12" i="3" s="1"/>
  <c r="E11" i="3"/>
  <c r="D11" i="3" s="1"/>
  <c r="E20" i="3"/>
  <c r="D20" i="3" s="1"/>
  <c r="E16" i="3"/>
  <c r="D16" i="3" s="1"/>
  <c r="E17" i="3"/>
  <c r="D17" i="3" s="1"/>
  <c r="E23" i="3"/>
  <c r="D23" i="3" s="1"/>
  <c r="E13" i="3"/>
  <c r="D13" i="3" s="1"/>
  <c r="E9" i="3"/>
  <c r="D9" i="3" s="1"/>
  <c r="E4" i="3"/>
  <c r="D4" i="3" s="1"/>
  <c r="E14" i="3"/>
  <c r="D14" i="3" s="1"/>
  <c r="E10" i="3"/>
  <c r="D10" i="3" s="1"/>
  <c r="E7" i="3"/>
  <c r="D7" i="3" s="1"/>
  <c r="E18" i="3"/>
  <c r="D18" i="3" s="1"/>
  <c r="E22" i="3"/>
  <c r="D22" i="3" s="1"/>
  <c r="E19" i="3"/>
  <c r="D19" i="3" s="1"/>
  <c r="E21" i="3"/>
  <c r="D21" i="3" s="1"/>
  <c r="E15" i="3"/>
  <c r="D15" i="3" s="1"/>
  <c r="E8" i="3"/>
  <c r="D8" i="3" s="1"/>
  <c r="E5" i="3"/>
  <c r="D5" i="3" s="1"/>
  <c r="E6" i="3"/>
  <c r="D6" i="3" s="1"/>
  <c r="C17" i="3" l="1"/>
  <c r="C15" i="3"/>
  <c r="C13" i="3"/>
  <c r="C7" i="3"/>
  <c r="C21" i="3"/>
  <c r="C19" i="3"/>
  <c r="C10" i="3"/>
  <c r="C12" i="3"/>
  <c r="C5" i="3"/>
  <c r="C4" i="3"/>
  <c r="C18" i="3"/>
  <c r="C8" i="3"/>
  <c r="C14" i="3"/>
  <c r="C23" i="3"/>
  <c r="C11" i="3"/>
  <c r="C9" i="3"/>
  <c r="C16" i="3"/>
  <c r="C22" i="3"/>
  <c r="C6" i="3"/>
  <c r="C20" i="3"/>
  <c r="Z16" i="6" l="1"/>
  <c r="AL16" i="6" s="1"/>
  <c r="AM12" i="6"/>
  <c r="AM23" i="6"/>
  <c r="Y21" i="6"/>
  <c r="AN21" i="6" s="1"/>
  <c r="BD7" i="6" s="1"/>
  <c r="BD33" i="6" s="1"/>
  <c r="AM14" i="6"/>
  <c r="Y12" i="6"/>
  <c r="AQ38" i="6" s="1"/>
  <c r="Y22" i="6"/>
  <c r="AN22" i="6" s="1"/>
  <c r="BE7" i="6" s="1"/>
  <c r="BE33" i="6" s="1"/>
  <c r="AM13" i="6"/>
  <c r="Y9" i="6"/>
  <c r="AQ35" i="6" s="1"/>
  <c r="Z25" i="6"/>
  <c r="Y24" i="6"/>
  <c r="AN24" i="6" s="1"/>
  <c r="BG7" i="6" s="1"/>
  <c r="BG33" i="6" s="1"/>
  <c r="Y19" i="6"/>
  <c r="AQ19" i="6" s="1"/>
  <c r="AM15" i="6"/>
  <c r="AM24" i="6"/>
  <c r="AM17" i="6"/>
  <c r="AM26" i="6"/>
  <c r="X10" i="6"/>
  <c r="X11" i="6" s="1"/>
  <c r="Y23" i="6"/>
  <c r="AN23" i="6" s="1"/>
  <c r="BF7" i="6" s="1"/>
  <c r="BF33" i="6" s="1"/>
  <c r="Z12" i="6"/>
  <c r="Y16" i="6"/>
  <c r="AN16" i="6" s="1"/>
  <c r="AY7" i="6" s="1"/>
  <c r="AY33" i="6" s="1"/>
  <c r="Y25" i="6"/>
  <c r="AN25" i="6" s="1"/>
  <c r="BH7" i="6" s="1"/>
  <c r="BH33" i="6" s="1"/>
  <c r="Z11" i="6"/>
  <c r="AK11" i="6" s="1"/>
  <c r="Z23" i="6"/>
  <c r="AJ23" i="6" s="1"/>
  <c r="Y20" i="6"/>
  <c r="AN20" i="6" s="1"/>
  <c r="BC7" i="6" s="1"/>
  <c r="BC33" i="6" s="1"/>
  <c r="AM21" i="6"/>
  <c r="Z26" i="6"/>
  <c r="AH26" i="6" s="1"/>
  <c r="Z21" i="6"/>
  <c r="AH21" i="6" s="1"/>
  <c r="Z24" i="6"/>
  <c r="AH24" i="6" s="1"/>
  <c r="Y17" i="6"/>
  <c r="AN17" i="6" s="1"/>
  <c r="AZ7" i="6" s="1"/>
  <c r="AZ33" i="6" s="1"/>
  <c r="AM10" i="6"/>
  <c r="AM20" i="6"/>
  <c r="AM25" i="6"/>
  <c r="AM16" i="6"/>
  <c r="Z14" i="6"/>
  <c r="AK14" i="6" s="1"/>
  <c r="Y15" i="6"/>
  <c r="AN15" i="6" s="1"/>
  <c r="AX7" i="6" s="1"/>
  <c r="AX33" i="6" s="1"/>
  <c r="AM19" i="6"/>
  <c r="AM11" i="6"/>
  <c r="AM18" i="6"/>
  <c r="Z10" i="6"/>
  <c r="AF10" i="6" s="1"/>
  <c r="Y26" i="6"/>
  <c r="AQ52" i="6" s="1"/>
  <c r="Z13" i="6"/>
  <c r="AL13" i="6" s="1"/>
  <c r="Y11" i="6"/>
  <c r="AN11" i="6" s="1"/>
  <c r="AT7" i="6" s="1"/>
  <c r="AT33" i="6" s="1"/>
  <c r="AM28" i="6"/>
  <c r="Z27" i="6"/>
  <c r="AG27" i="6" s="1"/>
  <c r="AM27" i="6"/>
  <c r="Y13" i="6"/>
  <c r="AV8" i="6" s="1"/>
  <c r="Z9" i="6"/>
  <c r="AD9" i="6" s="1"/>
  <c r="Z18" i="6"/>
  <c r="AL18" i="6" s="1"/>
  <c r="Y14" i="6"/>
  <c r="AN14" i="6" s="1"/>
  <c r="AW7" i="6" s="1"/>
  <c r="AW33" i="6" s="1"/>
  <c r="Z15" i="6"/>
  <c r="AH15" i="6" s="1"/>
  <c r="Y10" i="6"/>
  <c r="AN10" i="6" s="1"/>
  <c r="AS7" i="6" s="1"/>
  <c r="AS33" i="6" s="1"/>
  <c r="AM22" i="6"/>
  <c r="Z22" i="6"/>
  <c r="AD22" i="6" s="1"/>
  <c r="Y27" i="6"/>
  <c r="AN27" i="6" s="1"/>
  <c r="BJ7" i="6" s="1"/>
  <c r="BJ33" i="6" s="1"/>
  <c r="Y18" i="6"/>
  <c r="AQ44" i="6" s="1"/>
  <c r="Z28" i="6"/>
  <c r="AG28" i="6" s="1"/>
  <c r="Z19" i="6"/>
  <c r="AF19" i="6" s="1"/>
  <c r="AM9" i="6"/>
  <c r="Y28" i="6"/>
  <c r="BK8" i="6" s="1"/>
  <c r="Z17" i="6"/>
  <c r="AH17" i="6" s="1"/>
  <c r="Z20" i="6"/>
  <c r="AF20" i="6" s="1"/>
  <c r="AJ25" i="6"/>
  <c r="AF25" i="6"/>
  <c r="AH25" i="6"/>
  <c r="AL25" i="6"/>
  <c r="AD25" i="6"/>
  <c r="AK25" i="6"/>
  <c r="AJ21" i="6"/>
  <c r="AF21" i="6"/>
  <c r="AL21" i="6"/>
  <c r="AD21" i="6"/>
  <c r="AK21" i="6"/>
  <c r="AJ16" i="6"/>
  <c r="AD16" i="6"/>
  <c r="AF16" i="6"/>
  <c r="AH16" i="6"/>
  <c r="AK12" i="6"/>
  <c r="AH12" i="6"/>
  <c r="AF12" i="6"/>
  <c r="AD12" i="6"/>
  <c r="AL12" i="6"/>
  <c r="AJ12" i="6"/>
  <c r="AF26" i="6"/>
  <c r="AC21" i="6"/>
  <c r="AB21" i="6"/>
  <c r="AA21" i="6"/>
  <c r="AQ41" i="6"/>
  <c r="AX8" i="6"/>
  <c r="AC16" i="6"/>
  <c r="AB16" i="6"/>
  <c r="AA16" i="6"/>
  <c r="BG8" i="6"/>
  <c r="AQ24" i="6"/>
  <c r="AQ50" i="6"/>
  <c r="AA12" i="6"/>
  <c r="AB12" i="6"/>
  <c r="AC12" i="6"/>
  <c r="AA26" i="6"/>
  <c r="AB26" i="6"/>
  <c r="AC26" i="6"/>
  <c r="AB25" i="6"/>
  <c r="AC25" i="6"/>
  <c r="AA25" i="6"/>
  <c r="BD8" i="6"/>
  <c r="AQ47" i="6"/>
  <c r="AC24" i="6" l="1"/>
  <c r="AA13" i="6"/>
  <c r="AH14" i="6"/>
  <c r="AQ15" i="6"/>
  <c r="AQ49" i="6"/>
  <c r="AQ21" i="6"/>
  <c r="AQ12" i="6"/>
  <c r="AN12" i="6"/>
  <c r="AU7" i="6" s="1"/>
  <c r="AU33" i="6" s="1"/>
  <c r="BF8" i="6"/>
  <c r="BF25" i="6" s="1"/>
  <c r="AQ36" i="6"/>
  <c r="AQ25" i="6"/>
  <c r="AQ23" i="6"/>
  <c r="AQ51" i="6"/>
  <c r="AQ17" i="6"/>
  <c r="BH8" i="6"/>
  <c r="BH52" i="6" s="1"/>
  <c r="AS8" i="6"/>
  <c r="AS40" i="6" s="1"/>
  <c r="AQ10" i="6"/>
  <c r="AY8" i="6"/>
  <c r="AY53" i="6" s="1"/>
  <c r="AQ16" i="6"/>
  <c r="AU8" i="6"/>
  <c r="AU46" i="6" s="1"/>
  <c r="AF14" i="6"/>
  <c r="AB11" i="6"/>
  <c r="AQ39" i="6"/>
  <c r="AQ13" i="6"/>
  <c r="AT8" i="6"/>
  <c r="AT47" i="6" s="1"/>
  <c r="AJ26" i="6"/>
  <c r="AQ54" i="6"/>
  <c r="AQ28" i="6"/>
  <c r="AN13" i="6"/>
  <c r="AV7" i="6" s="1"/>
  <c r="AV33" i="6" s="1"/>
  <c r="AV21" i="6"/>
  <c r="AL26" i="6"/>
  <c r="AA19" i="6"/>
  <c r="AN28" i="6"/>
  <c r="BK7" i="6" s="1"/>
  <c r="BK33" i="6" s="1"/>
  <c r="AA22" i="6"/>
  <c r="AC11" i="6"/>
  <c r="AA11" i="6"/>
  <c r="AJ11" i="6"/>
  <c r="AL11" i="6"/>
  <c r="AX38" i="6"/>
  <c r="AQ53" i="6"/>
  <c r="BK38" i="6"/>
  <c r="AD11" i="6"/>
  <c r="AQ27" i="6"/>
  <c r="BJ8" i="6"/>
  <c r="BJ25" i="6" s="1"/>
  <c r="AH11" i="6"/>
  <c r="AF11" i="6"/>
  <c r="AQ37" i="6"/>
  <c r="AC19" i="6"/>
  <c r="AA14" i="6"/>
  <c r="BG11" i="6"/>
  <c r="AB14" i="6"/>
  <c r="AC20" i="6"/>
  <c r="AQ9" i="6"/>
  <c r="AZ8" i="6"/>
  <c r="AZ54" i="6" s="1"/>
  <c r="AF13" i="6"/>
  <c r="AK16" i="6"/>
  <c r="AA24" i="6"/>
  <c r="AQ11" i="6"/>
  <c r="AC14" i="6"/>
  <c r="AK26" i="6"/>
  <c r="AD26" i="6"/>
  <c r="AG26" i="6" s="1"/>
  <c r="AJ14" i="6"/>
  <c r="AB15" i="6"/>
  <c r="AL14" i="6"/>
  <c r="AC22" i="6"/>
  <c r="AB20" i="6"/>
  <c r="AB22" i="6"/>
  <c r="AQ43" i="6"/>
  <c r="AC15" i="6"/>
  <c r="AL24" i="6"/>
  <c r="AJ20" i="6"/>
  <c r="AD14" i="6"/>
  <c r="AG14" i="6" s="1"/>
  <c r="AN18" i="6"/>
  <c r="BA7" i="6" s="1"/>
  <c r="BA33" i="6" s="1"/>
  <c r="AK19" i="6"/>
  <c r="AD15" i="6"/>
  <c r="AC10" i="6"/>
  <c r="AB10" i="6"/>
  <c r="AA20" i="6"/>
  <c r="AF15" i="6"/>
  <c r="AJ15" i="6"/>
  <c r="AA15" i="6"/>
  <c r="AB28" i="6"/>
  <c r="BE8" i="6"/>
  <c r="BE39" i="6" s="1"/>
  <c r="AL9" i="6"/>
  <c r="BA8" i="6"/>
  <c r="BA46" i="6" s="1"/>
  <c r="AQ18" i="6"/>
  <c r="AJ9" i="6"/>
  <c r="AC28" i="6"/>
  <c r="AQ48" i="6"/>
  <c r="AD23" i="6"/>
  <c r="AK9" i="6"/>
  <c r="AQ22" i="6"/>
  <c r="AC9" i="6"/>
  <c r="AH10" i="6"/>
  <c r="AD20" i="6"/>
  <c r="AG20" i="6" s="1"/>
  <c r="AH9" i="6"/>
  <c r="AD10" i="6"/>
  <c r="AG10" i="6" s="1"/>
  <c r="AH23" i="6"/>
  <c r="AA9" i="6"/>
  <c r="AK10" i="6"/>
  <c r="AL23" i="6"/>
  <c r="AA10" i="6"/>
  <c r="AC23" i="6"/>
  <c r="AB9" i="6"/>
  <c r="AJ10" i="6"/>
  <c r="AF23" i="6"/>
  <c r="AL15" i="6"/>
  <c r="AA23" i="6"/>
  <c r="AL10" i="6"/>
  <c r="AK23" i="6"/>
  <c r="BH44" i="6"/>
  <c r="AB23" i="6"/>
  <c r="AF9" i="6"/>
  <c r="AG9" i="6" s="1"/>
  <c r="AB19" i="6"/>
  <c r="AP10" i="6"/>
  <c r="AK13" i="6"/>
  <c r="AD19" i="6"/>
  <c r="AG19" i="6" s="1"/>
  <c r="AP36" i="6"/>
  <c r="AH13" i="6"/>
  <c r="AL19" i="6"/>
  <c r="AD13" i="6"/>
  <c r="AH19" i="6"/>
  <c r="AC13" i="6"/>
  <c r="AB13" i="6"/>
  <c r="AJ13" i="6"/>
  <c r="AN9" i="6"/>
  <c r="AR7" i="6" s="1"/>
  <c r="AR33" i="6" s="1"/>
  <c r="AW8" i="6"/>
  <c r="AW49" i="6" s="1"/>
  <c r="AR8" i="6"/>
  <c r="AR39" i="6" s="1"/>
  <c r="AQ40" i="6"/>
  <c r="AQ14" i="6"/>
  <c r="AJ19" i="6"/>
  <c r="AK15" i="6"/>
  <c r="AQ46" i="6"/>
  <c r="AQ26" i="6"/>
  <c r="BI8" i="6"/>
  <c r="BI53" i="6" s="1"/>
  <c r="AB18" i="6"/>
  <c r="AA28" i="6"/>
  <c r="AN26" i="6"/>
  <c r="BI7" i="6" s="1"/>
  <c r="BI33" i="6" s="1"/>
  <c r="AL28" i="6"/>
  <c r="AF22" i="6"/>
  <c r="AG22" i="6" s="1"/>
  <c r="AQ20" i="6"/>
  <c r="AK20" i="6"/>
  <c r="AJ18" i="6"/>
  <c r="AD28" i="6"/>
  <c r="BC8" i="6"/>
  <c r="BC11" i="6" s="1"/>
  <c r="AL22" i="6"/>
  <c r="AH22" i="6"/>
  <c r="AD18" i="6"/>
  <c r="AJ28" i="6"/>
  <c r="AC18" i="6"/>
  <c r="AL20" i="6"/>
  <c r="AK18" i="6"/>
  <c r="AH28" i="6"/>
  <c r="AJ22" i="6"/>
  <c r="AA18" i="6"/>
  <c r="AH20" i="6"/>
  <c r="AF18" i="6"/>
  <c r="AF28" i="6"/>
  <c r="AK22" i="6"/>
  <c r="AH18" i="6"/>
  <c r="AK28" i="6"/>
  <c r="AF27" i="6"/>
  <c r="AJ24" i="6"/>
  <c r="AQ42" i="6"/>
  <c r="AK24" i="6"/>
  <c r="BB8" i="6"/>
  <c r="BB38" i="6" s="1"/>
  <c r="AD24" i="6"/>
  <c r="AN19" i="6"/>
  <c r="BB7" i="6" s="1"/>
  <c r="BB33" i="6" s="1"/>
  <c r="AB24" i="6"/>
  <c r="BD45" i="6"/>
  <c r="AQ45" i="6"/>
  <c r="AA17" i="6"/>
  <c r="AC27" i="6"/>
  <c r="AD17" i="6"/>
  <c r="AF24" i="6"/>
  <c r="AB17" i="6"/>
  <c r="AH27" i="6"/>
  <c r="AF17" i="6"/>
  <c r="AC17" i="6"/>
  <c r="AB27" i="6"/>
  <c r="AA27" i="6"/>
  <c r="AJ27" i="6"/>
  <c r="AJ17" i="6"/>
  <c r="AK17" i="6"/>
  <c r="AL17" i="6"/>
  <c r="AD27" i="6"/>
  <c r="AL27" i="6"/>
  <c r="AK27" i="6"/>
  <c r="AG21" i="6"/>
  <c r="AG12" i="6"/>
  <c r="AG25" i="6"/>
  <c r="AG16" i="6"/>
  <c r="BF42" i="6"/>
  <c r="AV36" i="6"/>
  <c r="BD44" i="6"/>
  <c r="AV51" i="6"/>
  <c r="AX36" i="6"/>
  <c r="BD39" i="6"/>
  <c r="AV47" i="6"/>
  <c r="BG48" i="6"/>
  <c r="BD37" i="6"/>
  <c r="AV52" i="6"/>
  <c r="AV48" i="6"/>
  <c r="AX46" i="6"/>
  <c r="AX40" i="6"/>
  <c r="AV43" i="6"/>
  <c r="BD40" i="6"/>
  <c r="BG37" i="6"/>
  <c r="AV46" i="6"/>
  <c r="BG54" i="6"/>
  <c r="AX47" i="6"/>
  <c r="BG47" i="6"/>
  <c r="BG52" i="6"/>
  <c r="AV50" i="6"/>
  <c r="AX35" i="6"/>
  <c r="AV42" i="6"/>
  <c r="BG46" i="6"/>
  <c r="AZ44" i="6"/>
  <c r="BG44" i="6"/>
  <c r="BK53" i="6"/>
  <c r="BG53" i="6"/>
  <c r="AV53" i="6"/>
  <c r="BK51" i="6"/>
  <c r="AX50" i="6"/>
  <c r="AX48" i="6"/>
  <c r="BD46" i="6"/>
  <c r="BD41" i="6"/>
  <c r="AX54" i="6"/>
  <c r="BG49" i="6"/>
  <c r="BK43" i="6"/>
  <c r="BG36" i="6"/>
  <c r="AV40" i="6"/>
  <c r="BG45" i="6"/>
  <c r="BK50" i="6"/>
  <c r="AZ35" i="6"/>
  <c r="BK48" i="6"/>
  <c r="BK46" i="6"/>
  <c r="AV41" i="6"/>
  <c r="AV49" i="6"/>
  <c r="BD43" i="6"/>
  <c r="BK40" i="6"/>
  <c r="BK44" i="6"/>
  <c r="BG38" i="6"/>
  <c r="BK47" i="6"/>
  <c r="AV37" i="6"/>
  <c r="AX52" i="6"/>
  <c r="BD50" i="6"/>
  <c r="AV35" i="6"/>
  <c r="BD48" i="6"/>
  <c r="AX42" i="6"/>
  <c r="BG41" i="6"/>
  <c r="BD49" i="6"/>
  <c r="AX49" i="6"/>
  <c r="AX43" i="6"/>
  <c r="BG40" i="6"/>
  <c r="AX53" i="6"/>
  <c r="BD38" i="6"/>
  <c r="BD51" i="6"/>
  <c r="BD35" i="6"/>
  <c r="BG42" i="6"/>
  <c r="AZ46" i="6"/>
  <c r="AV54" i="6"/>
  <c r="BG43" i="6"/>
  <c r="AX39" i="6"/>
  <c r="BK39" i="6"/>
  <c r="AX44" i="6"/>
  <c r="AX45" i="6"/>
  <c r="BD53" i="6"/>
  <c r="AV38" i="6"/>
  <c r="AX37" i="6"/>
  <c r="BK37" i="6"/>
  <c r="AX51" i="6"/>
  <c r="BG51" i="6"/>
  <c r="BD52" i="6"/>
  <c r="BK52" i="6"/>
  <c r="BG35" i="6"/>
  <c r="BK35" i="6"/>
  <c r="BD42" i="6"/>
  <c r="BK42" i="6"/>
  <c r="BK41" i="6"/>
  <c r="BD54" i="6"/>
  <c r="BK49" i="6"/>
  <c r="BD36" i="6"/>
  <c r="BK36" i="6"/>
  <c r="BG39" i="6"/>
  <c r="AV44" i="6"/>
  <c r="AV45" i="6"/>
  <c r="BK45" i="6"/>
  <c r="AZ15" i="6"/>
  <c r="AZ16" i="6"/>
  <c r="AZ26" i="6"/>
  <c r="AZ13" i="6"/>
  <c r="AX12" i="6"/>
  <c r="BD12" i="6"/>
  <c r="BK26" i="6"/>
  <c r="AV9" i="6"/>
  <c r="BD10" i="6"/>
  <c r="BD23" i="6"/>
  <c r="BD17" i="6"/>
  <c r="BD20" i="6"/>
  <c r="BD19" i="6"/>
  <c r="BD22" i="6"/>
  <c r="BD18" i="6"/>
  <c r="BD9" i="6"/>
  <c r="BD15" i="6"/>
  <c r="BD16" i="6"/>
  <c r="BD27" i="6"/>
  <c r="BD14" i="6"/>
  <c r="BD24" i="6"/>
  <c r="BD26" i="6"/>
  <c r="BD13" i="6"/>
  <c r="BD28" i="6"/>
  <c r="AZ21" i="6"/>
  <c r="BD25" i="6"/>
  <c r="BK21" i="6"/>
  <c r="AV11" i="6"/>
  <c r="AX11" i="6"/>
  <c r="BA21" i="6"/>
  <c r="BD11" i="6"/>
  <c r="BG12" i="6"/>
  <c r="BK18" i="6"/>
  <c r="BK19" i="6"/>
  <c r="BK10" i="6"/>
  <c r="BK27" i="6"/>
  <c r="BK24" i="6"/>
  <c r="BK13" i="6"/>
  <c r="BK14" i="6"/>
  <c r="BK23" i="6"/>
  <c r="BK15" i="6"/>
  <c r="BK22" i="6"/>
  <c r="BK16" i="6"/>
  <c r="BK17" i="6"/>
  <c r="BK25" i="6"/>
  <c r="AX21" i="6"/>
  <c r="BG25" i="6"/>
  <c r="AZ24" i="6"/>
  <c r="AV17" i="6"/>
  <c r="AV26" i="6"/>
  <c r="AV24" i="6"/>
  <c r="AV28" i="6"/>
  <c r="AV23" i="6"/>
  <c r="AV20" i="6"/>
  <c r="AV19" i="6"/>
  <c r="AV10" i="6"/>
  <c r="AV12" i="6"/>
  <c r="AV16" i="6"/>
  <c r="AV27" i="6"/>
  <c r="AV18" i="6"/>
  <c r="AV22" i="6"/>
  <c r="AV14" i="6"/>
  <c r="AV15" i="6"/>
  <c r="AV25" i="6"/>
  <c r="BG21" i="6"/>
  <c r="BG20" i="6"/>
  <c r="BH23" i="6"/>
  <c r="BK11" i="6"/>
  <c r="BK12" i="6"/>
  <c r="AZ9" i="6"/>
  <c r="BK9" i="6"/>
  <c r="BA12" i="6"/>
  <c r="BA14" i="6"/>
  <c r="BG28" i="6"/>
  <c r="BG17" i="6"/>
  <c r="BG9" i="6"/>
  <c r="BG27" i="6"/>
  <c r="BG15" i="6"/>
  <c r="BG18" i="6"/>
  <c r="BG23" i="6"/>
  <c r="BG13" i="6"/>
  <c r="BG22" i="6"/>
  <c r="BG19" i="6"/>
  <c r="BG14" i="6"/>
  <c r="BG10" i="6"/>
  <c r="BG16" i="6"/>
  <c r="BG26" i="6"/>
  <c r="AX19" i="6"/>
  <c r="AX14" i="6"/>
  <c r="AX22" i="6"/>
  <c r="AX13" i="6"/>
  <c r="AX18" i="6"/>
  <c r="AX9" i="6"/>
  <c r="AX25" i="6"/>
  <c r="AX16" i="6"/>
  <c r="AX10" i="6"/>
  <c r="AX17" i="6"/>
  <c r="AX23" i="6"/>
  <c r="AX28" i="6"/>
  <c r="AX27" i="6"/>
  <c r="AX20" i="6"/>
  <c r="AX26" i="6"/>
  <c r="BK20" i="6"/>
  <c r="AX24" i="6"/>
  <c r="BD34" i="6"/>
  <c r="BF34" i="6"/>
  <c r="BG34" i="6"/>
  <c r="AY34" i="6"/>
  <c r="AZ34" i="6"/>
  <c r="AV34" i="6"/>
  <c r="AX34" i="6"/>
  <c r="AP11" i="6"/>
  <c r="AP37" i="6"/>
  <c r="X12" i="6"/>
  <c r="BK34" i="6"/>
  <c r="BI17" i="6" l="1"/>
  <c r="BH12" i="6"/>
  <c r="BH11" i="6"/>
  <c r="BF54" i="6"/>
  <c r="AS24" i="6"/>
  <c r="AS14" i="6"/>
  <c r="AS43" i="6"/>
  <c r="AS11" i="6"/>
  <c r="AS18" i="6"/>
  <c r="AS16" i="6"/>
  <c r="AS44" i="6"/>
  <c r="AS12" i="6"/>
  <c r="AS13" i="6"/>
  <c r="BF20" i="6"/>
  <c r="BF44" i="6"/>
  <c r="BF24" i="6"/>
  <c r="AT15" i="6"/>
  <c r="BF9" i="6"/>
  <c r="BF53" i="6"/>
  <c r="BF10" i="6"/>
  <c r="BF28" i="6"/>
  <c r="AZ51" i="6"/>
  <c r="BF27" i="6"/>
  <c r="AT22" i="6"/>
  <c r="BF40" i="6"/>
  <c r="BF47" i="6"/>
  <c r="BF26" i="6"/>
  <c r="BF15" i="6"/>
  <c r="BF21" i="6"/>
  <c r="AT17" i="6"/>
  <c r="BF46" i="6"/>
  <c r="BF39" i="6"/>
  <c r="BF50" i="6"/>
  <c r="BF22" i="6"/>
  <c r="BF14" i="6"/>
  <c r="AT14" i="6"/>
  <c r="BF41" i="6"/>
  <c r="BF48" i="6"/>
  <c r="BF18" i="6"/>
  <c r="BF13" i="6"/>
  <c r="AT28" i="6"/>
  <c r="BF45" i="6"/>
  <c r="AT12" i="6"/>
  <c r="AT34" i="6"/>
  <c r="BC17" i="6"/>
  <c r="BF12" i="6"/>
  <c r="AT26" i="6"/>
  <c r="BF16" i="6"/>
  <c r="BF19" i="6"/>
  <c r="BF38" i="6"/>
  <c r="BF35" i="6"/>
  <c r="BF36" i="6"/>
  <c r="BF43" i="6"/>
  <c r="AT21" i="6"/>
  <c r="BF52" i="6"/>
  <c r="BF51" i="6"/>
  <c r="AT24" i="6"/>
  <c r="BF17" i="6"/>
  <c r="BF11" i="6"/>
  <c r="AT13" i="6"/>
  <c r="BF37" i="6"/>
  <c r="AY19" i="6"/>
  <c r="AG24" i="6"/>
  <c r="AY24" i="6"/>
  <c r="AY50" i="6"/>
  <c r="AZ47" i="6"/>
  <c r="BE14" i="6"/>
  <c r="BE24" i="6"/>
  <c r="BE25" i="6"/>
  <c r="BE50" i="6"/>
  <c r="BE16" i="6"/>
  <c r="BE26" i="6"/>
  <c r="BE17" i="6"/>
  <c r="BE42" i="6"/>
  <c r="BE34" i="6"/>
  <c r="BE23" i="6"/>
  <c r="BE18" i="6"/>
  <c r="BE12" i="6"/>
  <c r="BE41" i="6"/>
  <c r="BE27" i="6"/>
  <c r="BE35" i="6"/>
  <c r="BE46" i="6"/>
  <c r="BE28" i="6"/>
  <c r="BE10" i="6"/>
  <c r="BE20" i="6"/>
  <c r="BE52" i="6"/>
  <c r="BE13" i="6"/>
  <c r="BE9" i="6"/>
  <c r="BE36" i="6"/>
  <c r="BE19" i="6"/>
  <c r="BE37" i="6"/>
  <c r="BE40" i="6"/>
  <c r="BE53" i="6"/>
  <c r="BE38" i="6"/>
  <c r="BE11" i="6"/>
  <c r="BE21" i="6"/>
  <c r="BE15" i="6"/>
  <c r="AY23" i="6"/>
  <c r="BC10" i="6"/>
  <c r="AY20" i="6"/>
  <c r="AY18" i="6"/>
  <c r="AY54" i="6"/>
  <c r="AY48" i="6"/>
  <c r="AY40" i="6"/>
  <c r="AY45" i="6"/>
  <c r="AY21" i="6"/>
  <c r="AY11" i="6"/>
  <c r="AY27" i="6"/>
  <c r="AY44" i="6"/>
  <c r="AY52" i="6"/>
  <c r="AY22" i="6"/>
  <c r="AY15" i="6"/>
  <c r="AY35" i="6"/>
  <c r="AY43" i="6"/>
  <c r="BC43" i="6"/>
  <c r="AY51" i="6"/>
  <c r="AY39" i="6"/>
  <c r="AY49" i="6"/>
  <c r="BC34" i="6"/>
  <c r="AY26" i="6"/>
  <c r="AY10" i="6"/>
  <c r="AY14" i="6"/>
  <c r="AY36" i="6"/>
  <c r="AY17" i="6"/>
  <c r="AY13" i="6"/>
  <c r="AY25" i="6"/>
  <c r="AY12" i="6"/>
  <c r="BC35" i="6"/>
  <c r="AY37" i="6"/>
  <c r="AY46" i="6"/>
  <c r="AY9" i="6"/>
  <c r="AY28" i="6"/>
  <c r="AY47" i="6"/>
  <c r="AY38" i="6"/>
  <c r="AY41" i="6"/>
  <c r="AU23" i="6"/>
  <c r="AU21" i="6"/>
  <c r="AU17" i="6"/>
  <c r="AU53" i="6"/>
  <c r="BJ11" i="6"/>
  <c r="BJ9" i="6"/>
  <c r="BJ23" i="6"/>
  <c r="AU50" i="6"/>
  <c r="BJ46" i="6"/>
  <c r="BJ13" i="6"/>
  <c r="BJ18" i="6"/>
  <c r="AU20" i="6"/>
  <c r="AU27" i="6"/>
  <c r="BJ49" i="6"/>
  <c r="BJ52" i="6"/>
  <c r="AU41" i="6"/>
  <c r="AU44" i="6"/>
  <c r="AU54" i="6"/>
  <c r="BJ50" i="6"/>
  <c r="BJ20" i="6"/>
  <c r="BJ16" i="6"/>
  <c r="AU18" i="6"/>
  <c r="AU10" i="6"/>
  <c r="BJ41" i="6"/>
  <c r="AU39" i="6"/>
  <c r="BJ28" i="6"/>
  <c r="BJ34" i="6"/>
  <c r="AU19" i="6"/>
  <c r="AU13" i="6"/>
  <c r="BJ38" i="6"/>
  <c r="BJ44" i="6"/>
  <c r="AU42" i="6"/>
  <c r="AU24" i="6"/>
  <c r="AU26" i="6"/>
  <c r="BJ42" i="6"/>
  <c r="BJ37" i="6"/>
  <c r="AU45" i="6"/>
  <c r="BJ43" i="6"/>
  <c r="BJ51" i="6"/>
  <c r="BJ48" i="6"/>
  <c r="AU34" i="6"/>
  <c r="BJ22" i="6"/>
  <c r="BJ17" i="6"/>
  <c r="BJ12" i="6"/>
  <c r="AU28" i="6"/>
  <c r="AU22" i="6"/>
  <c r="BJ39" i="6"/>
  <c r="BJ36" i="6"/>
  <c r="AU37" i="6"/>
  <c r="BJ47" i="6"/>
  <c r="AU43" i="6"/>
  <c r="BJ15" i="6"/>
  <c r="BJ10" i="6"/>
  <c r="BJ14" i="6"/>
  <c r="AU9" i="6"/>
  <c r="AU11" i="6"/>
  <c r="BJ21" i="6"/>
  <c r="AU14" i="6"/>
  <c r="AU25" i="6"/>
  <c r="BJ45" i="6"/>
  <c r="AU36" i="6"/>
  <c r="BJ35" i="6"/>
  <c r="AU47" i="6"/>
  <c r="BJ40" i="6"/>
  <c r="AU49" i="6"/>
  <c r="BJ26" i="6"/>
  <c r="BJ19" i="6"/>
  <c r="BJ24" i="6"/>
  <c r="AU16" i="6"/>
  <c r="AU15" i="6"/>
  <c r="AU48" i="6"/>
  <c r="AU52" i="6"/>
  <c r="AU51" i="6"/>
  <c r="AU40" i="6"/>
  <c r="AU35" i="6"/>
  <c r="BJ54" i="6"/>
  <c r="AW25" i="6"/>
  <c r="BH27" i="6"/>
  <c r="BH10" i="6"/>
  <c r="AW26" i="6"/>
  <c r="AW13" i="6"/>
  <c r="BH20" i="6"/>
  <c r="AZ14" i="6"/>
  <c r="AZ10" i="6"/>
  <c r="BH46" i="6"/>
  <c r="BH50" i="6"/>
  <c r="BH54" i="6"/>
  <c r="AW22" i="6"/>
  <c r="AZ22" i="6"/>
  <c r="AZ18" i="6"/>
  <c r="BH36" i="6"/>
  <c r="BH38" i="6"/>
  <c r="BH41" i="6"/>
  <c r="BH47" i="6"/>
  <c r="AZ40" i="6"/>
  <c r="BH28" i="6"/>
  <c r="BH26" i="6"/>
  <c r="BH9" i="6"/>
  <c r="BH19" i="6"/>
  <c r="AW21" i="6"/>
  <c r="AW9" i="6"/>
  <c r="AW27" i="6"/>
  <c r="AZ23" i="6"/>
  <c r="BH43" i="6"/>
  <c r="BH48" i="6"/>
  <c r="BH53" i="6"/>
  <c r="AW36" i="6"/>
  <c r="BH42" i="6"/>
  <c r="BH39" i="6"/>
  <c r="BH14" i="6"/>
  <c r="AW19" i="6"/>
  <c r="BH18" i="6"/>
  <c r="BH13" i="6"/>
  <c r="AW24" i="6"/>
  <c r="AW23" i="6"/>
  <c r="AZ11" i="6"/>
  <c r="AZ19" i="6"/>
  <c r="AZ48" i="6"/>
  <c r="AZ38" i="6"/>
  <c r="BH35" i="6"/>
  <c r="AW34" i="6"/>
  <c r="BH16" i="6"/>
  <c r="BH15" i="6"/>
  <c r="AW17" i="6"/>
  <c r="AW20" i="6"/>
  <c r="AZ28" i="6"/>
  <c r="BH49" i="6"/>
  <c r="BH40" i="6"/>
  <c r="AZ49" i="6"/>
  <c r="AZ12" i="6"/>
  <c r="BH22" i="6"/>
  <c r="BH34" i="6"/>
  <c r="AW11" i="6"/>
  <c r="BH17" i="6"/>
  <c r="BH24" i="6"/>
  <c r="BH21" i="6"/>
  <c r="AZ20" i="6"/>
  <c r="AW28" i="6"/>
  <c r="AW10" i="6"/>
  <c r="AZ25" i="6"/>
  <c r="AZ27" i="6"/>
  <c r="AZ39" i="6"/>
  <c r="BH45" i="6"/>
  <c r="BH37" i="6"/>
  <c r="AZ53" i="6"/>
  <c r="AW46" i="6"/>
  <c r="AS34" i="6"/>
  <c r="AS21" i="6"/>
  <c r="AS15" i="6"/>
  <c r="AS22" i="6"/>
  <c r="AS39" i="6"/>
  <c r="AS17" i="6"/>
  <c r="AS19" i="6"/>
  <c r="AS41" i="6"/>
  <c r="AS37" i="6"/>
  <c r="AS47" i="6"/>
  <c r="AS52" i="6"/>
  <c r="AS53" i="6"/>
  <c r="AS48" i="6"/>
  <c r="BI23" i="6"/>
  <c r="AS25" i="6"/>
  <c r="AS45" i="6"/>
  <c r="BI22" i="6"/>
  <c r="AS26" i="6"/>
  <c r="AS20" i="6"/>
  <c r="AS23" i="6"/>
  <c r="AS42" i="6"/>
  <c r="AS27" i="6"/>
  <c r="AS28" i="6"/>
  <c r="AS9" i="6"/>
  <c r="AS51" i="6"/>
  <c r="BB43" i="6"/>
  <c r="BI20" i="6"/>
  <c r="BI21" i="6"/>
  <c r="BI27" i="6"/>
  <c r="AT19" i="6"/>
  <c r="AT16" i="6"/>
  <c r="AS54" i="6"/>
  <c r="BI11" i="6"/>
  <c r="AT18" i="6"/>
  <c r="BB23" i="6"/>
  <c r="AT51" i="6"/>
  <c r="AT49" i="6"/>
  <c r="BI10" i="6"/>
  <c r="BI16" i="6"/>
  <c r="BI14" i="6"/>
  <c r="AT9" i="6"/>
  <c r="AT25" i="6"/>
  <c r="BB26" i="6"/>
  <c r="AT38" i="6"/>
  <c r="AS38" i="6"/>
  <c r="AS35" i="6"/>
  <c r="BB34" i="6"/>
  <c r="BI25" i="6"/>
  <c r="BI28" i="6"/>
  <c r="AT20" i="6"/>
  <c r="AT23" i="6"/>
  <c r="AT40" i="6"/>
  <c r="AS46" i="6"/>
  <c r="AS50" i="6"/>
  <c r="BI19" i="6"/>
  <c r="BI34" i="6"/>
  <c r="AT27" i="6"/>
  <c r="AT10" i="6"/>
  <c r="AS49" i="6"/>
  <c r="AT50" i="6"/>
  <c r="AT39" i="6"/>
  <c r="AT53" i="6"/>
  <c r="BB35" i="6"/>
  <c r="AT36" i="6"/>
  <c r="AT45" i="6"/>
  <c r="AT48" i="6"/>
  <c r="AT41" i="6"/>
  <c r="AT35" i="6"/>
  <c r="AT52" i="6"/>
  <c r="AT44" i="6"/>
  <c r="AT46" i="6"/>
  <c r="BI39" i="6"/>
  <c r="AT43" i="6"/>
  <c r="AT54" i="6"/>
  <c r="AT42" i="6"/>
  <c r="AW44" i="6"/>
  <c r="AG11" i="6"/>
  <c r="AW52" i="6"/>
  <c r="AG13" i="6"/>
  <c r="BC40" i="6"/>
  <c r="BE47" i="6"/>
  <c r="BE54" i="6"/>
  <c r="BE44" i="6"/>
  <c r="BE45" i="6"/>
  <c r="BE43" i="6"/>
  <c r="AG23" i="6"/>
  <c r="BI9" i="6"/>
  <c r="BB22" i="6"/>
  <c r="BB17" i="6"/>
  <c r="BI36" i="6"/>
  <c r="BI46" i="6"/>
  <c r="BI35" i="6"/>
  <c r="BB11" i="6"/>
  <c r="BI18" i="6"/>
  <c r="BI13" i="6"/>
  <c r="BI12" i="6"/>
  <c r="BB14" i="6"/>
  <c r="BB15" i="6"/>
  <c r="BB27" i="6"/>
  <c r="BB10" i="6"/>
  <c r="BB50" i="6"/>
  <c r="BI44" i="6"/>
  <c r="BI49" i="6"/>
  <c r="BB20" i="6"/>
  <c r="BI43" i="6"/>
  <c r="BB44" i="6"/>
  <c r="BB46" i="6"/>
  <c r="BB52" i="6"/>
  <c r="BB24" i="6"/>
  <c r="BB28" i="6"/>
  <c r="BI45" i="6"/>
  <c r="BI54" i="6"/>
  <c r="BB21" i="6"/>
  <c r="BB18" i="6"/>
  <c r="BB13" i="6"/>
  <c r="BB49" i="6"/>
  <c r="BI47" i="6"/>
  <c r="BI41" i="6"/>
  <c r="BI24" i="6"/>
  <c r="BI15" i="6"/>
  <c r="BB9" i="6"/>
  <c r="BB25" i="6"/>
  <c r="BB12" i="6"/>
  <c r="BB16" i="6"/>
  <c r="BI38" i="6"/>
  <c r="AZ37" i="6"/>
  <c r="AZ42" i="6"/>
  <c r="AZ45" i="6"/>
  <c r="AG15" i="6"/>
  <c r="AZ36" i="6"/>
  <c r="AZ50" i="6"/>
  <c r="AZ41" i="6"/>
  <c r="AZ52" i="6"/>
  <c r="BB37" i="6"/>
  <c r="BI42" i="6"/>
  <c r="BI37" i="6"/>
  <c r="BB53" i="6"/>
  <c r="BI40" i="6"/>
  <c r="BE49" i="6"/>
  <c r="BE51" i="6"/>
  <c r="BI50" i="6"/>
  <c r="BB51" i="6"/>
  <c r="BB42" i="6"/>
  <c r="BB36" i="6"/>
  <c r="BI48" i="6"/>
  <c r="BB54" i="6"/>
  <c r="BI51" i="6"/>
  <c r="AR40" i="6"/>
  <c r="AR45" i="6"/>
  <c r="AR34" i="6"/>
  <c r="AR16" i="6"/>
  <c r="AR25" i="6"/>
  <c r="AR15" i="6"/>
  <c r="AR41" i="6"/>
  <c r="AR17" i="6"/>
  <c r="AR36" i="6"/>
  <c r="BA13" i="6"/>
  <c r="BA24" i="6"/>
  <c r="BC23" i="6"/>
  <c r="BC27" i="6"/>
  <c r="BA11" i="6"/>
  <c r="BC25" i="6"/>
  <c r="BC36" i="6"/>
  <c r="BA35" i="6"/>
  <c r="BC26" i="6"/>
  <c r="BC19" i="6"/>
  <c r="BA40" i="6"/>
  <c r="BC39" i="6"/>
  <c r="BC51" i="6"/>
  <c r="BB39" i="6"/>
  <c r="BC15" i="6"/>
  <c r="BC12" i="6"/>
  <c r="BA41" i="6"/>
  <c r="BC50" i="6"/>
  <c r="BA43" i="6"/>
  <c r="BC41" i="6"/>
  <c r="BA51" i="6"/>
  <c r="BA39" i="6"/>
  <c r="BA49" i="6"/>
  <c r="BC53" i="6"/>
  <c r="BA37" i="6"/>
  <c r="BC48" i="6"/>
  <c r="BA26" i="6"/>
  <c r="BA16" i="6"/>
  <c r="BA17" i="6"/>
  <c r="BA9" i="6"/>
  <c r="BC24" i="6"/>
  <c r="BC9" i="6"/>
  <c r="BA50" i="6"/>
  <c r="BA53" i="6"/>
  <c r="BC38" i="6"/>
  <c r="BC47" i="6"/>
  <c r="BA38" i="6"/>
  <c r="BA19" i="6"/>
  <c r="BA22" i="6"/>
  <c r="BA34" i="6"/>
  <c r="BA25" i="6"/>
  <c r="BA15" i="6"/>
  <c r="BC18" i="6"/>
  <c r="BC22" i="6"/>
  <c r="BA36" i="6"/>
  <c r="BA42" i="6"/>
  <c r="BC45" i="6"/>
  <c r="BA54" i="6"/>
  <c r="BC14" i="6"/>
  <c r="BC28" i="6"/>
  <c r="BC49" i="6"/>
  <c r="BC52" i="6"/>
  <c r="BA47" i="6"/>
  <c r="BC37" i="6"/>
  <c r="BA52" i="6"/>
  <c r="BA20" i="6"/>
  <c r="BC21" i="6"/>
  <c r="BA23" i="6"/>
  <c r="BA28" i="6"/>
  <c r="BA10" i="6"/>
  <c r="BA27" i="6"/>
  <c r="BC16" i="6"/>
  <c r="BC13" i="6"/>
  <c r="BC42" i="6"/>
  <c r="BC54" i="6"/>
  <c r="BA48" i="6"/>
  <c r="BA45" i="6"/>
  <c r="BC44" i="6"/>
  <c r="AR21" i="6"/>
  <c r="AR18" i="6"/>
  <c r="AR27" i="6"/>
  <c r="AR52" i="6"/>
  <c r="AR53" i="6"/>
  <c r="AR24" i="6"/>
  <c r="AR20" i="6"/>
  <c r="AR22" i="6"/>
  <c r="AR46" i="6"/>
  <c r="AR14" i="6"/>
  <c r="AR48" i="6"/>
  <c r="AR47" i="6"/>
  <c r="AR50" i="6"/>
  <c r="AR26" i="6"/>
  <c r="AR19" i="6"/>
  <c r="AR49" i="6"/>
  <c r="AR37" i="6"/>
  <c r="AR11" i="6"/>
  <c r="AR23" i="6"/>
  <c r="AR28" i="6"/>
  <c r="AR42" i="6"/>
  <c r="AR43" i="6"/>
  <c r="AR38" i="6"/>
  <c r="AR12" i="6"/>
  <c r="AR10" i="6"/>
  <c r="AR13" i="6"/>
  <c r="AR54" i="6"/>
  <c r="AR44" i="6"/>
  <c r="BB40" i="6"/>
  <c r="AR51" i="6"/>
  <c r="AW41" i="6"/>
  <c r="AW37" i="6"/>
  <c r="AW16" i="6"/>
  <c r="AW12" i="6"/>
  <c r="AW39" i="6"/>
  <c r="AW38" i="6"/>
  <c r="AW45" i="6"/>
  <c r="AW50" i="6"/>
  <c r="AW42" i="6"/>
  <c r="AW43" i="6"/>
  <c r="AW51" i="6"/>
  <c r="AW15" i="6"/>
  <c r="AW18" i="6"/>
  <c r="AW47" i="6"/>
  <c r="AW48" i="6"/>
  <c r="AW53" i="6"/>
  <c r="AW35" i="6"/>
  <c r="AW54" i="6"/>
  <c r="AG18" i="6"/>
  <c r="BB48" i="6"/>
  <c r="BB41" i="6"/>
  <c r="BB47" i="6"/>
  <c r="AG17" i="6"/>
  <c r="AP12" i="6"/>
  <c r="AP38" i="6"/>
  <c r="X13" i="6"/>
  <c r="AP39" i="6" l="1"/>
  <c r="AP13" i="6"/>
  <c r="X14" i="6"/>
  <c r="AP14" i="6" l="1"/>
  <c r="AP40" i="6"/>
  <c r="X15" i="6"/>
  <c r="X16" i="6" l="1"/>
  <c r="AP15" i="6"/>
  <c r="AP41" i="6"/>
  <c r="AP16" i="6" l="1"/>
  <c r="AP42" i="6"/>
  <c r="X17" i="6"/>
  <c r="AP43" i="6" l="1"/>
  <c r="AP17" i="6"/>
  <c r="X18" i="6"/>
  <c r="AP44" i="6" l="1"/>
  <c r="AP18" i="6"/>
  <c r="X19" i="6"/>
  <c r="X20" i="6" l="1"/>
  <c r="AP45" i="6"/>
  <c r="AP19" i="6"/>
  <c r="X21" i="6" l="1"/>
  <c r="X22" i="6" s="1"/>
  <c r="AP46" i="6"/>
  <c r="AP20" i="6"/>
  <c r="AP22" i="6" l="1"/>
  <c r="AP48" i="6"/>
  <c r="AP47" i="6"/>
  <c r="AP21" i="6"/>
  <c r="X23" i="6"/>
  <c r="X24" i="6" s="1"/>
  <c r="X25" i="6" l="1"/>
  <c r="AP25" i="6" s="1"/>
  <c r="AP24" i="6"/>
  <c r="AP50" i="6"/>
  <c r="AP49" i="6"/>
  <c r="AP23" i="6"/>
  <c r="X26" i="6" l="1"/>
  <c r="AP52" i="6" s="1"/>
  <c r="AP51" i="6"/>
  <c r="X27" i="6" l="1"/>
  <c r="AP26" i="6"/>
  <c r="AP27" i="6" l="1"/>
  <c r="AP53" i="6"/>
  <c r="X28" i="6"/>
  <c r="AP54" i="6" l="1"/>
  <c r="AP28" i="6"/>
</calcChain>
</file>

<file path=xl/sharedStrings.xml><?xml version="1.0" encoding="utf-8"?>
<sst xmlns="http://schemas.openxmlformats.org/spreadsheetml/2006/main" count="1861" uniqueCount="646">
  <si>
    <t>Nr.</t>
  </si>
  <si>
    <t>Spielpaarung</t>
  </si>
  <si>
    <t>Ergebnis</t>
  </si>
  <si>
    <t>Tore</t>
  </si>
  <si>
    <t>-</t>
  </si>
  <si>
    <t>1.</t>
  </si>
  <si>
    <t>2.</t>
  </si>
  <si>
    <t>3.</t>
  </si>
  <si>
    <t>4.</t>
  </si>
  <si>
    <t>5.</t>
  </si>
  <si>
    <t>6.</t>
  </si>
  <si>
    <t>Tabelle</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</si>
  <si>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</si>
  <si>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</si>
  <si>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</si>
  <si>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</si>
  <si>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</si>
  <si>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</si>
  <si>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</si>
  <si>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</si>
  <si>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</si>
  <si>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</si>
  <si>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</si>
  <si>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</si>
  <si>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</si>
  <si>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</si>
  <si>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</si>
  <si>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</si>
  <si>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</si>
  <si>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</si>
  <si>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</si>
  <si>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</si>
  <si>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</si>
  <si>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</si>
  <si>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</si>
  <si>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</si>
  <si>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</si>
  <si>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</si>
  <si>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</si>
  <si>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</si>
  <si>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</si>
  <si>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</si>
  <si>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</si>
  <si>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</si>
  <si>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</si>
  <si>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</si>
  <si>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</si>
  <si>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</si>
  <si>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Spiel-Nr.</t>
  </si>
  <si>
    <t>Paarungen</t>
  </si>
  <si>
    <t>Doppelte Spielpaarungen und Spiele gegen sich selbst
führen in der Gesamttabelle zu falschen Werten!</t>
  </si>
  <si>
    <t>mail@hermann-baum.de</t>
  </si>
  <si>
    <t>Bei Unstimmigkeiten bin ich für eine entsprechende Benachrichtigung sehr dankbar!</t>
  </si>
  <si>
    <t>Bonus</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</si>
  <si>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</si>
  <si>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</si>
  <si>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</si>
  <si>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</si>
  <si>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</si>
  <si>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</si>
  <si>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</si>
  <si>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</si>
  <si>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</si>
  <si>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</si>
  <si>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</si>
  <si>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</si>
  <si>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</si>
  <si>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</si>
  <si>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</si>
  <si>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</si>
  <si>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</si>
  <si>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</si>
  <si>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</si>
  <si>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</si>
  <si>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</si>
  <si>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</si>
  <si>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</si>
  <si>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</si>
  <si>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</si>
  <si>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</si>
  <si>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</si>
  <si>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</si>
  <si>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</si>
  <si>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</si>
  <si>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</si>
  <si>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</si>
  <si>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</si>
  <si>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</si>
  <si>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</si>
  <si>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</si>
  <si>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Team</t>
  </si>
  <si>
    <t>Pld</t>
  </si>
  <si>
    <t>W</t>
  </si>
  <si>
    <t>D</t>
  </si>
  <si>
    <t>L</t>
  </si>
  <si>
    <t>GF</t>
  </si>
  <si>
    <t>GA</t>
  </si>
  <si>
    <t>Pts</t>
  </si>
  <si>
    <t>Pts+ GD+ GF</t>
  </si>
  <si>
    <t>Choose language</t>
  </si>
  <si>
    <t>my language</t>
  </si>
  <si>
    <t>english</t>
  </si>
  <si>
    <t>Captions</t>
  </si>
  <si>
    <t xml:space="preserve"> - </t>
  </si>
  <si>
    <t xml:space="preserve"> : </t>
  </si>
  <si>
    <t>No.</t>
  </si>
  <si>
    <t>Results</t>
  </si>
  <si>
    <t>Result</t>
  </si>
  <si>
    <t>U</t>
  </si>
  <si>
    <t>Pkt</t>
  </si>
  <si>
    <t>TABELLE UNGÜLTIG</t>
  </si>
  <si>
    <t>INVALID TABLE</t>
  </si>
  <si>
    <t>Participants and schedule</t>
  </si>
  <si>
    <t>Participants</t>
  </si>
  <si>
    <t>Schedule</t>
  </si>
  <si>
    <t>Game no.</t>
  </si>
  <si>
    <t>English</t>
  </si>
  <si>
    <t>Deutsch</t>
  </si>
  <si>
    <t>Pairings</t>
  </si>
  <si>
    <t>If there are any discrepancies, I am very grateful for notification!</t>
  </si>
  <si>
    <t>Überschriften</t>
  </si>
  <si>
    <t>Messages</t>
  </si>
  <si>
    <t>Meldungen</t>
  </si>
  <si>
    <t>Sprache wählen</t>
  </si>
  <si>
    <t>Dein Datum</t>
  </si>
  <si>
    <t>Your date</t>
  </si>
  <si>
    <t>Deine Überschriften</t>
  </si>
  <si>
    <t>Your captions</t>
  </si>
  <si>
    <t>deutsch</t>
  </si>
  <si>
    <t>Hier klicken und Sprache wählen</t>
  </si>
  <si>
    <t>Click here and choose language</t>
  </si>
  <si>
    <t>erz. Tore</t>
  </si>
  <si>
    <t>Double match pairings and matches against oneself
lead to incorrect values in the overall table!</t>
  </si>
  <si>
    <t>first leg</t>
  </si>
  <si>
    <t>second leg</t>
  </si>
  <si>
    <t>Hinspiele</t>
  </si>
  <si>
    <t>Rückspiele</t>
  </si>
  <si>
    <t>First legs</t>
  </si>
  <si>
    <t>Second legs</t>
  </si>
  <si>
    <t>pairing first</t>
  </si>
  <si>
    <t>pairing second</t>
  </si>
  <si>
    <t>Spiel gegen</t>
  </si>
  <si>
    <t>Match against</t>
  </si>
  <si>
    <t>Note</t>
  </si>
  <si>
    <t>Anmerkung</t>
  </si>
  <si>
    <t>final</t>
  </si>
  <si>
    <t>Factors</t>
  </si>
  <si>
    <t>return match</t>
  </si>
  <si>
    <t>Zeit</t>
  </si>
  <si>
    <t>Time</t>
  </si>
  <si>
    <t>Datum</t>
  </si>
  <si>
    <t>Date</t>
  </si>
  <si>
    <t>Länge der Abkürzungen:</t>
  </si>
  <si>
    <t>Length of abbreviations:</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</si>
  <si>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</si>
  <si>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</si>
  <si>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</si>
  <si>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</si>
  <si>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</si>
  <si>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</si>
  <si>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</si>
  <si>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</si>
  <si>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</si>
  <si>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</si>
  <si>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</si>
  <si>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</si>
  <si>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</si>
  <si>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</si>
  <si>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</si>
  <si>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</si>
  <si>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</si>
  <si>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</si>
  <si>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</si>
  <si>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</si>
  <si>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</si>
  <si>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</si>
  <si>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</si>
  <si>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</si>
  <si>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</si>
  <si>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</si>
  <si>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</si>
  <si>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</si>
  <si>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</si>
  <si>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</si>
  <si>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</si>
  <si>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</si>
  <si>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</si>
  <si>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</si>
  <si>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</si>
  <si>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</si>
  <si>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</si>
  <si>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</si>
  <si>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</si>
  <si>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</si>
  <si>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</si>
  <si>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</si>
  <si>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</si>
  <si>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</si>
  <si>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</si>
  <si>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</si>
  <si>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</si>
  <si>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</si>
  <si>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</si>
  <si>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</si>
  <si>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</si>
  <si>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</si>
  <si>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</si>
  <si>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</si>
  <si>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</si>
  <si>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</si>
  <si>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</si>
  <si>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</si>
  <si>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</si>
  <si>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</si>
  <si>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</si>
  <si>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</si>
  <si>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</si>
  <si>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</si>
  <si>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</si>
  <si>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</si>
  <si>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</si>
  <si>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</si>
  <si>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</si>
  <si>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</si>
  <si>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</si>
  <si>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</si>
  <si>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</si>
  <si>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</si>
  <si>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</si>
  <si>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</si>
  <si>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</si>
  <si>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</si>
  <si>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</si>
  <si>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</si>
  <si>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</si>
  <si>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</si>
  <si>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</si>
  <si>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</si>
  <si>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</si>
  <si>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</si>
  <si>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</si>
  <si>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</si>
  <si>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</si>
  <si>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</si>
  <si>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</si>
  <si>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</si>
  <si>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</si>
  <si>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</si>
  <si>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</si>
  <si>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</si>
  <si>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</si>
  <si>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</si>
  <si>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</si>
  <si>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</si>
  <si>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</si>
  <si>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</si>
  <si>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</si>
  <si>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</si>
  <si>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</si>
  <si>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</si>
  <si>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</si>
  <si>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</si>
  <si>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</si>
  <si>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</si>
  <si>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</si>
  <si>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</si>
  <si>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</si>
  <si>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</si>
  <si>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</si>
  <si>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</si>
  <si>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</si>
  <si>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</si>
  <si>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</si>
  <si>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</si>
  <si>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</si>
  <si>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</si>
  <si>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</si>
  <si>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</si>
  <si>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</si>
  <si>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</si>
  <si>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</si>
  <si>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</si>
  <si>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</si>
  <si>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</si>
  <si>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</si>
  <si>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</si>
  <si>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</si>
  <si>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</si>
  <si>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</si>
  <si>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</si>
  <si>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</si>
  <si>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</si>
  <si>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</si>
  <si>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</si>
  <si>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</si>
  <si>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</si>
  <si>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</si>
  <si>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</si>
  <si>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</si>
  <si>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</si>
  <si>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</si>
  <si>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</si>
  <si>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</si>
  <si>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</si>
  <si>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</si>
  <si>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</si>
  <si>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</si>
  <si>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</si>
  <si>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</si>
  <si>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</si>
  <si>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</si>
  <si>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</si>
  <si>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</si>
  <si>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</si>
  <si>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</si>
  <si>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</si>
  <si>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</si>
  <si>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</si>
  <si>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</si>
  <si>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</si>
  <si>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</si>
  <si>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</si>
  <si>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</si>
  <si>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</si>
  <si>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</si>
  <si>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</si>
  <si>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</si>
  <si>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</si>
  <si>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</si>
  <si>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</si>
  <si>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</si>
  <si>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</si>
  <si>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</si>
  <si>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</si>
  <si>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</si>
  <si>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</si>
  <si>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</si>
  <si>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</si>
  <si>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</si>
  <si>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</si>
  <si>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</si>
  <si>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</si>
  <si>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</si>
  <si>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</si>
  <si>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</si>
  <si>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</si>
  <si>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</si>
  <si>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</si>
  <si>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</si>
  <si>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</si>
  <si>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</si>
  <si>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</si>
  <si>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</si>
  <si>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</si>
  <si>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</si>
  <si>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</si>
  <si>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</si>
  <si>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</si>
  <si>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</si>
  <si>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</si>
  <si>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</si>
  <si>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</si>
  <si>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</si>
  <si>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</si>
  <si>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</si>
  <si>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</si>
  <si>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</si>
  <si>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</si>
  <si>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</si>
  <si>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</si>
  <si>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</si>
  <si>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</si>
  <si>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</si>
  <si>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</si>
  <si>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</si>
  <si>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</si>
  <si>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</si>
  <si>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</si>
  <si>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</si>
  <si>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</si>
  <si>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</si>
  <si>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</si>
  <si>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</si>
  <si>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</si>
  <si>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</si>
  <si>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</si>
  <si>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</si>
  <si>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</si>
  <si>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</si>
  <si>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</si>
  <si>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</si>
  <si>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</si>
  <si>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</si>
  <si>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</si>
  <si>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</si>
  <si>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</si>
  <si>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</si>
  <si>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</si>
  <si>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</si>
  <si>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</si>
  <si>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</si>
  <si>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</si>
  <si>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</si>
  <si>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</si>
  <si>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</si>
  <si>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</si>
  <si>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</si>
  <si>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</si>
  <si>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</si>
  <si>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</si>
  <si>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</si>
  <si>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</si>
  <si>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</si>
  <si>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</si>
  <si>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</si>
  <si>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</si>
  <si>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</si>
  <si>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</si>
  <si>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</si>
  <si>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</si>
  <si>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</si>
  <si>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</si>
  <si>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</si>
  <si>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</si>
  <si>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</si>
  <si>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</si>
  <si>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</si>
  <si>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</si>
  <si>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</si>
  <si>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</si>
  <si>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</si>
  <si>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</si>
  <si>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</si>
  <si>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</si>
  <si>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</si>
  <si>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</si>
  <si>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</si>
  <si>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</si>
  <si>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</si>
  <si>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</si>
  <si>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</si>
  <si>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</si>
  <si>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</si>
  <si>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</si>
  <si>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</si>
  <si>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</si>
  <si>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</si>
  <si>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</si>
  <si>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</si>
  <si>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</si>
  <si>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</si>
  <si>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</si>
  <si>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</si>
  <si>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</si>
  <si>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</si>
  <si>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</si>
  <si>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</si>
  <si>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</si>
  <si>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</si>
  <si>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</si>
  <si>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</si>
  <si>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</si>
  <si>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Sorted</t>
  </si>
  <si>
    <t>total number of matches</t>
  </si>
  <si>
    <t>number of
teams</t>
  </si>
  <si>
    <t>number of matches played</t>
  </si>
  <si>
    <t>Table</t>
  </si>
  <si>
    <t>Participant or Team</t>
  </si>
  <si>
    <t>Doppelte Namen</t>
  </si>
  <si>
    <t>Duplicate names</t>
  </si>
  <si>
    <t>Pl</t>
  </si>
  <si>
    <t>GF  -  GA</t>
  </si>
  <si>
    <t>Sp</t>
  </si>
  <si>
    <t>Abkürzung</t>
  </si>
  <si>
    <t>Abbreviation</t>
  </si>
  <si>
    <t>number of matches per match day</t>
  </si>
  <si>
    <t>double</t>
  </si>
  <si>
    <t>doppelt</t>
  </si>
  <si>
    <t>Tie break</t>
  </si>
  <si>
    <t>Tie-Break</t>
  </si>
  <si>
    <t>Sind zwei oder mehr Mannschaften nicht unterscheidbar und ein direkter Vergleich oder ein Entscheidungsspiel entscheiden, genügt es, für die bevorzugte Mannschaft einen Bonuspunkt einzutragen.</t>
  </si>
  <si>
    <t>If two or more teams cannot be distinguished and a direct comparison or a decisive match decides, it is sufficient to enter bonus points for the preferred teams.</t>
  </si>
  <si>
    <t>Erläuterung</t>
  </si>
  <si>
    <t>Explanation</t>
  </si>
  <si>
    <t>Matchups</t>
  </si>
  <si>
    <t>Spielpaarungen</t>
  </si>
  <si>
    <t>n = 4</t>
  </si>
  <si>
    <t>n = 6</t>
  </si>
  <si>
    <t>n = 5</t>
  </si>
  <si>
    <t>n = 7</t>
  </si>
  <si>
    <t>n = 8</t>
  </si>
  <si>
    <t>n = 10</t>
  </si>
  <si>
    <t>n = 11</t>
  </si>
  <si>
    <t>n = 12</t>
  </si>
  <si>
    <t>n = 13</t>
  </si>
  <si>
    <t>n = 20</t>
  </si>
  <si>
    <t>n = 19</t>
  </si>
  <si>
    <t>n = 18</t>
  </si>
  <si>
    <t>n = 17</t>
  </si>
  <si>
    <t>n = 16</t>
  </si>
  <si>
    <t>n = 15</t>
  </si>
  <si>
    <t>n = 14</t>
  </si>
  <si>
    <t>n = 9</t>
  </si>
  <si>
    <t>Settings</t>
  </si>
  <si>
    <t>Einstellungen</t>
  </si>
  <si>
    <t>Anzahl der Punkte für einen Sieg:</t>
  </si>
  <si>
    <t>Number of points for a win:</t>
  </si>
  <si>
    <t>Spieltage</t>
  </si>
  <si>
    <t>Name</t>
  </si>
  <si>
    <t>von</t>
  </si>
  <si>
    <t>bis</t>
  </si>
  <si>
    <t>G</t>
  </si>
  <si>
    <t>V</t>
  </si>
  <si>
    <t>Einzelne Teams im Vergleich für einen bestimmten Zeitraum</t>
  </si>
  <si>
    <t>Individual teams compared for a specific time period</t>
  </si>
  <si>
    <t>Matchweeks</t>
  </si>
  <si>
    <t>from</t>
  </si>
  <si>
    <t>to</t>
  </si>
  <si>
    <t>Matchup</t>
  </si>
  <si>
    <t>Penalty points</t>
  </si>
  <si>
    <t>Penalty</t>
  </si>
  <si>
    <t>PenPts</t>
  </si>
  <si>
    <t>Strafp.</t>
  </si>
  <si>
    <t>1. FC Heidenheim 1846</t>
  </si>
  <si>
    <t>Heidenhei</t>
  </si>
  <si>
    <t>1. FC Union Berlin</t>
  </si>
  <si>
    <t>Union Ber</t>
  </si>
  <si>
    <t>1. FSV Mainz 05</t>
  </si>
  <si>
    <t>Mainz</t>
  </si>
  <si>
    <t>Bayer 04 Leverkusen</t>
  </si>
  <si>
    <t>Leverkuse</t>
  </si>
  <si>
    <t>Borussia Dortmund</t>
  </si>
  <si>
    <t>Dortmund</t>
  </si>
  <si>
    <t>Borussia Mönchengladbach</t>
  </si>
  <si>
    <t>Gladbach</t>
  </si>
  <si>
    <t>Eintracht Frankfurt</t>
  </si>
  <si>
    <t>Frankfurt</t>
  </si>
  <si>
    <t>FC Augsburg</t>
  </si>
  <si>
    <t>Augsburg</t>
  </si>
  <si>
    <t>FC Bayern München</t>
  </si>
  <si>
    <t>Bayern</t>
  </si>
  <si>
    <t>FC St. Pauli</t>
  </si>
  <si>
    <t>St. Pauli</t>
  </si>
  <si>
    <t>RB Leipzig</t>
  </si>
  <si>
    <t>Leipzig</t>
  </si>
  <si>
    <t>SC Freiburg</t>
  </si>
  <si>
    <t>Freiburg</t>
  </si>
  <si>
    <t>SV Werder Bremen</t>
  </si>
  <si>
    <t>Bremen</t>
  </si>
  <si>
    <t>TSG Hoffenheim</t>
  </si>
  <si>
    <t>Hoffenhei</t>
  </si>
  <si>
    <t>VfB Stuttgart</t>
  </si>
  <si>
    <t>Stuttgart</t>
  </si>
  <si>
    <t>VfL Wolfsburg</t>
  </si>
  <si>
    <t>Wolfsburg</t>
  </si>
  <si>
    <t>1. FC Köln</t>
  </si>
  <si>
    <t>Köln</t>
  </si>
  <si>
    <t>Hamburger SV</t>
  </si>
  <si>
    <t>HSV</t>
  </si>
  <si>
    <t>Version  1.0</t>
  </si>
  <si>
    <t>1. set</t>
  </si>
  <si>
    <t>3. set</t>
  </si>
  <si>
    <t>2. set</t>
  </si>
  <si>
    <t>penalty pts</t>
  </si>
  <si>
    <t>balls</t>
  </si>
  <si>
    <t>sets</t>
  </si>
  <si>
    <t>pts</t>
  </si>
  <si>
    <t>Rounded</t>
  </si>
  <si>
    <t>Sets lost</t>
  </si>
  <si>
    <t>Sets won</t>
  </si>
  <si>
    <t>Sets diff</t>
  </si>
  <si>
    <t>Diff/Quot</t>
  </si>
  <si>
    <t>rank</t>
  </si>
  <si>
    <t>Ball difference or ball quotient:</t>
  </si>
  <si>
    <t>Balldifferenz oder Ballquotient:</t>
  </si>
  <si>
    <t>Ball difference</t>
  </si>
  <si>
    <t>Balldifferenz</t>
  </si>
  <si>
    <t>Ball quotient</t>
  </si>
  <si>
    <t>Ballquotient</t>
  </si>
  <si>
    <t>Ball points</t>
  </si>
  <si>
    <t>Ballpunkte</t>
  </si>
  <si>
    <t>Set points</t>
  </si>
  <si>
    <t>Satzpunkte</t>
  </si>
  <si>
    <t>Set difference as the second criterion?</t>
  </si>
  <si>
    <t>Satzdifferenz als zweites Kriterium?</t>
  </si>
  <si>
    <t>Yes</t>
  </si>
  <si>
    <t>Ja</t>
  </si>
  <si>
    <t>No</t>
  </si>
  <si>
    <t>Nein</t>
  </si>
  <si>
    <t>Setpts.</t>
  </si>
  <si>
    <t>Satzpkt.</t>
  </si>
  <si>
    <t>First criterion for the ranking:</t>
  </si>
  <si>
    <t>Erstes Kriterium für die Rangliste:</t>
  </si>
  <si>
    <t>Number of (victory) points</t>
  </si>
  <si>
    <t>Anzahl der (Sieg-)Punkte</t>
  </si>
  <si>
    <t>Number of sets won</t>
  </si>
  <si>
    <t>Anzahl der gewonnenen Sätze</t>
  </si>
  <si>
    <t>Sets won as the third criterion?</t>
  </si>
  <si>
    <t>Anzahl der gewonnenen Sätze als drittes Kriterium?</t>
  </si>
  <si>
    <t>Only makes sense if the number of (victory) points is the first criterion</t>
  </si>
  <si>
    <t>Nur sinnvoll, wenn die Anzahl der (Sieg-)Punkte 1. Kriterium ist</t>
  </si>
  <si>
    <t>Team numbers</t>
  </si>
  <si>
    <t>Teamnummern</t>
  </si>
  <si>
    <t>Winner</t>
  </si>
  <si>
    <t>Sieger</t>
  </si>
  <si>
    <t>Display in the crosstabs of the preliminary round:</t>
  </si>
  <si>
    <t>Anzeige in den Kreuztabellen der Vorrunde:</t>
  </si>
  <si>
    <t>1st set</t>
  </si>
  <si>
    <t>1. Satz</t>
  </si>
  <si>
    <t>2nd set</t>
  </si>
  <si>
    <t>2. Satz</t>
  </si>
  <si>
    <t>3rd set</t>
  </si>
  <si>
    <t>3. Satz</t>
  </si>
  <si>
    <t>Bälle</t>
  </si>
  <si>
    <t>Quot.</t>
  </si>
  <si>
    <t>Referee</t>
  </si>
  <si>
    <t>Schiedsrichter</t>
  </si>
  <si>
    <t>Abbreviations of the team names:</t>
  </si>
  <si>
    <t>Abkürzungen der Mannschaftsnamen:</t>
  </si>
  <si>
    <t>letters</t>
  </si>
  <si>
    <t>Buchstaben</t>
  </si>
  <si>
    <t>max quot.</t>
  </si>
  <si>
    <t>Diff./Quot.</t>
  </si>
  <si>
    <t>Nr of dec places</t>
  </si>
  <si>
    <t>first legs</t>
  </si>
  <si>
    <t>second legs</t>
  </si>
  <si>
    <t>GD/Quot</t>
  </si>
  <si>
    <t>Pts/Sets won</t>
  </si>
  <si>
    <t>pts/sets</t>
  </si>
  <si>
    <t>Diff</t>
  </si>
  <si>
    <t>Dzero</t>
  </si>
  <si>
    <t>sets won</t>
  </si>
  <si>
    <t>goals</t>
  </si>
  <si>
    <t>Sätze</t>
  </si>
  <si>
    <t>Sets</t>
  </si>
  <si>
    <t>Diff.</t>
  </si>
  <si>
    <t>Spiel-tag</t>
  </si>
  <si>
    <t>Match-week</t>
  </si>
  <si>
    <t>Haben zwei (oder mehr) Teams am Ende der Saison Gleichstand in der Rangliste und wird ein Losverfahren oder Entscheidungsspiel durchgeführt, so genügt es, hier einen Bonuspunkt für das bevorzugte Team einzutragen.</t>
  </si>
  <si>
    <t>If two (or more) teams are tied in the rankings at the end of the season and a draw or play-off is held, it is sufficient to enter one bonus point for the preferred team here.</t>
  </si>
  <si>
    <t>Spieltag</t>
  </si>
  <si>
    <t>Matchweek</t>
  </si>
  <si>
    <t>Straf-punkte</t>
  </si>
  <si>
    <t>max</t>
  </si>
  <si>
    <t>Volleyball/Badminton League</t>
  </si>
  <si>
    <t>Last updated: 30.08.2025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</si>
</sst>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quot;"/>
    <numFmt numFmtId="165" formatCode=";;;"/>
    <numFmt numFmtId="166" formatCode="h:mm;@"/>
  </numFmts>
  <fonts count="67" x14ac:knownFonts="1">
    <font>
      <sz val="10"/>
      <name val="Arial"/>
    </font>
    <font>
      <sz val="14"/>
      <color theme="1"/>
      <name val="Calibri"/>
      <family val="2"/>
      <scheme val="minor"/>
    </font>
    <font>
      <sz val="14"/>
      <color theme="1"/>
      <name val="Calibri"/>
      <family val="2"/>
      <scheme val="minor"/>
    </font>
    <font>
      <sz val="8"/>
      <name val="Arial"/>
      <family val="2"/>
    </font>
    <font>
      <sz val="10"/>
      <name val="Arial"/>
      <family val="2"/>
    </font>
    <font>
      <sz val="10"/>
      <name val="Calibri"/>
      <family val="2"/>
    </font>
    <font>
      <sz val="14"/>
      <name val="Calibri"/>
      <family val="2"/>
    </font>
    <font>
      <sz val="28"/>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26"/>
      <name val="Calibri"/>
      <family val="2"/>
      <scheme val="minor"/>
    </font>
    <font>
      <sz val="18"/>
      <name val="Calibri"/>
      <family val="2"/>
    </font>
    <font>
      <b/>
      <sz val="14"/>
      <color rgb="FFDA0000"/>
      <name val="Calibri"/>
      <family val="2"/>
      <scheme val="minor"/>
    </font>
    <font>
      <sz val="10"/>
      <color theme="2" tint="-0.249977111117893"/>
      <name val="Calibri"/>
      <family val="2"/>
      <scheme val="minor"/>
    </font>
    <font>
      <sz val="11"/>
      <color rgb="FFDA0000"/>
      <name val="Calibri"/>
      <family val="2"/>
      <scheme val="minor"/>
    </font>
    <font>
      <u/>
      <sz val="10"/>
      <color theme="10"/>
      <name val="Arial"/>
      <family val="2"/>
    </font>
    <font>
      <b/>
      <sz val="12"/>
      <name val="Calibri"/>
      <family val="2"/>
      <scheme val="minor"/>
    </font>
    <font>
      <sz val="11"/>
      <color theme="8" tint="-0.249977111117893"/>
      <name val="Calibri"/>
      <family val="2"/>
      <scheme val="minor"/>
    </font>
    <font>
      <sz val="20"/>
      <color rgb="FF00B050"/>
      <name val="Calibri"/>
      <family val="2"/>
      <scheme val="minor"/>
    </font>
    <font>
      <b/>
      <sz val="20"/>
      <color rgb="FFDA0000"/>
      <name val="Calibri"/>
      <family val="2"/>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26"/>
      <name val="Calibri"/>
      <family val="2"/>
    </font>
    <font>
      <sz val="20"/>
      <color theme="0" tint="-0.14999847407452621"/>
      <name val="Calibri"/>
      <family val="2"/>
    </font>
    <font>
      <sz val="8"/>
      <color indexed="8"/>
      <name val="Arial"/>
      <family val="2"/>
    </font>
    <font>
      <sz val="11"/>
      <color rgb="FF0070C0"/>
      <name val="Calibri"/>
      <family val="2"/>
    </font>
    <font>
      <sz val="11"/>
      <color rgb="FF0070C0"/>
      <name val="Calibri"/>
      <family val="2"/>
      <scheme val="minor"/>
    </font>
    <font>
      <b/>
      <sz val="16"/>
      <color rgb="FF0070C0"/>
      <name val="Calibri"/>
      <family val="2"/>
      <scheme val="minor"/>
    </font>
    <font>
      <sz val="8"/>
      <color theme="5"/>
      <name val="Arial"/>
      <family val="2"/>
    </font>
    <font>
      <b/>
      <sz val="11"/>
      <color rgb="FFDA0000"/>
      <name val="Calibri"/>
      <family val="2"/>
      <scheme val="minor"/>
    </font>
    <font>
      <sz val="8"/>
      <name val="Arial"/>
      <family val="2"/>
    </font>
    <font>
      <sz val="11"/>
      <name val="Calibri"/>
      <family val="2"/>
      <scheme val="minor"/>
    </font>
    <font>
      <sz val="11"/>
      <name val="Calibri"/>
      <family val="2"/>
    </font>
    <font>
      <sz val="20"/>
      <color rgb="FFDA0000"/>
      <name val="Calibri"/>
      <family val="2"/>
    </font>
    <font>
      <sz val="8"/>
      <color indexed="8"/>
      <name val="Calibri"/>
      <family val="2"/>
      <scheme val="minor"/>
    </font>
    <font>
      <sz val="20"/>
      <color rgb="FF00B050"/>
      <name val="Calibri"/>
      <family val="2"/>
    </font>
    <font>
      <sz val="10"/>
      <color theme="0" tint="-0.34998626667073579"/>
      <name val="Calibri"/>
      <family val="2"/>
      <scheme val="minor"/>
    </font>
    <font>
      <b/>
      <sz val="11"/>
      <name val="Calibri"/>
      <family val="2"/>
    </font>
    <font>
      <b/>
      <sz val="10"/>
      <color rgb="FFDA0000"/>
      <name val="Calibri"/>
      <family val="2"/>
      <scheme val="minor"/>
    </font>
    <font>
      <b/>
      <sz val="18"/>
      <color rgb="FFDA0000"/>
      <name val="Calibri"/>
      <family val="2"/>
    </font>
    <font>
      <b/>
      <sz val="14"/>
      <name val="Calibri"/>
      <family val="2"/>
      <scheme val="minor"/>
    </font>
    <font>
      <b/>
      <sz val="24"/>
      <color theme="4"/>
      <name val="Arial"/>
      <family val="2"/>
    </font>
    <font>
      <b/>
      <sz val="24"/>
      <color theme="8"/>
      <name val="Arial"/>
      <family val="2"/>
    </font>
    <font>
      <b/>
      <sz val="9"/>
      <name val="Calibri"/>
      <family val="2"/>
    </font>
    <font>
      <sz val="9"/>
      <name val="Calibri"/>
      <family val="2"/>
    </font>
    <font>
      <sz val="12"/>
      <name val="Arial"/>
      <family val="2"/>
    </font>
    <font>
      <sz val="9"/>
      <color theme="0" tint="-0.34998626667073579"/>
      <name val="Calibri"/>
      <family val="2"/>
      <scheme val="minor"/>
    </font>
  </fonts>
  <fills count="12">
    <fill>
      <patternFill patternType="none"/>
    </fill>
    <fill>
      <patternFill patternType="gray125"/>
    </fill>
    <fill>
      <patternFill patternType="solid">
        <fgColor indexed="42"/>
        <bgColor indexed="64"/>
      </patternFill>
    </fill>
    <fill>
      <patternFill patternType="solid">
        <fgColor rgb="FFF2F2F2"/>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s>
  <borders count="191">
    <border>
      <left/>
      <right/>
      <top/>
      <bottom/>
      <diagonal/>
    </border>
    <border>
      <left style="thin">
        <color rgb="FF7F7F7F"/>
      </left>
      <right style="thin">
        <color rgb="FF7F7F7F"/>
      </right>
      <top style="thin">
        <color rgb="FF7F7F7F"/>
      </top>
      <bottom style="thin">
        <color rgb="FF7F7F7F"/>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style="thin">
        <color rgb="FFA50021"/>
      </left>
      <right style="thin">
        <color rgb="FFA50021"/>
      </right>
      <top style="thick">
        <color theme="2" tint="-0.499984740745262"/>
      </top>
      <bottom style="thin">
        <color theme="2" tint="-0.499984740745262"/>
      </bottom>
      <diagonal/>
    </border>
    <border>
      <left style="thin">
        <color rgb="FFA50021"/>
      </left>
      <right style="thick">
        <color theme="2" tint="-0.499984740745262"/>
      </right>
      <top style="thick">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ck">
        <color theme="2" tint="-0.499984740745262"/>
      </right>
      <top style="thin">
        <color theme="2" tint="-0.499984740745262"/>
      </top>
      <bottom style="thin">
        <color theme="2" tint="-0.499984740745262"/>
      </bottom>
      <diagonal/>
    </border>
    <border>
      <left/>
      <right/>
      <top style="thin">
        <color theme="2" tint="-0.499984740745262"/>
      </top>
      <bottom style="thick">
        <color theme="2" tint="-0.499984740745262"/>
      </bottom>
      <diagonal/>
    </border>
    <border>
      <left/>
      <right style="thick">
        <color theme="2" tint="-0.499984740745262"/>
      </right>
      <top style="thin">
        <color theme="2" tint="-0.499984740745262"/>
      </top>
      <bottom style="thick">
        <color theme="2" tint="-0.499984740745262"/>
      </bottom>
      <diagonal/>
    </border>
    <border>
      <left style="thin">
        <color rgb="FFA50021"/>
      </left>
      <right/>
      <top style="thick">
        <color theme="2" tint="-0.499984740745262"/>
      </top>
      <bottom style="thin">
        <color theme="2" tint="-0.499984740745262"/>
      </bottom>
      <diagonal/>
    </border>
    <border>
      <left style="thin">
        <color theme="2" tint="-0.499984740745262"/>
      </left>
      <right style="thin">
        <color rgb="FFA50021"/>
      </right>
      <top style="thick">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style="thin">
        <color theme="2" tint="-0.499984740745262"/>
      </left>
      <right/>
      <top style="thin">
        <color theme="2" tint="-0.499984740745262"/>
      </top>
      <bottom style="thick">
        <color theme="2" tint="-0.499984740745262"/>
      </bottom>
      <diagonal/>
    </border>
    <border>
      <left/>
      <right style="thin">
        <color rgb="FFA50021"/>
      </right>
      <top style="thick">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right style="thick">
        <color theme="2" tint="-0.499984740745262"/>
      </right>
      <top style="thin">
        <color theme="2" tint="-0.24994659260841701"/>
      </top>
      <bottom style="thin">
        <color theme="2" tint="-0.24994659260841701"/>
      </bottom>
      <diagonal/>
    </border>
    <border>
      <left/>
      <right/>
      <top/>
      <bottom style="thick">
        <color theme="2" tint="-0.499984740745262"/>
      </bottom>
      <diagonal/>
    </border>
    <border>
      <left style="thin">
        <color theme="2" tint="-0.499984740745262"/>
      </left>
      <right style="thin">
        <color theme="2" tint="-0.499984740745262"/>
      </right>
      <top style="thick">
        <color theme="2" tint="-0.499984740745262"/>
      </top>
      <bottom style="thin">
        <color theme="2" tint="-0.499984740745262"/>
      </bottom>
      <diagonal/>
    </border>
    <border>
      <left style="thin">
        <color theme="2" tint="-0.499984740745262"/>
      </left>
      <right style="thick">
        <color theme="2" tint="-0.499984740745262"/>
      </right>
      <top style="thick">
        <color theme="2" tint="-0.499984740745262"/>
      </top>
      <bottom style="thin">
        <color theme="2" tint="-0.499984740745262"/>
      </bottom>
      <diagonal/>
    </border>
    <border>
      <left style="thin">
        <color theme="2" tint="-0.499984740745262"/>
      </left>
      <right style="thick">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ck">
        <color theme="2" tint="-0.499984740745262"/>
      </right>
      <top/>
      <bottom style="thin">
        <color theme="2" tint="-0.499984740745262"/>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medium">
        <color theme="0" tint="-0.14993743705557422"/>
      </left>
      <right style="medium">
        <color theme="0" tint="-0.14996795556505021"/>
      </right>
      <top style="thin">
        <color theme="0" tint="-0.14996795556505021"/>
      </top>
      <bottom style="thick">
        <color theme="4"/>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medium">
        <color theme="0" tint="-0.14993743705557422"/>
      </left>
      <right/>
      <top style="thin">
        <color theme="0" tint="-0.1499679555650502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2" tint="-0.24994659260841701"/>
      </left>
      <right/>
      <top/>
      <bottom style="thick">
        <color theme="2" tint="-0.499984740745262"/>
      </bottom>
      <diagonal/>
    </border>
    <border>
      <left/>
      <right style="thick">
        <color theme="2" tint="-0.499984740745262"/>
      </right>
      <top/>
      <bottom style="thick">
        <color theme="0" tint="-0.499984740745262"/>
      </bottom>
      <diagonal/>
    </border>
    <border>
      <left style="medium">
        <color theme="2" tint="-0.499984740745262"/>
      </left>
      <right style="thin">
        <color theme="2" tint="-0.24994659260841701"/>
      </right>
      <top style="medium">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right/>
      <top/>
      <bottom style="medium">
        <color theme="2" tint="-0.499984740745262"/>
      </bottom>
      <diagonal/>
    </border>
    <border>
      <left style="thick">
        <color theme="2" tint="-0.499984740745262"/>
      </left>
      <right style="thin">
        <color theme="2" tint="-0.24994659260841701"/>
      </right>
      <top style="thick">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style="thick">
        <color theme="2" tint="-0.499984740745262"/>
      </right>
      <top style="thick">
        <color theme="2" tint="-0.499984740745262"/>
      </top>
      <bottom style="thin">
        <color theme="2" tint="-0.24994659260841701"/>
      </bottom>
      <diagonal/>
    </border>
    <border>
      <left style="thin">
        <color theme="2" tint="-0.24994659260841701"/>
      </left>
      <right style="medium">
        <color theme="2" tint="-0.499984740745262"/>
      </right>
      <top style="medium">
        <color theme="2" tint="-0.499984740745262"/>
      </top>
      <bottom style="thin">
        <color theme="2" tint="-0.24994659260841701"/>
      </bottom>
      <diagonal/>
    </border>
    <border>
      <left style="thin">
        <color theme="2" tint="-0.24994659260841701"/>
      </left>
      <right style="medium">
        <color theme="2" tint="-0.499984740745262"/>
      </right>
      <top style="thin">
        <color theme="2" tint="-0.24994659260841701"/>
      </top>
      <bottom style="thick">
        <color theme="2" tint="-0.499984740745262"/>
      </bottom>
      <diagonal/>
    </border>
    <border>
      <left style="medium">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medium">
        <color theme="2" tint="-0.499984740745262"/>
      </left>
      <right/>
      <top style="thin">
        <color theme="2" tint="-0.24994659260841701"/>
      </top>
      <bottom style="thin">
        <color theme="2" tint="-0.24994659260841701"/>
      </bottom>
      <diagonal/>
    </border>
    <border>
      <left style="medium">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right style="thick">
        <color theme="2" tint="-0.499984740745262"/>
      </right>
      <top/>
      <bottom style="thin">
        <color theme="2" tint="-0.499984740745262"/>
      </bottom>
      <diagonal/>
    </border>
    <border>
      <left style="thick">
        <color theme="2" tint="-0.499984740745262"/>
      </left>
      <right style="thin">
        <color theme="2" tint="-0.24994659260841701"/>
      </right>
      <top style="thin">
        <color theme="2" tint="-0.499984740745262"/>
      </top>
      <bottom style="thin">
        <color theme="2" tint="-0.24994659260841701"/>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style="thin">
        <color theme="2" tint="-0.499984740745262"/>
      </left>
      <right style="thin">
        <color theme="2" tint="-0.499984740745262"/>
      </right>
      <top/>
      <bottom style="thick">
        <color theme="2" tint="-0.499984740745262"/>
      </bottom>
      <diagonal/>
    </border>
    <border>
      <left style="thin">
        <color theme="2" tint="-0.499984740745262"/>
      </left>
      <right style="thick">
        <color theme="2" tint="-0.499984740745262"/>
      </right>
      <top style="thin">
        <color theme="2" tint="-0.499984740745262"/>
      </top>
      <bottom style="thick">
        <color theme="2" tint="-0.499984740745262"/>
      </bottom>
      <diagonal/>
    </border>
    <border>
      <left/>
      <right style="thin">
        <color theme="2" tint="-0.24994659260841701"/>
      </right>
      <top/>
      <bottom style="thick">
        <color theme="2" tint="-0.499984740745262"/>
      </bottom>
      <diagonal/>
    </border>
    <border>
      <left style="thin">
        <color theme="2" tint="-0.24994659260841701"/>
      </left>
      <right/>
      <top style="thin">
        <color theme="2" tint="-0.24994659260841701"/>
      </top>
      <bottom/>
      <diagonal/>
    </border>
    <border>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style="thick">
        <color theme="2" tint="-0.499984740745262"/>
      </right>
      <top/>
      <bottom style="thin">
        <color theme="2" tint="-0.24994659260841701"/>
      </bottom>
      <diagonal/>
    </border>
    <border>
      <left style="thin">
        <color theme="2" tint="-0.24994659260841701"/>
      </left>
      <right/>
      <top style="thick">
        <color theme="2" tint="-0.499984740745262"/>
      </top>
      <bottom style="thin">
        <color theme="2" tint="-0.499984740745262"/>
      </bottom>
      <diagonal/>
    </border>
    <border>
      <left style="thin">
        <color theme="2" tint="-0.24994659260841701"/>
      </left>
      <right/>
      <top style="thin">
        <color theme="2" tint="-0.499984740745262"/>
      </top>
      <bottom style="thin">
        <color theme="2" tint="-0.24994659260841701"/>
      </bottom>
      <diagonal/>
    </border>
    <border>
      <left style="medium">
        <color theme="2" tint="-0.499984740745262"/>
      </left>
      <right style="thick">
        <color theme="2" tint="-0.499984740745262"/>
      </right>
      <top style="medium">
        <color theme="2" tint="-0.499984740745262"/>
      </top>
      <bottom style="thin">
        <color theme="2" tint="-0.499984740745262"/>
      </bottom>
      <diagonal/>
    </border>
    <border>
      <left style="medium">
        <color theme="2" tint="-0.499984740745262"/>
      </left>
      <right style="thick">
        <color theme="2" tint="-0.499984740745262"/>
      </right>
      <top/>
      <bottom/>
      <diagonal/>
    </border>
    <border>
      <left style="medium">
        <color theme="2" tint="-0.499984740745262"/>
      </left>
      <right style="thick">
        <color theme="2" tint="-0.499984740745262"/>
      </right>
      <top/>
      <bottom style="medium">
        <color theme="2" tint="-0.499984740745262"/>
      </bottom>
      <diagonal/>
    </border>
    <border>
      <left style="thick">
        <color theme="2" tint="-0.499984740745262"/>
      </left>
      <right/>
      <top/>
      <bottom style="thin">
        <color theme="2" tint="-0.24994659260841701"/>
      </bottom>
      <diagonal/>
    </border>
    <border>
      <left style="thin">
        <color theme="2" tint="-0.24994659260841701"/>
      </left>
      <right style="thin">
        <color theme="2" tint="-0.24994659260841701"/>
      </right>
      <top/>
      <bottom style="thin">
        <color theme="2" tint="-0.24994659260841701"/>
      </bottom>
      <diagonal/>
    </border>
    <border>
      <left style="thick">
        <color theme="2" tint="-0.499984740745262"/>
      </left>
      <right/>
      <top style="thick">
        <color theme="2" tint="-0.499984740745262"/>
      </top>
      <bottom style="thin">
        <color theme="2" tint="-0.499984740745262"/>
      </bottom>
      <diagonal/>
    </border>
    <border>
      <left/>
      <right style="thick">
        <color theme="2" tint="-0.499984740745262"/>
      </right>
      <top style="thick">
        <color theme="2" tint="-0.499984740745262"/>
      </top>
      <bottom style="thin">
        <color theme="2" tint="-0.499984740745262"/>
      </bottom>
      <diagonal/>
    </border>
    <border>
      <left/>
      <right/>
      <top style="thick">
        <color theme="2" tint="-0.499984740745262"/>
      </top>
      <bottom style="thin">
        <color theme="2" tint="-0.499984740745262"/>
      </bottom>
      <diagonal/>
    </border>
    <border>
      <left/>
      <right style="thin">
        <color theme="2" tint="-0.24994659260841701"/>
      </right>
      <top style="thick">
        <color theme="2" tint="-0.499984740745262"/>
      </top>
      <bottom style="thin">
        <color theme="2" tint="-0.499984740745262"/>
      </bottom>
      <diagonal/>
    </border>
    <border>
      <left/>
      <right/>
      <top/>
      <bottom style="medium">
        <color auto="1"/>
      </bottom>
      <diagonal/>
    </border>
    <border>
      <left style="thin">
        <color theme="5"/>
      </left>
      <right style="thin">
        <color theme="5"/>
      </right>
      <top style="thin">
        <color theme="5"/>
      </top>
      <bottom style="thin">
        <color theme="5"/>
      </bottom>
      <diagonal/>
    </border>
    <border>
      <left style="thin">
        <color theme="2" tint="-9.9948118533890809E-2"/>
      </left>
      <right/>
      <top style="thin">
        <color theme="2" tint="-9.9948118533890809E-2"/>
      </top>
      <bottom style="thin">
        <color theme="2" tint="-9.9948118533890809E-2"/>
      </bottom>
      <diagonal/>
    </border>
    <border>
      <left/>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medium">
        <color theme="2" tint="-0.24994659260841701"/>
      </bottom>
      <diagonal/>
    </border>
    <border>
      <left style="thin">
        <color theme="2" tint="-9.9948118533890809E-2"/>
      </left>
      <right style="thin">
        <color theme="2" tint="-9.9948118533890809E-2"/>
      </right>
      <top/>
      <bottom style="thin">
        <color theme="2" tint="-9.9948118533890809E-2"/>
      </bottom>
      <diagonal/>
    </border>
    <border>
      <left/>
      <right/>
      <top/>
      <bottom style="thin">
        <color theme="2" tint="-9.9948118533890809E-2"/>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2" tint="-0.499984740745262"/>
      </left>
      <right style="medium">
        <color theme="2" tint="-0.499984740745262"/>
      </right>
      <top style="medium">
        <color theme="2" tint="-0.499984740745262"/>
      </top>
      <bottom style="thin">
        <color theme="2" tint="-0.499984740745262"/>
      </bottom>
      <diagonal/>
    </border>
    <border>
      <left style="thick">
        <color theme="2" tint="-0.499984740745262"/>
      </left>
      <right style="medium">
        <color theme="2" tint="-0.499984740745262"/>
      </right>
      <top style="thin">
        <color theme="2" tint="-0.499984740745262"/>
      </top>
      <bottom style="thin">
        <color theme="2" tint="-0.24994659260841701"/>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thick">
        <color theme="2" tint="-0.499984740745262"/>
      </left>
      <right/>
      <top style="medium">
        <color theme="2" tint="-0.499984740745262"/>
      </top>
      <bottom style="thin">
        <color theme="2" tint="-0.499984740745262"/>
      </bottom>
      <diagonal/>
    </border>
    <border>
      <left/>
      <right style="medium">
        <color theme="2" tint="-0.499984740745262"/>
      </right>
      <top style="medium">
        <color theme="2" tint="-0.499984740745262"/>
      </top>
      <bottom style="thin">
        <color theme="2" tint="-0.499984740745262"/>
      </bottom>
      <diagonal/>
    </border>
    <border>
      <left style="thick">
        <color theme="2" tint="-0.499984740745262"/>
      </left>
      <right/>
      <top style="medium">
        <color theme="2" tint="-0.499984740745262"/>
      </top>
      <bottom/>
      <diagonal/>
    </border>
    <border>
      <left style="thick">
        <color theme="2" tint="-0.499984740745262"/>
      </left>
      <right/>
      <top/>
      <bottom style="medium">
        <color theme="2" tint="-0.499984740745262"/>
      </bottom>
      <diagonal/>
    </border>
    <border>
      <left style="medium">
        <color theme="2" tint="-0.499984740745262"/>
      </left>
      <right style="thick">
        <color theme="2" tint="-0.499984740745262"/>
      </right>
      <top/>
      <bottom style="thin">
        <color theme="2" tint="-0.24994659260841701"/>
      </bottom>
      <diagonal/>
    </border>
    <border>
      <left style="medium">
        <color theme="2" tint="-0.499984740745262"/>
      </left>
      <right style="thick">
        <color theme="2" tint="-0.499984740745262"/>
      </right>
      <top style="thin">
        <color theme="2" tint="-0.24994659260841701"/>
      </top>
      <bottom/>
      <diagonal/>
    </border>
    <border>
      <left/>
      <right style="thin">
        <color theme="2" tint="-0.499984740745262"/>
      </right>
      <top style="thin">
        <color theme="2" tint="-0.499984740745262"/>
      </top>
      <bottom style="thin">
        <color theme="2" tint="-0.499984740745262"/>
      </bottom>
      <diagonal/>
    </border>
    <border>
      <left/>
      <right style="thin">
        <color theme="2" tint="-0.499984740745262"/>
      </right>
      <top style="thin">
        <color theme="2" tint="-0.499984740745262"/>
      </top>
      <bottom style="thick">
        <color theme="2" tint="-0.499984740745262"/>
      </bottom>
      <diagonal/>
    </border>
    <border>
      <left style="medium">
        <color theme="2" tint="-0.499984740745262"/>
      </left>
      <right style="thick">
        <color theme="2" tint="-0.499984740745262"/>
      </right>
      <top style="thick">
        <color theme="2" tint="-0.499984740745262"/>
      </top>
      <bottom style="thin">
        <color theme="2" tint="-0.499984740745262"/>
      </bottom>
      <diagonal/>
    </border>
    <border>
      <left/>
      <right style="medium">
        <color theme="0" tint="-0.499984740745262"/>
      </right>
      <top style="thick">
        <color theme="0" tint="-0.499984740745262"/>
      </top>
      <bottom/>
      <diagonal/>
    </border>
    <border>
      <left style="medium">
        <color theme="0" tint="-0.499984740745262"/>
      </left>
      <right/>
      <top style="thick">
        <color theme="0" tint="-0.499984740745262"/>
      </top>
      <bottom/>
      <diagonal/>
    </border>
    <border>
      <left/>
      <right style="medium">
        <color theme="0" tint="-0.499984740745262"/>
      </right>
      <top/>
      <bottom/>
      <diagonal/>
    </border>
    <border>
      <left style="medium">
        <color theme="0" tint="-0.499984740745262"/>
      </left>
      <right/>
      <top/>
      <bottom/>
      <diagonal/>
    </border>
    <border>
      <left/>
      <right style="medium">
        <color theme="0" tint="-0.499984740745262"/>
      </right>
      <top/>
      <bottom style="thick">
        <color theme="0" tint="-0.499984740745262"/>
      </bottom>
      <diagonal/>
    </border>
    <border>
      <left style="medium">
        <color theme="0" tint="-0.499984740745262"/>
      </left>
      <right/>
      <top/>
      <bottom style="thick">
        <color theme="0" tint="-0.499984740745262"/>
      </bottom>
      <diagonal/>
    </border>
    <border>
      <left/>
      <right/>
      <top style="medium">
        <color theme="2" tint="-0.499984740745262"/>
      </top>
      <bottom style="medium">
        <color theme="2" tint="-0.499984740745262"/>
      </bottom>
      <diagonal/>
    </border>
    <border>
      <left/>
      <right/>
      <top style="thin">
        <color theme="2" tint="-0.499984740745262"/>
      </top>
      <bottom style="thin">
        <color theme="2" tint="-0.24994659260841701"/>
      </bottom>
      <diagonal/>
    </border>
    <border>
      <left style="thick">
        <color theme="2" tint="-0.499984740745262"/>
      </left>
      <right style="thick">
        <color theme="2" tint="-0.499984740745262"/>
      </right>
      <top/>
      <bottom style="thick">
        <color theme="2" tint="-0.499984740745262"/>
      </bottom>
      <diagonal/>
    </border>
    <border>
      <left style="thick">
        <color theme="2" tint="-0.499984740745262"/>
      </left>
      <right style="thick">
        <color theme="2" tint="-0.499984740745262"/>
      </right>
      <top/>
      <bottom/>
      <diagonal/>
    </border>
    <border>
      <left style="thick">
        <color theme="2" tint="-0.499984740745262"/>
      </left>
      <right style="thick">
        <color theme="2" tint="-0.499984740745262"/>
      </right>
      <top style="thick">
        <color theme="2" tint="-0.499984740745262"/>
      </top>
      <bottom/>
      <diagonal/>
    </border>
    <border>
      <left style="thin">
        <color theme="2" tint="-9.9948118533890809E-2"/>
      </left>
      <right/>
      <top/>
      <bottom style="thin">
        <color theme="2" tint="-9.9948118533890809E-2"/>
      </bottom>
      <diagonal/>
    </border>
    <border>
      <left/>
      <right style="thin">
        <color theme="2" tint="-9.9948118533890809E-2"/>
      </right>
      <top/>
      <bottom style="thin">
        <color theme="2" tint="-9.9948118533890809E-2"/>
      </bottom>
      <diagonal/>
    </border>
    <border>
      <left style="thin">
        <color theme="2" tint="-9.9948118533890809E-2"/>
      </left>
      <right style="thin">
        <color theme="2" tint="-9.9948118533890809E-2"/>
      </right>
      <top style="thin">
        <color theme="2" tint="-9.9917600024414813E-2"/>
      </top>
      <bottom style="thin">
        <color theme="2" tint="-9.9948118533890809E-2"/>
      </bottom>
      <diagonal/>
    </border>
    <border>
      <left style="thin">
        <color theme="2" tint="-9.9948118533890809E-2"/>
      </left>
      <right/>
      <top style="thin">
        <color theme="2" tint="-9.9948118533890809E-2"/>
      </top>
      <bottom style="medium">
        <color theme="2" tint="-0.24994659260841701"/>
      </bottom>
      <diagonal/>
    </border>
    <border>
      <left/>
      <right/>
      <top style="thin">
        <color theme="2" tint="-9.9948118533890809E-2"/>
      </top>
      <bottom style="medium">
        <color theme="2" tint="-0.24994659260841701"/>
      </bottom>
      <diagonal/>
    </border>
    <border>
      <left/>
      <right style="thin">
        <color theme="2" tint="-9.9948118533890809E-2"/>
      </right>
      <top style="thin">
        <color theme="2" tint="-9.9948118533890809E-2"/>
      </top>
      <bottom style="medium">
        <color theme="2" tint="-0.24994659260841701"/>
      </bottom>
      <diagonal/>
    </border>
    <border>
      <left/>
      <right/>
      <top style="medium">
        <color theme="2" tint="-0.24994659260841701"/>
      </top>
      <bottom style="thin">
        <color theme="2" tint="-9.9948118533890809E-2"/>
      </bottom>
      <diagonal/>
    </border>
    <border>
      <left style="thin">
        <color theme="2" tint="-9.9948118533890809E-2"/>
      </left>
      <right/>
      <top style="medium">
        <color theme="2" tint="-0.24994659260841701"/>
      </top>
      <bottom style="thin">
        <color theme="2" tint="-9.9948118533890809E-2"/>
      </bottom>
      <diagonal/>
    </border>
    <border>
      <left style="thin">
        <color theme="2" tint="-9.9948118533890809E-2"/>
      </left>
      <right/>
      <top style="thin">
        <color theme="2" tint="-9.9917600024414813E-2"/>
      </top>
      <bottom style="thin">
        <color theme="2" tint="-9.9948118533890809E-2"/>
      </bottom>
      <diagonal/>
    </border>
    <border>
      <left/>
      <right style="thin">
        <color theme="2" tint="-9.9948118533890809E-2"/>
      </right>
      <top style="thin">
        <color theme="2" tint="-9.9917600024414813E-2"/>
      </top>
      <bottom style="thin">
        <color theme="2" tint="-9.9948118533890809E-2"/>
      </bottom>
      <diagonal/>
    </border>
    <border>
      <left/>
      <right/>
      <top style="thin">
        <color theme="2" tint="-9.9948118533890809E-2"/>
      </top>
      <bottom/>
      <diagonal/>
    </border>
  </borders>
  <cellStyleXfs count="5">
    <xf numFmtId="0" fontId="0" fillId="0" borderId="0"/>
    <xf numFmtId="0" fontId="4" fillId="2" borderId="0"/>
    <xf numFmtId="0" fontId="10" fillId="3" borderId="1" applyNumberFormat="0" applyAlignment="0" applyProtection="0"/>
    <xf numFmtId="0" fontId="29" fillId="0" borderId="0" applyNumberFormat="0" applyFill="0" applyBorder="0" applyAlignment="0" applyProtection="0"/>
    <xf numFmtId="0" fontId="4" fillId="0" borderId="0"/>
  </cellStyleXfs>
  <cellXfs count="505">
    <xf numFmtId="0" fontId="0" fillId="0" borderId="0" xfId="0"/>
    <xf numFmtId="0" fontId="8" fillId="0" borderId="0" xfId="0" applyNumberFormat="1" applyFont="1" applyFill="1" applyAlignment="1" applyProtection="1">
      <alignment horizontal="center" vertical="center"/>
      <protection hidden="1"/>
    </xf>
    <xf numFmtId="0" fontId="8" fillId="0" borderId="0" xfId="0" applyNumberFormat="1" applyFont="1" applyFill="1" applyAlignment="1" applyProtection="1">
      <alignment vertical="center"/>
      <protection hidden="1"/>
    </xf>
    <xf numFmtId="0" fontId="8" fillId="0" borderId="0" xfId="0" applyNumberFormat="1" applyFont="1" applyFill="1" applyBorder="1" applyAlignment="1" applyProtection="1">
      <alignment horizontal="center" vertical="center"/>
      <protection hidden="1"/>
    </xf>
    <xf numFmtId="0" fontId="8" fillId="0" borderId="0" xfId="0" applyNumberFormat="1" applyFont="1" applyFill="1" applyBorder="1" applyAlignment="1" applyProtection="1">
      <alignment vertical="center"/>
      <protection hidden="1"/>
    </xf>
    <xf numFmtId="0" fontId="8" fillId="0" borderId="0" xfId="0" applyNumberFormat="1" applyFont="1"/>
    <xf numFmtId="0" fontId="10" fillId="3" borderId="1" xfId="2" applyNumberFormat="1" applyAlignment="1" applyProtection="1">
      <alignment horizontal="center" vertical="center" readingOrder="1"/>
    </xf>
    <xf numFmtId="0" fontId="8" fillId="0" borderId="0" xfId="0" applyNumberFormat="1" applyFont="1" applyFill="1" applyBorder="1" applyAlignment="1" applyProtection="1">
      <alignment horizontal="center" vertical="center"/>
      <protection hidden="1"/>
    </xf>
    <xf numFmtId="0" fontId="11" fillId="0" borderId="2" xfId="0" applyNumberFormat="1" applyFont="1" applyFill="1" applyBorder="1" applyAlignment="1" applyProtection="1">
      <alignment horizontal="center" vertical="center"/>
      <protection hidden="1"/>
    </xf>
    <xf numFmtId="0" fontId="11" fillId="0" borderId="3" xfId="0" applyNumberFormat="1" applyFont="1" applyFill="1" applyBorder="1" applyAlignment="1" applyProtection="1">
      <alignment horizontal="center" vertical="center"/>
      <protection hidden="1"/>
    </xf>
    <xf numFmtId="0" fontId="11" fillId="0" borderId="4" xfId="0" applyNumberFormat="1" applyFont="1" applyFill="1" applyBorder="1" applyAlignment="1" applyProtection="1">
      <alignment horizontal="center" vertical="center"/>
      <protection hidden="1"/>
    </xf>
    <xf numFmtId="0" fontId="13" fillId="0" borderId="0" xfId="0" applyNumberFormat="1" applyFont="1" applyFill="1" applyBorder="1" applyAlignment="1" applyProtection="1">
      <alignment horizontal="center" vertical="center"/>
      <protection hidden="1"/>
    </xf>
    <xf numFmtId="0" fontId="9" fillId="0" borderId="0" xfId="0" applyNumberFormat="1" applyFont="1" applyFill="1" applyAlignment="1" applyProtection="1">
      <alignment horizontal="center" vertical="center"/>
      <protection hidden="1"/>
    </xf>
    <xf numFmtId="3" fontId="12" fillId="0" borderId="0" xfId="0" applyNumberFormat="1" applyFont="1" applyFill="1" applyBorder="1" applyAlignment="1" applyProtection="1">
      <alignment horizontal="center" vertical="center"/>
      <protection hidden="1"/>
    </xf>
    <xf numFmtId="0" fontId="8" fillId="0" borderId="5" xfId="0" applyNumberFormat="1" applyFont="1" applyFill="1" applyBorder="1" applyAlignment="1" applyProtection="1">
      <alignment vertical="center"/>
      <protection hidden="1"/>
    </xf>
    <xf numFmtId="0" fontId="8" fillId="0" borderId="6" xfId="0" applyNumberFormat="1" applyFont="1" applyFill="1" applyBorder="1" applyAlignment="1" applyProtection="1">
      <alignment horizontal="center" vertical="center"/>
      <protection hidden="1"/>
    </xf>
    <xf numFmtId="0" fontId="8" fillId="0" borderId="8" xfId="0" applyNumberFormat="1" applyFont="1" applyFill="1" applyBorder="1" applyAlignment="1" applyProtection="1">
      <alignment vertical="center"/>
      <protection hidden="1"/>
    </xf>
    <xf numFmtId="0" fontId="8" fillId="0" borderId="10" xfId="0" applyNumberFormat="1" applyFont="1" applyFill="1" applyBorder="1" applyAlignment="1" applyProtection="1">
      <alignment vertical="center"/>
      <protection hidden="1"/>
    </xf>
    <xf numFmtId="0" fontId="8" fillId="0" borderId="11" xfId="0" applyNumberFormat="1" applyFont="1" applyFill="1" applyBorder="1" applyAlignment="1" applyProtection="1">
      <alignment horizontal="center" vertical="center"/>
      <protection hidden="1"/>
    </xf>
    <xf numFmtId="0" fontId="5" fillId="0" borderId="0" xfId="0" applyFont="1"/>
    <xf numFmtId="0" fontId="16" fillId="0" borderId="0" xfId="0" applyFont="1"/>
    <xf numFmtId="0" fontId="8" fillId="0" borderId="26" xfId="0" applyNumberFormat="1" applyFont="1" applyFill="1" applyBorder="1" applyAlignment="1" applyProtection="1">
      <alignment horizontal="right" vertical="center" indent="1"/>
      <protection hidden="1"/>
    </xf>
    <xf numFmtId="0" fontId="8" fillId="0" borderId="29" xfId="0" applyNumberFormat="1" applyFont="1" applyFill="1" applyBorder="1" applyAlignment="1" applyProtection="1">
      <alignment horizontal="right" vertical="center" indent="1"/>
      <protection hidden="1"/>
    </xf>
    <xf numFmtId="0" fontId="18" fillId="0" borderId="0" xfId="0" applyFont="1"/>
    <xf numFmtId="0" fontId="5" fillId="0" borderId="0" xfId="0" applyFont="1" applyProtection="1"/>
    <xf numFmtId="0" fontId="8" fillId="0" borderId="28" xfId="0" applyNumberFormat="1" applyFont="1" applyFill="1" applyBorder="1" applyAlignment="1" applyProtection="1">
      <alignment horizontal="left" vertical="center"/>
      <protection hidden="1"/>
    </xf>
    <xf numFmtId="0" fontId="8" fillId="0" borderId="30" xfId="0" applyNumberFormat="1" applyFont="1" applyFill="1" applyBorder="1" applyAlignment="1" applyProtection="1">
      <alignment horizontal="left" vertical="center"/>
      <protection hidden="1"/>
    </xf>
    <xf numFmtId="0" fontId="21" fillId="0" borderId="24" xfId="0" applyFont="1" applyBorder="1" applyAlignment="1">
      <alignment horizontal="center" vertical="center"/>
    </xf>
    <xf numFmtId="0" fontId="30" fillId="7" borderId="23" xfId="0" applyFont="1" applyFill="1" applyBorder="1" applyAlignment="1">
      <alignment horizontal="center" vertical="center"/>
    </xf>
    <xf numFmtId="0" fontId="30" fillId="7" borderId="49" xfId="0" applyFont="1" applyFill="1" applyBorder="1" applyAlignment="1">
      <alignment horizontal="center" vertical="center"/>
    </xf>
    <xf numFmtId="0" fontId="21" fillId="0" borderId="52" xfId="0" applyFont="1" applyBorder="1" applyAlignment="1">
      <alignment horizontal="center" vertical="center"/>
    </xf>
    <xf numFmtId="0" fontId="20" fillId="6" borderId="54" xfId="0" applyFont="1" applyFill="1" applyBorder="1" applyAlignment="1" applyProtection="1">
      <alignment horizontal="center" vertical="center"/>
      <protection locked="0"/>
    </xf>
    <xf numFmtId="0" fontId="20" fillId="6" borderId="50" xfId="0" applyFont="1" applyFill="1" applyBorder="1" applyAlignment="1" applyProtection="1">
      <alignment horizontal="center" vertical="center"/>
      <protection locked="0"/>
    </xf>
    <xf numFmtId="0" fontId="7" fillId="0" borderId="0" xfId="0" applyFont="1" applyAlignment="1" applyProtection="1">
      <alignment vertical="top"/>
    </xf>
    <xf numFmtId="0" fontId="30" fillId="7" borderId="48" xfId="0" applyFont="1" applyFill="1" applyBorder="1" applyAlignment="1">
      <alignment horizontal="left" vertical="center" indent="1"/>
    </xf>
    <xf numFmtId="0" fontId="20" fillId="0" borderId="53" xfId="0" applyFont="1" applyBorder="1" applyAlignment="1">
      <alignment horizontal="left" vertical="center" indent="1"/>
    </xf>
    <xf numFmtId="0" fontId="18" fillId="0" borderId="0" xfId="0" applyNumberFormat="1" applyFont="1" applyAlignment="1">
      <alignment horizontal="center"/>
    </xf>
    <xf numFmtId="0" fontId="13" fillId="0" borderId="0" xfId="0" applyNumberFormat="1" applyFont="1" applyFill="1" applyAlignment="1" applyProtection="1">
      <alignment horizontal="center" vertical="center"/>
      <protection hidden="1"/>
    </xf>
    <xf numFmtId="0" fontId="0" fillId="0" borderId="0" xfId="0" applyProtection="1"/>
    <xf numFmtId="0" fontId="36"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9" borderId="72" xfId="0" applyFill="1" applyBorder="1" applyAlignment="1" applyProtection="1">
      <alignment horizontal="left" indent="1"/>
      <protection locked="0"/>
    </xf>
    <xf numFmtId="0" fontId="0" fillId="10" borderId="73" xfId="0" applyFill="1" applyBorder="1" applyAlignment="1" applyProtection="1">
      <alignment horizontal="left" indent="1"/>
      <protection locked="0"/>
    </xf>
    <xf numFmtId="0" fontId="0" fillId="11" borderId="74" xfId="0" applyFill="1" applyBorder="1" applyAlignment="1" applyProtection="1">
      <alignment horizontal="left" indent="1"/>
      <protection locked="0"/>
    </xf>
    <xf numFmtId="0" fontId="38" fillId="0" borderId="65" xfId="0" applyFont="1" applyFill="1" applyBorder="1" applyAlignment="1">
      <alignment horizontal="left" indent="1"/>
    </xf>
    <xf numFmtId="0" fontId="0" fillId="0" borderId="66" xfId="0" applyBorder="1" applyAlignment="1">
      <alignment horizontal="left" indent="1"/>
    </xf>
    <xf numFmtId="0" fontId="0" fillId="0" borderId="78" xfId="0" applyBorder="1" applyAlignment="1">
      <alignment horizontal="left" indent="1"/>
    </xf>
    <xf numFmtId="0" fontId="38" fillId="0" borderId="68" xfId="0" applyFont="1" applyFill="1" applyBorder="1" applyAlignment="1">
      <alignment horizontal="left" indent="1"/>
    </xf>
    <xf numFmtId="0" fontId="0" fillId="0" borderId="0" xfId="0" applyBorder="1" applyAlignment="1">
      <alignment horizontal="left" indent="1"/>
    </xf>
    <xf numFmtId="0" fontId="0" fillId="0" borderId="64" xfId="0" applyBorder="1" applyAlignment="1">
      <alignment horizontal="left" indent="1"/>
    </xf>
    <xf numFmtId="0" fontId="35" fillId="0" borderId="0" xfId="0" applyFont="1" applyFill="1" applyBorder="1"/>
    <xf numFmtId="0" fontId="39" fillId="0" borderId="0" xfId="0" applyFont="1" applyFill="1" applyBorder="1"/>
    <xf numFmtId="0" fontId="0" fillId="10" borderId="75" xfId="0" applyFill="1" applyBorder="1" applyAlignment="1" applyProtection="1">
      <alignment horizontal="left" vertical="top" wrapText="1" indent="1"/>
      <protection locked="0"/>
    </xf>
    <xf numFmtId="0" fontId="0" fillId="0" borderId="0" xfId="0" applyFill="1" applyAlignment="1">
      <alignment vertical="center"/>
    </xf>
    <xf numFmtId="0" fontId="0" fillId="11" borderId="74" xfId="0" applyFill="1" applyBorder="1" applyAlignment="1" applyProtection="1">
      <alignment horizontal="left" vertical="top" wrapText="1" indent="1"/>
      <protection locked="0"/>
    </xf>
    <xf numFmtId="0" fontId="0" fillId="9" borderId="72" xfId="0" applyFill="1" applyBorder="1" applyAlignment="1" applyProtection="1">
      <alignment horizontal="left" vertical="top" wrapText="1" indent="1"/>
      <protection locked="0"/>
    </xf>
    <xf numFmtId="0" fontId="0" fillId="10" borderId="73" xfId="0" applyFill="1" applyBorder="1" applyAlignment="1" applyProtection="1">
      <alignment horizontal="left" vertical="top" wrapText="1" indent="1"/>
      <protection locked="0"/>
    </xf>
    <xf numFmtId="0" fontId="0" fillId="10" borderId="80" xfId="0" applyFill="1" applyBorder="1" applyAlignment="1" applyProtection="1">
      <alignment horizontal="left" vertical="top" wrapText="1" indent="1"/>
      <protection locked="0"/>
    </xf>
    <xf numFmtId="0" fontId="0" fillId="10" borderId="69" xfId="0" applyFill="1" applyBorder="1" applyAlignment="1" applyProtection="1">
      <alignment horizontal="left" vertical="top" indent="1"/>
      <protection locked="0"/>
    </xf>
    <xf numFmtId="0" fontId="0" fillId="11" borderId="76" xfId="0" applyFill="1" applyBorder="1" applyAlignment="1" applyProtection="1">
      <alignment horizontal="left" vertical="top" indent="1"/>
      <protection locked="0"/>
    </xf>
    <xf numFmtId="0" fontId="0" fillId="9" borderId="82" xfId="0" applyFill="1" applyBorder="1" applyAlignment="1" applyProtection="1">
      <alignment horizontal="left" vertical="top" indent="1"/>
      <protection locked="0"/>
    </xf>
    <xf numFmtId="0" fontId="0" fillId="10" borderId="77" xfId="0" applyFill="1" applyBorder="1" applyAlignment="1" applyProtection="1">
      <alignment horizontal="left" vertical="top" wrapText="1" indent="1"/>
      <protection locked="0"/>
    </xf>
    <xf numFmtId="0" fontId="4" fillId="9" borderId="72" xfId="0" applyFont="1" applyFill="1" applyBorder="1" applyAlignment="1" applyProtection="1">
      <alignment horizontal="left" vertical="center" indent="1"/>
      <protection locked="0"/>
    </xf>
    <xf numFmtId="0" fontId="4" fillId="11" borderId="74" xfId="0" applyFont="1" applyFill="1" applyBorder="1" applyAlignment="1" applyProtection="1">
      <alignment horizontal="left" vertical="center" indent="1"/>
      <protection locked="0"/>
    </xf>
    <xf numFmtId="0" fontId="4" fillId="11" borderId="74" xfId="0" applyFont="1" applyFill="1" applyBorder="1" applyAlignment="1" applyProtection="1">
      <alignment horizontal="left" vertical="top" wrapText="1" indent="1"/>
      <protection locked="0"/>
    </xf>
    <xf numFmtId="0" fontId="4" fillId="9" borderId="72" xfId="0" applyFont="1" applyFill="1" applyBorder="1" applyAlignment="1" applyProtection="1">
      <alignment horizontal="left" indent="1"/>
      <protection locked="0"/>
    </xf>
    <xf numFmtId="0" fontId="4" fillId="11" borderId="74" xfId="0" applyFont="1" applyFill="1" applyBorder="1" applyAlignment="1" applyProtection="1">
      <alignment horizontal="left" indent="1"/>
      <protection locked="0"/>
    </xf>
    <xf numFmtId="0" fontId="4" fillId="11" borderId="74" xfId="0" applyFont="1" applyFill="1" applyBorder="1" applyAlignment="1">
      <alignment horizontal="left" indent="1"/>
    </xf>
    <xf numFmtId="0" fontId="4" fillId="10" borderId="73" xfId="0" applyFont="1" applyFill="1" applyBorder="1" applyAlignment="1" applyProtection="1">
      <alignment horizontal="left" indent="1"/>
      <protection locked="0"/>
    </xf>
    <xf numFmtId="0" fontId="4" fillId="9" borderId="79" xfId="0" applyFont="1" applyFill="1" applyBorder="1" applyAlignment="1" applyProtection="1">
      <alignment horizontal="left" vertical="top" indent="1"/>
      <protection locked="0"/>
    </xf>
    <xf numFmtId="0" fontId="4" fillId="11" borderId="74" xfId="0" applyFont="1" applyFill="1" applyBorder="1" applyAlignment="1" applyProtection="1">
      <alignment horizontal="left" vertical="top" indent="1"/>
      <protection locked="0"/>
    </xf>
    <xf numFmtId="0" fontId="4" fillId="0" borderId="0" xfId="0" applyFont="1"/>
    <xf numFmtId="0" fontId="34" fillId="0" borderId="0" xfId="0" applyFont="1" applyBorder="1" applyAlignment="1">
      <alignment horizontal="left" vertical="center" wrapText="1"/>
    </xf>
    <xf numFmtId="0" fontId="4" fillId="9" borderId="81" xfId="0" applyFont="1" applyFill="1" applyBorder="1" applyAlignment="1" applyProtection="1">
      <alignment horizontal="left" vertical="top" indent="1"/>
      <protection locked="0"/>
    </xf>
    <xf numFmtId="0" fontId="1" fillId="10" borderId="63" xfId="0" applyFont="1" applyFill="1" applyBorder="1" applyAlignment="1" applyProtection="1">
      <alignment horizontal="center" vertical="center"/>
      <protection locked="0"/>
    </xf>
    <xf numFmtId="0" fontId="4" fillId="11" borderId="68" xfId="0" applyFont="1" applyFill="1" applyBorder="1" applyAlignment="1" applyProtection="1">
      <alignment horizontal="left" vertical="top" indent="1"/>
      <protection locked="0"/>
    </xf>
    <xf numFmtId="0" fontId="4" fillId="9" borderId="71" xfId="0" applyFont="1" applyFill="1" applyBorder="1" applyAlignment="1" applyProtection="1">
      <alignment horizontal="left" vertical="top" wrapText="1" indent="1"/>
      <protection locked="0"/>
    </xf>
    <xf numFmtId="0" fontId="4" fillId="11" borderId="70" xfId="0" applyFont="1" applyFill="1" applyBorder="1" applyAlignment="1" applyProtection="1">
      <alignment horizontal="left" vertical="top" wrapText="1" indent="1"/>
      <protection locked="0"/>
    </xf>
    <xf numFmtId="0" fontId="18" fillId="0" borderId="0" xfId="0" applyNumberFormat="1" applyFont="1" applyAlignment="1">
      <alignment horizontal="center" vertical="center"/>
    </xf>
    <xf numFmtId="0" fontId="30" fillId="9" borderId="0" xfId="0" applyNumberFormat="1" applyFont="1" applyFill="1" applyAlignment="1">
      <alignment horizontal="center"/>
    </xf>
    <xf numFmtId="0" fontId="4" fillId="9" borderId="72" xfId="0" applyFont="1" applyFill="1" applyBorder="1" applyAlignment="1" applyProtection="1">
      <alignment horizontal="left" vertical="top" wrapText="1" indent="1"/>
      <protection locked="0"/>
    </xf>
    <xf numFmtId="0" fontId="8" fillId="0" borderId="27" xfId="0" applyNumberFormat="1" applyFont="1" applyFill="1" applyBorder="1" applyAlignment="1" applyProtection="1">
      <alignment horizontal="center" vertical="center"/>
      <protection hidden="1"/>
    </xf>
    <xf numFmtId="0" fontId="8" fillId="0" borderId="28" xfId="0" applyNumberFormat="1" applyFont="1" applyFill="1" applyBorder="1" applyAlignment="1" applyProtection="1">
      <alignment horizontal="center" vertical="center"/>
      <protection hidden="1"/>
    </xf>
    <xf numFmtId="0" fontId="8" fillId="0" borderId="30" xfId="0" applyNumberFormat="1" applyFont="1" applyFill="1" applyBorder="1" applyAlignment="1" applyProtection="1">
      <alignment horizontal="center" vertical="center"/>
      <protection hidden="1"/>
    </xf>
    <xf numFmtId="14" fontId="27" fillId="0" borderId="0" xfId="0" applyNumberFormat="1" applyFont="1" applyAlignment="1">
      <alignment horizontal="left" vertical="top"/>
    </xf>
    <xf numFmtId="0" fontId="27" fillId="0" borderId="0" xfId="0" applyFont="1" applyAlignment="1">
      <alignment vertical="center"/>
    </xf>
    <xf numFmtId="0" fontId="44" fillId="0" borderId="0" xfId="0" applyNumberFormat="1" applyFont="1" applyFill="1" applyAlignment="1" applyProtection="1">
      <alignment horizontal="center" vertical="center"/>
      <protection hidden="1"/>
    </xf>
    <xf numFmtId="0" fontId="44" fillId="0" borderId="47" xfId="0" applyNumberFormat="1" applyFont="1" applyFill="1" applyBorder="1" applyAlignment="1" applyProtection="1">
      <alignment horizontal="center" vertical="center"/>
      <protection hidden="1"/>
    </xf>
    <xf numFmtId="0" fontId="4" fillId="9" borderId="81" xfId="0" applyFont="1" applyFill="1" applyBorder="1" applyAlignment="1" applyProtection="1">
      <alignment horizontal="left" vertical="top" wrapText="1" indent="1"/>
      <protection locked="0"/>
    </xf>
    <xf numFmtId="0" fontId="4" fillId="11" borderId="68" xfId="0" applyFont="1" applyFill="1" applyBorder="1" applyAlignment="1" applyProtection="1">
      <alignment horizontal="left" vertical="top" wrapText="1" indent="1"/>
      <protection locked="0"/>
    </xf>
    <xf numFmtId="0" fontId="18" fillId="8" borderId="58" xfId="0" applyFont="1" applyFill="1" applyBorder="1" applyProtection="1"/>
    <xf numFmtId="0" fontId="18" fillId="8" borderId="59" xfId="0" applyFont="1" applyFill="1" applyBorder="1" applyProtection="1"/>
    <xf numFmtId="0" fontId="18" fillId="0" borderId="60" xfId="0" applyFont="1" applyFill="1" applyBorder="1" applyProtection="1"/>
    <xf numFmtId="0" fontId="18" fillId="0" borderId="60" xfId="0" applyFont="1" applyFill="1" applyBorder="1" applyAlignment="1" applyProtection="1">
      <alignment vertical="center"/>
    </xf>
    <xf numFmtId="0" fontId="29" fillId="0" borderId="60" xfId="3" applyFill="1" applyBorder="1" applyAlignment="1" applyProtection="1">
      <alignment vertical="center"/>
    </xf>
    <xf numFmtId="0" fontId="18" fillId="8" borderId="83" xfId="0" applyFont="1" applyFill="1" applyBorder="1" applyProtection="1"/>
    <xf numFmtId="0" fontId="18" fillId="8" borderId="84" xfId="0" applyFont="1" applyFill="1" applyBorder="1" applyProtection="1"/>
    <xf numFmtId="164" fontId="23" fillId="0" borderId="33" xfId="0" applyNumberFormat="1" applyFont="1" applyBorder="1" applyAlignment="1">
      <alignment horizontal="center" vertical="center"/>
    </xf>
    <xf numFmtId="164" fontId="23" fillId="0" borderId="36" xfId="0" applyNumberFormat="1" applyFont="1" applyBorder="1" applyAlignment="1">
      <alignment horizontal="center" vertical="center"/>
    </xf>
    <xf numFmtId="0" fontId="4" fillId="9" borderId="92" xfId="0" applyFont="1" applyFill="1" applyBorder="1" applyAlignment="1" applyProtection="1">
      <alignment horizontal="left" vertical="top" wrapText="1" indent="1"/>
      <protection locked="0"/>
    </xf>
    <xf numFmtId="0" fontId="46" fillId="0" borderId="0" xfId="0" applyFont="1" applyBorder="1" applyAlignment="1">
      <alignment horizontal="left" vertical="center" wrapText="1"/>
    </xf>
    <xf numFmtId="0" fontId="47" fillId="0" borderId="0" xfId="0" applyFont="1" applyAlignment="1">
      <alignment horizontal="right" indent="1"/>
    </xf>
    <xf numFmtId="164" fontId="23" fillId="0" borderId="45" xfId="0" applyNumberFormat="1" applyFont="1" applyBorder="1" applyAlignment="1">
      <alignment horizontal="center" vertical="center"/>
    </xf>
    <xf numFmtId="0" fontId="22" fillId="6" borderId="94" xfId="0" applyFont="1" applyFill="1" applyBorder="1" applyAlignment="1">
      <alignment horizontal="center" vertical="center"/>
    </xf>
    <xf numFmtId="0" fontId="21" fillId="0" borderId="93" xfId="0" applyFont="1" applyBorder="1" applyAlignment="1">
      <alignment horizontal="right" vertical="center"/>
    </xf>
    <xf numFmtId="0" fontId="21" fillId="0" borderId="94" xfId="0" applyFont="1" applyBorder="1" applyAlignment="1">
      <alignment horizontal="center" vertical="center"/>
    </xf>
    <xf numFmtId="0" fontId="21" fillId="0" borderId="96" xfId="0" applyFont="1" applyBorder="1" applyAlignment="1">
      <alignment horizontal="left" vertical="center"/>
    </xf>
    <xf numFmtId="0" fontId="18" fillId="8" borderId="99" xfId="0" applyFont="1" applyFill="1" applyBorder="1" applyProtection="1"/>
    <xf numFmtId="0" fontId="18" fillId="8" borderId="100" xfId="0" applyFont="1" applyFill="1" applyBorder="1" applyProtection="1"/>
    <xf numFmtId="0" fontId="18" fillId="0" borderId="0" xfId="0" applyFont="1" applyFill="1" applyBorder="1" applyProtection="1"/>
    <xf numFmtId="0" fontId="48" fillId="0" borderId="0" xfId="0" applyNumberFormat="1" applyFont="1" applyAlignment="1">
      <alignment horizontal="center" vertical="center"/>
    </xf>
    <xf numFmtId="0" fontId="8" fillId="0" borderId="103" xfId="0" applyNumberFormat="1" applyFont="1" applyFill="1" applyBorder="1" applyAlignment="1" applyProtection="1">
      <alignment vertical="center"/>
      <protection hidden="1"/>
    </xf>
    <xf numFmtId="0" fontId="6" fillId="0" borderId="0" xfId="0" applyFont="1" applyAlignment="1">
      <alignment vertical="center" shrinkToFit="1"/>
    </xf>
    <xf numFmtId="0" fontId="5" fillId="0" borderId="0" xfId="0" applyFont="1" applyAlignment="1">
      <alignment shrinkToFit="1"/>
    </xf>
    <xf numFmtId="0" fontId="24" fillId="0" borderId="0" xfId="0" applyFont="1" applyAlignment="1"/>
    <xf numFmtId="3" fontId="8" fillId="0" borderId="0" xfId="0" applyNumberFormat="1" applyFont="1" applyFill="1" applyBorder="1" applyAlignment="1" applyProtection="1">
      <alignment horizontal="center" vertical="center"/>
      <protection hidden="1"/>
    </xf>
    <xf numFmtId="0" fontId="10" fillId="3" borderId="1" xfId="2" applyNumberFormat="1" applyBorder="1" applyAlignment="1" applyProtection="1">
      <alignment horizontal="center" vertical="center" readingOrder="1"/>
    </xf>
    <xf numFmtId="0" fontId="8" fillId="0" borderId="0" xfId="0" applyNumberFormat="1" applyFont="1" applyFill="1" applyBorder="1" applyAlignment="1" applyProtection="1">
      <alignment horizontal="center" vertical="center"/>
      <protection hidden="1"/>
    </xf>
    <xf numFmtId="0" fontId="40" fillId="0" borderId="0" xfId="0" applyFont="1" applyFill="1" applyBorder="1" applyAlignment="1"/>
    <xf numFmtId="49" fontId="26" fillId="0" borderId="0" xfId="0" applyNumberFormat="1" applyFont="1" applyAlignment="1">
      <alignment vertical="center" wrapText="1"/>
    </xf>
    <xf numFmtId="0" fontId="5" fillId="0" borderId="0" xfId="0" applyFont="1" applyFill="1" applyBorder="1"/>
    <xf numFmtId="0" fontId="16" fillId="0" borderId="0" xfId="0" applyFont="1" applyFill="1" applyBorder="1" applyAlignment="1">
      <alignment vertical="top"/>
    </xf>
    <xf numFmtId="0" fontId="6" fillId="0" borderId="0" xfId="0" applyFont="1" applyFill="1" applyBorder="1" applyAlignment="1">
      <alignment vertical="center" shrinkToFit="1"/>
    </xf>
    <xf numFmtId="0" fontId="5" fillId="0" borderId="0" xfId="0" applyFont="1" applyFill="1" applyBorder="1" applyAlignment="1">
      <alignment shrinkToFit="1"/>
    </xf>
    <xf numFmtId="0" fontId="15" fillId="0" borderId="0" xfId="0" applyFont="1" applyFill="1" applyBorder="1" applyAlignment="1">
      <alignment horizontal="center" vertical="center" shrinkToFit="1"/>
    </xf>
    <xf numFmtId="165" fontId="15" fillId="0" borderId="0" xfId="0" applyNumberFormat="1" applyFont="1" applyFill="1" applyBorder="1" applyAlignment="1">
      <alignment vertical="center" shrinkToFit="1"/>
    </xf>
    <xf numFmtId="0" fontId="6" fillId="0" borderId="0" xfId="0" applyFont="1" applyFill="1" applyBorder="1" applyAlignment="1">
      <alignment horizontal="left" vertical="center" shrinkToFit="1"/>
    </xf>
    <xf numFmtId="0" fontId="6" fillId="0" borderId="0" xfId="0" applyFont="1" applyFill="1" applyBorder="1" applyAlignment="1">
      <alignment horizontal="center" vertical="center" shrinkToFit="1"/>
    </xf>
    <xf numFmtId="0" fontId="6" fillId="0" borderId="0" xfId="0" applyFont="1" applyFill="1" applyBorder="1" applyAlignment="1">
      <alignment horizontal="right" vertical="center" shrinkToFit="1"/>
    </xf>
    <xf numFmtId="0" fontId="17" fillId="0" borderId="0" xfId="0" applyFont="1" applyFill="1" applyBorder="1" applyAlignment="1">
      <alignment horizontal="center" vertical="center" shrinkToFit="1"/>
    </xf>
    <xf numFmtId="165" fontId="33" fillId="0" borderId="0" xfId="0" applyNumberFormat="1" applyFont="1" applyFill="1" applyBorder="1" applyAlignment="1"/>
    <xf numFmtId="0" fontId="43" fillId="0" borderId="0" xfId="0" applyNumberFormat="1" applyFont="1" applyFill="1" applyBorder="1" applyAlignment="1"/>
    <xf numFmtId="0" fontId="14" fillId="0" borderId="0" xfId="0" applyFont="1" applyFill="1" applyBorder="1" applyAlignment="1">
      <alignment vertical="center" shrinkToFit="1"/>
    </xf>
    <xf numFmtId="165" fontId="32" fillId="0" borderId="0" xfId="0" applyNumberFormat="1" applyFont="1" applyAlignment="1"/>
    <xf numFmtId="0" fontId="21" fillId="0" borderId="106" xfId="0" applyFont="1" applyBorder="1" applyAlignment="1">
      <alignment horizontal="right" vertical="center"/>
    </xf>
    <xf numFmtId="0" fontId="21" fillId="0" borderId="47" xfId="0" applyFont="1" applyBorder="1" applyAlignment="1">
      <alignment horizontal="center" vertical="center"/>
    </xf>
    <xf numFmtId="0" fontId="21" fillId="0" borderId="32" xfId="0" applyFont="1" applyBorder="1" applyAlignment="1">
      <alignment horizontal="left" vertical="center"/>
    </xf>
    <xf numFmtId="14" fontId="52" fillId="0" borderId="98" xfId="0" applyNumberFormat="1" applyFont="1" applyBorder="1" applyAlignment="1">
      <alignment horizontal="center" vertical="center" shrinkToFit="1"/>
    </xf>
    <xf numFmtId="166" fontId="52" fillId="0" borderId="98" xfId="0" applyNumberFormat="1" applyFont="1" applyBorder="1" applyAlignment="1">
      <alignment horizontal="center" vertical="center" shrinkToFit="1"/>
    </xf>
    <xf numFmtId="14" fontId="52" fillId="0" borderId="51" xfId="0" applyNumberFormat="1" applyFont="1" applyBorder="1" applyAlignment="1">
      <alignment horizontal="center" vertical="center" shrinkToFit="1"/>
    </xf>
    <xf numFmtId="166" fontId="52" fillId="0" borderId="51" xfId="0" applyNumberFormat="1" applyFont="1" applyBorder="1" applyAlignment="1">
      <alignment horizontal="center" vertical="center" shrinkToFit="1"/>
    </xf>
    <xf numFmtId="0" fontId="14" fillId="0" borderId="34" xfId="0" applyFont="1" applyBorder="1" applyAlignment="1">
      <alignment horizontal="center" vertical="center" shrinkToFit="1"/>
    </xf>
    <xf numFmtId="0" fontId="14" fillId="0" borderId="40" xfId="0" applyFont="1" applyBorder="1" applyAlignment="1">
      <alignment horizontal="center" vertical="center" shrinkToFit="1"/>
    </xf>
    <xf numFmtId="0" fontId="14" fillId="0" borderId="40" xfId="0" applyFont="1" applyBorder="1" applyAlignment="1">
      <alignment horizontal="right" vertical="center" shrinkToFit="1"/>
    </xf>
    <xf numFmtId="0" fontId="14" fillId="0" borderId="39" xfId="0" applyFont="1" applyBorder="1" applyAlignment="1">
      <alignment horizontal="left" vertical="center" shrinkToFit="1"/>
    </xf>
    <xf numFmtId="0" fontId="15" fillId="0" borderId="35" xfId="0" applyFont="1" applyBorder="1" applyAlignment="1">
      <alignment horizontal="center" vertical="center" shrinkToFit="1"/>
    </xf>
    <xf numFmtId="0" fontId="14" fillId="0" borderId="33" xfId="0" applyFont="1" applyBorder="1" applyAlignment="1">
      <alignment horizontal="center" vertical="center" shrinkToFit="1"/>
    </xf>
    <xf numFmtId="0" fontId="14" fillId="4" borderId="34" xfId="0" applyFont="1" applyFill="1" applyBorder="1" applyAlignment="1">
      <alignment horizontal="center" vertical="center" shrinkToFit="1"/>
    </xf>
    <xf numFmtId="0" fontId="14" fillId="0" borderId="35" xfId="0" applyFont="1" applyBorder="1" applyAlignment="1">
      <alignment horizontal="center" vertical="center" shrinkToFit="1"/>
    </xf>
    <xf numFmtId="0" fontId="14" fillId="0" borderId="37" xfId="0" applyFont="1" applyBorder="1" applyAlignment="1">
      <alignment horizontal="center" vertical="center" shrinkToFit="1"/>
    </xf>
    <xf numFmtId="0" fontId="14" fillId="0" borderId="42" xfId="0" applyFont="1" applyBorder="1" applyAlignment="1">
      <alignment horizontal="center" vertical="center" shrinkToFit="1"/>
    </xf>
    <xf numFmtId="0" fontId="14" fillId="0" borderId="42" xfId="0" applyFont="1" applyBorder="1" applyAlignment="1">
      <alignment horizontal="right" vertical="center" shrinkToFit="1"/>
    </xf>
    <xf numFmtId="0" fontId="14" fillId="0" borderId="41" xfId="0" applyFont="1" applyBorder="1" applyAlignment="1">
      <alignment horizontal="left" vertical="center" shrinkToFit="1"/>
    </xf>
    <xf numFmtId="0" fontId="15" fillId="0" borderId="38" xfId="0" applyFont="1" applyBorder="1" applyAlignment="1">
      <alignment horizontal="center" vertical="center" shrinkToFit="1"/>
    </xf>
    <xf numFmtId="0" fontId="14" fillId="0" borderId="36" xfId="0" applyFont="1" applyBorder="1" applyAlignment="1">
      <alignment horizontal="center" vertical="center" shrinkToFit="1"/>
    </xf>
    <xf numFmtId="0" fontId="14" fillId="4" borderId="38" xfId="0" applyFont="1" applyFill="1" applyBorder="1" applyAlignment="1">
      <alignment horizontal="center" vertical="center" shrinkToFit="1"/>
    </xf>
    <xf numFmtId="0" fontId="14" fillId="0" borderId="14" xfId="0" applyFont="1" applyBorder="1" applyAlignment="1">
      <alignment vertical="center" shrinkToFit="1"/>
    </xf>
    <xf numFmtId="0" fontId="14" fillId="0" borderId="14" xfId="0" applyFont="1" applyBorder="1" applyAlignment="1">
      <alignment horizontal="center" vertical="center" shrinkToFit="1"/>
    </xf>
    <xf numFmtId="0" fontId="14" fillId="6" borderId="20" xfId="0" applyFont="1" applyFill="1" applyBorder="1" applyAlignment="1" applyProtection="1">
      <alignment horizontal="right" vertical="center" shrinkToFit="1"/>
      <protection locked="0"/>
    </xf>
    <xf numFmtId="0" fontId="14" fillId="0" borderId="16" xfId="0" applyFont="1" applyBorder="1" applyAlignment="1">
      <alignment vertical="center" shrinkToFit="1"/>
    </xf>
    <xf numFmtId="0" fontId="14" fillId="0" borderId="16" xfId="0" applyFont="1" applyBorder="1" applyAlignment="1">
      <alignment horizontal="center" vertical="center" shrinkToFit="1"/>
    </xf>
    <xf numFmtId="0" fontId="14" fillId="6" borderId="21" xfId="0" applyFont="1" applyFill="1" applyBorder="1" applyAlignment="1" applyProtection="1">
      <alignment horizontal="right" vertical="center" shrinkToFit="1"/>
      <protection locked="0"/>
    </xf>
    <xf numFmtId="0" fontId="8" fillId="0" borderId="31" xfId="0" applyNumberFormat="1" applyFont="1" applyFill="1" applyBorder="1" applyAlignment="1" applyProtection="1">
      <alignment horizontal="right" vertical="center" indent="1"/>
      <protection hidden="1"/>
    </xf>
    <xf numFmtId="0" fontId="8" fillId="0" borderId="32" xfId="0" applyNumberFormat="1" applyFont="1" applyFill="1" applyBorder="1" applyAlignment="1" applyProtection="1">
      <alignment horizontal="left" vertical="center"/>
      <protection hidden="1"/>
    </xf>
    <xf numFmtId="0" fontId="8" fillId="0" borderId="0" xfId="0" applyNumberFormat="1" applyFont="1" applyFill="1" applyAlignment="1" applyProtection="1">
      <alignment horizontal="left" vertical="center"/>
      <protection hidden="1"/>
    </xf>
    <xf numFmtId="0" fontId="8" fillId="0" borderId="5" xfId="0" applyNumberFormat="1" applyFont="1" applyFill="1" applyBorder="1" applyAlignment="1" applyProtection="1">
      <alignment horizontal="left" vertical="center"/>
      <protection hidden="1"/>
    </xf>
    <xf numFmtId="0" fontId="8" fillId="0" borderId="8" xfId="0" applyNumberFormat="1" applyFont="1" applyFill="1" applyBorder="1" applyAlignment="1" applyProtection="1">
      <alignment horizontal="left" vertical="center"/>
      <protection hidden="1"/>
    </xf>
    <xf numFmtId="0" fontId="8" fillId="0" borderId="0" xfId="0" applyNumberFormat="1" applyFont="1" applyFill="1" applyBorder="1" applyAlignment="1" applyProtection="1">
      <alignment horizontal="left" vertical="center"/>
      <protection hidden="1"/>
    </xf>
    <xf numFmtId="0" fontId="8" fillId="0" borderId="10" xfId="0" applyNumberFormat="1" applyFont="1" applyFill="1" applyBorder="1" applyAlignment="1" applyProtection="1">
      <alignment horizontal="left" vertical="center"/>
      <protection hidden="1"/>
    </xf>
    <xf numFmtId="0" fontId="8" fillId="0" borderId="0" xfId="0" applyNumberFormat="1" applyFont="1" applyAlignment="1">
      <alignment horizontal="left"/>
    </xf>
    <xf numFmtId="0" fontId="0" fillId="0" borderId="0" xfId="0" applyAlignment="1">
      <alignment horizontal="left"/>
    </xf>
    <xf numFmtId="0" fontId="8" fillId="0" borderId="11" xfId="0" applyNumberFormat="1" applyFont="1" applyFill="1" applyBorder="1" applyAlignment="1" applyProtection="1">
      <alignment vertical="center"/>
      <protection hidden="1"/>
    </xf>
    <xf numFmtId="0" fontId="8" fillId="0" borderId="107" xfId="0" applyNumberFormat="1" applyFont="1" applyFill="1" applyBorder="1" applyAlignment="1" applyProtection="1">
      <alignment horizontal="center" vertical="center"/>
      <protection hidden="1"/>
    </xf>
    <xf numFmtId="165" fontId="33" fillId="0" borderId="0" xfId="0" applyNumberFormat="1" applyFont="1" applyBorder="1" applyAlignment="1">
      <alignment horizontal="center"/>
    </xf>
    <xf numFmtId="165" fontId="53" fillId="0" borderId="0" xfId="0" applyNumberFormat="1" applyFont="1" applyBorder="1" applyAlignment="1">
      <alignment horizontal="center"/>
    </xf>
    <xf numFmtId="0" fontId="14" fillId="0" borderId="0" xfId="0" applyFont="1" applyFill="1" applyBorder="1" applyAlignment="1">
      <alignment horizontal="center" vertical="center" shrinkToFit="1"/>
    </xf>
    <xf numFmtId="0" fontId="14" fillId="4" borderId="111" xfId="0" applyFont="1" applyFill="1" applyBorder="1" applyAlignment="1">
      <alignment horizontal="center" vertical="center" shrinkToFit="1"/>
    </xf>
    <xf numFmtId="0" fontId="14" fillId="0" borderId="112" xfId="0" applyFont="1" applyBorder="1" applyAlignment="1">
      <alignment horizontal="center" vertical="center" shrinkToFit="1"/>
    </xf>
    <xf numFmtId="0" fontId="14" fillId="0" borderId="113" xfId="0" applyFont="1" applyBorder="1" applyAlignment="1">
      <alignment horizontal="center" vertical="center" shrinkToFit="1"/>
    </xf>
    <xf numFmtId="0" fontId="5" fillId="0" borderId="108" xfId="0" applyFont="1" applyBorder="1" applyAlignment="1">
      <alignment horizontal="center" vertical="center" shrinkToFit="1"/>
    </xf>
    <xf numFmtId="0" fontId="5" fillId="0" borderId="91" xfId="0" applyFont="1" applyBorder="1" applyAlignment="1">
      <alignment horizontal="center" vertical="center" shrinkToFit="1"/>
    </xf>
    <xf numFmtId="0" fontId="5" fillId="0" borderId="114" xfId="0" applyFont="1" applyBorder="1" applyAlignment="1">
      <alignment horizontal="center" vertical="center" shrinkToFit="1"/>
    </xf>
    <xf numFmtId="165" fontId="15" fillId="5" borderId="109" xfId="0" applyNumberFormat="1" applyFont="1" applyFill="1" applyBorder="1" applyAlignment="1">
      <alignment vertical="center" shrinkToFit="1"/>
    </xf>
    <xf numFmtId="165" fontId="15" fillId="5" borderId="37" xfId="0" applyNumberFormat="1" applyFont="1" applyFill="1" applyBorder="1" applyAlignment="1">
      <alignment vertical="center" shrinkToFit="1"/>
    </xf>
    <xf numFmtId="165" fontId="15" fillId="5" borderId="115" xfId="0" applyNumberFormat="1" applyFont="1" applyFill="1" applyBorder="1" applyAlignment="1">
      <alignment vertical="center" shrinkToFit="1"/>
    </xf>
    <xf numFmtId="0" fontId="9" fillId="0" borderId="0" xfId="0" applyNumberFormat="1" applyFont="1" applyFill="1" applyAlignment="1" applyProtection="1">
      <alignment horizontal="left" vertical="center"/>
      <protection hidden="1"/>
    </xf>
    <xf numFmtId="0" fontId="54" fillId="0" borderId="0" xfId="0" applyNumberFormat="1" applyFont="1" applyFill="1" applyAlignment="1" applyProtection="1">
      <alignment vertical="top" wrapText="1"/>
      <protection hidden="1"/>
    </xf>
    <xf numFmtId="0" fontId="5" fillId="0" borderId="0" xfId="0" applyFont="1" applyFill="1" applyBorder="1" applyAlignment="1">
      <alignment horizontal="center" vertical="center" shrinkToFit="1"/>
    </xf>
    <xf numFmtId="0" fontId="14" fillId="0" borderId="0" xfId="0" applyFont="1" applyFill="1" applyBorder="1" applyAlignment="1">
      <alignment horizontal="right" vertical="center" indent="1" shrinkToFit="1"/>
    </xf>
    <xf numFmtId="0" fontId="43" fillId="0" borderId="0" xfId="0" applyNumberFormat="1" applyFont="1" applyFill="1" applyBorder="1" applyAlignment="1">
      <alignment vertical="top"/>
    </xf>
    <xf numFmtId="164" fontId="14" fillId="0" borderId="116" xfId="0" applyNumberFormat="1" applyFont="1" applyBorder="1" applyAlignment="1">
      <alignment horizontal="center" vertical="center" shrinkToFit="1"/>
    </xf>
    <xf numFmtId="0" fontId="14" fillId="0" borderId="117" xfId="0" applyFont="1" applyBorder="1" applyAlignment="1">
      <alignment horizontal="left" vertical="center" shrinkToFit="1"/>
    </xf>
    <xf numFmtId="164" fontId="14" fillId="0" borderId="118" xfId="0" applyNumberFormat="1" applyFont="1" applyBorder="1" applyAlignment="1">
      <alignment horizontal="center" vertical="center" shrinkToFit="1"/>
    </xf>
    <xf numFmtId="0" fontId="14" fillId="0" borderId="46" xfId="0" applyFont="1" applyBorder="1" applyAlignment="1">
      <alignment horizontal="left" vertical="center" shrinkToFit="1"/>
    </xf>
    <xf numFmtId="164" fontId="14" fillId="0" borderId="119" xfId="0" applyNumberFormat="1" applyFont="1" applyBorder="1" applyAlignment="1">
      <alignment horizontal="center" vertical="center" shrinkToFit="1"/>
    </xf>
    <xf numFmtId="0" fontId="14" fillId="0" borderId="120" xfId="0" applyFont="1" applyBorder="1" applyAlignment="1">
      <alignment horizontal="left" vertical="center" shrinkToFit="1"/>
    </xf>
    <xf numFmtId="164" fontId="14" fillId="0" borderId="121" xfId="0" applyNumberFormat="1" applyFont="1" applyBorder="1" applyAlignment="1">
      <alignment horizontal="right" vertical="center" indent="1" shrinkToFit="1"/>
    </xf>
    <xf numFmtId="164" fontId="14" fillId="0" borderId="122" xfId="0" applyNumberFormat="1" applyFont="1" applyBorder="1" applyAlignment="1">
      <alignment horizontal="right" vertical="center" indent="1" shrinkToFit="1"/>
    </xf>
    <xf numFmtId="0" fontId="14" fillId="0" borderId="123" xfId="0" applyFont="1" applyBorder="1" applyAlignment="1">
      <alignment horizontal="left" vertical="center" shrinkToFit="1"/>
    </xf>
    <xf numFmtId="14" fontId="52" fillId="0" borderId="53" xfId="0" applyNumberFormat="1" applyFont="1" applyBorder="1" applyAlignment="1">
      <alignment horizontal="center" vertical="center" shrinkToFit="1"/>
    </xf>
    <xf numFmtId="166" fontId="52" fillId="0" borderId="53" xfId="0" applyNumberFormat="1" applyFont="1" applyBorder="1" applyAlignment="1">
      <alignment horizontal="center" vertical="center" shrinkToFit="1"/>
    </xf>
    <xf numFmtId="0" fontId="14" fillId="0" borderId="84" xfId="0" applyFont="1" applyBorder="1" applyAlignment="1">
      <alignment vertical="center" shrinkToFit="1"/>
    </xf>
    <xf numFmtId="0" fontId="14" fillId="0" borderId="84" xfId="0" applyFont="1" applyBorder="1" applyAlignment="1">
      <alignment horizontal="center" vertical="center" shrinkToFit="1"/>
    </xf>
    <xf numFmtId="0" fontId="14" fillId="6" borderId="83" xfId="0" applyFont="1" applyFill="1" applyBorder="1" applyAlignment="1" applyProtection="1">
      <alignment horizontal="right" vertical="center" shrinkToFit="1"/>
      <protection locked="0"/>
    </xf>
    <xf numFmtId="14" fontId="51" fillId="6" borderId="125" xfId="0" applyNumberFormat="1" applyFont="1" applyFill="1" applyBorder="1" applyAlignment="1" applyProtection="1">
      <alignment horizontal="center" vertical="center"/>
      <protection locked="0"/>
    </xf>
    <xf numFmtId="166" fontId="51" fillId="6" borderId="126" xfId="0" applyNumberFormat="1" applyFont="1" applyFill="1" applyBorder="1" applyAlignment="1" applyProtection="1">
      <alignment horizontal="center" vertical="center"/>
      <protection locked="0"/>
    </xf>
    <xf numFmtId="14" fontId="51" fillId="6" borderId="33" xfId="0" applyNumberFormat="1" applyFont="1" applyFill="1" applyBorder="1" applyAlignment="1" applyProtection="1">
      <alignment horizontal="center" vertical="center"/>
      <protection locked="0"/>
    </xf>
    <xf numFmtId="166" fontId="51" fillId="6" borderId="35" xfId="0" applyNumberFormat="1" applyFont="1" applyFill="1" applyBorder="1" applyAlignment="1" applyProtection="1">
      <alignment horizontal="center" vertical="center"/>
      <protection locked="0"/>
    </xf>
    <xf numFmtId="14" fontId="51" fillId="6" borderId="36" xfId="0" applyNumberFormat="1" applyFont="1" applyFill="1" applyBorder="1" applyAlignment="1" applyProtection="1">
      <alignment horizontal="center" vertical="center"/>
      <protection locked="0"/>
    </xf>
    <xf numFmtId="166" fontId="51" fillId="6" borderId="38" xfId="0" applyNumberFormat="1" applyFont="1" applyFill="1" applyBorder="1" applyAlignment="1" applyProtection="1">
      <alignment horizontal="center" vertical="center"/>
      <protection locked="0"/>
    </xf>
    <xf numFmtId="0" fontId="21" fillId="6" borderId="126" xfId="0" applyFont="1" applyFill="1" applyBorder="1" applyAlignment="1" applyProtection="1">
      <alignment vertical="center"/>
      <protection locked="0"/>
    </xf>
    <xf numFmtId="0" fontId="21" fillId="6" borderId="35" xfId="0" applyFont="1" applyFill="1" applyBorder="1" applyAlignment="1" applyProtection="1">
      <alignment vertical="center"/>
      <protection locked="0"/>
    </xf>
    <xf numFmtId="0" fontId="21" fillId="6" borderId="38" xfId="0" applyFont="1" applyFill="1" applyBorder="1" applyAlignment="1" applyProtection="1">
      <alignment vertical="center"/>
      <protection locked="0"/>
    </xf>
    <xf numFmtId="0" fontId="20" fillId="0" borderId="98" xfId="0" applyFont="1" applyBorder="1" applyAlignment="1">
      <alignment horizontal="left" vertical="center" indent="1"/>
    </xf>
    <xf numFmtId="0" fontId="21" fillId="0" borderId="25" xfId="0" applyFont="1" applyBorder="1" applyAlignment="1">
      <alignment horizontal="center" vertical="center"/>
    </xf>
    <xf numFmtId="0" fontId="20" fillId="0" borderId="127" xfId="0" applyFont="1" applyBorder="1" applyAlignment="1">
      <alignment horizontal="left" vertical="center" indent="1"/>
    </xf>
    <xf numFmtId="0" fontId="20" fillId="6" borderId="128" xfId="0" applyFont="1" applyFill="1" applyBorder="1" applyAlignment="1" applyProtection="1">
      <alignment horizontal="center" vertical="center"/>
      <protection locked="0"/>
    </xf>
    <xf numFmtId="0" fontId="40" fillId="0" borderId="0" xfId="0" applyFont="1" applyAlignment="1" applyProtection="1">
      <alignment horizontal="center" vertical="center" wrapText="1"/>
    </xf>
    <xf numFmtId="0" fontId="22" fillId="6" borderId="47" xfId="0" applyFont="1" applyFill="1" applyBorder="1" applyAlignment="1">
      <alignment horizontal="center" vertical="center"/>
    </xf>
    <xf numFmtId="165" fontId="28" fillId="0" borderId="0" xfId="0" applyNumberFormat="1" applyFont="1" applyBorder="1" applyAlignment="1">
      <alignment horizontal="left" vertical="center" wrapText="1"/>
    </xf>
    <xf numFmtId="0" fontId="27" fillId="0" borderId="0" xfId="0" applyFont="1" applyProtection="1"/>
    <xf numFmtId="0" fontId="0" fillId="0" borderId="84" xfId="0" applyBorder="1" applyProtection="1"/>
    <xf numFmtId="165" fontId="33" fillId="0" borderId="0" xfId="0" applyNumberFormat="1" applyFont="1" applyBorder="1" applyAlignment="1">
      <alignment horizontal="center"/>
    </xf>
    <xf numFmtId="0" fontId="16" fillId="0" borderId="0" xfId="0" applyFont="1" applyAlignment="1"/>
    <xf numFmtId="0" fontId="40" fillId="0" borderId="0" xfId="0" applyFont="1" applyAlignment="1"/>
    <xf numFmtId="0" fontId="56" fillId="0" borderId="0" xfId="0" applyFont="1" applyAlignment="1">
      <alignment horizontal="left" vertical="center"/>
    </xf>
    <xf numFmtId="14" fontId="56" fillId="0" borderId="0" xfId="0" applyNumberFormat="1" applyFont="1" applyAlignment="1">
      <alignment horizontal="left" vertical="top"/>
    </xf>
    <xf numFmtId="165" fontId="49" fillId="0" borderId="0" xfId="0" applyNumberFormat="1" applyFont="1" applyBorder="1" applyAlignment="1">
      <alignment horizontal="center" vertical="center" wrapText="1"/>
    </xf>
    <xf numFmtId="0" fontId="15" fillId="0" borderId="0" xfId="0" applyFont="1" applyBorder="1" applyAlignment="1">
      <alignment horizontal="center" vertical="center" shrinkToFit="1"/>
    </xf>
    <xf numFmtId="165" fontId="14" fillId="0" borderId="0" xfId="0" applyNumberFormat="1" applyFont="1" applyFill="1" applyBorder="1" applyAlignment="1">
      <alignment vertical="center" shrinkToFit="1"/>
    </xf>
    <xf numFmtId="164" fontId="18" fillId="0" borderId="0" xfId="0" applyNumberFormat="1" applyFont="1" applyAlignment="1">
      <alignment horizontal="center" vertical="center"/>
    </xf>
    <xf numFmtId="1" fontId="18" fillId="0" borderId="0" xfId="0" applyNumberFormat="1" applyFont="1"/>
    <xf numFmtId="1" fontId="24" fillId="0" borderId="0" xfId="0" applyNumberFormat="1" applyFont="1" applyAlignment="1"/>
    <xf numFmtId="0" fontId="18" fillId="0" borderId="0" xfId="0" applyNumberFormat="1" applyFont="1"/>
    <xf numFmtId="0" fontId="24" fillId="0" borderId="0" xfId="0" applyNumberFormat="1" applyFont="1" applyAlignment="1"/>
    <xf numFmtId="1" fontId="18" fillId="0" borderId="137" xfId="0" applyNumberFormat="1" applyFont="1" applyBorder="1" applyAlignment="1">
      <alignment horizontal="center" vertical="center"/>
    </xf>
    <xf numFmtId="1" fontId="18" fillId="0" borderId="138" xfId="0" applyNumberFormat="1" applyFont="1" applyBorder="1"/>
    <xf numFmtId="0" fontId="5" fillId="0" borderId="0" xfId="0" applyFont="1" applyAlignment="1">
      <alignment horizontal="center" vertical="center"/>
    </xf>
    <xf numFmtId="0" fontId="19" fillId="5" borderId="136" xfId="0" applyFont="1" applyFill="1" applyBorder="1" applyAlignment="1">
      <alignment horizontal="center" vertical="center"/>
    </xf>
    <xf numFmtId="0" fontId="5" fillId="0" borderId="24" xfId="0" applyFont="1" applyBorder="1" applyAlignment="1">
      <alignment horizontal="center" vertical="center" shrinkToFit="1"/>
    </xf>
    <xf numFmtId="0" fontId="5" fillId="0" borderId="52" xfId="0" applyFont="1" applyBorder="1" applyAlignment="1">
      <alignment horizontal="center" vertical="center" shrinkToFit="1"/>
    </xf>
    <xf numFmtId="0" fontId="5" fillId="0" borderId="25" xfId="0" applyFont="1" applyBorder="1" applyAlignment="1">
      <alignment horizontal="center" vertical="center" shrinkToFit="1"/>
    </xf>
    <xf numFmtId="0" fontId="57" fillId="5" borderId="23" xfId="0" applyFont="1" applyFill="1" applyBorder="1" applyAlignment="1">
      <alignment horizontal="center" vertical="center"/>
    </xf>
    <xf numFmtId="0" fontId="14" fillId="0" borderId="137" xfId="0" applyFont="1" applyBorder="1" applyAlignment="1">
      <alignment horizontal="center" vertical="center"/>
    </xf>
    <xf numFmtId="0" fontId="14" fillId="0" borderId="138" xfId="0" applyFont="1" applyBorder="1" applyAlignment="1">
      <alignment horizontal="center" vertical="center"/>
    </xf>
    <xf numFmtId="0" fontId="57" fillId="5" borderId="48" xfId="0" applyFont="1" applyFill="1" applyBorder="1" applyAlignment="1">
      <alignment horizontal="center" vertical="center"/>
    </xf>
    <xf numFmtId="0" fontId="52" fillId="0" borderId="0" xfId="0" applyFont="1"/>
    <xf numFmtId="0" fontId="57" fillId="5" borderId="97" xfId="0" applyFont="1" applyFill="1" applyBorder="1" applyAlignment="1">
      <alignment horizontal="center" vertical="center" shrinkToFit="1"/>
    </xf>
    <xf numFmtId="0" fontId="57" fillId="5" borderId="89" xfId="0" applyFont="1" applyFill="1" applyBorder="1" applyAlignment="1">
      <alignment horizontal="center" vertical="center" shrinkToFit="1"/>
    </xf>
    <xf numFmtId="0" fontId="57" fillId="5" borderId="134" xfId="0" applyFont="1" applyFill="1" applyBorder="1" applyAlignment="1">
      <alignment horizontal="center" vertical="center" shrinkToFit="1"/>
    </xf>
    <xf numFmtId="0" fontId="57" fillId="5" borderId="90" xfId="0" applyFont="1" applyFill="1" applyBorder="1" applyAlignment="1">
      <alignment horizontal="center" vertical="center" shrinkToFit="1"/>
    </xf>
    <xf numFmtId="0" fontId="19" fillId="5" borderId="97" xfId="0" applyFont="1" applyFill="1" applyBorder="1" applyAlignment="1">
      <alignment horizontal="right" vertical="center" indent="1"/>
    </xf>
    <xf numFmtId="0" fontId="19" fillId="5" borderId="90" xfId="0" applyFont="1" applyFill="1" applyBorder="1" applyAlignment="1">
      <alignment vertical="center"/>
    </xf>
    <xf numFmtId="0" fontId="21" fillId="6" borderId="135" xfId="0" applyFont="1" applyFill="1" applyBorder="1" applyAlignment="1" applyProtection="1">
      <alignment horizontal="left" vertical="center" indent="1"/>
      <protection locked="0"/>
    </xf>
    <xf numFmtId="0" fontId="21" fillId="6" borderId="40" xfId="0" applyFont="1" applyFill="1" applyBorder="1" applyAlignment="1" applyProtection="1">
      <alignment horizontal="left" vertical="center" indent="1"/>
      <protection locked="0"/>
    </xf>
    <xf numFmtId="0" fontId="21" fillId="6" borderId="42" xfId="0" applyFont="1" applyFill="1" applyBorder="1" applyAlignment="1" applyProtection="1">
      <alignment horizontal="left" vertical="center" indent="1"/>
      <protection locked="0"/>
    </xf>
    <xf numFmtId="0" fontId="19" fillId="5" borderId="134" xfId="0" applyFont="1" applyFill="1" applyBorder="1" applyAlignment="1">
      <alignment horizontal="left" vertical="center" indent="1"/>
    </xf>
    <xf numFmtId="0" fontId="19" fillId="5" borderId="97" xfId="0" applyFont="1" applyFill="1" applyBorder="1" applyAlignment="1">
      <alignment horizontal="center" vertical="center"/>
    </xf>
    <xf numFmtId="0" fontId="19" fillId="5" borderId="90" xfId="0" applyFont="1" applyFill="1" applyBorder="1" applyAlignment="1">
      <alignment horizontal="center" vertical="center"/>
    </xf>
    <xf numFmtId="165" fontId="58" fillId="0" borderId="0" xfId="0" applyNumberFormat="1" applyFont="1" applyAlignment="1">
      <alignment horizontal="right" vertical="center" indent="1"/>
    </xf>
    <xf numFmtId="164" fontId="8" fillId="0" borderId="55" xfId="0" applyNumberFormat="1" applyFont="1" applyFill="1" applyBorder="1" applyAlignment="1" applyProtection="1">
      <alignment horizontal="right" vertical="center" indent="1"/>
      <protection hidden="1"/>
    </xf>
    <xf numFmtId="164" fontId="8" fillId="0" borderId="56" xfId="0" applyNumberFormat="1" applyFont="1" applyFill="1" applyBorder="1" applyAlignment="1" applyProtection="1">
      <alignment horizontal="right" vertical="center" indent="1"/>
      <protection hidden="1"/>
    </xf>
    <xf numFmtId="164" fontId="8" fillId="0" borderId="57" xfId="0" applyNumberFormat="1" applyFont="1" applyFill="1" applyBorder="1" applyAlignment="1" applyProtection="1">
      <alignment horizontal="right" vertical="center" indent="1"/>
      <protection hidden="1"/>
    </xf>
    <xf numFmtId="0" fontId="59" fillId="6" borderId="34" xfId="0" applyFont="1" applyFill="1" applyBorder="1" applyAlignment="1" applyProtection="1">
      <alignment horizontal="center"/>
      <protection locked="0"/>
    </xf>
    <xf numFmtId="0" fontId="5" fillId="0" borderId="0" xfId="0" applyFont="1" applyAlignment="1">
      <alignment horizontal="right"/>
    </xf>
    <xf numFmtId="0" fontId="0" fillId="0" borderId="0" xfId="0" applyAlignment="1">
      <alignment horizontal="center"/>
    </xf>
    <xf numFmtId="0" fontId="41" fillId="11" borderId="0" xfId="0" applyFont="1" applyFill="1" applyAlignment="1">
      <alignment horizontal="center"/>
    </xf>
    <xf numFmtId="0" fontId="62" fillId="0" borderId="0" xfId="0" applyFont="1"/>
    <xf numFmtId="0" fontId="0" fillId="11" borderId="146" xfId="0" applyFill="1" applyBorder="1" applyAlignment="1" applyProtection="1">
      <alignment horizontal="center"/>
      <protection locked="0"/>
    </xf>
    <xf numFmtId="0" fontId="4" fillId="0" borderId="0" xfId="0" applyFont="1" applyProtection="1">
      <protection locked="0"/>
    </xf>
    <xf numFmtId="0" fontId="6" fillId="0" borderId="148" xfId="0" applyFont="1" applyFill="1" applyBorder="1" applyAlignment="1">
      <alignment vertical="center" shrinkToFit="1"/>
    </xf>
    <xf numFmtId="0" fontId="6" fillId="0" borderId="149" xfId="0" applyFont="1" applyFill="1" applyBorder="1" applyAlignment="1">
      <alignment vertical="center" shrinkToFit="1"/>
    </xf>
    <xf numFmtId="0" fontId="64" fillId="0" borderId="150" xfId="0" applyFont="1" applyFill="1" applyBorder="1" applyAlignment="1">
      <alignment horizontal="center" vertical="center" shrinkToFit="1"/>
    </xf>
    <xf numFmtId="0" fontId="52" fillId="0" borderId="151" xfId="0" applyNumberFormat="1" applyFont="1" applyFill="1" applyBorder="1" applyAlignment="1">
      <alignment horizontal="center" vertical="top"/>
    </xf>
    <xf numFmtId="0" fontId="57" fillId="0" borderId="150" xfId="0" applyFont="1" applyFill="1" applyBorder="1" applyAlignment="1">
      <alignment horizontal="center" vertical="center" shrinkToFit="1"/>
    </xf>
    <xf numFmtId="0" fontId="57" fillId="0" borderId="151" xfId="0" applyNumberFormat="1" applyFont="1" applyFill="1" applyBorder="1" applyAlignment="1">
      <alignment horizontal="center" vertical="top"/>
    </xf>
    <xf numFmtId="0" fontId="0" fillId="0" borderId="0" xfId="0" applyAlignment="1" applyProtection="1">
      <alignment vertical="top" wrapText="1"/>
      <protection locked="0"/>
    </xf>
    <xf numFmtId="165" fontId="33" fillId="0" borderId="0" xfId="0" applyNumberFormat="1" applyFont="1" applyBorder="1" applyAlignment="1">
      <alignment horizontal="center"/>
    </xf>
    <xf numFmtId="0" fontId="17" fillId="0" borderId="0" xfId="0" applyFont="1" applyFill="1" applyBorder="1" applyAlignment="1">
      <alignment horizontal="center" vertical="center" shrinkToFit="1"/>
    </xf>
    <xf numFmtId="0" fontId="45" fillId="0" borderId="0" xfId="0" applyFont="1" applyBorder="1" applyAlignment="1" applyProtection="1">
      <alignment horizontal="center"/>
    </xf>
    <xf numFmtId="0" fontId="57" fillId="0" borderId="0" xfId="0" applyFont="1" applyFill="1" applyBorder="1" applyAlignment="1">
      <alignment horizontal="center" vertical="center" shrinkToFit="1"/>
    </xf>
    <xf numFmtId="0" fontId="14" fillId="0" borderId="0" xfId="0" applyFont="1" applyBorder="1" applyAlignment="1">
      <alignment horizontal="center" vertical="center" shrinkToFit="1"/>
    </xf>
    <xf numFmtId="0" fontId="57" fillId="5" borderId="155" xfId="0" applyFont="1" applyFill="1" applyBorder="1" applyAlignment="1">
      <alignment horizontal="center" vertical="center" shrinkToFit="1"/>
    </xf>
    <xf numFmtId="0" fontId="0" fillId="0" borderId="162" xfId="0" applyBorder="1" applyAlignment="1">
      <alignment horizontal="center"/>
    </xf>
    <xf numFmtId="0" fontId="0" fillId="0" borderId="102" xfId="0" applyBorder="1" applyAlignment="1">
      <alignment horizontal="center"/>
    </xf>
    <xf numFmtId="0" fontId="0" fillId="0" borderId="29" xfId="0" applyBorder="1" applyAlignment="1">
      <alignment horizontal="center"/>
    </xf>
    <xf numFmtId="0" fontId="0" fillId="0" borderId="86" xfId="0" applyBorder="1" applyAlignment="1">
      <alignment horizontal="center"/>
    </xf>
    <xf numFmtId="0" fontId="0" fillId="0" borderId="163" xfId="0" applyBorder="1" applyAlignment="1">
      <alignment horizontal="center"/>
    </xf>
    <xf numFmtId="0" fontId="0" fillId="0" borderId="88" xfId="0" applyBorder="1" applyAlignment="1">
      <alignment horizontal="center"/>
    </xf>
    <xf numFmtId="0" fontId="14" fillId="6" borderId="24" xfId="0" applyFont="1" applyFill="1" applyBorder="1" applyAlignment="1" applyProtection="1">
      <alignment horizontal="center" vertical="center" shrinkToFit="1"/>
      <protection locked="0"/>
    </xf>
    <xf numFmtId="0" fontId="14" fillId="6" borderId="157" xfId="0" applyFont="1" applyFill="1" applyBorder="1" applyAlignment="1" applyProtection="1">
      <alignment horizontal="center" vertical="center" shrinkToFit="1"/>
      <protection locked="0"/>
    </xf>
    <xf numFmtId="0" fontId="14" fillId="6" borderId="158" xfId="0" applyFont="1" applyFill="1" applyBorder="1" applyAlignment="1" applyProtection="1">
      <alignment horizontal="center" vertical="center" shrinkToFit="1"/>
      <protection locked="0"/>
    </xf>
    <xf numFmtId="0" fontId="14" fillId="6" borderId="159" xfId="0" applyFont="1" applyFill="1" applyBorder="1" applyAlignment="1" applyProtection="1">
      <alignment horizontal="center" vertical="center" shrinkToFit="1"/>
      <protection locked="0"/>
    </xf>
    <xf numFmtId="0" fontId="14" fillId="0" borderId="156" xfId="0" applyFont="1" applyFill="1" applyBorder="1" applyAlignment="1">
      <alignment horizontal="center" vertical="center" shrinkToFit="1"/>
    </xf>
    <xf numFmtId="0" fontId="14" fillId="0" borderId="153" xfId="0" applyFont="1" applyFill="1" applyBorder="1" applyAlignment="1">
      <alignment horizontal="center" vertical="center" shrinkToFit="1"/>
    </xf>
    <xf numFmtId="0" fontId="14" fillId="0" borderId="154" xfId="0" applyFont="1" applyFill="1" applyBorder="1" applyAlignment="1">
      <alignment horizontal="center" vertical="center" shrinkToFit="1"/>
    </xf>
    <xf numFmtId="0" fontId="51" fillId="0" borderId="0" xfId="0" applyFont="1"/>
    <xf numFmtId="0" fontId="51" fillId="6" borderId="93" xfId="0" applyFont="1" applyFill="1" applyBorder="1" applyAlignment="1" applyProtection="1">
      <alignment vertical="center"/>
      <protection locked="0"/>
    </xf>
    <xf numFmtId="0" fontId="51" fillId="6" borderId="106" xfId="0" applyFont="1" applyFill="1" applyBorder="1" applyAlignment="1" applyProtection="1">
      <alignment vertical="center"/>
      <protection locked="0"/>
    </xf>
    <xf numFmtId="0" fontId="51" fillId="6" borderId="95" xfId="0" applyFont="1" applyFill="1" applyBorder="1" applyAlignment="1" applyProtection="1">
      <alignment horizontal="left" vertical="center"/>
      <protection locked="0"/>
    </xf>
    <xf numFmtId="0" fontId="51" fillId="6" borderId="129" xfId="0" applyFont="1" applyFill="1" applyBorder="1" applyAlignment="1" applyProtection="1">
      <alignment horizontal="left" vertical="center"/>
      <protection locked="0"/>
    </xf>
    <xf numFmtId="0" fontId="51" fillId="6" borderId="40" xfId="0" applyFont="1" applyFill="1" applyBorder="1" applyAlignment="1" applyProtection="1">
      <alignment vertical="center"/>
      <protection locked="0"/>
    </xf>
    <xf numFmtId="0" fontId="22" fillId="6" borderId="43" xfId="0" applyFont="1" applyFill="1" applyBorder="1" applyAlignment="1">
      <alignment horizontal="center" vertical="center"/>
    </xf>
    <xf numFmtId="0" fontId="51" fillId="6" borderId="39" xfId="0" applyFont="1" applyFill="1" applyBorder="1" applyAlignment="1" applyProtection="1">
      <alignment horizontal="left" vertical="center"/>
      <protection locked="0"/>
    </xf>
    <xf numFmtId="0" fontId="21" fillId="0" borderId="40" xfId="0" applyFont="1" applyBorder="1" applyAlignment="1">
      <alignment horizontal="right" vertical="center"/>
    </xf>
    <xf numFmtId="0" fontId="21" fillId="0" borderId="43" xfId="0" applyFont="1" applyBorder="1" applyAlignment="1">
      <alignment horizontal="center" vertical="center"/>
    </xf>
    <xf numFmtId="0" fontId="21" fillId="0" borderId="46" xfId="0" applyFont="1" applyBorder="1" applyAlignment="1">
      <alignment horizontal="left" vertical="center"/>
    </xf>
    <xf numFmtId="1" fontId="18" fillId="0" borderId="164" xfId="0" applyNumberFormat="1" applyFont="1" applyBorder="1" applyAlignment="1">
      <alignment horizontal="center" vertical="center"/>
    </xf>
    <xf numFmtId="1" fontId="18" fillId="0" borderId="165" xfId="0" applyNumberFormat="1" applyFont="1" applyBorder="1" applyAlignment="1">
      <alignment horizontal="center" vertical="center"/>
    </xf>
    <xf numFmtId="0" fontId="55" fillId="0" borderId="0" xfId="0" applyNumberFormat="1" applyFont="1" applyBorder="1" applyAlignment="1">
      <alignment horizontal="left" vertical="top"/>
    </xf>
    <xf numFmtId="0" fontId="14" fillId="6" borderId="14" xfId="0" applyFont="1" applyFill="1" applyBorder="1" applyAlignment="1">
      <alignment horizontal="center" vertical="center"/>
    </xf>
    <xf numFmtId="0" fontId="14" fillId="6" borderId="84" xfId="0" applyFont="1" applyFill="1" applyBorder="1" applyAlignment="1">
      <alignment horizontal="center" vertical="center"/>
    </xf>
    <xf numFmtId="0" fontId="14" fillId="6" borderId="16" xfId="0" applyFont="1" applyFill="1" applyBorder="1" applyAlignment="1">
      <alignment horizontal="center" vertical="center"/>
    </xf>
    <xf numFmtId="0" fontId="14" fillId="6" borderId="166" xfId="0" applyFont="1" applyFill="1" applyBorder="1" applyAlignment="1" applyProtection="1">
      <alignment horizontal="left" vertical="center" shrinkToFit="1"/>
      <protection locked="0"/>
    </xf>
    <xf numFmtId="0" fontId="14" fillId="6" borderId="100" xfId="0" applyFont="1" applyFill="1" applyBorder="1" applyAlignment="1" applyProtection="1">
      <alignment horizontal="left" vertical="center" shrinkToFit="1"/>
      <protection locked="0"/>
    </xf>
    <xf numFmtId="0" fontId="14" fillId="6" borderId="167" xfId="0" applyFont="1" applyFill="1" applyBorder="1" applyAlignment="1" applyProtection="1">
      <alignment horizontal="left" vertical="center" shrinkToFit="1"/>
      <protection locked="0"/>
    </xf>
    <xf numFmtId="0" fontId="14" fillId="0" borderId="15" xfId="0" applyFont="1" applyFill="1" applyBorder="1" applyAlignment="1" applyProtection="1">
      <alignment horizontal="left" vertical="center" shrinkToFit="1"/>
    </xf>
    <xf numFmtId="0" fontId="14" fillId="0" borderId="124" xfId="0" applyFont="1" applyFill="1" applyBorder="1" applyAlignment="1" applyProtection="1">
      <alignment horizontal="left" vertical="center" shrinkToFit="1"/>
    </xf>
    <xf numFmtId="0" fontId="14" fillId="0" borderId="17" xfId="0" applyFont="1" applyFill="1" applyBorder="1" applyAlignment="1" applyProtection="1">
      <alignment horizontal="left" vertical="center" shrinkToFit="1"/>
    </xf>
    <xf numFmtId="0" fontId="8" fillId="0" borderId="8" xfId="0" applyNumberFormat="1" applyFont="1" applyFill="1" applyBorder="1" applyAlignment="1" applyProtection="1">
      <alignment horizontal="right" vertical="center" indent="1"/>
      <protection hidden="1"/>
    </xf>
    <xf numFmtId="164" fontId="14" fillId="0" borderId="139" xfId="0" applyNumberFormat="1" applyFont="1" applyFill="1" applyBorder="1" applyAlignment="1">
      <alignment horizontal="right" vertical="center" indent="1" shrinkToFit="1"/>
    </xf>
    <xf numFmtId="0" fontId="14" fillId="0" borderId="96" xfId="0" applyFont="1" applyFill="1" applyBorder="1" applyAlignment="1">
      <alignment horizontal="left" vertical="center" shrinkToFit="1"/>
    </xf>
    <xf numFmtId="0" fontId="14" fillId="0" borderId="45" xfId="0" applyFont="1" applyFill="1" applyBorder="1" applyAlignment="1">
      <alignment horizontal="center" vertical="center" shrinkToFit="1"/>
    </xf>
    <xf numFmtId="0" fontId="14" fillId="0" borderId="140" xfId="0" applyFont="1" applyFill="1" applyBorder="1" applyAlignment="1">
      <alignment horizontal="center" vertical="center" shrinkToFit="1"/>
    </xf>
    <xf numFmtId="0" fontId="14" fillId="0" borderId="93" xfId="0" applyFont="1" applyFill="1" applyBorder="1" applyAlignment="1">
      <alignment horizontal="center" vertical="center" shrinkToFit="1"/>
    </xf>
    <xf numFmtId="0" fontId="14" fillId="0" borderId="93" xfId="0" applyFont="1" applyFill="1" applyBorder="1" applyAlignment="1">
      <alignment horizontal="right" vertical="center" shrinkToFit="1"/>
    </xf>
    <xf numFmtId="0" fontId="14" fillId="0" borderId="95" xfId="0" applyFont="1" applyFill="1" applyBorder="1" applyAlignment="1">
      <alignment horizontal="left" vertical="center" shrinkToFit="1"/>
    </xf>
    <xf numFmtId="0" fontId="15" fillId="0" borderId="133" xfId="0" applyFont="1" applyFill="1" applyBorder="1" applyAlignment="1">
      <alignment horizontal="center" vertical="center" shrinkToFit="1"/>
    </xf>
    <xf numFmtId="164" fontId="14" fillId="0" borderId="121" xfId="0" applyNumberFormat="1" applyFont="1" applyFill="1" applyBorder="1" applyAlignment="1">
      <alignment horizontal="right" vertical="center" indent="1" shrinkToFit="1"/>
    </xf>
    <xf numFmtId="0" fontId="14" fillId="0" borderId="46" xfId="0" applyFont="1" applyFill="1" applyBorder="1" applyAlignment="1">
      <alignment horizontal="left" vertical="center" shrinkToFit="1"/>
    </xf>
    <xf numFmtId="0" fontId="14" fillId="0" borderId="33" xfId="0" applyFont="1" applyFill="1" applyBorder="1" applyAlignment="1">
      <alignment horizontal="center" vertical="center" shrinkToFit="1"/>
    </xf>
    <xf numFmtId="0" fontId="14" fillId="0" borderId="34" xfId="0" applyFont="1" applyFill="1" applyBorder="1" applyAlignment="1">
      <alignment horizontal="center" vertical="center" shrinkToFit="1"/>
    </xf>
    <xf numFmtId="0" fontId="14" fillId="0" borderId="40" xfId="0" applyFont="1" applyFill="1" applyBorder="1" applyAlignment="1">
      <alignment horizontal="center" vertical="center" shrinkToFit="1"/>
    </xf>
    <xf numFmtId="0" fontId="14" fillId="0" borderId="40" xfId="0" applyFont="1" applyFill="1" applyBorder="1" applyAlignment="1">
      <alignment horizontal="right" vertical="center" shrinkToFit="1"/>
    </xf>
    <xf numFmtId="0" fontId="14" fillId="0" borderId="39" xfId="0" applyFont="1" applyFill="1" applyBorder="1" applyAlignment="1">
      <alignment horizontal="left" vertical="center" shrinkToFit="1"/>
    </xf>
    <xf numFmtId="0" fontId="15" fillId="0" borderId="35" xfId="0" applyFont="1" applyFill="1" applyBorder="1" applyAlignment="1">
      <alignment horizontal="center" vertical="center" shrinkToFit="1"/>
    </xf>
    <xf numFmtId="0" fontId="8" fillId="0" borderId="169" xfId="0" applyNumberFormat="1" applyFont="1" applyFill="1" applyBorder="1" applyAlignment="1" applyProtection="1">
      <alignment horizontal="center" vertical="center"/>
      <protection hidden="1"/>
    </xf>
    <xf numFmtId="0" fontId="8" fillId="0" borderId="170" xfId="0" applyNumberFormat="1" applyFont="1" applyFill="1" applyBorder="1" applyAlignment="1" applyProtection="1">
      <alignment horizontal="center" vertical="center"/>
      <protection hidden="1"/>
    </xf>
    <xf numFmtId="0" fontId="8" fillId="0" borderId="171" xfId="0" applyNumberFormat="1" applyFont="1" applyFill="1" applyBorder="1" applyAlignment="1" applyProtection="1">
      <alignment horizontal="center" vertical="center"/>
      <protection hidden="1"/>
    </xf>
    <xf numFmtId="0" fontId="8" fillId="0" borderId="172" xfId="0" applyNumberFormat="1" applyFont="1" applyFill="1" applyBorder="1" applyAlignment="1" applyProtection="1">
      <alignment horizontal="center" vertical="center"/>
      <protection hidden="1"/>
    </xf>
    <xf numFmtId="0" fontId="8" fillId="0" borderId="173" xfId="0" applyNumberFormat="1" applyFont="1" applyFill="1" applyBorder="1" applyAlignment="1" applyProtection="1">
      <alignment horizontal="center" vertical="center"/>
      <protection hidden="1"/>
    </xf>
    <xf numFmtId="0" fontId="8" fillId="0" borderId="174" xfId="0" applyNumberFormat="1" applyFont="1" applyFill="1" applyBorder="1" applyAlignment="1" applyProtection="1">
      <alignment horizontal="center" vertical="center"/>
      <protection hidden="1"/>
    </xf>
    <xf numFmtId="0" fontId="8" fillId="0" borderId="169" xfId="0" applyNumberFormat="1" applyFont="1" applyFill="1" applyBorder="1" applyAlignment="1" applyProtection="1">
      <alignment horizontal="left" vertical="center"/>
      <protection hidden="1"/>
    </xf>
    <xf numFmtId="0" fontId="8" fillId="0" borderId="171" xfId="0" applyNumberFormat="1" applyFont="1" applyFill="1" applyBorder="1" applyAlignment="1" applyProtection="1">
      <alignment horizontal="left" vertical="center"/>
      <protection hidden="1"/>
    </xf>
    <xf numFmtId="0" fontId="8" fillId="0" borderId="173" xfId="0" applyNumberFormat="1" applyFont="1" applyFill="1" applyBorder="1" applyAlignment="1" applyProtection="1">
      <alignment horizontal="left" vertical="center"/>
      <protection hidden="1"/>
    </xf>
    <xf numFmtId="0" fontId="0" fillId="0" borderId="0" xfId="0" applyBorder="1" applyAlignment="1">
      <alignment horizontal="center"/>
    </xf>
    <xf numFmtId="0" fontId="0" fillId="0" borderId="110" xfId="0" applyBorder="1" applyAlignment="1">
      <alignment horizontal="center"/>
    </xf>
    <xf numFmtId="0" fontId="5" fillId="0" borderId="0" xfId="0" applyFont="1" applyBorder="1" applyAlignment="1">
      <alignment horizontal="center" vertical="center" shrinkToFit="1"/>
    </xf>
    <xf numFmtId="0" fontId="55" fillId="0" borderId="0" xfId="0" applyNumberFormat="1" applyFont="1" applyFill="1" applyBorder="1" applyAlignment="1">
      <alignment horizontal="left" vertical="top"/>
    </xf>
    <xf numFmtId="0" fontId="14" fillId="0" borderId="20" xfId="0" applyFont="1" applyFill="1" applyBorder="1" applyAlignment="1" applyProtection="1">
      <alignment horizontal="right" vertical="center" shrinkToFit="1"/>
    </xf>
    <xf numFmtId="0" fontId="14" fillId="0" borderId="83" xfId="0" applyFont="1" applyFill="1" applyBorder="1" applyAlignment="1" applyProtection="1">
      <alignment horizontal="right" vertical="center" shrinkToFit="1"/>
    </xf>
    <xf numFmtId="0" fontId="14" fillId="0" borderId="21" xfId="0" applyFont="1" applyFill="1" applyBorder="1" applyAlignment="1" applyProtection="1">
      <alignment horizontal="right" vertical="center" shrinkToFit="1"/>
    </xf>
    <xf numFmtId="0" fontId="14" fillId="0" borderId="14" xfId="0" applyFont="1" applyFill="1" applyBorder="1" applyAlignment="1" applyProtection="1">
      <alignment horizontal="center" vertical="center"/>
    </xf>
    <xf numFmtId="0" fontId="14" fillId="0" borderId="84" xfId="0" applyFont="1" applyFill="1" applyBorder="1" applyAlignment="1" applyProtection="1">
      <alignment horizontal="center" vertical="center"/>
    </xf>
    <xf numFmtId="0" fontId="14" fillId="0" borderId="16" xfId="0" applyFont="1" applyFill="1" applyBorder="1" applyAlignment="1" applyProtection="1">
      <alignment horizontal="center" vertical="center"/>
    </xf>
    <xf numFmtId="0" fontId="14" fillId="6" borderId="14" xfId="0" applyFont="1" applyFill="1" applyBorder="1" applyAlignment="1" applyProtection="1">
      <alignment horizontal="center" vertical="center"/>
    </xf>
    <xf numFmtId="0" fontId="14" fillId="6" borderId="84" xfId="0" applyFont="1" applyFill="1" applyBorder="1" applyAlignment="1" applyProtection="1">
      <alignment horizontal="center" vertical="center"/>
    </xf>
    <xf numFmtId="0" fontId="14" fillId="6" borderId="16" xfId="0" applyFont="1" applyFill="1" applyBorder="1" applyAlignment="1" applyProtection="1">
      <alignment horizontal="center" vertical="center"/>
    </xf>
    <xf numFmtId="0" fontId="8" fillId="0" borderId="6" xfId="0" applyNumberFormat="1" applyFont="1" applyFill="1" applyBorder="1" applyAlignment="1" applyProtection="1">
      <alignment horizontal="right" vertical="center" indent="1"/>
      <protection hidden="1"/>
    </xf>
    <xf numFmtId="0" fontId="8" fillId="0" borderId="7" xfId="0" applyNumberFormat="1" applyFont="1" applyFill="1" applyBorder="1" applyAlignment="1" applyProtection="1">
      <alignment horizontal="right" vertical="center" indent="1"/>
      <protection hidden="1"/>
    </xf>
    <xf numFmtId="0" fontId="8" fillId="0" borderId="0" xfId="0" applyNumberFormat="1" applyFont="1" applyFill="1" applyBorder="1" applyAlignment="1" applyProtection="1">
      <alignment horizontal="right" vertical="center" indent="1"/>
      <protection hidden="1"/>
    </xf>
    <xf numFmtId="0" fontId="8" fillId="0" borderId="9" xfId="0" applyNumberFormat="1" applyFont="1" applyFill="1" applyBorder="1" applyAlignment="1" applyProtection="1">
      <alignment horizontal="right" vertical="center" indent="1"/>
      <protection hidden="1"/>
    </xf>
    <xf numFmtId="0" fontId="4" fillId="0" borderId="0" xfId="4" applyAlignment="1">
      <alignment horizontal="right"/>
    </xf>
    <xf numFmtId="0" fontId="4" fillId="0" borderId="0" xfId="4"/>
    <xf numFmtId="0" fontId="41" fillId="0" borderId="0" xfId="4" applyFont="1" applyAlignment="1">
      <alignment horizontal="right"/>
    </xf>
    <xf numFmtId="0" fontId="41" fillId="0" borderId="0" xfId="4" applyFont="1"/>
    <xf numFmtId="0" fontId="41" fillId="0" borderId="0" xfId="4" applyFont="1" applyAlignment="1"/>
    <xf numFmtId="0" fontId="4" fillId="0" borderId="0" xfId="4" applyAlignment="1">
      <alignment vertical="top"/>
    </xf>
    <xf numFmtId="0" fontId="4" fillId="0" borderId="0" xfId="4" applyAlignment="1"/>
    <xf numFmtId="0" fontId="4" fillId="0" borderId="0" xfId="4" applyFont="1"/>
    <xf numFmtId="0" fontId="4" fillId="0" borderId="0" xfId="4" applyFont="1" applyAlignment="1">
      <alignment vertical="top" wrapText="1"/>
    </xf>
    <xf numFmtId="0" fontId="65" fillId="11" borderId="146" xfId="4" applyFont="1" applyFill="1" applyBorder="1" applyAlignment="1" applyProtection="1">
      <alignment horizontal="left" vertical="center" indent="1"/>
      <protection locked="0"/>
    </xf>
    <xf numFmtId="0" fontId="41" fillId="11" borderId="146" xfId="4" applyFont="1" applyFill="1" applyBorder="1" applyAlignment="1" applyProtection="1">
      <alignment horizontal="center"/>
      <protection locked="0"/>
    </xf>
    <xf numFmtId="0" fontId="0" fillId="0" borderId="0" xfId="0" applyAlignment="1">
      <alignment horizontal="center" vertical="center"/>
    </xf>
    <xf numFmtId="0" fontId="0" fillId="0" borderId="0" xfId="0" applyAlignment="1">
      <alignment vertical="center"/>
    </xf>
    <xf numFmtId="0" fontId="48" fillId="0" borderId="0" xfId="4" applyNumberFormat="1" applyFont="1" applyAlignment="1">
      <alignment horizontal="center" vertical="center"/>
    </xf>
    <xf numFmtId="0" fontId="4" fillId="0" borderId="0" xfId="4" applyAlignment="1">
      <alignment horizontal="center" vertical="center"/>
    </xf>
    <xf numFmtId="0" fontId="48" fillId="0" borderId="0" xfId="4" applyFont="1" applyAlignment="1">
      <alignment horizontal="center"/>
    </xf>
    <xf numFmtId="0" fontId="0" fillId="0" borderId="101" xfId="0" applyBorder="1" applyAlignment="1">
      <alignment horizontal="right" indent="1"/>
    </xf>
    <xf numFmtId="0" fontId="0" fillId="0" borderId="102" xfId="0" applyBorder="1" applyAlignment="1">
      <alignment horizontal="left"/>
    </xf>
    <xf numFmtId="0" fontId="0" fillId="0" borderId="85" xfId="0" applyBorder="1" applyAlignment="1">
      <alignment horizontal="right" indent="1"/>
    </xf>
    <xf numFmtId="0" fontId="0" fillId="0" borderId="86" xfId="0" applyBorder="1" applyAlignment="1">
      <alignment horizontal="left"/>
    </xf>
    <xf numFmtId="0" fontId="8" fillId="0" borderId="175" xfId="0" applyNumberFormat="1" applyFont="1" applyFill="1" applyBorder="1" applyAlignment="1" applyProtection="1">
      <alignment horizontal="center" vertical="center"/>
      <protection hidden="1"/>
    </xf>
    <xf numFmtId="0" fontId="8" fillId="0" borderId="87" xfId="0" applyNumberFormat="1" applyFont="1" applyFill="1" applyBorder="1" applyAlignment="1" applyProtection="1">
      <alignment horizontal="right" vertical="center" indent="1"/>
      <protection hidden="1"/>
    </xf>
    <xf numFmtId="0" fontId="8" fillId="0" borderId="88" xfId="0" applyNumberFormat="1" applyFont="1" applyFill="1" applyBorder="1" applyAlignment="1" applyProtection="1">
      <alignment horizontal="left" vertical="center"/>
      <protection hidden="1"/>
    </xf>
    <xf numFmtId="0" fontId="14" fillId="0" borderId="94" xfId="0" applyFont="1" applyFill="1" applyBorder="1" applyAlignment="1">
      <alignment horizontal="center" vertical="center"/>
    </xf>
    <xf numFmtId="0" fontId="14" fillId="0" borderId="43" xfId="0" applyFont="1" applyFill="1" applyBorder="1" applyAlignment="1">
      <alignment horizontal="center" vertical="center"/>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176" xfId="0" applyFont="1" applyFill="1" applyBorder="1" applyAlignment="1">
      <alignment horizontal="center" vertical="center"/>
    </xf>
    <xf numFmtId="0" fontId="8" fillId="0" borderId="178" xfId="0" applyNumberFormat="1" applyFont="1" applyFill="1" applyBorder="1" applyAlignment="1" applyProtection="1">
      <alignment horizontal="center" vertical="center"/>
      <protection hidden="1"/>
    </xf>
    <xf numFmtId="0" fontId="8" fillId="0" borderId="177" xfId="0" applyNumberFormat="1" applyFont="1" applyFill="1" applyBorder="1" applyAlignment="1" applyProtection="1">
      <alignment horizontal="center" vertical="center"/>
      <protection hidden="1"/>
    </xf>
    <xf numFmtId="0" fontId="3" fillId="0" borderId="0" xfId="0" applyFont="1" applyAlignment="1">
      <alignment horizontal="center"/>
    </xf>
    <xf numFmtId="0" fontId="8" fillId="0" borderId="179" xfId="0" applyNumberFormat="1" applyFont="1" applyFill="1" applyBorder="1" applyAlignment="1" applyProtection="1">
      <alignment horizontal="center" vertical="center"/>
      <protection hidden="1"/>
    </xf>
    <xf numFmtId="0" fontId="14" fillId="0" borderId="0" xfId="0" applyNumberFormat="1" applyFont="1" applyFill="1" applyBorder="1" applyAlignment="1">
      <alignment vertical="top"/>
    </xf>
    <xf numFmtId="0" fontId="52" fillId="0" borderId="150" xfId="0" applyFont="1" applyFill="1" applyBorder="1" applyAlignment="1">
      <alignment horizontal="center" vertical="center" shrinkToFit="1"/>
    </xf>
    <xf numFmtId="0" fontId="19" fillId="5" borderId="168" xfId="0" applyFont="1" applyFill="1" applyBorder="1" applyAlignment="1">
      <alignment horizontal="center" vertical="center" wrapText="1"/>
    </xf>
    <xf numFmtId="0" fontId="21" fillId="0" borderId="0" xfId="0" applyFont="1" applyBorder="1" applyAlignment="1">
      <alignment vertical="top" wrapText="1"/>
    </xf>
    <xf numFmtId="0" fontId="21" fillId="0" borderId="59" xfId="0" applyFont="1" applyBorder="1" applyAlignment="1">
      <alignment vertical="top" wrapText="1"/>
    </xf>
    <xf numFmtId="0" fontId="52" fillId="0" borderId="0" xfId="0" applyFont="1" applyFill="1" applyBorder="1" applyAlignment="1">
      <alignment horizontal="center" vertical="center" shrinkToFit="1"/>
    </xf>
    <xf numFmtId="0" fontId="52" fillId="0" borderId="0" xfId="0" applyNumberFormat="1" applyFont="1" applyFill="1" applyBorder="1" applyAlignment="1">
      <alignment horizontal="center" vertical="top"/>
    </xf>
    <xf numFmtId="0" fontId="52" fillId="0" borderId="0" xfId="0" applyNumberFormat="1" applyFont="1" applyFill="1" applyBorder="1" applyAlignment="1" applyProtection="1">
      <alignment horizontal="center" vertical="top"/>
    </xf>
    <xf numFmtId="0" fontId="52" fillId="0" borderId="0" xfId="0" applyFont="1" applyFill="1" applyBorder="1" applyAlignment="1" applyProtection="1">
      <alignment horizontal="center" vertical="center" shrinkToFit="1"/>
    </xf>
    <xf numFmtId="0" fontId="52" fillId="0" borderId="0" xfId="0" applyFont="1" applyFill="1" applyBorder="1" applyAlignment="1" applyProtection="1">
      <alignment vertical="center" shrinkToFit="1"/>
    </xf>
    <xf numFmtId="0" fontId="52" fillId="0" borderId="0" xfId="0" applyFont="1" applyFill="1" applyBorder="1" applyProtection="1"/>
    <xf numFmtId="0" fontId="52" fillId="0" borderId="0" xfId="0" applyFont="1" applyFill="1" applyBorder="1" applyAlignment="1" applyProtection="1">
      <alignment horizontal="center"/>
    </xf>
    <xf numFmtId="0" fontId="52" fillId="0" borderId="0" xfId="0" applyFont="1" applyFill="1" applyBorder="1" applyAlignment="1" applyProtection="1">
      <alignment horizontal="right"/>
    </xf>
    <xf numFmtId="0" fontId="52" fillId="0" borderId="0" xfId="0" applyFont="1" applyFill="1" applyBorder="1" applyAlignment="1" applyProtection="1">
      <alignment horizontal="center" shrinkToFit="1"/>
    </xf>
    <xf numFmtId="0" fontId="52" fillId="6" borderId="151" xfId="0" applyFont="1" applyFill="1" applyBorder="1" applyAlignment="1" applyProtection="1">
      <alignment horizontal="center" vertical="center" shrinkToFit="1"/>
      <protection locked="0"/>
    </xf>
    <xf numFmtId="0" fontId="63" fillId="0" borderId="182" xfId="0" applyFont="1" applyBorder="1" applyAlignment="1">
      <alignment horizontal="center" vertical="center"/>
    </xf>
    <xf numFmtId="0" fontId="63" fillId="0" borderId="182" xfId="0" applyFont="1" applyFill="1" applyBorder="1" applyAlignment="1">
      <alignment horizontal="center" vertical="center" shrinkToFit="1"/>
    </xf>
    <xf numFmtId="0" fontId="57" fillId="6" borderId="182" xfId="0" applyNumberFormat="1" applyFont="1" applyFill="1" applyBorder="1" applyAlignment="1" applyProtection="1">
      <alignment horizontal="center" vertical="center"/>
      <protection locked="0"/>
    </xf>
    <xf numFmtId="0" fontId="52" fillId="0" borderId="186" xfId="0" applyNumberFormat="1" applyFont="1" applyFill="1" applyBorder="1" applyAlignment="1">
      <alignment horizontal="center" vertical="top"/>
    </xf>
    <xf numFmtId="0" fontId="52" fillId="0" borderId="152" xfId="0" applyNumberFormat="1" applyFont="1" applyFill="1" applyBorder="1" applyAlignment="1">
      <alignment horizontal="center" vertical="top"/>
    </xf>
    <xf numFmtId="0" fontId="52" fillId="0" borderId="180" xfId="0" applyNumberFormat="1" applyFont="1" applyFill="1" applyBorder="1" applyAlignment="1">
      <alignment horizontal="right" vertical="top"/>
    </xf>
    <xf numFmtId="0" fontId="14" fillId="0" borderId="94" xfId="0" applyFont="1" applyFill="1" applyBorder="1" applyAlignment="1">
      <alignment horizontal="left" vertical="center" shrinkToFit="1"/>
    </xf>
    <xf numFmtId="0" fontId="14" fillId="0" borderId="43" xfId="0" applyFont="1" applyFill="1" applyBorder="1" applyAlignment="1">
      <alignment horizontal="left" vertical="center" shrinkToFit="1"/>
    </xf>
    <xf numFmtId="0" fontId="14" fillId="0" borderId="43" xfId="0" applyFont="1" applyBorder="1" applyAlignment="1">
      <alignment horizontal="left" vertical="center" shrinkToFit="1"/>
    </xf>
    <xf numFmtId="0" fontId="14" fillId="0" borderId="44" xfId="0" applyFont="1" applyBorder="1" applyAlignment="1">
      <alignment horizontal="left" vertical="center" shrinkToFit="1"/>
    </xf>
    <xf numFmtId="0" fontId="52" fillId="0" borderId="181" xfId="0" applyNumberFormat="1" applyFont="1" applyFill="1" applyBorder="1" applyAlignment="1">
      <alignment horizontal="left" vertical="top"/>
    </xf>
    <xf numFmtId="0" fontId="52" fillId="0" borderId="0" xfId="0" applyNumberFormat="1" applyFont="1" applyFill="1" applyBorder="1" applyAlignment="1">
      <alignment horizontal="center" vertical="center" shrinkToFit="1"/>
    </xf>
    <xf numFmtId="0" fontId="63" fillId="0" borderId="188" xfId="0" applyFont="1" applyBorder="1" applyAlignment="1">
      <alignment horizontal="right" vertical="center"/>
    </xf>
    <xf numFmtId="0" fontId="63" fillId="0" borderId="189" xfId="0" applyFont="1" applyFill="1" applyBorder="1" applyAlignment="1">
      <alignment horizontal="center" vertical="center" shrinkToFit="1"/>
    </xf>
    <xf numFmtId="0" fontId="14" fillId="0" borderId="95" xfId="0" applyNumberFormat="1" applyFont="1" applyFill="1" applyBorder="1" applyAlignment="1">
      <alignment horizontal="center" vertical="center" shrinkToFit="1"/>
    </xf>
    <xf numFmtId="0" fontId="14" fillId="0" borderId="39" xfId="0" applyNumberFormat="1" applyFont="1" applyFill="1" applyBorder="1" applyAlignment="1">
      <alignment horizontal="center" vertical="center" shrinkToFit="1"/>
    </xf>
    <xf numFmtId="0" fontId="14" fillId="0" borderId="39" xfId="0" applyNumberFormat="1" applyFont="1" applyBorder="1" applyAlignment="1">
      <alignment horizontal="center" vertical="center" shrinkToFit="1"/>
    </xf>
    <xf numFmtId="0" fontId="14" fillId="0" borderId="41" xfId="0" applyNumberFormat="1" applyFont="1" applyBorder="1" applyAlignment="1">
      <alignment horizontal="center" vertical="center" shrinkToFit="1"/>
    </xf>
    <xf numFmtId="0" fontId="52" fillId="0" borderId="187" xfId="0" applyFont="1" applyFill="1" applyBorder="1" applyAlignment="1">
      <alignment vertical="center" shrinkToFit="1"/>
    </xf>
    <xf numFmtId="0" fontId="52" fillId="0" borderId="147" xfId="0" applyFont="1" applyFill="1" applyBorder="1" applyAlignment="1">
      <alignment vertical="center" shrinkToFit="1"/>
    </xf>
    <xf numFmtId="0" fontId="64" fillId="0" borderId="183" xfId="0" applyFont="1" applyFill="1" applyBorder="1" applyAlignment="1">
      <alignment vertical="center" shrinkToFit="1"/>
    </xf>
    <xf numFmtId="0" fontId="52" fillId="0" borderId="190" xfId="0" applyNumberFormat="1" applyFont="1" applyFill="1" applyBorder="1" applyAlignment="1">
      <alignment horizontal="center" vertical="top"/>
    </xf>
    <xf numFmtId="0" fontId="21" fillId="0" borderId="125" xfId="0" applyNumberFormat="1" applyFont="1" applyFill="1" applyBorder="1" applyAlignment="1" applyProtection="1">
      <alignment horizontal="right" vertical="center" indent="1"/>
    </xf>
    <xf numFmtId="0" fontId="21" fillId="0" borderId="33" xfId="0" applyNumberFormat="1" applyFont="1" applyFill="1" applyBorder="1" applyAlignment="1" applyProtection="1">
      <alignment horizontal="right" vertical="center" indent="1"/>
    </xf>
    <xf numFmtId="0" fontId="21" fillId="0" borderId="36" xfId="0" applyNumberFormat="1" applyFont="1" applyFill="1" applyBorder="1" applyAlignment="1" applyProtection="1">
      <alignment horizontal="right" vertical="center" indent="1"/>
    </xf>
    <xf numFmtId="165" fontId="49" fillId="0" borderId="47" xfId="0" applyNumberFormat="1" applyFont="1" applyBorder="1" applyAlignment="1">
      <alignment horizontal="center" vertical="center" wrapText="1"/>
    </xf>
    <xf numFmtId="0" fontId="19" fillId="5" borderId="89" xfId="0" applyFont="1" applyFill="1" applyBorder="1" applyAlignment="1">
      <alignment horizontal="center" vertical="center"/>
    </xf>
    <xf numFmtId="0" fontId="19" fillId="5" borderId="90" xfId="0" applyFont="1" applyFill="1" applyBorder="1" applyAlignment="1">
      <alignment horizontal="center" vertical="center"/>
    </xf>
    <xf numFmtId="165" fontId="28" fillId="0" borderId="0" xfId="0" applyNumberFormat="1" applyFont="1" applyBorder="1" applyAlignment="1">
      <alignment horizontal="left" vertical="center" wrapText="1"/>
    </xf>
    <xf numFmtId="0" fontId="55" fillId="0" borderId="110" xfId="0" applyNumberFormat="1" applyFont="1" applyBorder="1" applyAlignment="1">
      <alignment horizontal="left" vertical="top"/>
    </xf>
    <xf numFmtId="0" fontId="16" fillId="0" borderId="0" xfId="0" applyFont="1" applyAlignment="1">
      <alignment horizontal="right" indent="1"/>
    </xf>
    <xf numFmtId="0" fontId="42" fillId="6" borderId="130" xfId="0" applyFont="1" applyFill="1" applyBorder="1" applyAlignment="1" applyProtection="1">
      <alignment horizontal="center" vertical="top"/>
      <protection locked="0"/>
    </xf>
    <xf numFmtId="0" fontId="42" fillId="6" borderId="131" xfId="0" applyFont="1" applyFill="1" applyBorder="1" applyAlignment="1" applyProtection="1">
      <alignment horizontal="center" vertical="top"/>
      <protection locked="0"/>
    </xf>
    <xf numFmtId="0" fontId="42" fillId="6" borderId="132" xfId="0" applyFont="1" applyFill="1" applyBorder="1" applyAlignment="1" applyProtection="1">
      <alignment horizontal="center" vertical="top"/>
      <protection locked="0"/>
    </xf>
    <xf numFmtId="0" fontId="25" fillId="6" borderId="93" xfId="0" applyFont="1" applyFill="1" applyBorder="1" applyAlignment="1" applyProtection="1">
      <alignment horizontal="center" vertical="center"/>
      <protection locked="0"/>
    </xf>
    <xf numFmtId="0" fontId="25" fillId="6" borderId="94" xfId="0" applyFont="1" applyFill="1" applyBorder="1" applyAlignment="1" applyProtection="1">
      <alignment horizontal="center" vertical="center"/>
      <protection locked="0"/>
    </xf>
    <xf numFmtId="0" fontId="25" fillId="6" borderId="95" xfId="0" applyFont="1" applyFill="1" applyBorder="1" applyAlignment="1" applyProtection="1">
      <alignment horizontal="center" vertical="center"/>
      <protection locked="0"/>
    </xf>
    <xf numFmtId="165" fontId="33" fillId="0" borderId="0" xfId="0" applyNumberFormat="1" applyFont="1" applyBorder="1" applyAlignment="1">
      <alignment horizontal="center"/>
    </xf>
    <xf numFmtId="0" fontId="55" fillId="0" borderId="0" xfId="0" applyNumberFormat="1" applyFont="1" applyBorder="1" applyAlignment="1">
      <alignment horizontal="left" vertical="top"/>
    </xf>
    <xf numFmtId="0" fontId="57" fillId="5" borderId="22" xfId="0" applyFont="1" applyFill="1" applyBorder="1" applyAlignment="1">
      <alignment horizontal="center" vertical="center"/>
    </xf>
    <xf numFmtId="0" fontId="57" fillId="5" borderId="12" xfId="0" applyFont="1" applyFill="1" applyBorder="1" applyAlignment="1">
      <alignment horizontal="center" vertical="center"/>
    </xf>
    <xf numFmtId="0" fontId="57" fillId="5" borderId="18" xfId="0" applyFont="1" applyFill="1" applyBorder="1" applyAlignment="1">
      <alignment horizontal="center" vertical="center"/>
    </xf>
    <xf numFmtId="0" fontId="57" fillId="5" borderId="48" xfId="0" applyFont="1" applyFill="1" applyBorder="1" applyAlignment="1">
      <alignment horizontal="center" vertical="center"/>
    </xf>
    <xf numFmtId="0" fontId="45" fillId="0" borderId="0" xfId="0" applyFont="1" applyBorder="1" applyAlignment="1" applyProtection="1">
      <alignment horizontal="center"/>
    </xf>
    <xf numFmtId="0" fontId="57" fillId="5" borderId="134" xfId="0" applyFont="1" applyFill="1" applyBorder="1" applyAlignment="1">
      <alignment horizontal="center" vertical="center" shrinkToFit="1"/>
    </xf>
    <xf numFmtId="0" fontId="57" fillId="5" borderId="143" xfId="0" applyFont="1" applyFill="1" applyBorder="1" applyAlignment="1">
      <alignment horizontal="center" vertical="center" shrinkToFit="1"/>
    </xf>
    <xf numFmtId="0" fontId="57" fillId="5" borderId="144" xfId="0" applyFont="1" applyFill="1" applyBorder="1" applyAlignment="1">
      <alignment horizontal="center" vertical="center" shrinkToFit="1"/>
    </xf>
    <xf numFmtId="0" fontId="52" fillId="5" borderId="141" xfId="0" applyFont="1" applyFill="1" applyBorder="1" applyAlignment="1">
      <alignment horizontal="center" vertical="center" shrinkToFit="1"/>
    </xf>
    <xf numFmtId="0" fontId="52" fillId="5" borderId="142" xfId="0" applyFont="1" applyFill="1" applyBorder="1" applyAlignment="1">
      <alignment horizontal="center" vertical="center" shrinkToFit="1"/>
    </xf>
    <xf numFmtId="0" fontId="57" fillId="5" borderId="160" xfId="0" applyFont="1" applyFill="1" applyBorder="1" applyAlignment="1">
      <alignment horizontal="center" vertical="center" wrapText="1" shrinkToFit="1"/>
    </xf>
    <xf numFmtId="0" fontId="57" fillId="5" borderId="161" xfId="0" applyFont="1" applyFill="1" applyBorder="1" applyAlignment="1">
      <alignment horizontal="center" vertical="center" wrapText="1" shrinkToFit="1"/>
    </xf>
    <xf numFmtId="0" fontId="57" fillId="5" borderId="19" xfId="0" applyFont="1" applyFill="1" applyBorder="1" applyAlignment="1">
      <alignment horizontal="center" vertical="center"/>
    </xf>
    <xf numFmtId="0" fontId="57" fillId="5" borderId="13" xfId="0" applyFont="1" applyFill="1" applyBorder="1" applyAlignment="1">
      <alignment horizontal="center" vertical="center"/>
    </xf>
    <xf numFmtId="0" fontId="17" fillId="0" borderId="0" xfId="0" applyFont="1" applyFill="1" applyBorder="1" applyAlignment="1">
      <alignment horizontal="center" vertical="center" shrinkToFit="1"/>
    </xf>
    <xf numFmtId="0" fontId="66" fillId="0" borderId="0" xfId="0" applyFont="1" applyAlignment="1">
      <alignment horizontal="right" vertical="center"/>
    </xf>
    <xf numFmtId="14" fontId="66" fillId="0" borderId="0" xfId="0" applyNumberFormat="1" applyFont="1" applyAlignment="1">
      <alignment horizontal="right" vertical="top"/>
    </xf>
    <xf numFmtId="0" fontId="52" fillId="0" borderId="0" xfId="0" applyFont="1" applyFill="1" applyBorder="1" applyAlignment="1" applyProtection="1">
      <alignment horizontal="center" vertical="center" shrinkToFit="1"/>
    </xf>
    <xf numFmtId="0" fontId="52" fillId="0" borderId="183" xfId="0" applyFont="1" applyFill="1" applyBorder="1" applyAlignment="1">
      <alignment horizontal="center" vertical="center" shrinkToFit="1"/>
    </xf>
    <xf numFmtId="0" fontId="52" fillId="0" borderId="184" xfId="0" applyFont="1" applyFill="1" applyBorder="1" applyAlignment="1">
      <alignment horizontal="center" vertical="center" shrinkToFit="1"/>
    </xf>
    <xf numFmtId="0" fontId="52" fillId="0" borderId="185" xfId="0" applyFont="1" applyFill="1" applyBorder="1" applyAlignment="1">
      <alignment horizontal="center" vertical="center" shrinkToFit="1"/>
    </xf>
    <xf numFmtId="0" fontId="3" fillId="0" borderId="110" xfId="0" applyFont="1" applyBorder="1" applyAlignment="1">
      <alignment horizontal="center"/>
    </xf>
    <xf numFmtId="0" fontId="54" fillId="0" borderId="0" xfId="0" applyNumberFormat="1" applyFont="1" applyFill="1" applyAlignment="1" applyProtection="1">
      <alignment horizontal="left" vertical="top" wrapText="1"/>
      <protection hidden="1"/>
    </xf>
    <xf numFmtId="0" fontId="24" fillId="0" borderId="0" xfId="0" applyFont="1" applyAlignment="1">
      <alignment horizontal="center" vertical="center"/>
    </xf>
    <xf numFmtId="0" fontId="31" fillId="0" borderId="0" xfId="0" applyFont="1" applyAlignment="1">
      <alignment horizontal="center" vertical="center" wrapText="1"/>
    </xf>
    <xf numFmtId="0" fontId="60" fillId="0" borderId="58" xfId="0" applyFont="1" applyBorder="1" applyAlignment="1">
      <alignment horizontal="left" vertical="center" indent="1"/>
    </xf>
    <xf numFmtId="0" fontId="60" fillId="0" borderId="59" xfId="0" applyFont="1" applyBorder="1" applyAlignment="1">
      <alignment horizontal="left" vertical="center" indent="1"/>
    </xf>
    <xf numFmtId="0" fontId="60" fillId="0" borderId="99" xfId="0" applyFont="1" applyBorder="1" applyAlignment="1">
      <alignment horizontal="left" vertical="center" indent="1"/>
    </xf>
    <xf numFmtId="0" fontId="21" fillId="0" borderId="60" xfId="0" applyFont="1" applyBorder="1" applyAlignment="1">
      <alignment horizontal="left" vertical="top" wrapText="1" indent="1"/>
    </xf>
    <xf numFmtId="0" fontId="21" fillId="0" borderId="0" xfId="0" applyFont="1" applyBorder="1" applyAlignment="1">
      <alignment horizontal="left" vertical="top" wrapText="1" indent="1"/>
    </xf>
    <xf numFmtId="0" fontId="21" fillId="0" borderId="61" xfId="0" applyFont="1" applyBorder="1" applyAlignment="1">
      <alignment horizontal="left" vertical="top" wrapText="1" indent="1"/>
    </xf>
    <xf numFmtId="0" fontId="24" fillId="0" borderId="0" xfId="0" applyFont="1" applyAlignment="1">
      <alignment horizontal="center"/>
    </xf>
    <xf numFmtId="0" fontId="37" fillId="10" borderId="67" xfId="0" applyFont="1" applyFill="1" applyBorder="1" applyAlignment="1">
      <alignment horizontal="center" vertical="center" wrapText="1"/>
    </xf>
    <xf numFmtId="0" fontId="37" fillId="10" borderId="69" xfId="0" applyFont="1" applyFill="1" applyBorder="1" applyAlignment="1">
      <alignment horizontal="center" vertical="center"/>
    </xf>
    <xf numFmtId="0" fontId="36" fillId="0" borderId="62" xfId="0" applyFont="1" applyBorder="1" applyAlignment="1">
      <alignment horizontal="center" vertical="top"/>
    </xf>
    <xf numFmtId="0" fontId="37" fillId="0" borderId="0" xfId="0" applyFont="1" applyFill="1" applyBorder="1" applyAlignment="1" applyProtection="1">
      <alignment horizontal="center" vertical="center" wrapText="1"/>
    </xf>
    <xf numFmtId="0" fontId="37" fillId="0" borderId="0" xfId="0" applyFont="1" applyFill="1" applyBorder="1" applyAlignment="1" applyProtection="1">
      <alignment horizontal="center" vertical="center"/>
    </xf>
    <xf numFmtId="0" fontId="0" fillId="0" borderId="64" xfId="0" applyBorder="1" applyAlignment="1" applyProtection="1">
      <alignment horizontal="center"/>
      <protection locked="0"/>
    </xf>
    <xf numFmtId="0" fontId="41" fillId="11" borderId="65" xfId="0" applyFont="1" applyFill="1" applyBorder="1" applyAlignment="1">
      <alignment horizontal="center" vertical="center" wrapText="1"/>
    </xf>
    <xf numFmtId="0" fontId="41" fillId="11" borderId="68" xfId="0" applyFont="1" applyFill="1" applyBorder="1" applyAlignment="1">
      <alignment horizontal="center" vertical="center"/>
    </xf>
    <xf numFmtId="0" fontId="41" fillId="9" borderId="104" xfId="0" applyFont="1" applyFill="1" applyBorder="1" applyAlignment="1">
      <alignment horizontal="center" vertical="center" wrapText="1"/>
    </xf>
    <xf numFmtId="0" fontId="41" fillId="9" borderId="105" xfId="0" applyFont="1" applyFill="1" applyBorder="1" applyAlignment="1">
      <alignment horizontal="center" vertical="center"/>
    </xf>
    <xf numFmtId="0" fontId="0" fillId="0" borderId="0" xfId="0" applyBorder="1" applyAlignment="1">
      <alignment horizontal="right" vertical="center" textRotation="90"/>
    </xf>
    <xf numFmtId="0" fontId="0" fillId="0" borderId="145" xfId="0" applyBorder="1" applyAlignment="1">
      <alignment horizontal="right" vertical="center" textRotation="90"/>
    </xf>
    <xf numFmtId="0" fontId="0" fillId="0" borderId="0" xfId="0" applyAlignment="1">
      <alignment horizontal="right" vertical="center" textRotation="90"/>
    </xf>
    <xf numFmtId="0" fontId="61" fillId="0" borderId="0" xfId="0" applyFont="1" applyAlignment="1">
      <alignment horizontal="center" vertical="top" textRotation="90"/>
    </xf>
    <xf numFmtId="0" fontId="18" fillId="8" borderId="60" xfId="0" applyFont="1" applyFill="1" applyBorder="1" applyAlignment="1" applyProtection="1">
      <alignment horizontal="center" vertical="center"/>
    </xf>
    <xf numFmtId="0" fontId="18" fillId="8" borderId="0" xfId="0" applyFont="1" applyFill="1" applyBorder="1" applyAlignment="1" applyProtection="1">
      <alignment horizontal="center" vertical="center"/>
    </xf>
    <xf numFmtId="0" fontId="29" fillId="8" borderId="60" xfId="3" applyFill="1" applyBorder="1" applyAlignment="1" applyProtection="1">
      <alignment horizontal="center" vertical="center"/>
      <protection locked="0"/>
    </xf>
    <xf numFmtId="0" fontId="29" fillId="8" borderId="0" xfId="3" applyFill="1" applyBorder="1" applyAlignment="1" applyProtection="1">
      <alignment horizontal="center" vertical="center"/>
      <protection locked="0"/>
    </xf>
    <xf numFmtId="0" fontId="18" fillId="8" borderId="61" xfId="0" applyFont="1" applyFill="1" applyBorder="1" applyAlignment="1" applyProtection="1">
      <alignment horizontal="center" vertical="center"/>
    </xf>
    <xf numFmtId="0" fontId="29" fillId="8" borderId="61" xfId="3" applyFill="1" applyBorder="1" applyAlignment="1" applyProtection="1">
      <alignment horizontal="center" vertical="center"/>
      <protection locked="0"/>
    </xf>
  </cellXfs>
  <cellStyles count="5">
    <cellStyle name="Berechnung" xfId="2" builtinId="22"/>
    <cellStyle name="Link" xfId="3" builtinId="8"/>
    <cellStyle name="Standard" xfId="0" builtinId="0"/>
    <cellStyle name="Standard 2" xfId="1" xr:uid="{00000000-0005-0000-0000-000001000000}"/>
    <cellStyle name="Standard 3" xfId="4" xr:uid="{99BB48F5-261C-44A6-97FB-FB61171ED925}"/>
  </cellStyles>
  <dxfs count="56">
    <dxf>
      <font>
        <b/>
        <i val="0"/>
      </font>
      <fill>
        <patternFill>
          <bgColor rgb="FFFFFF00"/>
        </patternFill>
      </fill>
    </dxf>
    <dxf>
      <font>
        <b/>
        <i val="0"/>
      </font>
    </dxf>
    <dxf>
      <font>
        <b/>
        <i val="0"/>
      </font>
      <fill>
        <patternFill>
          <bgColor rgb="FFFFFF00"/>
        </patternFill>
      </fill>
    </dxf>
    <dxf>
      <font>
        <b/>
        <i val="0"/>
      </font>
      <fill>
        <patternFill>
          <bgColor rgb="FFFFFF00"/>
        </patternFill>
      </fill>
    </dxf>
    <dxf>
      <border>
        <bottom style="thin">
          <color theme="4"/>
        </bottom>
        <vertical/>
        <horizontal/>
      </border>
    </dxf>
    <dxf>
      <border>
        <bottom style="thin">
          <color rgb="FFDA0000"/>
        </bottom>
        <vertical/>
        <horizontal/>
      </border>
    </dxf>
    <dxf>
      <border>
        <bottom style="dashDot">
          <color rgb="FFDA0000"/>
        </bottom>
        <vertical/>
        <horizontal/>
      </border>
    </dxf>
    <dxf>
      <font>
        <color rgb="FF00B050"/>
      </font>
      <numFmt numFmtId="30" formatCode="@"/>
    </dxf>
    <dxf>
      <numFmt numFmtId="30" formatCode="@"/>
    </dxf>
    <dxf>
      <numFmt numFmtId="30" formatCode="@"/>
    </dxf>
    <dxf>
      <font>
        <color rgb="FF00B050"/>
      </font>
      <numFmt numFmtId="30" formatCode="@"/>
    </dxf>
    <dxf>
      <numFmt numFmtId="165" formatCode=";;;"/>
    </dxf>
    <dxf>
      <font>
        <color rgb="FFDA0000"/>
      </font>
    </dxf>
    <dxf>
      <font>
        <color rgb="FFDA0000"/>
      </font>
    </dxf>
    <dxf>
      <numFmt numFmtId="165" formatCode=";;;"/>
    </dxf>
    <dxf>
      <font>
        <color rgb="FFDA0000"/>
      </font>
    </dxf>
    <dxf>
      <font>
        <color rgb="FFDA0000"/>
      </font>
    </dxf>
    <dxf>
      <font>
        <color rgb="FFDA0000"/>
      </font>
    </dxf>
    <dxf>
      <font>
        <color theme="2" tint="-9.9948118533890809E-2"/>
      </font>
    </dxf>
    <dxf>
      <font>
        <color rgb="FFC00000"/>
      </font>
    </dxf>
    <dxf>
      <numFmt numFmtId="165" formatCode=";;;"/>
    </dxf>
    <dxf>
      <font>
        <color rgb="FFC00000"/>
      </font>
    </dxf>
    <dxf>
      <numFmt numFmtId="165" formatCode=";;;"/>
    </dxf>
    <dxf>
      <font>
        <color rgb="FFC0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border>
        <bottom style="thin">
          <color theme="4"/>
        </bottom>
        <vertical/>
        <horizontal/>
      </border>
    </dxf>
    <dxf>
      <border>
        <bottom style="thin">
          <color rgb="FFDA0000"/>
        </bottom>
        <vertical/>
        <horizontal/>
      </border>
    </dxf>
    <dxf>
      <border>
        <bottom style="dashDot">
          <color rgb="FFDA0000"/>
        </bottom>
        <vertical/>
        <horizontal/>
      </border>
    </dxf>
    <dxf>
      <numFmt numFmtId="30" formatCode="@"/>
    </dxf>
    <dxf>
      <font>
        <b/>
        <i val="0"/>
        <color rgb="FFDA0000"/>
      </font>
    </dxf>
    <dxf>
      <font>
        <b/>
        <i val="0"/>
        <color rgb="FFDA0000"/>
      </font>
    </dxf>
    <dxf>
      <font>
        <b/>
        <i val="0"/>
        <color rgb="FFDA0000"/>
      </font>
    </dxf>
    <dxf>
      <font>
        <b/>
        <i val="0"/>
        <color rgb="FFDA0000"/>
      </font>
    </dxf>
    <dxf>
      <font>
        <b/>
        <i val="0"/>
        <color rgb="FFDA0000"/>
      </font>
    </dxf>
    <dxf>
      <font>
        <b/>
        <i val="0"/>
        <color rgb="FFDA0000"/>
      </font>
    </dxf>
    <dxf>
      <font>
        <b/>
        <i val="0"/>
        <color rgb="FFDA0000"/>
      </font>
    </dxf>
    <dxf>
      <font>
        <b/>
        <i val="0"/>
        <color rgb="FFDA0000"/>
      </font>
    </dxf>
    <dxf>
      <numFmt numFmtId="30" formatCode="@"/>
    </dxf>
    <dxf>
      <numFmt numFmtId="30" formatCode="@"/>
    </dxf>
    <dxf>
      <numFmt numFmtId="30" formatCode="@"/>
    </dxf>
  </dxfs>
  <tableStyles count="0" defaultTableStyle="TableStyleMedium2" defaultPivotStyle="PivotStyleLight16"/>
  <colors>
    <mruColors>
      <color rgb="FFDA0000"/>
      <color rgb="FFFFFFCC"/>
      <color rgb="FFFFF9E7"/>
      <color rgb="FFE7FFE7"/>
      <color rgb="FF00B050"/>
      <color rgb="FF5E913B"/>
      <color rgb="FFF8F8F8"/>
      <color rgb="FFCCFFCC"/>
      <color rgb="FFEAEAEA"/>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171450</xdr:colOff>
      <xdr:row>0</xdr:row>
      <xdr:rowOff>95250</xdr:rowOff>
    </xdr:from>
    <xdr:to>
      <xdr:col>5</xdr:col>
      <xdr:colOff>523875</xdr:colOff>
      <xdr:row>5</xdr:row>
      <xdr:rowOff>342900</xdr:rowOff>
    </xdr:to>
    <xdr:pic>
      <xdr:nvPicPr>
        <xdr:cNvPr id="6" name="Grafik 5">
          <a:extLst>
            <a:ext uri="{FF2B5EF4-FFF2-40B4-BE49-F238E27FC236}">
              <a16:creationId xmlns:a16="http://schemas.microsoft.com/office/drawing/2014/main" id="{3ED3C4DE-EC05-4613-B37B-3227D0CA56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0200" y="95250"/>
          <a:ext cx="1581150" cy="1581150"/>
        </a:xfrm>
        <a:prstGeom prst="rect">
          <a:avLst/>
        </a:prstGeom>
      </xdr:spPr>
    </xdr:pic>
    <xdr:clientData/>
  </xdr:twoCellAnchor>
  <xdr:twoCellAnchor editAs="oneCell">
    <xdr:from>
      <xdr:col>28</xdr:col>
      <xdr:colOff>314325</xdr:colOff>
      <xdr:row>0</xdr:row>
      <xdr:rowOff>133350</xdr:rowOff>
    </xdr:from>
    <xdr:to>
      <xdr:col>35</xdr:col>
      <xdr:colOff>123825</xdr:colOff>
      <xdr:row>5</xdr:row>
      <xdr:rowOff>294728</xdr:rowOff>
    </xdr:to>
    <xdr:pic>
      <xdr:nvPicPr>
        <xdr:cNvPr id="7" name="Grafik 6">
          <a:extLst>
            <a:ext uri="{FF2B5EF4-FFF2-40B4-BE49-F238E27FC236}">
              <a16:creationId xmlns:a16="http://schemas.microsoft.com/office/drawing/2014/main" id="{14F0458B-6144-49C6-B62E-5F42598E00B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916025" y="133350"/>
          <a:ext cx="2066925" cy="14948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66674</xdr:rowOff>
    </xdr:from>
    <xdr:to>
      <xdr:col>7</xdr:col>
      <xdr:colOff>752475</xdr:colOff>
      <xdr:row>23</xdr:row>
      <xdr:rowOff>161924</xdr:rowOff>
    </xdr:to>
    <xdr:sp macro="" textlink="">
      <xdr:nvSpPr>
        <xdr:cNvPr id="2" name="Textfeld 1">
          <a:extLst>
            <a:ext uri="{FF2B5EF4-FFF2-40B4-BE49-F238E27FC236}">
              <a16:creationId xmlns:a16="http://schemas.microsoft.com/office/drawing/2014/main" id="{3F3F3B93-BBA4-4F4B-81CB-1BCAAD41F89D}"/>
            </a:ext>
          </a:extLst>
        </xdr:cNvPr>
        <xdr:cNvSpPr txBox="1"/>
      </xdr:nvSpPr>
      <xdr:spPr>
        <a:xfrm>
          <a:off x="552450" y="390524"/>
          <a:ext cx="5324475" cy="349567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accent1"/>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Enter the names of the participants on the far left of the '</a:t>
          </a:r>
          <a:r>
            <a:rPr lang="de-DE" sz="1400" b="1"/>
            <a:t>Planning</a:t>
          </a:r>
          <a:r>
            <a:rPr lang="de-DE" sz="1400"/>
            <a:t>' spreadsheet (the optional abbreviations appear in the 'First Legs' and 'Second Legs' tables on the '</a:t>
          </a:r>
          <a:r>
            <a:rPr lang="de-DE" sz="1400" b="1"/>
            <a:t>Results</a:t>
          </a:r>
          <a:r>
            <a:rPr lang="de-DE" sz="1400"/>
            <a:t>' sheet)</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On the '</a:t>
          </a:r>
          <a:r>
            <a:rPr lang="de-DE" sz="1400" b="1"/>
            <a:t>Planning</a:t>
          </a:r>
          <a:r>
            <a:rPr lang="de-DE" sz="1400"/>
            <a:t>' spreadsheet on the right side under "Schedule", enter the numbers of the participants for each match (can also be copied from the '</a:t>
          </a:r>
          <a:r>
            <a:rPr lang="de-DE" sz="1400" b="1"/>
            <a:t>Matchups</a:t>
          </a:r>
          <a:r>
            <a:rPr lang="de-DE" sz="1400"/>
            <a:t>' spreadsheet)</a:t>
          </a:r>
          <a:endParaRPr lang="de-DE" sz="1400" baseline="0">
            <a:solidFill>
              <a:schemeClr val="tx1">
                <a:lumMod val="65000"/>
                <a:lumOff val="35000"/>
              </a:schemeClr>
            </a:solidFill>
          </a:endParaRP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3:</a:t>
          </a:r>
        </a:p>
        <a:p>
          <a:r>
            <a:rPr lang="de-DE" sz="1400"/>
            <a:t>Enter the game results on the "</a:t>
          </a:r>
          <a:r>
            <a:rPr lang="de-DE" sz="1400" b="1"/>
            <a:t>Results</a:t>
          </a:r>
          <a:r>
            <a:rPr lang="de-DE" sz="1400"/>
            <a:t>" spreadsheet</a:t>
          </a:r>
          <a:endParaRPr lang="de-DE" sz="1400">
            <a:solidFill>
              <a:schemeClr val="tx1">
                <a:lumMod val="65000"/>
                <a:lumOff val="35000"/>
              </a:schemeClr>
            </a:solidFill>
          </a:endParaRPr>
        </a:p>
      </xdr:txBody>
    </xdr:sp>
    <xdr:clientData/>
  </xdr:twoCellAnchor>
  <xdr:twoCellAnchor>
    <xdr:from>
      <xdr:col>1</xdr:col>
      <xdr:colOff>0</xdr:colOff>
      <xdr:row>25</xdr:row>
      <xdr:rowOff>8830</xdr:rowOff>
    </xdr:from>
    <xdr:to>
      <xdr:col>7</xdr:col>
      <xdr:colOff>752475</xdr:colOff>
      <xdr:row>72</xdr:row>
      <xdr:rowOff>0</xdr:rowOff>
    </xdr:to>
    <xdr:sp macro="" textlink="">
      <xdr:nvSpPr>
        <xdr:cNvPr id="3" name="Textfeld 2">
          <a:extLst>
            <a:ext uri="{FF2B5EF4-FFF2-40B4-BE49-F238E27FC236}">
              <a16:creationId xmlns:a16="http://schemas.microsoft.com/office/drawing/2014/main" id="{624CC0B4-3F50-4F01-ADD8-9D675702EDFF}"/>
            </a:ext>
          </a:extLst>
        </xdr:cNvPr>
        <xdr:cNvSpPr txBox="1"/>
      </xdr:nvSpPr>
      <xdr:spPr>
        <a:xfrm>
          <a:off x="552450" y="4056955"/>
          <a:ext cx="5324475" cy="760164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accent1"/>
              </a:solidFill>
            </a:rPr>
            <a:t>HINTS</a:t>
          </a:r>
        </a:p>
        <a:p>
          <a:endParaRPr lang="de-DE" sz="1400" b="1">
            <a:solidFill>
              <a:schemeClr val="tx1">
                <a:lumMod val="65000"/>
                <a:lumOff val="35000"/>
              </a:schemeClr>
            </a:solidFill>
          </a:endParaRPr>
        </a:p>
        <a:p>
          <a:r>
            <a:rPr lang="de-DE" sz="1400" b="1" baseline="0">
              <a:solidFill>
                <a:schemeClr val="tx1">
                  <a:lumMod val="65000"/>
                  <a:lumOff val="35000"/>
                </a:schemeClr>
              </a:solidFill>
            </a:rPr>
            <a:t>1.</a:t>
          </a:r>
          <a:endParaRPr lang="de-DE" sz="1400" b="1">
            <a:solidFill>
              <a:schemeClr val="tx1">
                <a:lumMod val="65000"/>
                <a:lumOff val="35000"/>
              </a:schemeClr>
            </a:solidFill>
          </a:endParaRPr>
        </a:p>
        <a:p>
          <a:r>
            <a:rPr lang="de-DE" sz="1400"/>
            <a:t>Entering the same pairing </a:t>
          </a:r>
          <a:r>
            <a:rPr lang="de-DE" sz="1400">
              <a:solidFill>
                <a:schemeClr val="dk1"/>
              </a:solidFill>
              <a:effectLst/>
              <a:latin typeface="+mn-lt"/>
              <a:ea typeface="+mn-ea"/>
              <a:cs typeface="+mn-cs"/>
            </a:rPr>
            <a:t>multiple times </a:t>
          </a:r>
          <a:r>
            <a:rPr lang="de-DE" sz="1400"/>
            <a:t>and playing against yourself will result in incorrect values in the overall table. The </a:t>
          </a:r>
          <a:r>
            <a:rPr lang="de-DE" sz="1400" b="1" baseline="0">
              <a:solidFill>
                <a:srgbClr val="DA0000"/>
              </a:solidFill>
              <a:latin typeface="+mn-lt"/>
              <a:ea typeface="+mn-ea"/>
              <a:cs typeface="+mn-cs"/>
            </a:rPr>
            <a:t>INVALID TABLE </a:t>
          </a:r>
          <a:r>
            <a:rPr lang="de-DE" sz="1400" b="0" baseline="0">
              <a:solidFill>
                <a:sysClr val="windowText" lastClr="000000"/>
              </a:solidFill>
              <a:latin typeface="+mn-lt"/>
              <a:ea typeface="+mn-ea"/>
              <a:cs typeface="+mn-cs"/>
            </a:rPr>
            <a:t>message </a:t>
          </a:r>
          <a:r>
            <a:rPr lang="de-DE" sz="1400"/>
            <a:t>will then appear above the overall table.</a:t>
          </a:r>
          <a:endParaRPr lang="de-DE" sz="1400" baseline="0">
            <a:solidFill>
              <a:schemeClr val="tx1">
                <a:lumMod val="65000"/>
                <a:lumOff val="35000"/>
              </a:schemeClr>
            </a:solidFill>
          </a:endParaRPr>
        </a:p>
        <a:p>
          <a:endParaRPr lang="de-DE" sz="1400" b="0" baseline="0">
            <a:solidFill>
              <a:schemeClr val="tx1">
                <a:lumMod val="65000"/>
                <a:lumOff val="35000"/>
              </a:schemeClr>
            </a:solidFill>
          </a:endParaRPr>
        </a:p>
        <a:p>
          <a:r>
            <a:rPr lang="de-DE" sz="1400" b="1" baseline="0">
              <a:solidFill>
                <a:schemeClr val="tx1">
                  <a:lumMod val="65000"/>
                  <a:lumOff val="35000"/>
                </a:schemeClr>
              </a:solidFill>
            </a:rPr>
            <a:t>2.</a:t>
          </a:r>
        </a:p>
        <a:p>
          <a:r>
            <a:rPr lang="de-DE" sz="1400"/>
            <a:t>Teams whose ranking is not clear will appear in </a:t>
          </a:r>
          <a:r>
            <a:rPr lang="de-DE" sz="1400" b="1">
              <a:solidFill>
                <a:srgbClr val="DA0000"/>
              </a:solidFill>
            </a:rPr>
            <a:t>red</a:t>
          </a:r>
          <a:r>
            <a:rPr lang="de-DE" sz="1400"/>
            <a:t> in the overall table.</a:t>
          </a:r>
        </a:p>
        <a:p>
          <a:endParaRPr lang="de-DE" sz="1400">
            <a:effectLst/>
          </a:endParaRPr>
        </a:p>
        <a:p>
          <a:r>
            <a:rPr lang="de-DE" sz="1400" b="1" baseline="0">
              <a:solidFill>
                <a:schemeClr val="dk1"/>
              </a:solidFill>
              <a:effectLst/>
              <a:latin typeface="+mn-lt"/>
              <a:ea typeface="+mn-ea"/>
              <a:cs typeface="+mn-cs"/>
            </a:rPr>
            <a:t>3.</a:t>
          </a:r>
          <a:endParaRPr lang="de-DE" sz="1400">
            <a:effectLst/>
          </a:endParaRPr>
        </a:p>
        <a:p>
          <a:r>
            <a:rPr lang="de-DE" sz="1400"/>
            <a:t>Select a specific matchday on the "</a:t>
          </a:r>
          <a:r>
            <a:rPr lang="de-DE" sz="1400" b="1"/>
            <a:t>Results</a:t>
          </a:r>
          <a:r>
            <a:rPr lang="de-DE" sz="1400"/>
            <a:t>" spreadsheet and you will see the table at the end of that matchday.</a:t>
          </a:r>
          <a:endParaRPr lang="de-DE" sz="1400">
            <a:effectLst/>
          </a:endParaRPr>
        </a:p>
        <a:p>
          <a:endParaRPr lang="de-DE" sz="1400" b="1" baseline="0">
            <a:solidFill>
              <a:schemeClr val="tx1">
                <a:lumMod val="65000"/>
                <a:lumOff val="35000"/>
              </a:schemeClr>
            </a:solidFill>
          </a:endParaRPr>
        </a:p>
        <a:p>
          <a:r>
            <a:rPr lang="de-DE" sz="1400" b="1" baseline="0">
              <a:solidFill>
                <a:schemeClr val="dk1"/>
              </a:solidFill>
              <a:effectLst/>
              <a:latin typeface="+mn-lt"/>
              <a:ea typeface="+mn-ea"/>
              <a:cs typeface="+mn-cs"/>
            </a:rPr>
            <a:t>4.</a:t>
          </a:r>
          <a:endParaRPr lang="de-DE" sz="1400">
            <a:effectLst/>
          </a:endParaRPr>
        </a:p>
        <a:p>
          <a:r>
            <a:rPr lang="de-DE" sz="1400">
              <a:solidFill>
                <a:schemeClr val="dk1"/>
              </a:solidFill>
              <a:effectLst/>
              <a:latin typeface="+mn-lt"/>
              <a:ea typeface="+mn-ea"/>
              <a:cs typeface="+mn-cs"/>
            </a:rPr>
            <a:t>The ranking of the teams is determined according to the following criteria:</a:t>
          </a:r>
        </a:p>
        <a:p>
          <a:endParaRPr lang="de-DE" sz="1400">
            <a:effectLst/>
          </a:endParaRPr>
        </a:p>
        <a:p>
          <a:r>
            <a:rPr lang="de-DE" sz="1100" b="1" baseline="0">
              <a:solidFill>
                <a:schemeClr val="dk1"/>
              </a:solidFill>
              <a:effectLst/>
              <a:latin typeface="+mn-lt"/>
              <a:ea typeface="+mn-ea"/>
              <a:cs typeface="+mn-cs"/>
            </a:rPr>
            <a:t>Criteria:</a:t>
          </a:r>
        </a:p>
        <a:p>
          <a:endParaRPr lang="de-DE" sz="400">
            <a:effectLst/>
          </a:endParaRPr>
        </a:p>
        <a:p>
          <a:r>
            <a:rPr lang="de-DE" sz="1100">
              <a:solidFill>
                <a:schemeClr val="dk1"/>
              </a:solidFill>
              <a:effectLst/>
              <a:latin typeface="+mn-lt"/>
              <a:ea typeface="+mn-ea"/>
              <a:cs typeface="+mn-cs"/>
            </a:rPr>
            <a:t>1. Number of points or number of sets won</a:t>
          </a:r>
          <a:r>
            <a:rPr lang="de-DE" sz="1100" baseline="0">
              <a:solidFill>
                <a:schemeClr val="dk1"/>
              </a:solidFill>
              <a:effectLst/>
              <a:latin typeface="+mn-lt"/>
              <a:ea typeface="+mn-ea"/>
              <a:cs typeface="+mn-cs"/>
            </a:rPr>
            <a:t> (adjustable)</a:t>
          </a:r>
          <a:endParaRPr lang="de-DE" sz="1000">
            <a:effectLst/>
          </a:endParaRPr>
        </a:p>
        <a:p>
          <a:r>
            <a:rPr lang="de-DE" sz="1100">
              <a:solidFill>
                <a:schemeClr val="dk1"/>
              </a:solidFill>
              <a:effectLst/>
              <a:latin typeface="+mn-lt"/>
              <a:ea typeface="+mn-ea"/>
              <a:cs typeface="+mn-cs"/>
            </a:rPr>
            <a:t>2. Set difference (adjustable YES/NO)</a:t>
          </a:r>
          <a:endParaRPr lang="de-DE" sz="1000">
            <a:effectLst/>
          </a:endParaRPr>
        </a:p>
        <a:p>
          <a:r>
            <a:rPr lang="de-DE" sz="1100">
              <a:solidFill>
                <a:schemeClr val="dk1"/>
              </a:solidFill>
              <a:effectLst/>
              <a:latin typeface="+mn-lt"/>
              <a:ea typeface="+mn-ea"/>
              <a:cs typeface="+mn-cs"/>
            </a:rPr>
            <a:t>3.   Number of sets won (adjustable YES/NO)</a:t>
          </a:r>
          <a:endParaRPr lang="de-DE" sz="1000">
            <a:effectLst/>
          </a:endParaRPr>
        </a:p>
        <a:p>
          <a:r>
            <a:rPr lang="de-DE" sz="1100">
              <a:solidFill>
                <a:schemeClr val="dk1"/>
              </a:solidFill>
              <a:effectLst/>
              <a:latin typeface="+mn-lt"/>
              <a:ea typeface="+mn-ea"/>
              <a:cs typeface="+mn-cs"/>
            </a:rPr>
            <a:t>      (Only makes sense if the number of points is the first criterion)</a:t>
          </a:r>
          <a:endParaRPr lang="de-DE" sz="1000">
            <a:effectLst/>
          </a:endParaRPr>
        </a:p>
        <a:p>
          <a:r>
            <a:rPr lang="de-DE" sz="1100">
              <a:solidFill>
                <a:schemeClr val="dk1"/>
              </a:solidFill>
              <a:effectLst/>
              <a:latin typeface="+mn-lt"/>
              <a:ea typeface="+mn-ea"/>
              <a:cs typeface="+mn-cs"/>
            </a:rPr>
            <a:t>4. Ball difference or ball quotient (adjustable)</a:t>
          </a:r>
          <a:endParaRPr lang="de-DE" sz="1000">
            <a:effectLst/>
          </a:endParaRPr>
        </a:p>
        <a:p>
          <a:r>
            <a:rPr lang="de-DE" sz="1100">
              <a:solidFill>
                <a:schemeClr val="dk1"/>
              </a:solidFill>
              <a:effectLst/>
              <a:latin typeface="+mn-lt"/>
              <a:ea typeface="+mn-ea"/>
              <a:cs typeface="+mn-cs"/>
            </a:rPr>
            <a:t>5. Drawing</a:t>
          </a:r>
          <a:r>
            <a:rPr lang="de-DE" sz="1100" baseline="0">
              <a:solidFill>
                <a:schemeClr val="dk1"/>
              </a:solidFill>
              <a:effectLst/>
              <a:latin typeface="+mn-lt"/>
              <a:ea typeface="+mn-ea"/>
              <a:cs typeface="+mn-cs"/>
            </a:rPr>
            <a:t> of lots or playoffs</a:t>
          </a:r>
        </a:p>
        <a:p>
          <a:endParaRPr lang="de-DE" sz="1400">
            <a:effectLst/>
          </a:endParaRPr>
        </a:p>
        <a:p>
          <a:r>
            <a:rPr lang="de-DE" sz="1400" b="1" baseline="0">
              <a:solidFill>
                <a:schemeClr val="dk1"/>
              </a:solidFill>
              <a:effectLst/>
              <a:latin typeface="+mn-lt"/>
              <a:ea typeface="+mn-ea"/>
              <a:cs typeface="+mn-cs"/>
            </a:rPr>
            <a:t>5.</a:t>
          </a:r>
          <a:endParaRPr lang="de-DE" sz="1400">
            <a:effectLst/>
          </a:endParaRPr>
        </a:p>
        <a:p>
          <a:r>
            <a:rPr lang="de-DE" sz="1400">
              <a:solidFill>
                <a:schemeClr val="dk1"/>
              </a:solidFill>
              <a:effectLst/>
              <a:latin typeface="+mn-lt"/>
              <a:ea typeface="+mn-ea"/>
              <a:cs typeface="+mn-cs"/>
            </a:rPr>
            <a:t>Various presets can be selected on the '</a:t>
          </a:r>
          <a:r>
            <a:rPr lang="de-DE" sz="1400" b="1">
              <a:solidFill>
                <a:schemeClr val="dk1"/>
              </a:solidFill>
              <a:effectLst/>
              <a:latin typeface="+mn-lt"/>
              <a:ea typeface="+mn-ea"/>
              <a:cs typeface="+mn-cs"/>
            </a:rPr>
            <a:t>Settings</a:t>
          </a:r>
          <a:r>
            <a:rPr lang="de-DE" sz="1400">
              <a:solidFill>
                <a:schemeClr val="dk1"/>
              </a:solidFill>
              <a:effectLst/>
              <a:latin typeface="+mn-lt"/>
              <a:ea typeface="+mn-ea"/>
              <a:cs typeface="+mn-cs"/>
            </a:rPr>
            <a:t>' sheet.</a:t>
          </a:r>
        </a:p>
        <a:p>
          <a:endParaRPr lang="de-DE" sz="400">
            <a:effectLst/>
          </a:endParaRPr>
        </a:p>
        <a:p>
          <a:r>
            <a:rPr lang="de-DE" sz="1100">
              <a:solidFill>
                <a:schemeClr val="dk1"/>
              </a:solidFill>
              <a:effectLst/>
              <a:latin typeface="+mn-lt"/>
              <a:ea typeface="+mn-ea"/>
              <a:cs typeface="+mn-cs"/>
            </a:rPr>
            <a:t>If the ball quotient is selected instead of the ball difference under point 4, the ball quotient will be displayed in the final table and also used as the fourth criterion.</a:t>
          </a:r>
        </a:p>
        <a:p>
          <a:endParaRPr lang="de-DE" sz="1100">
            <a:solidFill>
              <a:schemeClr val="dk1"/>
            </a:solidFill>
            <a:effectLst/>
            <a:latin typeface="+mn-lt"/>
            <a:ea typeface="+mn-ea"/>
            <a:cs typeface="+mn-cs"/>
          </a:endParaRPr>
        </a:p>
        <a:p>
          <a:endParaRPr lang="de-DE" sz="1000">
            <a:effectLst/>
          </a:endParaRPr>
        </a:p>
      </xdr:txBody>
    </xdr:sp>
    <xdr:clientData/>
  </xdr:twoCellAnchor>
  <xdr:twoCellAnchor editAs="absolute">
    <xdr:from>
      <xdr:col>8</xdr:col>
      <xdr:colOff>266698</xdr:colOff>
      <xdr:row>2</xdr:row>
      <xdr:rowOff>66675</xdr:rowOff>
    </xdr:from>
    <xdr:to>
      <xdr:col>15</xdr:col>
      <xdr:colOff>761999</xdr:colOff>
      <xdr:row>24</xdr:row>
      <xdr:rowOff>9525</xdr:rowOff>
    </xdr:to>
    <xdr:sp macro="" textlink="">
      <xdr:nvSpPr>
        <xdr:cNvPr id="4" name="Textfeld 3">
          <a:extLst>
            <a:ext uri="{FF2B5EF4-FFF2-40B4-BE49-F238E27FC236}">
              <a16:creationId xmlns:a16="http://schemas.microsoft.com/office/drawing/2014/main" id="{088B9FA7-033F-439B-A28E-E8F27FDCF245}"/>
            </a:ext>
          </a:extLst>
        </xdr:cNvPr>
        <xdr:cNvSpPr txBox="1"/>
      </xdr:nvSpPr>
      <xdr:spPr>
        <a:xfrm>
          <a:off x="6153148" y="390525"/>
          <a:ext cx="5334001" cy="35052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accent1"/>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chemeClr val="tx1">
                  <a:lumMod val="65000"/>
                  <a:lumOff val="35000"/>
                </a:schemeClr>
              </a:solidFill>
            </a:rPr>
            <a:t>Auf</a:t>
          </a:r>
          <a:r>
            <a:rPr lang="de-DE" sz="1400" baseline="0">
              <a:solidFill>
                <a:schemeClr val="tx1">
                  <a:lumMod val="65000"/>
                  <a:lumOff val="35000"/>
                </a:schemeClr>
              </a:solidFill>
            </a:rPr>
            <a:t> dem Tabellenblatt '</a:t>
          </a:r>
          <a:r>
            <a:rPr lang="de-DE" sz="1400" b="1" baseline="0">
              <a:solidFill>
                <a:schemeClr val="tx1">
                  <a:lumMod val="65000"/>
                  <a:lumOff val="35000"/>
                </a:schemeClr>
              </a:solidFill>
            </a:rPr>
            <a:t>Planning</a:t>
          </a:r>
          <a:r>
            <a:rPr lang="de-DE" sz="1400" baseline="0">
              <a:solidFill>
                <a:schemeClr val="tx1">
                  <a:lumMod val="65000"/>
                  <a:lumOff val="35000"/>
                </a:schemeClr>
              </a:solidFill>
            </a:rPr>
            <a:t>' g</a:t>
          </a:r>
          <a:r>
            <a:rPr lang="de-DE" sz="1400">
              <a:solidFill>
                <a:schemeClr val="tx1">
                  <a:lumMod val="65000"/>
                  <a:lumOff val="35000"/>
                </a:schemeClr>
              </a:solidFill>
            </a:rPr>
            <a:t>anz links die Namen der Teilnehmer</a:t>
          </a:r>
          <a:r>
            <a:rPr lang="de-DE" sz="1400" baseline="0">
              <a:solidFill>
                <a:schemeClr val="tx1">
                  <a:lumMod val="65000"/>
                  <a:lumOff val="35000"/>
                </a:schemeClr>
              </a:solidFill>
            </a:rPr>
            <a:t> eintragen (die optionalen Abkürzungen erscheinen in den Tabellen 'Hinspiele' und 'Rückspiele' auf dem Tabellenblatt "</a:t>
          </a:r>
          <a:r>
            <a:rPr lang="de-DE" sz="1400" b="1" baseline="0">
              <a:solidFill>
                <a:schemeClr val="tx1">
                  <a:lumMod val="65000"/>
                  <a:lumOff val="35000"/>
                </a:schemeClr>
              </a:solidFill>
            </a:rPr>
            <a:t>Results</a:t>
          </a:r>
          <a:r>
            <a:rPr lang="de-DE" sz="1400" baseline="0">
              <a:solidFill>
                <a:schemeClr val="tx1">
                  <a:lumMod val="65000"/>
                  <a:lumOff val="35000"/>
                </a:schemeClr>
              </a:solidFill>
            </a:rPr>
            <a:t>")</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a:solidFill>
                <a:schemeClr val="dk1"/>
              </a:solidFill>
              <a:effectLst/>
              <a:latin typeface="+mn-lt"/>
              <a:ea typeface="+mn-ea"/>
              <a:cs typeface="+mn-cs"/>
            </a:rPr>
            <a:t>Auf</a:t>
          </a:r>
          <a:r>
            <a:rPr lang="de-DE" sz="1400" baseline="0">
              <a:solidFill>
                <a:schemeClr val="dk1"/>
              </a:solidFill>
              <a:effectLst/>
              <a:latin typeface="+mn-lt"/>
              <a:ea typeface="+mn-ea"/>
              <a:cs typeface="+mn-cs"/>
            </a:rPr>
            <a:t> dem Tabellenblatt '</a:t>
          </a:r>
          <a:r>
            <a:rPr lang="de-DE" sz="1400" b="1" baseline="0">
              <a:solidFill>
                <a:schemeClr val="dk1"/>
              </a:solidFill>
              <a:effectLst/>
              <a:latin typeface="+mn-lt"/>
              <a:ea typeface="+mn-ea"/>
              <a:cs typeface="+mn-cs"/>
            </a:rPr>
            <a:t>Planning</a:t>
          </a:r>
          <a:r>
            <a:rPr lang="de-DE" sz="1400" baseline="0">
              <a:solidFill>
                <a:schemeClr val="dk1"/>
              </a:solidFill>
              <a:effectLst/>
              <a:latin typeface="+mn-lt"/>
              <a:ea typeface="+mn-ea"/>
              <a:cs typeface="+mn-cs"/>
            </a:rPr>
            <a:t>' </a:t>
          </a:r>
          <a:r>
            <a:rPr lang="de-DE" sz="1400" baseline="0">
              <a:solidFill>
                <a:schemeClr val="tx1">
                  <a:lumMod val="65000"/>
                  <a:lumOff val="35000"/>
                </a:schemeClr>
              </a:solidFill>
              <a:effectLst/>
              <a:latin typeface="+mn-lt"/>
              <a:ea typeface="+mn-ea"/>
              <a:cs typeface="+mn-cs"/>
            </a:rPr>
            <a:t>r</a:t>
          </a:r>
          <a:r>
            <a:rPr lang="de-DE" sz="1400" baseline="0">
              <a:solidFill>
                <a:schemeClr val="tx1">
                  <a:lumMod val="65000"/>
                  <a:lumOff val="35000"/>
                </a:schemeClr>
              </a:solidFill>
            </a:rPr>
            <a:t>echts unter "Ablaufplan" für jedes Spiel die Nummern der Teilnehmer eintragen (können auch vom Tabellenblatt '</a:t>
          </a:r>
          <a:r>
            <a:rPr lang="de-DE" sz="1400" b="1" baseline="0">
              <a:solidFill>
                <a:schemeClr val="tx1">
                  <a:lumMod val="65000"/>
                  <a:lumOff val="35000"/>
                </a:schemeClr>
              </a:solidFill>
            </a:rPr>
            <a:t>Matchups</a:t>
          </a:r>
          <a:r>
            <a:rPr lang="de-DE" sz="1400" baseline="0">
              <a:solidFill>
                <a:schemeClr val="tx1">
                  <a:lumMod val="65000"/>
                  <a:lumOff val="35000"/>
                </a:schemeClr>
              </a:solidFill>
            </a:rPr>
            <a:t>' kopiert werden)</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3. Schritt:</a:t>
          </a:r>
        </a:p>
        <a:p>
          <a:r>
            <a:rPr lang="de-DE" sz="1400" baseline="0">
              <a:solidFill>
                <a:schemeClr val="tx1">
                  <a:lumMod val="65000"/>
                  <a:lumOff val="35000"/>
                </a:schemeClr>
              </a:solidFill>
            </a:rPr>
            <a:t>Auf dem Tabellenblatt "</a:t>
          </a:r>
          <a:r>
            <a:rPr lang="de-DE" sz="1400" b="1" baseline="0">
              <a:solidFill>
                <a:schemeClr val="tx1">
                  <a:lumMod val="65000"/>
                  <a:lumOff val="35000"/>
                </a:schemeClr>
              </a:solidFill>
            </a:rPr>
            <a:t>Results</a:t>
          </a:r>
          <a:r>
            <a:rPr lang="de-DE" sz="1400" baseline="0">
              <a:solidFill>
                <a:schemeClr val="tx1">
                  <a:lumMod val="65000"/>
                  <a:lumOff val="35000"/>
                </a:schemeClr>
              </a:solidFill>
            </a:rPr>
            <a:t>" die Spielergebnisse eintragen</a:t>
          </a:r>
          <a:endParaRPr lang="de-DE" sz="1400">
            <a:solidFill>
              <a:schemeClr val="tx1">
                <a:lumMod val="65000"/>
                <a:lumOff val="35000"/>
              </a:schemeClr>
            </a:solidFill>
          </a:endParaRPr>
        </a:p>
      </xdr:txBody>
    </xdr:sp>
    <xdr:clientData/>
  </xdr:twoCellAnchor>
  <xdr:twoCellAnchor>
    <xdr:from>
      <xdr:col>8</xdr:col>
      <xdr:colOff>266699</xdr:colOff>
      <xdr:row>25</xdr:row>
      <xdr:rowOff>9525</xdr:rowOff>
    </xdr:from>
    <xdr:to>
      <xdr:col>15</xdr:col>
      <xdr:colOff>752475</xdr:colOff>
      <xdr:row>72</xdr:row>
      <xdr:rowOff>0</xdr:rowOff>
    </xdr:to>
    <xdr:sp macro="" textlink="">
      <xdr:nvSpPr>
        <xdr:cNvPr id="5" name="Textfeld 4">
          <a:extLst>
            <a:ext uri="{FF2B5EF4-FFF2-40B4-BE49-F238E27FC236}">
              <a16:creationId xmlns:a16="http://schemas.microsoft.com/office/drawing/2014/main" id="{E0077E18-4BE3-4D8F-A91A-D2A12F27629E}"/>
            </a:ext>
          </a:extLst>
        </xdr:cNvPr>
        <xdr:cNvSpPr txBox="1"/>
      </xdr:nvSpPr>
      <xdr:spPr>
        <a:xfrm>
          <a:off x="6153149" y="4057650"/>
          <a:ext cx="5324476" cy="760095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accent1"/>
              </a:solidFill>
            </a:rPr>
            <a:t>HINWEISE</a:t>
          </a:r>
        </a:p>
        <a:p>
          <a:endParaRPr lang="de-DE" sz="1400" b="1">
            <a:solidFill>
              <a:schemeClr val="tx1">
                <a:lumMod val="65000"/>
                <a:lumOff val="35000"/>
              </a:schemeClr>
            </a:solidFill>
          </a:endParaRPr>
        </a:p>
        <a:p>
          <a:r>
            <a:rPr lang="de-DE" sz="1400" b="1" baseline="0">
              <a:solidFill>
                <a:schemeClr val="tx1">
                  <a:lumMod val="65000"/>
                  <a:lumOff val="35000"/>
                </a:schemeClr>
              </a:solidFill>
            </a:rPr>
            <a:t>1.</a:t>
          </a:r>
          <a:endParaRPr lang="de-DE" sz="1400" b="1">
            <a:solidFill>
              <a:schemeClr val="tx1">
                <a:lumMod val="65000"/>
                <a:lumOff val="35000"/>
              </a:schemeClr>
            </a:solidFill>
          </a:endParaRPr>
        </a:p>
        <a:p>
          <a:r>
            <a:rPr lang="de-DE" sz="1400">
              <a:solidFill>
                <a:schemeClr val="tx1">
                  <a:lumMod val="65000"/>
                  <a:lumOff val="35000"/>
                </a:schemeClr>
              </a:solidFill>
            </a:rPr>
            <a:t>Mehrmaliges</a:t>
          </a:r>
          <a:r>
            <a:rPr lang="de-DE" sz="1400" baseline="0">
              <a:solidFill>
                <a:schemeClr val="tx1">
                  <a:lumMod val="65000"/>
                  <a:lumOff val="35000"/>
                </a:schemeClr>
              </a:solidFill>
            </a:rPr>
            <a:t> Eintragen derselben Spielpaarung und Spiele gegen sich selbst führen zu falschen Werten in der Gesamttabelle. Über der Gesamttabelle erscheint dann die Anzeige </a:t>
          </a:r>
          <a:r>
            <a:rPr lang="de-DE" sz="1400" b="1" baseline="0">
              <a:solidFill>
                <a:srgbClr val="DA0000"/>
              </a:solidFill>
            </a:rPr>
            <a:t>TABELLE UNGÜLTIG</a:t>
          </a:r>
          <a:r>
            <a:rPr lang="de-DE" sz="1400" baseline="0">
              <a:solidFill>
                <a:schemeClr val="tx1">
                  <a:lumMod val="65000"/>
                  <a:lumOff val="35000"/>
                </a:schemeClr>
              </a:solidFill>
            </a:rPr>
            <a:t>.</a:t>
          </a:r>
        </a:p>
        <a:p>
          <a:endParaRPr lang="de-DE" sz="1400">
            <a:effectLst/>
          </a:endParaRPr>
        </a:p>
        <a:p>
          <a:r>
            <a:rPr lang="de-DE" sz="1400" b="1" baseline="0">
              <a:solidFill>
                <a:schemeClr val="dk1"/>
              </a:solidFill>
              <a:effectLst/>
              <a:latin typeface="+mn-lt"/>
              <a:ea typeface="+mn-ea"/>
              <a:cs typeface="+mn-cs"/>
            </a:rPr>
            <a:t>2.</a:t>
          </a:r>
          <a:endParaRPr lang="de-DE" sz="1400">
            <a:effectLst/>
          </a:endParaRPr>
        </a:p>
        <a:p>
          <a:r>
            <a:rPr lang="de-DE" sz="1400" b="0" baseline="0">
              <a:solidFill>
                <a:schemeClr val="dk1"/>
              </a:solidFill>
              <a:effectLst/>
              <a:latin typeface="+mn-lt"/>
              <a:ea typeface="+mn-ea"/>
              <a:cs typeface="+mn-cs"/>
            </a:rPr>
            <a:t>Teams, deren Rangfolge nicht eindeutig geklärt ist, erscheinen in der Gesamttabelle in </a:t>
          </a:r>
          <a:r>
            <a:rPr lang="de-DE" sz="1400" b="1" baseline="0">
              <a:solidFill>
                <a:srgbClr val="DA0000"/>
              </a:solidFill>
              <a:effectLst/>
              <a:latin typeface="+mn-lt"/>
              <a:ea typeface="+mn-ea"/>
              <a:cs typeface="+mn-cs"/>
            </a:rPr>
            <a:t>roter</a:t>
          </a:r>
          <a:r>
            <a:rPr lang="de-DE" sz="1400" b="0" baseline="0">
              <a:solidFill>
                <a:schemeClr val="dk1"/>
              </a:solidFill>
              <a:effectLst/>
              <a:latin typeface="+mn-lt"/>
              <a:ea typeface="+mn-ea"/>
              <a:cs typeface="+mn-cs"/>
            </a:rPr>
            <a:t> Schrift.</a:t>
          </a:r>
        </a:p>
        <a:p>
          <a:endParaRPr lang="de-DE" sz="1400">
            <a:effectLst/>
          </a:endParaRPr>
        </a:p>
        <a:p>
          <a:r>
            <a:rPr lang="de-DE" sz="1400" b="1" baseline="0">
              <a:solidFill>
                <a:schemeClr val="dk1"/>
              </a:solidFill>
              <a:effectLst/>
              <a:latin typeface="+mn-lt"/>
              <a:ea typeface="+mn-ea"/>
              <a:cs typeface="+mn-cs"/>
            </a:rPr>
            <a:t>3.</a:t>
          </a:r>
          <a:endParaRPr lang="de-DE" sz="1400">
            <a:effectLst/>
          </a:endParaRPr>
        </a:p>
        <a:p>
          <a:r>
            <a:rPr lang="de-DE" sz="1400" b="0" baseline="0">
              <a:solidFill>
                <a:schemeClr val="dk1"/>
              </a:solidFill>
              <a:effectLst/>
              <a:latin typeface="+mn-lt"/>
              <a:ea typeface="+mn-ea"/>
              <a:cs typeface="+mn-cs"/>
            </a:rPr>
            <a:t>Wähle auf dem Tabellenblatt "</a:t>
          </a:r>
          <a:r>
            <a:rPr lang="de-DE" sz="1400" b="1" baseline="0">
              <a:solidFill>
                <a:schemeClr val="dk1"/>
              </a:solidFill>
              <a:effectLst/>
              <a:latin typeface="+mn-lt"/>
              <a:ea typeface="+mn-ea"/>
              <a:cs typeface="+mn-cs"/>
            </a:rPr>
            <a:t>Results</a:t>
          </a:r>
          <a:r>
            <a:rPr lang="de-DE" sz="1400" b="0" baseline="0">
              <a:solidFill>
                <a:schemeClr val="dk1"/>
              </a:solidFill>
              <a:effectLst/>
              <a:latin typeface="+mn-lt"/>
              <a:ea typeface="+mn-ea"/>
              <a:cs typeface="+mn-cs"/>
            </a:rPr>
            <a:t>" einen bestimmten Spieltag und du siehst die Tabelle am Ende dieses Spieltags.</a:t>
          </a:r>
          <a:endParaRPr lang="de-DE" sz="1400">
            <a:effectLst/>
          </a:endParaRPr>
        </a:p>
        <a:p>
          <a:endParaRPr lang="de-DE" sz="1400" b="1" baseline="0">
            <a:solidFill>
              <a:schemeClr val="tx1">
                <a:lumMod val="65000"/>
                <a:lumOff val="35000"/>
              </a:schemeClr>
            </a:solidFill>
          </a:endParaRPr>
        </a:p>
        <a:p>
          <a:r>
            <a:rPr lang="de-DE" sz="1400" b="1" baseline="0">
              <a:solidFill>
                <a:schemeClr val="dk1"/>
              </a:solidFill>
              <a:effectLst/>
              <a:latin typeface="+mn-lt"/>
              <a:ea typeface="+mn-ea"/>
              <a:cs typeface="+mn-cs"/>
            </a:rPr>
            <a:t>4.</a:t>
          </a:r>
          <a:endParaRPr lang="de-DE" sz="1400">
            <a:effectLst/>
          </a:endParaRPr>
        </a:p>
        <a:p>
          <a:r>
            <a:rPr lang="de-DE" sz="1400" b="0" baseline="0">
              <a:solidFill>
                <a:schemeClr val="dk1"/>
              </a:solidFill>
              <a:effectLst/>
              <a:latin typeface="+mn-lt"/>
              <a:ea typeface="+mn-ea"/>
              <a:cs typeface="+mn-cs"/>
            </a:rPr>
            <a:t>Die Rangreihenfolge der Teams wird nach folgenden Kriterien ermittelt:</a:t>
          </a:r>
        </a:p>
        <a:p>
          <a:endParaRPr lang="de-DE" sz="1400">
            <a:effectLst/>
          </a:endParaRPr>
        </a:p>
        <a:p>
          <a:r>
            <a:rPr lang="de-DE" sz="1100" b="1" baseline="0">
              <a:solidFill>
                <a:schemeClr val="dk1"/>
              </a:solidFill>
              <a:effectLst/>
              <a:latin typeface="+mn-lt"/>
              <a:ea typeface="+mn-ea"/>
              <a:cs typeface="+mn-cs"/>
            </a:rPr>
            <a:t>Kriterien:</a:t>
          </a:r>
        </a:p>
        <a:p>
          <a:endParaRPr lang="de-DE" sz="4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Anzahl der Punkte oder Anzahl der gewonnenen Sätze (einstellbar)</a:t>
          </a:r>
          <a:endParaRPr lang="de-DE" sz="1000">
            <a:effectLst/>
          </a:endParaRPr>
        </a:p>
        <a:p>
          <a:r>
            <a:rPr lang="de-DE" sz="1100" baseline="0">
              <a:solidFill>
                <a:schemeClr val="dk1"/>
              </a:solidFill>
              <a:effectLst/>
              <a:latin typeface="+mn-lt"/>
              <a:ea typeface="+mn-ea"/>
              <a:cs typeface="+mn-cs"/>
            </a:rPr>
            <a:t>2.   Satz</a:t>
          </a:r>
          <a:r>
            <a:rPr lang="de-DE" sz="1100">
              <a:solidFill>
                <a:schemeClr val="dk1"/>
              </a:solidFill>
              <a:effectLst/>
              <a:latin typeface="+mn-lt"/>
              <a:ea typeface="+mn-ea"/>
              <a:cs typeface="+mn-cs"/>
            </a:rPr>
            <a:t>differenz (JA/NEIN einstellbar)</a:t>
          </a:r>
          <a:endParaRPr lang="de-DE" sz="1000">
            <a:effectLst/>
          </a:endParaRPr>
        </a:p>
        <a:p>
          <a:r>
            <a:rPr lang="de-DE" sz="1100">
              <a:solidFill>
                <a:schemeClr val="dk1"/>
              </a:solidFill>
              <a:effectLst/>
              <a:latin typeface="+mn-lt"/>
              <a:ea typeface="+mn-ea"/>
              <a:cs typeface="+mn-cs"/>
            </a:rPr>
            <a:t>3.   Anzahl gewonnener Sätze (JA/NEIN einstellbar)</a:t>
          </a:r>
          <a:endParaRPr lang="de-DE" sz="1000">
            <a:effectLst/>
          </a:endParaRPr>
        </a:p>
        <a:p>
          <a:r>
            <a:rPr lang="de-DE" sz="1100">
              <a:solidFill>
                <a:schemeClr val="dk1"/>
              </a:solidFill>
              <a:effectLst/>
              <a:latin typeface="+mn-lt"/>
              <a:ea typeface="+mn-ea"/>
              <a:cs typeface="+mn-cs"/>
            </a:rPr>
            <a:t>       (nur sinnvoll, wenn die Anzahl der Punkte das erste Kriterium ist)</a:t>
          </a:r>
          <a:endParaRPr lang="de-DE" sz="10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Balldifferenz oder Ballquotient (einstellbar)</a:t>
          </a:r>
          <a:endParaRPr lang="de-DE" sz="1000">
            <a:effectLst/>
          </a:endParaRPr>
        </a:p>
        <a:p>
          <a:r>
            <a:rPr lang="de-DE" sz="1100" baseline="0">
              <a:solidFill>
                <a:schemeClr val="dk1"/>
              </a:solidFill>
              <a:effectLst/>
              <a:latin typeface="+mn-lt"/>
              <a:ea typeface="+mn-ea"/>
              <a:cs typeface="+mn-cs"/>
            </a:rPr>
            <a:t>5.   Losentscheid oder Entscheidungsspiel</a:t>
          </a:r>
        </a:p>
        <a:p>
          <a:endParaRPr lang="de-DE" sz="1400" baseline="0">
            <a:solidFill>
              <a:schemeClr val="dk1"/>
            </a:solidFill>
            <a:effectLst/>
            <a:latin typeface="+mn-lt"/>
            <a:ea typeface="+mn-ea"/>
            <a:cs typeface="+mn-cs"/>
          </a:endParaRPr>
        </a:p>
        <a:p>
          <a:r>
            <a:rPr lang="de-DE" sz="1400" b="1" baseline="0">
              <a:solidFill>
                <a:schemeClr val="dk1"/>
              </a:solidFill>
              <a:effectLst/>
              <a:latin typeface="+mn-lt"/>
              <a:ea typeface="+mn-ea"/>
              <a:cs typeface="+mn-cs"/>
            </a:rPr>
            <a:t>5.</a:t>
          </a:r>
          <a:endParaRPr lang="de-DE" sz="1400">
            <a:effectLst/>
          </a:endParaRPr>
        </a:p>
        <a:p>
          <a:r>
            <a:rPr lang="de-DE" sz="1400" baseline="0">
              <a:solidFill>
                <a:schemeClr val="dk1"/>
              </a:solidFill>
              <a:effectLst/>
              <a:latin typeface="+mn-lt"/>
              <a:ea typeface="+mn-ea"/>
              <a:cs typeface="+mn-cs"/>
            </a:rPr>
            <a:t>Auf dem Tabellenblatt '</a:t>
          </a:r>
          <a:r>
            <a:rPr lang="de-DE" sz="1400" b="1" baseline="0">
              <a:solidFill>
                <a:schemeClr val="dk1"/>
              </a:solidFill>
              <a:effectLst/>
              <a:latin typeface="+mn-lt"/>
              <a:ea typeface="+mn-ea"/>
              <a:cs typeface="+mn-cs"/>
            </a:rPr>
            <a:t>Settings</a:t>
          </a:r>
          <a:r>
            <a:rPr lang="de-DE" sz="1400" baseline="0">
              <a:solidFill>
                <a:schemeClr val="dk1"/>
              </a:solidFill>
              <a:effectLst/>
              <a:latin typeface="+mn-lt"/>
              <a:ea typeface="+mn-ea"/>
              <a:cs typeface="+mn-cs"/>
            </a:rPr>
            <a:t>' können verschiedene Voreinstellungen gewählt werden.</a:t>
          </a:r>
          <a:endParaRPr lang="de-DE" sz="1400">
            <a:effectLst/>
          </a:endParaRPr>
        </a:p>
        <a:p>
          <a:endParaRPr lang="de-DE" sz="400" baseline="0">
            <a:solidFill>
              <a:schemeClr val="dk1"/>
            </a:solidFill>
            <a:effectLst/>
            <a:latin typeface="+mn-lt"/>
            <a:ea typeface="+mn-ea"/>
            <a:cs typeface="+mn-cs"/>
          </a:endParaRPr>
        </a:p>
        <a:p>
          <a:r>
            <a:rPr lang="de-DE" sz="1100" baseline="0">
              <a:solidFill>
                <a:schemeClr val="dk1"/>
              </a:solidFill>
              <a:effectLst/>
              <a:latin typeface="+mn-lt"/>
              <a:ea typeface="+mn-ea"/>
              <a:cs typeface="+mn-cs"/>
            </a:rPr>
            <a:t>Wenn unter Punkt 4 der Ballquotient an Stelle der Balldifferenz gewählt wird, wird der Ballquotient in der Schlusstabelle angezeigt und auch als viertes Kriterium verwendet.</a:t>
          </a:r>
          <a:endParaRPr lang="de-DE" sz="1000">
            <a:effectLst/>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2EE18-8AAF-4160-B6E1-C239DA8A48C6}">
  <sheetPr codeName="Tabelle4"/>
  <dimension ref="A1:W390"/>
  <sheetViews>
    <sheetView showGridLines="0" showRowColHeaders="0" zoomScaleNormal="100" workbookViewId="0">
      <selection activeCell="D7" sqref="D7"/>
    </sheetView>
  </sheetViews>
  <sheetFormatPr baseColWidth="10" defaultColWidth="0" defaultRowHeight="15" zeroHeight="1" x14ac:dyDescent="0.25"/>
  <cols>
    <col min="1" max="1" width="11.42578125" style="23" customWidth="1"/>
    <col min="2" max="2" width="11.42578125" style="23" hidden="1" customWidth="1"/>
    <col min="3" max="3" width="8" style="23" customWidth="1"/>
    <col min="4" max="4" width="29.85546875" style="23" customWidth="1"/>
    <col min="5" max="5" width="13" style="23" customWidth="1"/>
    <col min="6" max="9" width="11.42578125" style="23" hidden="1" customWidth="1"/>
    <col min="10" max="10" width="3.140625" style="238" customWidth="1"/>
    <col min="11" max="11" width="9.28515625" style="238" customWidth="1"/>
    <col min="12" max="12" width="11.42578125" style="236" customWidth="1"/>
    <col min="13" max="13" width="9.85546875" style="23" customWidth="1"/>
    <col min="14" max="14" width="4.7109375" style="301" customWidth="1"/>
    <col min="15" max="15" width="3" style="23" customWidth="1"/>
    <col min="16" max="16" width="4.7109375" style="301" customWidth="1"/>
    <col min="17" max="17" width="26.7109375" style="23" customWidth="1"/>
    <col min="18" max="18" width="3.85546875" style="23" customWidth="1"/>
    <col min="19" max="19" width="26.7109375" style="23" customWidth="1"/>
    <col min="20" max="20" width="14.42578125" style="23" customWidth="1"/>
    <col min="21" max="22" width="11.42578125" style="23" customWidth="1"/>
    <col min="23" max="23" width="0" style="23" hidden="1" customWidth="1"/>
    <col min="24" max="16384" width="11.42578125" style="23" hidden="1"/>
  </cols>
  <sheetData>
    <row r="1" spans="2:23" x14ac:dyDescent="0.25">
      <c r="B1" s="90"/>
    </row>
    <row r="2" spans="2:23" ht="37.5" customHeight="1" x14ac:dyDescent="0.5">
      <c r="B2" s="89"/>
      <c r="C2" s="119" t="str">
        <f>Language!$E$30</f>
        <v>Participants and schedule</v>
      </c>
      <c r="D2" s="119"/>
      <c r="E2" s="119"/>
      <c r="F2" s="119"/>
      <c r="G2" s="119"/>
      <c r="H2" s="119"/>
      <c r="I2" s="119"/>
      <c r="J2" s="239"/>
      <c r="K2" s="239"/>
      <c r="L2" s="237"/>
      <c r="Q2" s="442" t="str">
        <f>Language!$E$83</f>
        <v>Double match pairings and matches against oneself
lead to incorrect values in the overall table!</v>
      </c>
      <c r="R2" s="442"/>
      <c r="S2" s="442"/>
      <c r="T2" s="442"/>
      <c r="U2" s="224"/>
      <c r="V2" s="224"/>
      <c r="W2" s="224"/>
    </row>
    <row r="3" spans="2:23" ht="18.75" customHeight="1" x14ac:dyDescent="0.25"/>
    <row r="4" spans="2:23" ht="19.5" customHeight="1" x14ac:dyDescent="0.4">
      <c r="C4" s="20" t="str">
        <f>Language!$E$31</f>
        <v>Participants</v>
      </c>
      <c r="M4" s="20" t="str">
        <f>Language!$E$32</f>
        <v>Schedule</v>
      </c>
      <c r="Q4" s="138"/>
      <c r="R4" s="138"/>
      <c r="S4" s="138"/>
    </row>
    <row r="5" spans="2:23" ht="19.5" customHeight="1" thickBot="1" x14ac:dyDescent="0.3">
      <c r="C5" s="439" t="str">
        <f>Language!$E$87</f>
        <v>Duplicate names</v>
      </c>
      <c r="D5" s="439"/>
      <c r="E5" s="232"/>
      <c r="F5" s="36"/>
    </row>
    <row r="6" spans="2:23" ht="21" customHeight="1" thickTop="1" x14ac:dyDescent="0.25">
      <c r="B6" s="83">
        <f>MAX($B$7:$B$26)</f>
        <v>1</v>
      </c>
      <c r="C6" s="256" t="str">
        <f>Language!$E$9</f>
        <v>No.</v>
      </c>
      <c r="D6" s="261" t="str">
        <f>Language!$E$10</f>
        <v>Participant or Team</v>
      </c>
      <c r="E6" s="257" t="str">
        <f>Language!$E$42</f>
        <v>Abbreviation</v>
      </c>
      <c r="F6" s="84">
        <f>MAX($F$7:$F$386)</f>
        <v>2</v>
      </c>
      <c r="G6" s="36"/>
      <c r="H6" s="36"/>
      <c r="I6" s="36" t="s">
        <v>147</v>
      </c>
      <c r="J6" s="36"/>
      <c r="K6" s="36"/>
      <c r="L6" s="243" t="str">
        <f>Language!$E$17</f>
        <v>Match-week</v>
      </c>
      <c r="M6" s="262" t="str">
        <f>Language!$E$33</f>
        <v>Game no.</v>
      </c>
      <c r="N6" s="440" t="str">
        <f>Language!$E$34</f>
        <v>Pairings</v>
      </c>
      <c r="O6" s="440"/>
      <c r="P6" s="440"/>
      <c r="Q6" s="440" t="str">
        <f>Language!$E$31</f>
        <v>Participants</v>
      </c>
      <c r="R6" s="440"/>
      <c r="S6" s="441"/>
      <c r="T6" s="262" t="str">
        <f>Language!$E$45</f>
        <v>Date</v>
      </c>
      <c r="U6" s="263" t="str">
        <f>Language!$E$48</f>
        <v>Time</v>
      </c>
    </row>
    <row r="7" spans="2:23" ht="15.95" customHeight="1" x14ac:dyDescent="0.2">
      <c r="B7" s="83">
        <f t="shared" ref="B7:B14" si="0">COUNTIF($D$7:$D$26,$D7)</f>
        <v>1</v>
      </c>
      <c r="C7" s="436">
        <v>1</v>
      </c>
      <c r="D7" s="258" t="s">
        <v>523</v>
      </c>
      <c r="E7" s="215" t="s">
        <v>524</v>
      </c>
      <c r="F7" s="83">
        <f>IF($G7="",0,IF(LEFT($G7,4)=RIGHT($G7,4),100,IF(COUNTIF($G$7:$G$386,$G7)&gt;1,101,COUNTIF($G$7:$G$386,$G7)+COUNTIF($H$7:$H$386,$G7))))</f>
        <v>2</v>
      </c>
      <c r="G7" s="83" t="str">
        <f>IF(OR($N7="",$P7=""),"",TEXT($N7,"0000")&amp;TEXT($P7,"0000"))</f>
        <v>00010018</v>
      </c>
      <c r="H7" s="83" t="str">
        <f>IF(OR($N7="",$P7=""),"",TEXT($P7,"0000")&amp;TEXT($N7,"0000"))</f>
        <v>00180001</v>
      </c>
      <c r="I7" s="83">
        <f>IF($G7="",0,COUNTIF($G$7:$G7,$H7))</f>
        <v>0</v>
      </c>
      <c r="J7" s="235"/>
      <c r="K7" s="264" t="str">
        <f>Language!$E$85</f>
        <v>double</v>
      </c>
      <c r="L7" s="240">
        <f>IF(Calc!$F$26=0,"",IF(OR($M7&gt;Calc!$B$24,MOD($M7-1,Calc!$F$26)&gt;0),"",QUOTIENT($M7-1,Calc!$F$26)+1))</f>
        <v>1</v>
      </c>
      <c r="M7" s="107">
        <v>1</v>
      </c>
      <c r="N7" s="302">
        <v>1</v>
      </c>
      <c r="O7" s="108" t="s">
        <v>4</v>
      </c>
      <c r="P7" s="304">
        <v>18</v>
      </c>
      <c r="Q7" s="109" t="str">
        <f t="shared" ref="Q7:Q70" si="1">IF(ISBLANK($N7),"",IF(ISBLANK(VLOOKUP($N7,$C$7:$D$26,2,0)),"",VLOOKUP($N7,$C$7:$D$26,2,0)))</f>
        <v>1. FC Heidenheim 1846</v>
      </c>
      <c r="R7" s="110" t="s">
        <v>4</v>
      </c>
      <c r="S7" s="111" t="str">
        <f t="shared" ref="S7:S70" si="2">IF(ISBLANK($P7),"",IF(ISBLANK(VLOOKUP($P7,$C$7:$D$26,2,0)),"",VLOOKUP($P7,$C$7:$D$26,2,0)))</f>
        <v>VfL Wolfsburg</v>
      </c>
      <c r="T7" s="209">
        <v>45891</v>
      </c>
      <c r="U7" s="210">
        <v>0.64583333333333337</v>
      </c>
    </row>
    <row r="8" spans="2:23" ht="15.95" customHeight="1" x14ac:dyDescent="0.2">
      <c r="B8" s="83">
        <f t="shared" si="0"/>
        <v>1</v>
      </c>
      <c r="C8" s="437">
        <v>2</v>
      </c>
      <c r="D8" s="259" t="s">
        <v>555</v>
      </c>
      <c r="E8" s="216" t="s">
        <v>556</v>
      </c>
      <c r="F8" s="83">
        <f t="shared" ref="F8:F71" si="3">IF($G8="",0,IF(LEFT($G8,4)=RIGHT($G8,4),100,IF(COUNTIF($G$7:$G$386,$G8)&gt;1,101,COUNTIF($G$7:$G$386,$G8)+COUNTIF($H$7:$H$386,$G8))))</f>
        <v>2</v>
      </c>
      <c r="G8" s="83" t="str">
        <f t="shared" ref="G8:G71" si="4">IF(OR($N8="",$P8=""),"",TEXT($N8,"0000")&amp;TEXT($P8,"0000"))</f>
        <v>00170002</v>
      </c>
      <c r="H8" s="83" t="str">
        <f t="shared" ref="H8:H71" si="5">IF(OR($N8="",$P8=""),"",TEXT($P8,"0000")&amp;TEXT($N8,"0000"))</f>
        <v>00020017</v>
      </c>
      <c r="I8" s="83">
        <f>IF($G8="",0,COUNTIF($G$7:$G8,$H8))</f>
        <v>0</v>
      </c>
      <c r="J8" s="235"/>
      <c r="K8" s="264" t="str">
        <f>Language!$E$85</f>
        <v>double</v>
      </c>
      <c r="L8" s="240" t="str">
        <f>IF(Calc!$F$26=0,"",IF(OR($M8&gt;Calc!$B$24,MOD($M8-1,Calc!$F$26)&gt;0),"",QUOTIENT($M8-1,Calc!$F$26)+1))</f>
        <v/>
      </c>
      <c r="M8" s="102">
        <v>2</v>
      </c>
      <c r="N8" s="302">
        <v>17</v>
      </c>
      <c r="O8" s="108" t="s">
        <v>4</v>
      </c>
      <c r="P8" s="304">
        <v>2</v>
      </c>
      <c r="Q8" s="109" t="str">
        <f t="shared" si="1"/>
        <v>VfB Stuttgart</v>
      </c>
      <c r="R8" s="110" t="s">
        <v>4</v>
      </c>
      <c r="S8" s="111" t="str">
        <f t="shared" si="2"/>
        <v>1. FC Köln</v>
      </c>
      <c r="T8" s="211">
        <v>45892</v>
      </c>
      <c r="U8" s="212">
        <v>0.64583333333333337</v>
      </c>
    </row>
    <row r="9" spans="2:23" ht="15.95" customHeight="1" x14ac:dyDescent="0.2">
      <c r="B9" s="83">
        <f t="shared" si="0"/>
        <v>1</v>
      </c>
      <c r="C9" s="437">
        <v>3</v>
      </c>
      <c r="D9" s="259" t="s">
        <v>525</v>
      </c>
      <c r="E9" s="216" t="s">
        <v>526</v>
      </c>
      <c r="F9" s="83">
        <f t="shared" si="3"/>
        <v>2</v>
      </c>
      <c r="G9" s="83" t="str">
        <f t="shared" si="4"/>
        <v>00030016</v>
      </c>
      <c r="H9" s="83" t="str">
        <f t="shared" si="5"/>
        <v>00160003</v>
      </c>
      <c r="I9" s="83">
        <f>IF($G9="",0,COUNTIF($G$7:$G9,$H9))</f>
        <v>0</v>
      </c>
      <c r="J9" s="235"/>
      <c r="K9" s="264">
        <v>7</v>
      </c>
      <c r="L9" s="240" t="str">
        <f>IF(Calc!$F$26=0,"",IF(OR($M9&gt;Calc!$B$24,MOD($M9-1,Calc!$F$26)&gt;0),"",QUOTIENT($M9-1,Calc!$F$26)+1))</f>
        <v/>
      </c>
      <c r="M9" s="102">
        <v>3</v>
      </c>
      <c r="N9" s="302">
        <v>3</v>
      </c>
      <c r="O9" s="108" t="s">
        <v>4</v>
      </c>
      <c r="P9" s="304">
        <v>16</v>
      </c>
      <c r="Q9" s="109" t="str">
        <f t="shared" si="1"/>
        <v>1. FC Union Berlin</v>
      </c>
      <c r="R9" s="110" t="s">
        <v>4</v>
      </c>
      <c r="S9" s="111" t="str">
        <f t="shared" si="2"/>
        <v>TSG Hoffenheim</v>
      </c>
      <c r="T9" s="211">
        <v>45892</v>
      </c>
      <c r="U9" s="212">
        <v>0.64583333333333337</v>
      </c>
    </row>
    <row r="10" spans="2:23" ht="15.95" customHeight="1" x14ac:dyDescent="0.2">
      <c r="B10" s="83">
        <f t="shared" si="0"/>
        <v>1</v>
      </c>
      <c r="C10" s="437">
        <v>4</v>
      </c>
      <c r="D10" s="259" t="s">
        <v>527</v>
      </c>
      <c r="E10" s="216" t="s">
        <v>528</v>
      </c>
      <c r="F10" s="83">
        <f t="shared" si="3"/>
        <v>2</v>
      </c>
      <c r="G10" s="83" t="str">
        <f t="shared" si="4"/>
        <v>00150004</v>
      </c>
      <c r="H10" s="83" t="str">
        <f t="shared" si="5"/>
        <v>00040015</v>
      </c>
      <c r="I10" s="83">
        <f>IF($G10="",0,COUNTIF($G$7:$G10,$H10))</f>
        <v>0</v>
      </c>
      <c r="J10" s="235"/>
      <c r="K10" s="264" t="str">
        <f>Language!$E$85</f>
        <v>double</v>
      </c>
      <c r="L10" s="240" t="str">
        <f>IF(Calc!$F$26=0,"",IF(OR($M10&gt;Calc!$B$24,MOD($M10-1,Calc!$F$26)&gt;0),"",QUOTIENT($M10-1,Calc!$F$26)+1))</f>
        <v/>
      </c>
      <c r="M10" s="102">
        <v>4</v>
      </c>
      <c r="N10" s="302">
        <v>15</v>
      </c>
      <c r="O10" s="108" t="s">
        <v>4</v>
      </c>
      <c r="P10" s="304">
        <v>4</v>
      </c>
      <c r="Q10" s="109" t="str">
        <f t="shared" si="1"/>
        <v>SV Werder Bremen</v>
      </c>
      <c r="R10" s="110" t="s">
        <v>4</v>
      </c>
      <c r="S10" s="111" t="str">
        <f t="shared" si="2"/>
        <v>1. FSV Mainz 05</v>
      </c>
      <c r="T10" s="211">
        <v>45892</v>
      </c>
      <c r="U10" s="212">
        <v>0.64583333333333337</v>
      </c>
    </row>
    <row r="11" spans="2:23" ht="15.95" customHeight="1" x14ac:dyDescent="0.2">
      <c r="B11" s="83">
        <f t="shared" si="0"/>
        <v>1</v>
      </c>
      <c r="C11" s="437">
        <v>5</v>
      </c>
      <c r="D11" s="259" t="s">
        <v>529</v>
      </c>
      <c r="E11" s="216" t="s">
        <v>530</v>
      </c>
      <c r="F11" s="83">
        <f t="shared" si="3"/>
        <v>2</v>
      </c>
      <c r="G11" s="83" t="str">
        <f t="shared" si="4"/>
        <v>00050014</v>
      </c>
      <c r="H11" s="83" t="str">
        <f t="shared" si="5"/>
        <v>00140005</v>
      </c>
      <c r="I11" s="83">
        <f>IF($G11="",0,COUNTIF($G$7:$G11,$H11))</f>
        <v>0</v>
      </c>
      <c r="J11" s="235"/>
      <c r="K11" s="264" t="str">
        <f>Language!$E$85</f>
        <v>double</v>
      </c>
      <c r="L11" s="240" t="str">
        <f>IF(Calc!$F$26=0,"",IF(OR($M11&gt;Calc!$B$24,MOD($M11-1,Calc!$F$26)&gt;0),"",QUOTIENT($M11-1,Calc!$F$26)+1))</f>
        <v/>
      </c>
      <c r="M11" s="102">
        <v>5</v>
      </c>
      <c r="N11" s="302">
        <v>5</v>
      </c>
      <c r="O11" s="108" t="s">
        <v>4</v>
      </c>
      <c r="P11" s="304">
        <v>14</v>
      </c>
      <c r="Q11" s="109" t="str">
        <f t="shared" si="1"/>
        <v>Bayer 04 Leverkusen</v>
      </c>
      <c r="R11" s="110" t="s">
        <v>4</v>
      </c>
      <c r="S11" s="111" t="str">
        <f t="shared" si="2"/>
        <v>SC Freiburg</v>
      </c>
      <c r="T11" s="211">
        <v>45892</v>
      </c>
      <c r="U11" s="212">
        <v>0.64583333333333337</v>
      </c>
    </row>
    <row r="12" spans="2:23" ht="15.95" customHeight="1" x14ac:dyDescent="0.2">
      <c r="B12" s="83">
        <f t="shared" si="0"/>
        <v>1</v>
      </c>
      <c r="C12" s="437">
        <v>6</v>
      </c>
      <c r="D12" s="259" t="s">
        <v>531</v>
      </c>
      <c r="E12" s="216" t="s">
        <v>532</v>
      </c>
      <c r="F12" s="83">
        <f t="shared" si="3"/>
        <v>2</v>
      </c>
      <c r="G12" s="83" t="str">
        <f t="shared" si="4"/>
        <v>00130006</v>
      </c>
      <c r="H12" s="83" t="str">
        <f t="shared" si="5"/>
        <v>00060013</v>
      </c>
      <c r="I12" s="83">
        <f>IF($G12="",0,COUNTIF($G$7:$G12,$H12))</f>
        <v>0</v>
      </c>
      <c r="J12" s="235"/>
      <c r="K12" s="264" t="str">
        <f>Language!$E$85</f>
        <v>double</v>
      </c>
      <c r="L12" s="240" t="str">
        <f>IF(Calc!$F$26=0,"",IF(OR($M12&gt;Calc!$B$24,MOD($M12-1,Calc!$F$26)&gt;0),"",QUOTIENT($M12-1,Calc!$F$26)+1))</f>
        <v/>
      </c>
      <c r="M12" s="102">
        <v>6</v>
      </c>
      <c r="N12" s="302">
        <v>13</v>
      </c>
      <c r="O12" s="108" t="s">
        <v>4</v>
      </c>
      <c r="P12" s="304">
        <v>6</v>
      </c>
      <c r="Q12" s="109" t="str">
        <f t="shared" si="1"/>
        <v>RB Leipzig</v>
      </c>
      <c r="R12" s="110" t="s">
        <v>4</v>
      </c>
      <c r="S12" s="111" t="str">
        <f t="shared" si="2"/>
        <v>Borussia Dortmund</v>
      </c>
      <c r="T12" s="211">
        <v>45892</v>
      </c>
      <c r="U12" s="212">
        <v>0.64583333333333337</v>
      </c>
    </row>
    <row r="13" spans="2:23" ht="15.95" customHeight="1" x14ac:dyDescent="0.2">
      <c r="B13" s="83">
        <f t="shared" si="0"/>
        <v>1</v>
      </c>
      <c r="C13" s="437">
        <v>7</v>
      </c>
      <c r="D13" s="259" t="s">
        <v>533</v>
      </c>
      <c r="E13" s="216" t="s">
        <v>534</v>
      </c>
      <c r="F13" s="83">
        <f t="shared" si="3"/>
        <v>2</v>
      </c>
      <c r="G13" s="83" t="str">
        <f t="shared" si="4"/>
        <v>00070012</v>
      </c>
      <c r="H13" s="83" t="str">
        <f t="shared" si="5"/>
        <v>00120007</v>
      </c>
      <c r="I13" s="83">
        <f>IF($G13="",0,COUNTIF($G$7:$G13,$H13))</f>
        <v>0</v>
      </c>
      <c r="J13" s="235"/>
      <c r="K13" s="264" t="str">
        <f>Language!$E$85</f>
        <v>double</v>
      </c>
      <c r="L13" s="240" t="str">
        <f>IF(Calc!$F$26=0,"",IF(OR($M13&gt;Calc!$B$24,MOD($M13-1,Calc!$F$26)&gt;0),"",QUOTIENT($M13-1,Calc!$F$26)+1))</f>
        <v/>
      </c>
      <c r="M13" s="102">
        <v>7</v>
      </c>
      <c r="N13" s="302">
        <v>7</v>
      </c>
      <c r="O13" s="108" t="s">
        <v>4</v>
      </c>
      <c r="P13" s="304">
        <v>12</v>
      </c>
      <c r="Q13" s="109" t="str">
        <f t="shared" si="1"/>
        <v>Borussia Mönchengladbach</v>
      </c>
      <c r="R13" s="110" t="s">
        <v>4</v>
      </c>
      <c r="S13" s="111" t="str">
        <f t="shared" si="2"/>
        <v>Hamburger SV</v>
      </c>
      <c r="T13" s="211">
        <v>45892</v>
      </c>
      <c r="U13" s="212">
        <v>0.64583333333333337</v>
      </c>
    </row>
    <row r="14" spans="2:23" ht="15.95" customHeight="1" x14ac:dyDescent="0.2">
      <c r="B14" s="83">
        <f t="shared" si="0"/>
        <v>1</v>
      </c>
      <c r="C14" s="437">
        <v>8</v>
      </c>
      <c r="D14" s="259" t="s">
        <v>535</v>
      </c>
      <c r="E14" s="216" t="s">
        <v>536</v>
      </c>
      <c r="F14" s="83">
        <f t="shared" si="3"/>
        <v>2</v>
      </c>
      <c r="G14" s="83" t="str">
        <f t="shared" si="4"/>
        <v>00110008</v>
      </c>
      <c r="H14" s="83" t="str">
        <f t="shared" si="5"/>
        <v>00080011</v>
      </c>
      <c r="I14" s="83">
        <f>IF($G14="",0,COUNTIF($G$7:$G14,$H14))</f>
        <v>0</v>
      </c>
      <c r="J14" s="235"/>
      <c r="K14" s="264" t="str">
        <f>Language!$E$85</f>
        <v>double</v>
      </c>
      <c r="L14" s="240" t="str">
        <f>IF(Calc!$F$26=0,"",IF(OR($M14&gt;Calc!$B$24,MOD($M14-1,Calc!$F$26)&gt;0),"",QUOTIENT($M14-1,Calc!$F$26)+1))</f>
        <v/>
      </c>
      <c r="M14" s="102">
        <v>8</v>
      </c>
      <c r="N14" s="302">
        <v>11</v>
      </c>
      <c r="O14" s="108" t="s">
        <v>4</v>
      </c>
      <c r="P14" s="304">
        <v>8</v>
      </c>
      <c r="Q14" s="109" t="str">
        <f t="shared" si="1"/>
        <v>FC St. Pauli</v>
      </c>
      <c r="R14" s="110" t="s">
        <v>4</v>
      </c>
      <c r="S14" s="111" t="str">
        <f t="shared" si="2"/>
        <v>Eintracht Frankfurt</v>
      </c>
      <c r="T14" s="211">
        <v>45892</v>
      </c>
      <c r="U14" s="212">
        <v>0.64583333333333337</v>
      </c>
    </row>
    <row r="15" spans="2:23" ht="15.95" customHeight="1" x14ac:dyDescent="0.2">
      <c r="B15" s="83">
        <f t="shared" ref="B15:B26" si="6">COUNTIF($D$7:$D$26,$D15)</f>
        <v>1</v>
      </c>
      <c r="C15" s="437">
        <v>9</v>
      </c>
      <c r="D15" s="259" t="s">
        <v>537</v>
      </c>
      <c r="E15" s="216" t="s">
        <v>538</v>
      </c>
      <c r="F15" s="83">
        <f t="shared" si="3"/>
        <v>2</v>
      </c>
      <c r="G15" s="83" t="str">
        <f t="shared" si="4"/>
        <v>00090010</v>
      </c>
      <c r="H15" s="83" t="str">
        <f t="shared" si="5"/>
        <v>00100009</v>
      </c>
      <c r="I15" s="83">
        <f>IF($G15="",0,COUNTIF($G$7:$G15,$H15))</f>
        <v>0</v>
      </c>
      <c r="J15" s="235"/>
      <c r="K15" s="264" t="str">
        <f>Language!$E$85</f>
        <v>double</v>
      </c>
      <c r="L15" s="240" t="str">
        <f>IF(Calc!$F$26=0,"",IF(OR($M15&gt;Calc!$B$24,MOD($M15-1,Calc!$F$26)&gt;0),"",QUOTIENT($M15-1,Calc!$F$26)+1))</f>
        <v/>
      </c>
      <c r="M15" s="102">
        <v>9</v>
      </c>
      <c r="N15" s="302">
        <v>9</v>
      </c>
      <c r="O15" s="108" t="s">
        <v>4</v>
      </c>
      <c r="P15" s="304">
        <v>10</v>
      </c>
      <c r="Q15" s="109" t="str">
        <f t="shared" si="1"/>
        <v>FC Augsburg</v>
      </c>
      <c r="R15" s="110" t="s">
        <v>4</v>
      </c>
      <c r="S15" s="111" t="str">
        <f t="shared" si="2"/>
        <v>FC Bayern München</v>
      </c>
      <c r="T15" s="211">
        <v>45892</v>
      </c>
      <c r="U15" s="212">
        <v>0.64583333333333337</v>
      </c>
    </row>
    <row r="16" spans="2:23" ht="15.95" customHeight="1" x14ac:dyDescent="0.2">
      <c r="B16" s="83">
        <f t="shared" si="6"/>
        <v>1</v>
      </c>
      <c r="C16" s="437">
        <v>10</v>
      </c>
      <c r="D16" s="259" t="s">
        <v>539</v>
      </c>
      <c r="E16" s="216" t="s">
        <v>540</v>
      </c>
      <c r="F16" s="83">
        <f t="shared" si="3"/>
        <v>2</v>
      </c>
      <c r="G16" s="83" t="str">
        <f t="shared" si="4"/>
        <v>00170001</v>
      </c>
      <c r="H16" s="83" t="str">
        <f t="shared" si="5"/>
        <v>00010017</v>
      </c>
      <c r="I16" s="83">
        <f>IF($G16="",0,COUNTIF($G$7:$G16,$H16))</f>
        <v>0</v>
      </c>
      <c r="J16" s="83"/>
      <c r="K16" s="264" t="str">
        <f>Language!$E$85</f>
        <v>double</v>
      </c>
      <c r="L16" s="240">
        <f>IF(Calc!$F$26=0,"",IF(OR($M16&gt;Calc!$B$24,MOD($M16-1,Calc!$F$26)&gt;0),"",QUOTIENT($M16-1,Calc!$F$26)+1))</f>
        <v>2</v>
      </c>
      <c r="M16" s="102">
        <v>10</v>
      </c>
      <c r="N16" s="302">
        <v>17</v>
      </c>
      <c r="O16" s="108" t="s">
        <v>4</v>
      </c>
      <c r="P16" s="304">
        <v>1</v>
      </c>
      <c r="Q16" s="109" t="str">
        <f t="shared" si="1"/>
        <v>VfB Stuttgart</v>
      </c>
      <c r="R16" s="110" t="s">
        <v>4</v>
      </c>
      <c r="S16" s="111" t="str">
        <f t="shared" si="2"/>
        <v>1. FC Heidenheim 1846</v>
      </c>
      <c r="T16" s="211">
        <v>45899</v>
      </c>
      <c r="U16" s="212">
        <v>0.64583333333333337</v>
      </c>
    </row>
    <row r="17" spans="2:21" ht="15.95" customHeight="1" x14ac:dyDescent="0.2">
      <c r="B17" s="83">
        <f t="shared" si="6"/>
        <v>1</v>
      </c>
      <c r="C17" s="437">
        <v>11</v>
      </c>
      <c r="D17" s="259" t="s">
        <v>541</v>
      </c>
      <c r="E17" s="216" t="s">
        <v>542</v>
      </c>
      <c r="F17" s="83">
        <f t="shared" si="3"/>
        <v>2</v>
      </c>
      <c r="G17" s="83" t="str">
        <f t="shared" si="4"/>
        <v>00160018</v>
      </c>
      <c r="H17" s="83" t="str">
        <f t="shared" si="5"/>
        <v>00180016</v>
      </c>
      <c r="I17" s="83">
        <f>IF($G17="",0,COUNTIF($G$7:$G17,$H17))</f>
        <v>0</v>
      </c>
      <c r="J17" s="83"/>
      <c r="K17" s="264" t="str">
        <f>Language!$E$85</f>
        <v>double</v>
      </c>
      <c r="L17" s="240" t="str">
        <f>IF(Calc!$F$26=0,"",IF(OR($M17&gt;Calc!$B$24,MOD($M17-1,Calc!$F$26)&gt;0),"",QUOTIENT($M17-1,Calc!$F$26)+1))</f>
        <v/>
      </c>
      <c r="M17" s="102">
        <v>11</v>
      </c>
      <c r="N17" s="302">
        <v>16</v>
      </c>
      <c r="O17" s="108" t="s">
        <v>4</v>
      </c>
      <c r="P17" s="304">
        <v>18</v>
      </c>
      <c r="Q17" s="109" t="str">
        <f t="shared" si="1"/>
        <v>TSG Hoffenheim</v>
      </c>
      <c r="R17" s="110" t="s">
        <v>4</v>
      </c>
      <c r="S17" s="111" t="str">
        <f t="shared" si="2"/>
        <v>VfL Wolfsburg</v>
      </c>
      <c r="T17" s="211">
        <v>45899</v>
      </c>
      <c r="U17" s="212">
        <v>0.64583333333333337</v>
      </c>
    </row>
    <row r="18" spans="2:21" ht="15.95" customHeight="1" x14ac:dyDescent="0.2">
      <c r="B18" s="83">
        <f t="shared" si="6"/>
        <v>1</v>
      </c>
      <c r="C18" s="437">
        <v>12</v>
      </c>
      <c r="D18" s="259" t="s">
        <v>557</v>
      </c>
      <c r="E18" s="216" t="s">
        <v>558</v>
      </c>
      <c r="F18" s="83">
        <f t="shared" si="3"/>
        <v>2</v>
      </c>
      <c r="G18" s="83" t="str">
        <f t="shared" si="4"/>
        <v>00020015</v>
      </c>
      <c r="H18" s="83" t="str">
        <f t="shared" si="5"/>
        <v>00150002</v>
      </c>
      <c r="I18" s="83">
        <f>IF($G18="",0,COUNTIF($G$7:$G18,$H18))</f>
        <v>0</v>
      </c>
      <c r="J18" s="83"/>
      <c r="K18" s="264" t="str">
        <f>Language!$E$85</f>
        <v>double</v>
      </c>
      <c r="L18" s="240" t="str">
        <f>IF(Calc!$F$26=0,"",IF(OR($M18&gt;Calc!$B$24,MOD($M18-1,Calc!$F$26)&gt;0),"",QUOTIENT($M18-1,Calc!$F$26)+1))</f>
        <v/>
      </c>
      <c r="M18" s="102">
        <v>12</v>
      </c>
      <c r="N18" s="302">
        <v>2</v>
      </c>
      <c r="O18" s="108" t="s">
        <v>4</v>
      </c>
      <c r="P18" s="304">
        <v>15</v>
      </c>
      <c r="Q18" s="109" t="str">
        <f t="shared" si="1"/>
        <v>1. FC Köln</v>
      </c>
      <c r="R18" s="110" t="s">
        <v>4</v>
      </c>
      <c r="S18" s="111" t="str">
        <f t="shared" si="2"/>
        <v>SV Werder Bremen</v>
      </c>
      <c r="T18" s="211">
        <v>45899</v>
      </c>
      <c r="U18" s="212">
        <v>0.64583333333333337</v>
      </c>
    </row>
    <row r="19" spans="2:21" ht="15.95" customHeight="1" x14ac:dyDescent="0.2">
      <c r="B19" s="83">
        <f t="shared" si="6"/>
        <v>1</v>
      </c>
      <c r="C19" s="437">
        <v>13</v>
      </c>
      <c r="D19" s="259" t="s">
        <v>543</v>
      </c>
      <c r="E19" s="216" t="s">
        <v>544</v>
      </c>
      <c r="F19" s="83">
        <f t="shared" si="3"/>
        <v>2</v>
      </c>
      <c r="G19" s="83" t="str">
        <f t="shared" si="4"/>
        <v>00140003</v>
      </c>
      <c r="H19" s="83" t="str">
        <f t="shared" si="5"/>
        <v>00030014</v>
      </c>
      <c r="I19" s="83">
        <f>IF($G19="",0,COUNTIF($G$7:$G19,$H19))</f>
        <v>0</v>
      </c>
      <c r="J19" s="83"/>
      <c r="K19" s="264" t="str">
        <f>Language!$E$85</f>
        <v>double</v>
      </c>
      <c r="L19" s="240" t="str">
        <f>IF(Calc!$F$26=0,"",IF(OR($M19&gt;Calc!$B$24,MOD($M19-1,Calc!$F$26)&gt;0),"",QUOTIENT($M19-1,Calc!$F$26)+1))</f>
        <v/>
      </c>
      <c r="M19" s="102">
        <v>13</v>
      </c>
      <c r="N19" s="302">
        <v>14</v>
      </c>
      <c r="O19" s="108" t="s">
        <v>4</v>
      </c>
      <c r="P19" s="304">
        <v>3</v>
      </c>
      <c r="Q19" s="109" t="str">
        <f t="shared" si="1"/>
        <v>SC Freiburg</v>
      </c>
      <c r="R19" s="110" t="s">
        <v>4</v>
      </c>
      <c r="S19" s="111" t="str">
        <f t="shared" si="2"/>
        <v>1. FC Union Berlin</v>
      </c>
      <c r="T19" s="211">
        <v>45899</v>
      </c>
      <c r="U19" s="212">
        <v>0.64583333333333337</v>
      </c>
    </row>
    <row r="20" spans="2:21" ht="15.95" customHeight="1" x14ac:dyDescent="0.2">
      <c r="B20" s="83">
        <f t="shared" si="6"/>
        <v>1</v>
      </c>
      <c r="C20" s="437">
        <v>14</v>
      </c>
      <c r="D20" s="259" t="s">
        <v>545</v>
      </c>
      <c r="E20" s="216" t="s">
        <v>546</v>
      </c>
      <c r="F20" s="83">
        <f t="shared" si="3"/>
        <v>2</v>
      </c>
      <c r="G20" s="83" t="str">
        <f t="shared" si="4"/>
        <v>00040013</v>
      </c>
      <c r="H20" s="83" t="str">
        <f t="shared" si="5"/>
        <v>00130004</v>
      </c>
      <c r="I20" s="83">
        <f>IF($G20="",0,COUNTIF($G$7:$G20,$H20))</f>
        <v>0</v>
      </c>
      <c r="J20" s="83"/>
      <c r="K20" s="264" t="str">
        <f>Language!$E$85</f>
        <v>double</v>
      </c>
      <c r="L20" s="240" t="str">
        <f>IF(Calc!$F$26=0,"",IF(OR($M20&gt;Calc!$B$24,MOD($M20-1,Calc!$F$26)&gt;0),"",QUOTIENT($M20-1,Calc!$F$26)+1))</f>
        <v/>
      </c>
      <c r="M20" s="102">
        <v>14</v>
      </c>
      <c r="N20" s="302">
        <v>4</v>
      </c>
      <c r="O20" s="108" t="s">
        <v>4</v>
      </c>
      <c r="P20" s="304">
        <v>13</v>
      </c>
      <c r="Q20" s="109" t="str">
        <f t="shared" si="1"/>
        <v>1. FSV Mainz 05</v>
      </c>
      <c r="R20" s="110" t="s">
        <v>4</v>
      </c>
      <c r="S20" s="111" t="str">
        <f t="shared" si="2"/>
        <v>RB Leipzig</v>
      </c>
      <c r="T20" s="211">
        <v>45899</v>
      </c>
      <c r="U20" s="212">
        <v>0.64583333333333337</v>
      </c>
    </row>
    <row r="21" spans="2:21" ht="15.95" customHeight="1" x14ac:dyDescent="0.2">
      <c r="B21" s="83">
        <f t="shared" si="6"/>
        <v>1</v>
      </c>
      <c r="C21" s="437">
        <v>15</v>
      </c>
      <c r="D21" s="259" t="s">
        <v>547</v>
      </c>
      <c r="E21" s="216" t="s">
        <v>548</v>
      </c>
      <c r="F21" s="83">
        <f t="shared" si="3"/>
        <v>2</v>
      </c>
      <c r="G21" s="83" t="str">
        <f t="shared" si="4"/>
        <v>00120005</v>
      </c>
      <c r="H21" s="83" t="str">
        <f t="shared" si="5"/>
        <v>00050012</v>
      </c>
      <c r="I21" s="83">
        <f>IF($G21="",0,COUNTIF($G$7:$G21,$H21))</f>
        <v>0</v>
      </c>
      <c r="J21" s="83"/>
      <c r="K21" s="264" t="str">
        <f>Language!$E$85</f>
        <v>double</v>
      </c>
      <c r="L21" s="240" t="str">
        <f>IF(Calc!$F$26=0,"",IF(OR($M21&gt;Calc!$B$24,MOD($M21-1,Calc!$F$26)&gt;0),"",QUOTIENT($M21-1,Calc!$F$26)+1))</f>
        <v/>
      </c>
      <c r="M21" s="102">
        <v>15</v>
      </c>
      <c r="N21" s="302">
        <v>12</v>
      </c>
      <c r="O21" s="108" t="s">
        <v>4</v>
      </c>
      <c r="P21" s="304">
        <v>5</v>
      </c>
      <c r="Q21" s="109" t="str">
        <f t="shared" si="1"/>
        <v>Hamburger SV</v>
      </c>
      <c r="R21" s="110" t="s">
        <v>4</v>
      </c>
      <c r="S21" s="111" t="str">
        <f t="shared" si="2"/>
        <v>Bayer 04 Leverkusen</v>
      </c>
      <c r="T21" s="211">
        <v>45899</v>
      </c>
      <c r="U21" s="212">
        <v>0.64583333333333337</v>
      </c>
    </row>
    <row r="22" spans="2:21" ht="15.95" customHeight="1" x14ac:dyDescent="0.2">
      <c r="B22" s="83">
        <f t="shared" si="6"/>
        <v>1</v>
      </c>
      <c r="C22" s="437">
        <v>16</v>
      </c>
      <c r="D22" s="259" t="s">
        <v>549</v>
      </c>
      <c r="E22" s="216" t="s">
        <v>550</v>
      </c>
      <c r="F22" s="83">
        <f t="shared" si="3"/>
        <v>2</v>
      </c>
      <c r="G22" s="83" t="str">
        <f t="shared" si="4"/>
        <v>00060011</v>
      </c>
      <c r="H22" s="83" t="str">
        <f t="shared" si="5"/>
        <v>00110006</v>
      </c>
      <c r="I22" s="83">
        <f>IF($G22="",0,COUNTIF($G$7:$G22,$H22))</f>
        <v>0</v>
      </c>
      <c r="J22" s="83"/>
      <c r="K22" s="264" t="str">
        <f>Language!$E$85</f>
        <v>double</v>
      </c>
      <c r="L22" s="240" t="str">
        <f>IF(Calc!$F$26=0,"",IF(OR($M22&gt;Calc!$B$24,MOD($M22-1,Calc!$F$26)&gt;0),"",QUOTIENT($M22-1,Calc!$F$26)+1))</f>
        <v/>
      </c>
      <c r="M22" s="102">
        <v>16</v>
      </c>
      <c r="N22" s="302">
        <v>6</v>
      </c>
      <c r="O22" s="108" t="s">
        <v>4</v>
      </c>
      <c r="P22" s="304">
        <v>11</v>
      </c>
      <c r="Q22" s="109" t="str">
        <f t="shared" si="1"/>
        <v>Borussia Dortmund</v>
      </c>
      <c r="R22" s="110" t="s">
        <v>4</v>
      </c>
      <c r="S22" s="111" t="str">
        <f t="shared" si="2"/>
        <v>FC St. Pauli</v>
      </c>
      <c r="T22" s="211">
        <v>45899</v>
      </c>
      <c r="U22" s="212">
        <v>0.64583333333333337</v>
      </c>
    </row>
    <row r="23" spans="2:21" ht="15.95" customHeight="1" x14ac:dyDescent="0.2">
      <c r="B23" s="83">
        <f t="shared" si="6"/>
        <v>1</v>
      </c>
      <c r="C23" s="437">
        <v>17</v>
      </c>
      <c r="D23" s="259" t="s">
        <v>551</v>
      </c>
      <c r="E23" s="216" t="s">
        <v>552</v>
      </c>
      <c r="F23" s="83">
        <f t="shared" si="3"/>
        <v>2</v>
      </c>
      <c r="G23" s="83" t="str">
        <f t="shared" si="4"/>
        <v>00100007</v>
      </c>
      <c r="H23" s="83" t="str">
        <f t="shared" si="5"/>
        <v>00070010</v>
      </c>
      <c r="I23" s="83">
        <f>IF($G23="",0,COUNTIF($G$7:$G23,$H23))</f>
        <v>0</v>
      </c>
      <c r="J23" s="83"/>
      <c r="K23" s="264" t="str">
        <f>Language!$E$85</f>
        <v>double</v>
      </c>
      <c r="L23" s="240" t="str">
        <f>IF(Calc!$F$26=0,"",IF(OR($M23&gt;Calc!$B$24,MOD($M23-1,Calc!$F$26)&gt;0),"",QUOTIENT($M23-1,Calc!$F$26)+1))</f>
        <v/>
      </c>
      <c r="M23" s="102">
        <v>17</v>
      </c>
      <c r="N23" s="302">
        <v>10</v>
      </c>
      <c r="O23" s="108" t="s">
        <v>4</v>
      </c>
      <c r="P23" s="304">
        <v>7</v>
      </c>
      <c r="Q23" s="109" t="str">
        <f t="shared" si="1"/>
        <v>FC Bayern München</v>
      </c>
      <c r="R23" s="110" t="s">
        <v>4</v>
      </c>
      <c r="S23" s="111" t="str">
        <f t="shared" si="2"/>
        <v>Borussia Mönchengladbach</v>
      </c>
      <c r="T23" s="211">
        <v>45899</v>
      </c>
      <c r="U23" s="212">
        <v>0.64583333333333337</v>
      </c>
    </row>
    <row r="24" spans="2:21" ht="15.95" customHeight="1" x14ac:dyDescent="0.2">
      <c r="B24" s="83">
        <f t="shared" si="6"/>
        <v>1</v>
      </c>
      <c r="C24" s="437">
        <v>18</v>
      </c>
      <c r="D24" s="259" t="s">
        <v>553</v>
      </c>
      <c r="E24" s="216" t="s">
        <v>554</v>
      </c>
      <c r="F24" s="83">
        <f t="shared" si="3"/>
        <v>2</v>
      </c>
      <c r="G24" s="83" t="str">
        <f t="shared" si="4"/>
        <v>00080009</v>
      </c>
      <c r="H24" s="83" t="str">
        <f t="shared" si="5"/>
        <v>00090008</v>
      </c>
      <c r="I24" s="83">
        <f>IF($G24="",0,COUNTIF($G$7:$G24,$H24))</f>
        <v>0</v>
      </c>
      <c r="J24" s="83"/>
      <c r="K24" s="264" t="str">
        <f>Language!$E$85</f>
        <v>double</v>
      </c>
      <c r="L24" s="240" t="str">
        <f>IF(Calc!$F$26=0,"",IF(OR($M24&gt;Calc!$B$24,MOD($M24-1,Calc!$F$26)&gt;0),"",QUOTIENT($M24-1,Calc!$F$26)+1))</f>
        <v/>
      </c>
      <c r="M24" s="102">
        <v>18</v>
      </c>
      <c r="N24" s="302">
        <v>8</v>
      </c>
      <c r="O24" s="108" t="s">
        <v>4</v>
      </c>
      <c r="P24" s="304">
        <v>9</v>
      </c>
      <c r="Q24" s="109" t="str">
        <f t="shared" si="1"/>
        <v>Eintracht Frankfurt</v>
      </c>
      <c r="R24" s="110" t="s">
        <v>4</v>
      </c>
      <c r="S24" s="111" t="str">
        <f t="shared" si="2"/>
        <v>FC Augsburg</v>
      </c>
      <c r="T24" s="211">
        <v>45899</v>
      </c>
      <c r="U24" s="212">
        <v>0.64583333333333337</v>
      </c>
    </row>
    <row r="25" spans="2:21" ht="15.95" customHeight="1" x14ac:dyDescent="0.2">
      <c r="B25" s="83">
        <f t="shared" si="6"/>
        <v>0</v>
      </c>
      <c r="C25" s="437">
        <v>19</v>
      </c>
      <c r="D25" s="259"/>
      <c r="E25" s="216"/>
      <c r="F25" s="83">
        <f t="shared" si="3"/>
        <v>2</v>
      </c>
      <c r="G25" s="83" t="str">
        <f t="shared" si="4"/>
        <v>00010016</v>
      </c>
      <c r="H25" s="83" t="str">
        <f t="shared" si="5"/>
        <v>00160001</v>
      </c>
      <c r="I25" s="83">
        <f>IF($G25="",0,COUNTIF($G$7:$G25,$H25))</f>
        <v>0</v>
      </c>
      <c r="J25" s="83"/>
      <c r="K25" s="264" t="str">
        <f>Language!$E$85</f>
        <v>double</v>
      </c>
      <c r="L25" s="240">
        <f>IF(Calc!$F$26=0,"",IF(OR($M25&gt;Calc!$B$24,MOD($M25-1,Calc!$F$26)&gt;0),"",QUOTIENT($M25-1,Calc!$F$26)+1))</f>
        <v>3</v>
      </c>
      <c r="M25" s="102">
        <v>19</v>
      </c>
      <c r="N25" s="302">
        <v>1</v>
      </c>
      <c r="O25" s="108" t="s">
        <v>4</v>
      </c>
      <c r="P25" s="304">
        <v>16</v>
      </c>
      <c r="Q25" s="109" t="str">
        <f t="shared" si="1"/>
        <v>1. FC Heidenheim 1846</v>
      </c>
      <c r="R25" s="110" t="s">
        <v>4</v>
      </c>
      <c r="S25" s="111" t="str">
        <f t="shared" si="2"/>
        <v>TSG Hoffenheim</v>
      </c>
      <c r="T25" s="211">
        <v>45913</v>
      </c>
      <c r="U25" s="212">
        <v>0.64583333333333337</v>
      </c>
    </row>
    <row r="26" spans="2:21" ht="15.95" customHeight="1" thickBot="1" x14ac:dyDescent="0.25">
      <c r="B26" s="83">
        <f t="shared" si="6"/>
        <v>0</v>
      </c>
      <c r="C26" s="438">
        <v>20</v>
      </c>
      <c r="D26" s="260"/>
      <c r="E26" s="217"/>
      <c r="F26" s="83">
        <f t="shared" si="3"/>
        <v>2</v>
      </c>
      <c r="G26" s="83" t="str">
        <f t="shared" si="4"/>
        <v>00150017</v>
      </c>
      <c r="H26" s="83" t="str">
        <f t="shared" si="5"/>
        <v>00170015</v>
      </c>
      <c r="I26" s="83">
        <f>IF($G26="",0,COUNTIF($G$7:$G26,$H26))</f>
        <v>0</v>
      </c>
      <c r="J26" s="83"/>
      <c r="K26" s="264" t="str">
        <f>Language!$E$85</f>
        <v>double</v>
      </c>
      <c r="L26" s="240" t="str">
        <f>IF(Calc!$F$26=0,"",IF(OR($M26&gt;Calc!$B$24,MOD($M26-1,Calc!$F$26)&gt;0),"",QUOTIENT($M26-1,Calc!$F$26)+1))</f>
        <v/>
      </c>
      <c r="M26" s="102">
        <v>20</v>
      </c>
      <c r="N26" s="302">
        <v>15</v>
      </c>
      <c r="O26" s="108" t="s">
        <v>4</v>
      </c>
      <c r="P26" s="304">
        <v>17</v>
      </c>
      <c r="Q26" s="109" t="str">
        <f t="shared" si="1"/>
        <v>SV Werder Bremen</v>
      </c>
      <c r="R26" s="110" t="s">
        <v>4</v>
      </c>
      <c r="S26" s="111" t="str">
        <f t="shared" si="2"/>
        <v>VfB Stuttgart</v>
      </c>
      <c r="T26" s="211">
        <v>45913</v>
      </c>
      <c r="U26" s="212">
        <v>0.64583333333333337</v>
      </c>
    </row>
    <row r="27" spans="2:21" ht="15.95" customHeight="1" thickTop="1" x14ac:dyDescent="0.2">
      <c r="C27" s="124"/>
      <c r="D27" s="124"/>
      <c r="E27" s="124"/>
      <c r="F27" s="83">
        <f t="shared" si="3"/>
        <v>2</v>
      </c>
      <c r="G27" s="83" t="str">
        <f t="shared" si="4"/>
        <v>00180014</v>
      </c>
      <c r="H27" s="83" t="str">
        <f t="shared" si="5"/>
        <v>00140018</v>
      </c>
      <c r="I27" s="83">
        <f>IF($G27="",0,COUNTIF($G$7:$G27,$H27))</f>
        <v>0</v>
      </c>
      <c r="J27" s="83"/>
      <c r="K27" s="264" t="str">
        <f>Language!$E$85</f>
        <v>double</v>
      </c>
      <c r="L27" s="240" t="str">
        <f>IF(Calc!$F$26=0,"",IF(OR($M27&gt;Calc!$B$24,MOD($M27-1,Calc!$F$26)&gt;0),"",QUOTIENT($M27-1,Calc!$F$26)+1))</f>
        <v/>
      </c>
      <c r="M27" s="102">
        <v>21</v>
      </c>
      <c r="N27" s="302">
        <v>18</v>
      </c>
      <c r="O27" s="108" t="s">
        <v>4</v>
      </c>
      <c r="P27" s="304">
        <v>14</v>
      </c>
      <c r="Q27" s="109" t="str">
        <f t="shared" si="1"/>
        <v>VfL Wolfsburg</v>
      </c>
      <c r="R27" s="110" t="s">
        <v>4</v>
      </c>
      <c r="S27" s="111" t="str">
        <f t="shared" si="2"/>
        <v>SC Freiburg</v>
      </c>
      <c r="T27" s="211">
        <v>45913</v>
      </c>
      <c r="U27" s="212">
        <v>0.64583333333333337</v>
      </c>
    </row>
    <row r="28" spans="2:21" ht="15.95" customHeight="1" x14ac:dyDescent="0.2">
      <c r="C28" s="124"/>
      <c r="D28" s="124"/>
      <c r="E28" s="124"/>
      <c r="F28" s="83">
        <f t="shared" si="3"/>
        <v>2</v>
      </c>
      <c r="G28" s="83" t="str">
        <f t="shared" si="4"/>
        <v>00130002</v>
      </c>
      <c r="H28" s="83" t="str">
        <f t="shared" si="5"/>
        <v>00020013</v>
      </c>
      <c r="I28" s="83">
        <f>IF($G28="",0,COUNTIF($G$7:$G28,$H28))</f>
        <v>0</v>
      </c>
      <c r="J28" s="83"/>
      <c r="K28" s="264" t="str">
        <f>Language!$E$85</f>
        <v>double</v>
      </c>
      <c r="L28" s="240" t="str">
        <f>IF(Calc!$F$26=0,"",IF(OR($M28&gt;Calc!$B$24,MOD($M28-1,Calc!$F$26)&gt;0),"",QUOTIENT($M28-1,Calc!$F$26)+1))</f>
        <v/>
      </c>
      <c r="M28" s="102">
        <v>22</v>
      </c>
      <c r="N28" s="302">
        <v>13</v>
      </c>
      <c r="O28" s="108" t="s">
        <v>4</v>
      </c>
      <c r="P28" s="304">
        <v>2</v>
      </c>
      <c r="Q28" s="109" t="str">
        <f t="shared" si="1"/>
        <v>RB Leipzig</v>
      </c>
      <c r="R28" s="110" t="s">
        <v>4</v>
      </c>
      <c r="S28" s="111" t="str">
        <f t="shared" si="2"/>
        <v>1. FC Köln</v>
      </c>
      <c r="T28" s="211">
        <v>45913</v>
      </c>
      <c r="U28" s="212">
        <v>0.64583333333333337</v>
      </c>
    </row>
    <row r="29" spans="2:21" ht="15.95" customHeight="1" x14ac:dyDescent="0.2">
      <c r="C29" s="124"/>
      <c r="D29" s="124"/>
      <c r="E29" s="124"/>
      <c r="F29" s="83">
        <f t="shared" si="3"/>
        <v>2</v>
      </c>
      <c r="G29" s="83" t="str">
        <f t="shared" si="4"/>
        <v>00030012</v>
      </c>
      <c r="H29" s="83" t="str">
        <f t="shared" si="5"/>
        <v>00120003</v>
      </c>
      <c r="I29" s="83">
        <f>IF($G29="",0,COUNTIF($G$7:$G29,$H29))</f>
        <v>0</v>
      </c>
      <c r="J29" s="83"/>
      <c r="K29" s="264" t="str">
        <f>Language!$E$85</f>
        <v>double</v>
      </c>
      <c r="L29" s="240" t="str">
        <f>IF(Calc!$F$26=0,"",IF(OR($M29&gt;Calc!$B$24,MOD($M29-1,Calc!$F$26)&gt;0),"",QUOTIENT($M29-1,Calc!$F$26)+1))</f>
        <v/>
      </c>
      <c r="M29" s="102">
        <v>23</v>
      </c>
      <c r="N29" s="302">
        <v>3</v>
      </c>
      <c r="O29" s="108" t="s">
        <v>4</v>
      </c>
      <c r="P29" s="304">
        <v>12</v>
      </c>
      <c r="Q29" s="109" t="str">
        <f t="shared" si="1"/>
        <v>1. FC Union Berlin</v>
      </c>
      <c r="R29" s="110" t="s">
        <v>4</v>
      </c>
      <c r="S29" s="111" t="str">
        <f t="shared" si="2"/>
        <v>Hamburger SV</v>
      </c>
      <c r="T29" s="211">
        <v>45913</v>
      </c>
      <c r="U29" s="212">
        <v>0.64583333333333337</v>
      </c>
    </row>
    <row r="30" spans="2:21" ht="15.95" customHeight="1" x14ac:dyDescent="0.2">
      <c r="F30" s="83">
        <f t="shared" si="3"/>
        <v>2</v>
      </c>
      <c r="G30" s="83" t="str">
        <f t="shared" si="4"/>
        <v>00110004</v>
      </c>
      <c r="H30" s="83" t="str">
        <f t="shared" si="5"/>
        <v>00040011</v>
      </c>
      <c r="I30" s="83">
        <f>IF($G30="",0,COUNTIF($G$7:$G30,$H30))</f>
        <v>0</v>
      </c>
      <c r="J30" s="83"/>
      <c r="K30" s="264" t="str">
        <f>Language!$E$85</f>
        <v>double</v>
      </c>
      <c r="L30" s="240" t="str">
        <f>IF(Calc!$F$26=0,"",IF(OR($M30&gt;Calc!$B$24,MOD($M30-1,Calc!$F$26)&gt;0),"",QUOTIENT($M30-1,Calc!$F$26)+1))</f>
        <v/>
      </c>
      <c r="M30" s="102">
        <v>24</v>
      </c>
      <c r="N30" s="302">
        <v>11</v>
      </c>
      <c r="O30" s="108" t="s">
        <v>4</v>
      </c>
      <c r="P30" s="304">
        <v>4</v>
      </c>
      <c r="Q30" s="109" t="str">
        <f t="shared" si="1"/>
        <v>FC St. Pauli</v>
      </c>
      <c r="R30" s="110" t="s">
        <v>4</v>
      </c>
      <c r="S30" s="111" t="str">
        <f t="shared" si="2"/>
        <v>1. FSV Mainz 05</v>
      </c>
      <c r="T30" s="211">
        <v>45913</v>
      </c>
      <c r="U30" s="212">
        <v>0.64583333333333337</v>
      </c>
    </row>
    <row r="31" spans="2:21" ht="15.95" customHeight="1" x14ac:dyDescent="0.2">
      <c r="F31" s="83">
        <f t="shared" si="3"/>
        <v>2</v>
      </c>
      <c r="G31" s="83" t="str">
        <f t="shared" si="4"/>
        <v>00050010</v>
      </c>
      <c r="H31" s="83" t="str">
        <f t="shared" si="5"/>
        <v>00100005</v>
      </c>
      <c r="I31" s="83">
        <f>IF($G31="",0,COUNTIF($G$7:$G31,$H31))</f>
        <v>0</v>
      </c>
      <c r="J31" s="83"/>
      <c r="K31" s="264" t="str">
        <f>Language!$E$85</f>
        <v>double</v>
      </c>
      <c r="L31" s="240" t="str">
        <f>IF(Calc!$F$26=0,"",IF(OR($M31&gt;Calc!$B$24,MOD($M31-1,Calc!$F$26)&gt;0),"",QUOTIENT($M31-1,Calc!$F$26)+1))</f>
        <v/>
      </c>
      <c r="M31" s="102">
        <v>25</v>
      </c>
      <c r="N31" s="302">
        <v>5</v>
      </c>
      <c r="O31" s="108" t="s">
        <v>4</v>
      </c>
      <c r="P31" s="304">
        <v>10</v>
      </c>
      <c r="Q31" s="109" t="str">
        <f t="shared" si="1"/>
        <v>Bayer 04 Leverkusen</v>
      </c>
      <c r="R31" s="110" t="s">
        <v>4</v>
      </c>
      <c r="S31" s="111" t="str">
        <f t="shared" si="2"/>
        <v>FC Bayern München</v>
      </c>
      <c r="T31" s="211">
        <v>45913</v>
      </c>
      <c r="U31" s="212">
        <v>0.64583333333333337</v>
      </c>
    </row>
    <row r="32" spans="2:21" ht="15.95" customHeight="1" x14ac:dyDescent="0.2">
      <c r="F32" s="83">
        <f t="shared" si="3"/>
        <v>2</v>
      </c>
      <c r="G32" s="83" t="str">
        <f t="shared" si="4"/>
        <v>00090006</v>
      </c>
      <c r="H32" s="83" t="str">
        <f t="shared" si="5"/>
        <v>00060009</v>
      </c>
      <c r="I32" s="83">
        <f>IF($G32="",0,COUNTIF($G$7:$G32,$H32))</f>
        <v>0</v>
      </c>
      <c r="J32" s="83"/>
      <c r="K32" s="264" t="str">
        <f>Language!$E$85</f>
        <v>double</v>
      </c>
      <c r="L32" s="240" t="str">
        <f>IF(Calc!$F$26=0,"",IF(OR($M32&gt;Calc!$B$24,MOD($M32-1,Calc!$F$26)&gt;0),"",QUOTIENT($M32-1,Calc!$F$26)+1))</f>
        <v/>
      </c>
      <c r="M32" s="102">
        <v>26</v>
      </c>
      <c r="N32" s="302">
        <v>9</v>
      </c>
      <c r="O32" s="108" t="s">
        <v>4</v>
      </c>
      <c r="P32" s="304">
        <v>6</v>
      </c>
      <c r="Q32" s="109" t="str">
        <f t="shared" si="1"/>
        <v>FC Augsburg</v>
      </c>
      <c r="R32" s="110" t="s">
        <v>4</v>
      </c>
      <c r="S32" s="111" t="str">
        <f t="shared" si="2"/>
        <v>Borussia Dortmund</v>
      </c>
      <c r="T32" s="211">
        <v>45913</v>
      </c>
      <c r="U32" s="212">
        <v>0.64583333333333337</v>
      </c>
    </row>
    <row r="33" spans="6:21" ht="15.95" customHeight="1" x14ac:dyDescent="0.2">
      <c r="F33" s="83">
        <f t="shared" si="3"/>
        <v>2</v>
      </c>
      <c r="G33" s="83" t="str">
        <f t="shared" si="4"/>
        <v>00070008</v>
      </c>
      <c r="H33" s="83" t="str">
        <f t="shared" si="5"/>
        <v>00080007</v>
      </c>
      <c r="I33" s="83">
        <f>IF($G33="",0,COUNTIF($G$7:$G33,$H33))</f>
        <v>0</v>
      </c>
      <c r="J33" s="83"/>
      <c r="K33" s="264" t="str">
        <f>Language!$E$85</f>
        <v>double</v>
      </c>
      <c r="L33" s="240" t="str">
        <f>IF(Calc!$F$26=0,"",IF(OR($M33&gt;Calc!$B$24,MOD($M33-1,Calc!$F$26)&gt;0),"",QUOTIENT($M33-1,Calc!$F$26)+1))</f>
        <v/>
      </c>
      <c r="M33" s="102">
        <v>27</v>
      </c>
      <c r="N33" s="302">
        <v>7</v>
      </c>
      <c r="O33" s="108" t="s">
        <v>4</v>
      </c>
      <c r="P33" s="304">
        <v>8</v>
      </c>
      <c r="Q33" s="109" t="str">
        <f t="shared" si="1"/>
        <v>Borussia Mönchengladbach</v>
      </c>
      <c r="R33" s="110" t="s">
        <v>4</v>
      </c>
      <c r="S33" s="111" t="str">
        <f t="shared" si="2"/>
        <v>Eintracht Frankfurt</v>
      </c>
      <c r="T33" s="211">
        <v>45913</v>
      </c>
      <c r="U33" s="212">
        <v>0.64583333333333337</v>
      </c>
    </row>
    <row r="34" spans="6:21" ht="15.95" customHeight="1" x14ac:dyDescent="0.2">
      <c r="F34" s="83">
        <f t="shared" si="3"/>
        <v>2</v>
      </c>
      <c r="G34" s="83" t="str">
        <f t="shared" si="4"/>
        <v>00150001</v>
      </c>
      <c r="H34" s="83" t="str">
        <f t="shared" si="5"/>
        <v>00010015</v>
      </c>
      <c r="I34" s="83">
        <f>IF($G34="",0,COUNTIF($G$7:$G34,$H34))</f>
        <v>0</v>
      </c>
      <c r="J34" s="83"/>
      <c r="K34" s="264" t="str">
        <f>Language!$E$85</f>
        <v>double</v>
      </c>
      <c r="L34" s="240">
        <f>IF(Calc!$F$26=0,"",IF(OR($M34&gt;Calc!$B$24,MOD($M34-1,Calc!$F$26)&gt;0),"",QUOTIENT($M34-1,Calc!$F$26)+1))</f>
        <v>4</v>
      </c>
      <c r="M34" s="102">
        <v>28</v>
      </c>
      <c r="N34" s="302">
        <v>15</v>
      </c>
      <c r="O34" s="108" t="s">
        <v>4</v>
      </c>
      <c r="P34" s="304">
        <v>1</v>
      </c>
      <c r="Q34" s="109" t="str">
        <f t="shared" si="1"/>
        <v>SV Werder Bremen</v>
      </c>
      <c r="R34" s="110" t="s">
        <v>4</v>
      </c>
      <c r="S34" s="111" t="str">
        <f t="shared" si="2"/>
        <v>1. FC Heidenheim 1846</v>
      </c>
      <c r="T34" s="211">
        <v>45920</v>
      </c>
      <c r="U34" s="212">
        <v>0.64583333333333337</v>
      </c>
    </row>
    <row r="35" spans="6:21" ht="15.95" customHeight="1" x14ac:dyDescent="0.2">
      <c r="F35" s="83">
        <f t="shared" si="3"/>
        <v>2</v>
      </c>
      <c r="G35" s="83" t="str">
        <f t="shared" si="4"/>
        <v>00140016</v>
      </c>
      <c r="H35" s="83" t="str">
        <f t="shared" si="5"/>
        <v>00160014</v>
      </c>
      <c r="I35" s="83">
        <f>IF($G35="",0,COUNTIF($G$7:$G35,$H35))</f>
        <v>0</v>
      </c>
      <c r="J35" s="83"/>
      <c r="K35" s="264" t="str">
        <f>Language!$E$85</f>
        <v>double</v>
      </c>
      <c r="L35" s="240" t="str">
        <f>IF(Calc!$F$26=0,"",IF(OR($M35&gt;Calc!$B$24,MOD($M35-1,Calc!$F$26)&gt;0),"",QUOTIENT($M35-1,Calc!$F$26)+1))</f>
        <v/>
      </c>
      <c r="M35" s="102">
        <v>29</v>
      </c>
      <c r="N35" s="302">
        <v>14</v>
      </c>
      <c r="O35" s="108" t="s">
        <v>4</v>
      </c>
      <c r="P35" s="304">
        <v>16</v>
      </c>
      <c r="Q35" s="109" t="str">
        <f t="shared" si="1"/>
        <v>SC Freiburg</v>
      </c>
      <c r="R35" s="110" t="s">
        <v>4</v>
      </c>
      <c r="S35" s="111" t="str">
        <f t="shared" si="2"/>
        <v>TSG Hoffenheim</v>
      </c>
      <c r="T35" s="211">
        <v>45920</v>
      </c>
      <c r="U35" s="212">
        <v>0.64583333333333337</v>
      </c>
    </row>
    <row r="36" spans="6:21" ht="15.95" customHeight="1" x14ac:dyDescent="0.2">
      <c r="F36" s="83">
        <f t="shared" si="3"/>
        <v>2</v>
      </c>
      <c r="G36" s="83" t="str">
        <f t="shared" si="4"/>
        <v>00170013</v>
      </c>
      <c r="H36" s="83" t="str">
        <f t="shared" si="5"/>
        <v>00130017</v>
      </c>
      <c r="I36" s="83">
        <f>IF($G36="",0,COUNTIF($G$7:$G36,$H36))</f>
        <v>0</v>
      </c>
      <c r="J36" s="83"/>
      <c r="K36" s="264" t="str">
        <f>Language!$E$85</f>
        <v>double</v>
      </c>
      <c r="L36" s="240" t="str">
        <f>IF(Calc!$F$26=0,"",IF(OR($M36&gt;Calc!$B$24,MOD($M36-1,Calc!$F$26)&gt;0),"",QUOTIENT($M36-1,Calc!$F$26)+1))</f>
        <v/>
      </c>
      <c r="M36" s="102">
        <v>30</v>
      </c>
      <c r="N36" s="302">
        <v>17</v>
      </c>
      <c r="O36" s="108" t="s">
        <v>4</v>
      </c>
      <c r="P36" s="304">
        <v>13</v>
      </c>
      <c r="Q36" s="109" t="str">
        <f t="shared" si="1"/>
        <v>VfB Stuttgart</v>
      </c>
      <c r="R36" s="110" t="s">
        <v>4</v>
      </c>
      <c r="S36" s="111" t="str">
        <f t="shared" si="2"/>
        <v>RB Leipzig</v>
      </c>
      <c r="T36" s="211">
        <v>45920</v>
      </c>
      <c r="U36" s="212">
        <v>0.64583333333333337</v>
      </c>
    </row>
    <row r="37" spans="6:21" ht="15.95" customHeight="1" x14ac:dyDescent="0.2">
      <c r="F37" s="83">
        <f t="shared" si="3"/>
        <v>2</v>
      </c>
      <c r="G37" s="83" t="str">
        <f t="shared" si="4"/>
        <v>00120018</v>
      </c>
      <c r="H37" s="83" t="str">
        <f t="shared" si="5"/>
        <v>00180012</v>
      </c>
      <c r="I37" s="83">
        <f>IF($G37="",0,COUNTIF($G$7:$G37,$H37))</f>
        <v>0</v>
      </c>
      <c r="J37" s="83"/>
      <c r="K37" s="264" t="str">
        <f>Language!$E$85</f>
        <v>double</v>
      </c>
      <c r="L37" s="240" t="str">
        <f>IF(Calc!$F$26=0,"",IF(OR($M37&gt;Calc!$B$24,MOD($M37-1,Calc!$F$26)&gt;0),"",QUOTIENT($M37-1,Calc!$F$26)+1))</f>
        <v/>
      </c>
      <c r="M37" s="102">
        <v>31</v>
      </c>
      <c r="N37" s="302">
        <v>12</v>
      </c>
      <c r="O37" s="108" t="s">
        <v>4</v>
      </c>
      <c r="P37" s="304">
        <v>18</v>
      </c>
      <c r="Q37" s="109" t="str">
        <f t="shared" si="1"/>
        <v>Hamburger SV</v>
      </c>
      <c r="R37" s="110" t="s">
        <v>4</v>
      </c>
      <c r="S37" s="111" t="str">
        <f t="shared" si="2"/>
        <v>VfL Wolfsburg</v>
      </c>
      <c r="T37" s="211">
        <v>45920</v>
      </c>
      <c r="U37" s="212">
        <v>0.64583333333333337</v>
      </c>
    </row>
    <row r="38" spans="6:21" ht="15.95" customHeight="1" x14ac:dyDescent="0.2">
      <c r="F38" s="83">
        <f t="shared" si="3"/>
        <v>2</v>
      </c>
      <c r="G38" s="83" t="str">
        <f t="shared" si="4"/>
        <v>00020011</v>
      </c>
      <c r="H38" s="83" t="str">
        <f t="shared" si="5"/>
        <v>00110002</v>
      </c>
      <c r="I38" s="83">
        <f>IF($G38="",0,COUNTIF($G$7:$G38,$H38))</f>
        <v>0</v>
      </c>
      <c r="J38" s="83"/>
      <c r="K38" s="264" t="str">
        <f>Language!$E$85</f>
        <v>double</v>
      </c>
      <c r="L38" s="240" t="str">
        <f>IF(Calc!$F$26=0,"",IF(OR($M38&gt;Calc!$B$24,MOD($M38-1,Calc!$F$26)&gt;0),"",QUOTIENT($M38-1,Calc!$F$26)+1))</f>
        <v/>
      </c>
      <c r="M38" s="102">
        <v>32</v>
      </c>
      <c r="N38" s="302">
        <v>2</v>
      </c>
      <c r="O38" s="108" t="s">
        <v>4</v>
      </c>
      <c r="P38" s="304">
        <v>11</v>
      </c>
      <c r="Q38" s="109" t="str">
        <f t="shared" si="1"/>
        <v>1. FC Köln</v>
      </c>
      <c r="R38" s="110" t="s">
        <v>4</v>
      </c>
      <c r="S38" s="111" t="str">
        <f t="shared" si="2"/>
        <v>FC St. Pauli</v>
      </c>
      <c r="T38" s="211">
        <v>45920</v>
      </c>
      <c r="U38" s="212">
        <v>0.64583333333333337</v>
      </c>
    </row>
    <row r="39" spans="6:21" ht="15.95" customHeight="1" x14ac:dyDescent="0.2">
      <c r="F39" s="83">
        <f t="shared" si="3"/>
        <v>2</v>
      </c>
      <c r="G39" s="83" t="str">
        <f t="shared" si="4"/>
        <v>00100003</v>
      </c>
      <c r="H39" s="83" t="str">
        <f t="shared" si="5"/>
        <v>00030010</v>
      </c>
      <c r="I39" s="83">
        <f>IF($G39="",0,COUNTIF($G$7:$G39,$H39))</f>
        <v>0</v>
      </c>
      <c r="J39" s="83"/>
      <c r="K39" s="264" t="str">
        <f>Language!$E$85</f>
        <v>double</v>
      </c>
      <c r="L39" s="240" t="str">
        <f>IF(Calc!$F$26=0,"",IF(OR($M39&gt;Calc!$B$24,MOD($M39-1,Calc!$F$26)&gt;0),"",QUOTIENT($M39-1,Calc!$F$26)+1))</f>
        <v/>
      </c>
      <c r="M39" s="102">
        <v>33</v>
      </c>
      <c r="N39" s="302">
        <v>10</v>
      </c>
      <c r="O39" s="108" t="s">
        <v>4</v>
      </c>
      <c r="P39" s="304">
        <v>3</v>
      </c>
      <c r="Q39" s="109" t="str">
        <f t="shared" si="1"/>
        <v>FC Bayern München</v>
      </c>
      <c r="R39" s="110" t="s">
        <v>4</v>
      </c>
      <c r="S39" s="111" t="str">
        <f t="shared" si="2"/>
        <v>1. FC Union Berlin</v>
      </c>
      <c r="T39" s="211">
        <v>45920</v>
      </c>
      <c r="U39" s="212">
        <v>0.64583333333333337</v>
      </c>
    </row>
    <row r="40" spans="6:21" ht="15.95" customHeight="1" x14ac:dyDescent="0.2">
      <c r="F40" s="83">
        <f t="shared" si="3"/>
        <v>2</v>
      </c>
      <c r="G40" s="83" t="str">
        <f t="shared" si="4"/>
        <v>00040009</v>
      </c>
      <c r="H40" s="83" t="str">
        <f t="shared" si="5"/>
        <v>00090004</v>
      </c>
      <c r="I40" s="83">
        <f>IF($G40="",0,COUNTIF($G$7:$G40,$H40))</f>
        <v>0</v>
      </c>
      <c r="J40" s="83"/>
      <c r="K40" s="264" t="str">
        <f>Language!$E$85</f>
        <v>double</v>
      </c>
      <c r="L40" s="240" t="str">
        <f>IF(Calc!$F$26=0,"",IF(OR($M40&gt;Calc!$B$24,MOD($M40-1,Calc!$F$26)&gt;0),"",QUOTIENT($M40-1,Calc!$F$26)+1))</f>
        <v/>
      </c>
      <c r="M40" s="102">
        <v>34</v>
      </c>
      <c r="N40" s="302">
        <v>4</v>
      </c>
      <c r="O40" s="108" t="s">
        <v>4</v>
      </c>
      <c r="P40" s="304">
        <v>9</v>
      </c>
      <c r="Q40" s="109" t="str">
        <f t="shared" si="1"/>
        <v>1. FSV Mainz 05</v>
      </c>
      <c r="R40" s="110" t="s">
        <v>4</v>
      </c>
      <c r="S40" s="111" t="str">
        <f t="shared" si="2"/>
        <v>FC Augsburg</v>
      </c>
      <c r="T40" s="211">
        <v>45920</v>
      </c>
      <c r="U40" s="212">
        <v>0.64583333333333337</v>
      </c>
    </row>
    <row r="41" spans="6:21" ht="15.95" customHeight="1" x14ac:dyDescent="0.2">
      <c r="F41" s="83">
        <f t="shared" si="3"/>
        <v>2</v>
      </c>
      <c r="G41" s="83" t="str">
        <f t="shared" si="4"/>
        <v>00080005</v>
      </c>
      <c r="H41" s="83" t="str">
        <f t="shared" si="5"/>
        <v>00050008</v>
      </c>
      <c r="I41" s="83">
        <f>IF($G41="",0,COUNTIF($G$7:$G41,$H41))</f>
        <v>0</v>
      </c>
      <c r="J41" s="83"/>
      <c r="K41" s="264" t="str">
        <f>Language!$E$85</f>
        <v>double</v>
      </c>
      <c r="L41" s="240" t="str">
        <f>IF(Calc!$F$26=0,"",IF(OR($M41&gt;Calc!$B$24,MOD($M41-1,Calc!$F$26)&gt;0),"",QUOTIENT($M41-1,Calc!$F$26)+1))</f>
        <v/>
      </c>
      <c r="M41" s="102">
        <v>35</v>
      </c>
      <c r="N41" s="302">
        <v>8</v>
      </c>
      <c r="O41" s="108" t="s">
        <v>4</v>
      </c>
      <c r="P41" s="304">
        <v>5</v>
      </c>
      <c r="Q41" s="109" t="str">
        <f t="shared" si="1"/>
        <v>Eintracht Frankfurt</v>
      </c>
      <c r="R41" s="110" t="s">
        <v>4</v>
      </c>
      <c r="S41" s="111" t="str">
        <f t="shared" si="2"/>
        <v>Bayer 04 Leverkusen</v>
      </c>
      <c r="T41" s="211">
        <v>45920</v>
      </c>
      <c r="U41" s="212">
        <v>0.64583333333333337</v>
      </c>
    </row>
    <row r="42" spans="6:21" ht="15.95" customHeight="1" x14ac:dyDescent="0.2">
      <c r="F42" s="83">
        <f t="shared" si="3"/>
        <v>2</v>
      </c>
      <c r="G42" s="83" t="str">
        <f t="shared" si="4"/>
        <v>00060007</v>
      </c>
      <c r="H42" s="83" t="str">
        <f t="shared" si="5"/>
        <v>00070006</v>
      </c>
      <c r="I42" s="83">
        <f>IF($G42="",0,COUNTIF($G$7:$G42,$H42))</f>
        <v>0</v>
      </c>
      <c r="J42" s="83"/>
      <c r="K42" s="264" t="str">
        <f>Language!$E$85</f>
        <v>double</v>
      </c>
      <c r="L42" s="240" t="str">
        <f>IF(Calc!$F$26=0,"",IF(OR($M42&gt;Calc!$B$24,MOD($M42-1,Calc!$F$26)&gt;0),"",QUOTIENT($M42-1,Calc!$F$26)+1))</f>
        <v/>
      </c>
      <c r="M42" s="102">
        <v>36</v>
      </c>
      <c r="N42" s="302">
        <v>6</v>
      </c>
      <c r="O42" s="108" t="s">
        <v>4</v>
      </c>
      <c r="P42" s="304">
        <v>7</v>
      </c>
      <c r="Q42" s="109" t="str">
        <f t="shared" si="1"/>
        <v>Borussia Dortmund</v>
      </c>
      <c r="R42" s="110" t="s">
        <v>4</v>
      </c>
      <c r="S42" s="111" t="str">
        <f t="shared" si="2"/>
        <v>Borussia Mönchengladbach</v>
      </c>
      <c r="T42" s="211">
        <v>45920</v>
      </c>
      <c r="U42" s="212">
        <v>0.64583333333333337</v>
      </c>
    </row>
    <row r="43" spans="6:21" ht="17.25" x14ac:dyDescent="0.2">
      <c r="F43" s="83">
        <f t="shared" si="3"/>
        <v>2</v>
      </c>
      <c r="G43" s="83" t="str">
        <f t="shared" si="4"/>
        <v>00010014</v>
      </c>
      <c r="H43" s="83" t="str">
        <f t="shared" si="5"/>
        <v>00140001</v>
      </c>
      <c r="I43" s="83">
        <f>IF($G43="",0,COUNTIF($G$7:$G43,$H43))</f>
        <v>0</v>
      </c>
      <c r="J43" s="83"/>
      <c r="K43" s="264" t="str">
        <f>Language!$E$85</f>
        <v>double</v>
      </c>
      <c r="L43" s="240">
        <f>IF(Calc!$F$26=0,"",IF(OR($M43&gt;Calc!$B$24,MOD($M43-1,Calc!$F$26)&gt;0),"",QUOTIENT($M43-1,Calc!$F$26)+1))</f>
        <v>5</v>
      </c>
      <c r="M43" s="102">
        <v>37</v>
      </c>
      <c r="N43" s="302">
        <v>1</v>
      </c>
      <c r="O43" s="108" t="s">
        <v>4</v>
      </c>
      <c r="P43" s="304">
        <v>14</v>
      </c>
      <c r="Q43" s="109" t="str">
        <f t="shared" si="1"/>
        <v>1. FC Heidenheim 1846</v>
      </c>
      <c r="R43" s="110" t="s">
        <v>4</v>
      </c>
      <c r="S43" s="111" t="str">
        <f t="shared" si="2"/>
        <v>SC Freiburg</v>
      </c>
      <c r="T43" s="211">
        <v>45927</v>
      </c>
      <c r="U43" s="212">
        <v>0.64583333333333337</v>
      </c>
    </row>
    <row r="44" spans="6:21" ht="17.25" x14ac:dyDescent="0.2">
      <c r="F44" s="83">
        <f t="shared" si="3"/>
        <v>2</v>
      </c>
      <c r="G44" s="83" t="str">
        <f t="shared" si="4"/>
        <v>00130015</v>
      </c>
      <c r="H44" s="83" t="str">
        <f t="shared" si="5"/>
        <v>00150013</v>
      </c>
      <c r="I44" s="83">
        <f>IF($G44="",0,COUNTIF($G$7:$G44,$H44))</f>
        <v>0</v>
      </c>
      <c r="J44" s="83"/>
      <c r="K44" s="264" t="str">
        <f>Language!$E$85</f>
        <v>double</v>
      </c>
      <c r="L44" s="240" t="str">
        <f>IF(Calc!$F$26=0,"",IF(OR($M44&gt;Calc!$B$24,MOD($M44-1,Calc!$F$26)&gt;0),"",QUOTIENT($M44-1,Calc!$F$26)+1))</f>
        <v/>
      </c>
      <c r="M44" s="102">
        <v>38</v>
      </c>
      <c r="N44" s="302">
        <v>13</v>
      </c>
      <c r="O44" s="108" t="s">
        <v>4</v>
      </c>
      <c r="P44" s="304">
        <v>15</v>
      </c>
      <c r="Q44" s="109" t="str">
        <f t="shared" si="1"/>
        <v>RB Leipzig</v>
      </c>
      <c r="R44" s="110" t="s">
        <v>4</v>
      </c>
      <c r="S44" s="111" t="str">
        <f t="shared" si="2"/>
        <v>SV Werder Bremen</v>
      </c>
      <c r="T44" s="211">
        <v>45927</v>
      </c>
      <c r="U44" s="212">
        <v>0.64583333333333337</v>
      </c>
    </row>
    <row r="45" spans="6:21" ht="17.25" x14ac:dyDescent="0.2">
      <c r="F45" s="83">
        <f t="shared" si="3"/>
        <v>2</v>
      </c>
      <c r="G45" s="83" t="str">
        <f t="shared" si="4"/>
        <v>00160012</v>
      </c>
      <c r="H45" s="83" t="str">
        <f t="shared" si="5"/>
        <v>00120016</v>
      </c>
      <c r="I45" s="83">
        <f>IF($G45="",0,COUNTIF($G$7:$G45,$H45))</f>
        <v>0</v>
      </c>
      <c r="J45" s="83"/>
      <c r="K45" s="264" t="str">
        <f>Language!$E$85</f>
        <v>double</v>
      </c>
      <c r="L45" s="240" t="str">
        <f>IF(Calc!$F$26=0,"",IF(OR($M45&gt;Calc!$B$24,MOD($M45-1,Calc!$F$26)&gt;0),"",QUOTIENT($M45-1,Calc!$F$26)+1))</f>
        <v/>
      </c>
      <c r="M45" s="102">
        <v>39</v>
      </c>
      <c r="N45" s="302">
        <v>16</v>
      </c>
      <c r="O45" s="108" t="s">
        <v>4</v>
      </c>
      <c r="P45" s="304">
        <v>12</v>
      </c>
      <c r="Q45" s="109" t="str">
        <f t="shared" si="1"/>
        <v>TSG Hoffenheim</v>
      </c>
      <c r="R45" s="110" t="s">
        <v>4</v>
      </c>
      <c r="S45" s="111" t="str">
        <f t="shared" si="2"/>
        <v>Hamburger SV</v>
      </c>
      <c r="T45" s="211">
        <v>45927</v>
      </c>
      <c r="U45" s="212">
        <v>0.64583333333333337</v>
      </c>
    </row>
    <row r="46" spans="6:21" ht="17.25" x14ac:dyDescent="0.2">
      <c r="F46" s="83">
        <f t="shared" si="3"/>
        <v>2</v>
      </c>
      <c r="G46" s="83" t="str">
        <f t="shared" si="4"/>
        <v>00110017</v>
      </c>
      <c r="H46" s="83" t="str">
        <f t="shared" si="5"/>
        <v>00170011</v>
      </c>
      <c r="I46" s="83">
        <f>IF($G46="",0,COUNTIF($G$7:$G46,$H46))</f>
        <v>0</v>
      </c>
      <c r="J46" s="83"/>
      <c r="K46" s="264" t="str">
        <f>Language!$E$85</f>
        <v>double</v>
      </c>
      <c r="L46" s="240" t="str">
        <f>IF(Calc!$F$26=0,"",IF(OR($M46&gt;Calc!$B$24,MOD($M46-1,Calc!$F$26)&gt;0),"",QUOTIENT($M46-1,Calc!$F$26)+1))</f>
        <v/>
      </c>
      <c r="M46" s="102">
        <v>40</v>
      </c>
      <c r="N46" s="302">
        <v>11</v>
      </c>
      <c r="O46" s="108" t="s">
        <v>4</v>
      </c>
      <c r="P46" s="304">
        <v>17</v>
      </c>
      <c r="Q46" s="109" t="str">
        <f t="shared" si="1"/>
        <v>FC St. Pauli</v>
      </c>
      <c r="R46" s="110" t="s">
        <v>4</v>
      </c>
      <c r="S46" s="111" t="str">
        <f t="shared" si="2"/>
        <v>VfB Stuttgart</v>
      </c>
      <c r="T46" s="211">
        <v>45927</v>
      </c>
      <c r="U46" s="212">
        <v>0.64583333333333337</v>
      </c>
    </row>
    <row r="47" spans="6:21" ht="17.25" x14ac:dyDescent="0.2">
      <c r="F47" s="83">
        <f t="shared" si="3"/>
        <v>2</v>
      </c>
      <c r="G47" s="83" t="str">
        <f t="shared" si="4"/>
        <v>00180010</v>
      </c>
      <c r="H47" s="83" t="str">
        <f t="shared" si="5"/>
        <v>00100018</v>
      </c>
      <c r="I47" s="83">
        <f>IF($G47="",0,COUNTIF($G$7:$G47,$H47))</f>
        <v>0</v>
      </c>
      <c r="J47" s="83"/>
      <c r="K47" s="264" t="str">
        <f>Language!$E$85</f>
        <v>double</v>
      </c>
      <c r="L47" s="240" t="str">
        <f>IF(Calc!$F$26=0,"",IF(OR($M47&gt;Calc!$B$24,MOD($M47-1,Calc!$F$26)&gt;0),"",QUOTIENT($M47-1,Calc!$F$26)+1))</f>
        <v/>
      </c>
      <c r="M47" s="102">
        <v>41</v>
      </c>
      <c r="N47" s="302">
        <v>18</v>
      </c>
      <c r="O47" s="108" t="s">
        <v>4</v>
      </c>
      <c r="P47" s="304">
        <v>10</v>
      </c>
      <c r="Q47" s="109" t="str">
        <f t="shared" si="1"/>
        <v>VfL Wolfsburg</v>
      </c>
      <c r="R47" s="110" t="s">
        <v>4</v>
      </c>
      <c r="S47" s="111" t="str">
        <f t="shared" si="2"/>
        <v>FC Bayern München</v>
      </c>
      <c r="T47" s="211">
        <v>45927</v>
      </c>
      <c r="U47" s="212">
        <v>0.64583333333333337</v>
      </c>
    </row>
    <row r="48" spans="6:21" ht="17.25" x14ac:dyDescent="0.2">
      <c r="F48" s="83">
        <f t="shared" si="3"/>
        <v>2</v>
      </c>
      <c r="G48" s="83" t="str">
        <f t="shared" si="4"/>
        <v>00090002</v>
      </c>
      <c r="H48" s="83" t="str">
        <f t="shared" si="5"/>
        <v>00020009</v>
      </c>
      <c r="I48" s="83">
        <f>IF($G48="",0,COUNTIF($G$7:$G48,$H48))</f>
        <v>0</v>
      </c>
      <c r="J48" s="83"/>
      <c r="K48" s="264" t="str">
        <f>Language!$E$85</f>
        <v>double</v>
      </c>
      <c r="L48" s="240" t="str">
        <f>IF(Calc!$F$26=0,"",IF(OR($M48&gt;Calc!$B$24,MOD($M48-1,Calc!$F$26)&gt;0),"",QUOTIENT($M48-1,Calc!$F$26)+1))</f>
        <v/>
      </c>
      <c r="M48" s="102">
        <v>42</v>
      </c>
      <c r="N48" s="302">
        <v>9</v>
      </c>
      <c r="O48" s="108" t="s">
        <v>4</v>
      </c>
      <c r="P48" s="304">
        <v>2</v>
      </c>
      <c r="Q48" s="109" t="str">
        <f t="shared" si="1"/>
        <v>FC Augsburg</v>
      </c>
      <c r="R48" s="110" t="s">
        <v>4</v>
      </c>
      <c r="S48" s="111" t="str">
        <f t="shared" si="2"/>
        <v>1. FC Köln</v>
      </c>
      <c r="T48" s="211">
        <v>45927</v>
      </c>
      <c r="U48" s="212">
        <v>0.64583333333333337</v>
      </c>
    </row>
    <row r="49" spans="6:21" ht="17.25" x14ac:dyDescent="0.2">
      <c r="F49" s="83">
        <f t="shared" si="3"/>
        <v>2</v>
      </c>
      <c r="G49" s="83" t="str">
        <f t="shared" si="4"/>
        <v>00030008</v>
      </c>
      <c r="H49" s="83" t="str">
        <f t="shared" si="5"/>
        <v>00080003</v>
      </c>
      <c r="I49" s="83">
        <f>IF($G49="",0,COUNTIF($G$7:$G49,$H49))</f>
        <v>0</v>
      </c>
      <c r="J49" s="83"/>
      <c r="K49" s="264" t="str">
        <f>Language!$E$85</f>
        <v>double</v>
      </c>
      <c r="L49" s="240" t="str">
        <f>IF(Calc!$F$26=0,"",IF(OR($M49&gt;Calc!$B$24,MOD($M49-1,Calc!$F$26)&gt;0),"",QUOTIENT($M49-1,Calc!$F$26)+1))</f>
        <v/>
      </c>
      <c r="M49" s="102">
        <v>43</v>
      </c>
      <c r="N49" s="302">
        <v>3</v>
      </c>
      <c r="O49" s="108" t="s">
        <v>4</v>
      </c>
      <c r="P49" s="304">
        <v>8</v>
      </c>
      <c r="Q49" s="109" t="str">
        <f t="shared" si="1"/>
        <v>1. FC Union Berlin</v>
      </c>
      <c r="R49" s="110" t="s">
        <v>4</v>
      </c>
      <c r="S49" s="111" t="str">
        <f t="shared" si="2"/>
        <v>Eintracht Frankfurt</v>
      </c>
      <c r="T49" s="211">
        <v>45927</v>
      </c>
      <c r="U49" s="212">
        <v>0.64583333333333337</v>
      </c>
    </row>
    <row r="50" spans="6:21" ht="17.25" x14ac:dyDescent="0.2">
      <c r="F50" s="83">
        <f t="shared" si="3"/>
        <v>2</v>
      </c>
      <c r="G50" s="83" t="str">
        <f t="shared" si="4"/>
        <v>00070004</v>
      </c>
      <c r="H50" s="83" t="str">
        <f t="shared" si="5"/>
        <v>00040007</v>
      </c>
      <c r="I50" s="83">
        <f>IF($G50="",0,COUNTIF($G$7:$G50,$H50))</f>
        <v>0</v>
      </c>
      <c r="J50" s="83"/>
      <c r="K50" s="264" t="str">
        <f>Language!$E$85</f>
        <v>double</v>
      </c>
      <c r="L50" s="240" t="str">
        <f>IF(Calc!$F$26=0,"",IF(OR($M50&gt;Calc!$B$24,MOD($M50-1,Calc!$F$26)&gt;0),"",QUOTIENT($M50-1,Calc!$F$26)+1))</f>
        <v/>
      </c>
      <c r="M50" s="102">
        <v>44</v>
      </c>
      <c r="N50" s="302">
        <v>7</v>
      </c>
      <c r="O50" s="108" t="s">
        <v>4</v>
      </c>
      <c r="P50" s="304">
        <v>4</v>
      </c>
      <c r="Q50" s="109" t="str">
        <f t="shared" si="1"/>
        <v>Borussia Mönchengladbach</v>
      </c>
      <c r="R50" s="110" t="s">
        <v>4</v>
      </c>
      <c r="S50" s="111" t="str">
        <f t="shared" si="2"/>
        <v>1. FSV Mainz 05</v>
      </c>
      <c r="T50" s="211">
        <v>45927</v>
      </c>
      <c r="U50" s="212">
        <v>0.64583333333333337</v>
      </c>
    </row>
    <row r="51" spans="6:21" ht="17.25" x14ac:dyDescent="0.2">
      <c r="F51" s="83">
        <f t="shared" si="3"/>
        <v>2</v>
      </c>
      <c r="G51" s="83" t="str">
        <f t="shared" si="4"/>
        <v>00050006</v>
      </c>
      <c r="H51" s="83" t="str">
        <f t="shared" si="5"/>
        <v>00060005</v>
      </c>
      <c r="I51" s="83">
        <f>IF($G51="",0,COUNTIF($G$7:$G51,$H51))</f>
        <v>0</v>
      </c>
      <c r="J51" s="83"/>
      <c r="K51" s="264" t="str">
        <f>Language!$E$85</f>
        <v>double</v>
      </c>
      <c r="L51" s="240" t="str">
        <f>IF(Calc!$F$26=0,"",IF(OR($M51&gt;Calc!$B$24,MOD($M51-1,Calc!$F$26)&gt;0),"",QUOTIENT($M51-1,Calc!$F$26)+1))</f>
        <v/>
      </c>
      <c r="M51" s="102">
        <v>45</v>
      </c>
      <c r="N51" s="302">
        <v>5</v>
      </c>
      <c r="O51" s="108" t="s">
        <v>4</v>
      </c>
      <c r="P51" s="304">
        <v>6</v>
      </c>
      <c r="Q51" s="109" t="str">
        <f t="shared" si="1"/>
        <v>Bayer 04 Leverkusen</v>
      </c>
      <c r="R51" s="110" t="s">
        <v>4</v>
      </c>
      <c r="S51" s="111" t="str">
        <f t="shared" si="2"/>
        <v>Borussia Dortmund</v>
      </c>
      <c r="T51" s="211">
        <v>45927</v>
      </c>
      <c r="U51" s="212">
        <v>0.64583333333333337</v>
      </c>
    </row>
    <row r="52" spans="6:21" ht="17.25" x14ac:dyDescent="0.2">
      <c r="F52" s="83">
        <f t="shared" si="3"/>
        <v>2</v>
      </c>
      <c r="G52" s="83" t="str">
        <f t="shared" si="4"/>
        <v>00130001</v>
      </c>
      <c r="H52" s="83" t="str">
        <f t="shared" si="5"/>
        <v>00010013</v>
      </c>
      <c r="I52" s="83">
        <f>IF($G52="",0,COUNTIF($G$7:$G52,$H52))</f>
        <v>0</v>
      </c>
      <c r="J52" s="83"/>
      <c r="K52" s="264" t="str">
        <f>Language!$E$85</f>
        <v>double</v>
      </c>
      <c r="L52" s="240">
        <f>IF(Calc!$F$26=0,"",IF(OR($M52&gt;Calc!$B$24,MOD($M52-1,Calc!$F$26)&gt;0),"",QUOTIENT($M52-1,Calc!$F$26)+1))</f>
        <v>6</v>
      </c>
      <c r="M52" s="102">
        <v>46</v>
      </c>
      <c r="N52" s="302">
        <v>13</v>
      </c>
      <c r="O52" s="108" t="s">
        <v>4</v>
      </c>
      <c r="P52" s="304">
        <v>1</v>
      </c>
      <c r="Q52" s="109" t="str">
        <f t="shared" si="1"/>
        <v>RB Leipzig</v>
      </c>
      <c r="R52" s="110" t="s">
        <v>4</v>
      </c>
      <c r="S52" s="111" t="str">
        <f t="shared" si="2"/>
        <v>1. FC Heidenheim 1846</v>
      </c>
      <c r="T52" s="211">
        <v>45934</v>
      </c>
      <c r="U52" s="212">
        <v>0.64583333333333337</v>
      </c>
    </row>
    <row r="53" spans="6:21" ht="17.25" x14ac:dyDescent="0.2">
      <c r="F53" s="83">
        <f t="shared" si="3"/>
        <v>2</v>
      </c>
      <c r="G53" s="83" t="str">
        <f t="shared" si="4"/>
        <v>00120014</v>
      </c>
      <c r="H53" s="83" t="str">
        <f t="shared" si="5"/>
        <v>00140012</v>
      </c>
      <c r="I53" s="83">
        <f>IF($G53="",0,COUNTIF($G$7:$G53,$H53))</f>
        <v>0</v>
      </c>
      <c r="J53" s="83"/>
      <c r="K53" s="264" t="str">
        <f>Language!$E$85</f>
        <v>double</v>
      </c>
      <c r="L53" s="240" t="str">
        <f>IF(Calc!$F$26=0,"",IF(OR($M53&gt;Calc!$B$24,MOD($M53-1,Calc!$F$26)&gt;0),"",QUOTIENT($M53-1,Calc!$F$26)+1))</f>
        <v/>
      </c>
      <c r="M53" s="102">
        <v>47</v>
      </c>
      <c r="N53" s="302">
        <v>12</v>
      </c>
      <c r="O53" s="108" t="s">
        <v>4</v>
      </c>
      <c r="P53" s="304">
        <v>14</v>
      </c>
      <c r="Q53" s="109" t="str">
        <f t="shared" si="1"/>
        <v>Hamburger SV</v>
      </c>
      <c r="R53" s="110" t="s">
        <v>4</v>
      </c>
      <c r="S53" s="111" t="str">
        <f t="shared" si="2"/>
        <v>SC Freiburg</v>
      </c>
      <c r="T53" s="211">
        <v>45934</v>
      </c>
      <c r="U53" s="212">
        <v>0.64583333333333337</v>
      </c>
    </row>
    <row r="54" spans="6:21" ht="17.25" x14ac:dyDescent="0.2">
      <c r="F54" s="83">
        <f t="shared" si="3"/>
        <v>2</v>
      </c>
      <c r="G54" s="83" t="str">
        <f t="shared" si="4"/>
        <v>00150011</v>
      </c>
      <c r="H54" s="83" t="str">
        <f t="shared" si="5"/>
        <v>00110015</v>
      </c>
      <c r="I54" s="83">
        <f>IF($G54="",0,COUNTIF($G$7:$G54,$H54))</f>
        <v>0</v>
      </c>
      <c r="J54" s="83"/>
      <c r="K54" s="264" t="str">
        <f>Language!$E$85</f>
        <v>double</v>
      </c>
      <c r="L54" s="240" t="str">
        <f>IF(Calc!$F$26=0,"",IF(OR($M54&gt;Calc!$B$24,MOD($M54-1,Calc!$F$26)&gt;0),"",QUOTIENT($M54-1,Calc!$F$26)+1))</f>
        <v/>
      </c>
      <c r="M54" s="102">
        <v>48</v>
      </c>
      <c r="N54" s="302">
        <v>15</v>
      </c>
      <c r="O54" s="108" t="s">
        <v>4</v>
      </c>
      <c r="P54" s="304">
        <v>11</v>
      </c>
      <c r="Q54" s="109" t="str">
        <f t="shared" si="1"/>
        <v>SV Werder Bremen</v>
      </c>
      <c r="R54" s="110" t="s">
        <v>4</v>
      </c>
      <c r="S54" s="111" t="str">
        <f t="shared" si="2"/>
        <v>FC St. Pauli</v>
      </c>
      <c r="T54" s="211">
        <v>45934</v>
      </c>
      <c r="U54" s="212">
        <v>0.64583333333333337</v>
      </c>
    </row>
    <row r="55" spans="6:21" ht="17.25" x14ac:dyDescent="0.2">
      <c r="F55" s="83">
        <f t="shared" si="3"/>
        <v>2</v>
      </c>
      <c r="G55" s="83" t="str">
        <f t="shared" si="4"/>
        <v>00100016</v>
      </c>
      <c r="H55" s="83" t="str">
        <f t="shared" si="5"/>
        <v>00160010</v>
      </c>
      <c r="I55" s="83">
        <f>IF($G55="",0,COUNTIF($G$7:$G55,$H55))</f>
        <v>0</v>
      </c>
      <c r="J55" s="83"/>
      <c r="K55" s="264" t="str">
        <f>Language!$E$85</f>
        <v>double</v>
      </c>
      <c r="L55" s="240" t="str">
        <f>IF(Calc!$F$26=0,"",IF(OR($M55&gt;Calc!$B$24,MOD($M55-1,Calc!$F$26)&gt;0),"",QUOTIENT($M55-1,Calc!$F$26)+1))</f>
        <v/>
      </c>
      <c r="M55" s="102">
        <v>49</v>
      </c>
      <c r="N55" s="302">
        <v>10</v>
      </c>
      <c r="O55" s="108" t="s">
        <v>4</v>
      </c>
      <c r="P55" s="304">
        <v>16</v>
      </c>
      <c r="Q55" s="109" t="str">
        <f t="shared" si="1"/>
        <v>FC Bayern München</v>
      </c>
      <c r="R55" s="110" t="s">
        <v>4</v>
      </c>
      <c r="S55" s="111" t="str">
        <f t="shared" si="2"/>
        <v>TSG Hoffenheim</v>
      </c>
      <c r="T55" s="211">
        <v>45934</v>
      </c>
      <c r="U55" s="212">
        <v>0.64583333333333337</v>
      </c>
    </row>
    <row r="56" spans="6:21" ht="17.25" x14ac:dyDescent="0.2">
      <c r="F56" s="83">
        <f t="shared" si="3"/>
        <v>2</v>
      </c>
      <c r="G56" s="83" t="str">
        <f t="shared" si="4"/>
        <v>00170009</v>
      </c>
      <c r="H56" s="83" t="str">
        <f t="shared" si="5"/>
        <v>00090017</v>
      </c>
      <c r="I56" s="83">
        <f>IF($G56="",0,COUNTIF($G$7:$G56,$H56))</f>
        <v>0</v>
      </c>
      <c r="J56" s="83"/>
      <c r="K56" s="264" t="str">
        <f>Language!$E$85</f>
        <v>double</v>
      </c>
      <c r="L56" s="240" t="str">
        <f>IF(Calc!$F$26=0,"",IF(OR($M56&gt;Calc!$B$24,MOD($M56-1,Calc!$F$26)&gt;0),"",QUOTIENT($M56-1,Calc!$F$26)+1))</f>
        <v/>
      </c>
      <c r="M56" s="102">
        <v>50</v>
      </c>
      <c r="N56" s="302">
        <v>17</v>
      </c>
      <c r="O56" s="108" t="s">
        <v>4</v>
      </c>
      <c r="P56" s="304">
        <v>9</v>
      </c>
      <c r="Q56" s="109" t="str">
        <f t="shared" si="1"/>
        <v>VfB Stuttgart</v>
      </c>
      <c r="R56" s="110" t="s">
        <v>4</v>
      </c>
      <c r="S56" s="111" t="str">
        <f t="shared" si="2"/>
        <v>FC Augsburg</v>
      </c>
      <c r="T56" s="211">
        <v>45934</v>
      </c>
      <c r="U56" s="212">
        <v>0.64583333333333337</v>
      </c>
    </row>
    <row r="57" spans="6:21" ht="17.25" x14ac:dyDescent="0.2">
      <c r="F57" s="83">
        <f t="shared" si="3"/>
        <v>2</v>
      </c>
      <c r="G57" s="83" t="str">
        <f t="shared" si="4"/>
        <v>00080018</v>
      </c>
      <c r="H57" s="83" t="str">
        <f t="shared" si="5"/>
        <v>00180008</v>
      </c>
      <c r="I57" s="83">
        <f>IF($G57="",0,COUNTIF($G$7:$G57,$H57))</f>
        <v>0</v>
      </c>
      <c r="J57" s="83"/>
      <c r="K57" s="264" t="str">
        <f>Language!$E$85</f>
        <v>double</v>
      </c>
      <c r="L57" s="240" t="str">
        <f>IF(Calc!$F$26=0,"",IF(OR($M57&gt;Calc!$B$24,MOD($M57-1,Calc!$F$26)&gt;0),"",QUOTIENT($M57-1,Calc!$F$26)+1))</f>
        <v/>
      </c>
      <c r="M57" s="102">
        <v>51</v>
      </c>
      <c r="N57" s="302">
        <v>8</v>
      </c>
      <c r="O57" s="108" t="s">
        <v>4</v>
      </c>
      <c r="P57" s="304">
        <v>18</v>
      </c>
      <c r="Q57" s="109" t="str">
        <f t="shared" si="1"/>
        <v>Eintracht Frankfurt</v>
      </c>
      <c r="R57" s="110" t="s">
        <v>4</v>
      </c>
      <c r="S57" s="111" t="str">
        <f t="shared" si="2"/>
        <v>VfL Wolfsburg</v>
      </c>
      <c r="T57" s="211">
        <v>45934</v>
      </c>
      <c r="U57" s="212">
        <v>0.64583333333333337</v>
      </c>
    </row>
    <row r="58" spans="6:21" ht="17.25" x14ac:dyDescent="0.2">
      <c r="F58" s="83">
        <f t="shared" si="3"/>
        <v>2</v>
      </c>
      <c r="G58" s="83" t="str">
        <f t="shared" si="4"/>
        <v>00020007</v>
      </c>
      <c r="H58" s="83" t="str">
        <f t="shared" si="5"/>
        <v>00070002</v>
      </c>
      <c r="I58" s="83">
        <f>IF($G58="",0,COUNTIF($G$7:$G58,$H58))</f>
        <v>0</v>
      </c>
      <c r="J58" s="83"/>
      <c r="K58" s="264" t="str">
        <f>Language!$E$85</f>
        <v>double</v>
      </c>
      <c r="L58" s="240" t="str">
        <f>IF(Calc!$F$26=0,"",IF(OR($M58&gt;Calc!$B$24,MOD($M58-1,Calc!$F$26)&gt;0),"",QUOTIENT($M58-1,Calc!$F$26)+1))</f>
        <v/>
      </c>
      <c r="M58" s="102">
        <v>52</v>
      </c>
      <c r="N58" s="302">
        <v>2</v>
      </c>
      <c r="O58" s="108" t="s">
        <v>4</v>
      </c>
      <c r="P58" s="304">
        <v>7</v>
      </c>
      <c r="Q58" s="109" t="str">
        <f t="shared" si="1"/>
        <v>1. FC Köln</v>
      </c>
      <c r="R58" s="110" t="s">
        <v>4</v>
      </c>
      <c r="S58" s="111" t="str">
        <f t="shared" si="2"/>
        <v>Borussia Mönchengladbach</v>
      </c>
      <c r="T58" s="211">
        <v>45934</v>
      </c>
      <c r="U58" s="212">
        <v>0.64583333333333337</v>
      </c>
    </row>
    <row r="59" spans="6:21" ht="17.25" x14ac:dyDescent="0.2">
      <c r="F59" s="83">
        <f t="shared" si="3"/>
        <v>2</v>
      </c>
      <c r="G59" s="83" t="str">
        <f t="shared" si="4"/>
        <v>00060003</v>
      </c>
      <c r="H59" s="83" t="str">
        <f t="shared" si="5"/>
        <v>00030006</v>
      </c>
      <c r="I59" s="83">
        <f>IF($G59="",0,COUNTIF($G$7:$G59,$H59))</f>
        <v>0</v>
      </c>
      <c r="J59" s="83"/>
      <c r="K59" s="264" t="str">
        <f>Language!$E$85</f>
        <v>double</v>
      </c>
      <c r="L59" s="240" t="str">
        <f>IF(Calc!$F$26=0,"",IF(OR($M59&gt;Calc!$B$24,MOD($M59-1,Calc!$F$26)&gt;0),"",QUOTIENT($M59-1,Calc!$F$26)+1))</f>
        <v/>
      </c>
      <c r="M59" s="102">
        <v>53</v>
      </c>
      <c r="N59" s="302">
        <v>6</v>
      </c>
      <c r="O59" s="108" t="s">
        <v>4</v>
      </c>
      <c r="P59" s="304">
        <v>3</v>
      </c>
      <c r="Q59" s="109" t="str">
        <f t="shared" si="1"/>
        <v>Borussia Dortmund</v>
      </c>
      <c r="R59" s="110" t="s">
        <v>4</v>
      </c>
      <c r="S59" s="111" t="str">
        <f t="shared" si="2"/>
        <v>1. FC Union Berlin</v>
      </c>
      <c r="T59" s="211">
        <v>45934</v>
      </c>
      <c r="U59" s="212">
        <v>0.64583333333333337</v>
      </c>
    </row>
    <row r="60" spans="6:21" ht="17.25" x14ac:dyDescent="0.2">
      <c r="F60" s="83">
        <f t="shared" si="3"/>
        <v>2</v>
      </c>
      <c r="G60" s="83" t="str">
        <f t="shared" si="4"/>
        <v>00040005</v>
      </c>
      <c r="H60" s="83" t="str">
        <f t="shared" si="5"/>
        <v>00050004</v>
      </c>
      <c r="I60" s="83">
        <f>IF($G60="",0,COUNTIF($G$7:$G60,$H60))</f>
        <v>0</v>
      </c>
      <c r="J60" s="83"/>
      <c r="K60" s="264" t="str">
        <f>Language!$E$85</f>
        <v>double</v>
      </c>
      <c r="L60" s="240" t="str">
        <f>IF(Calc!$F$26=0,"",IF(OR($M60&gt;Calc!$B$24,MOD($M60-1,Calc!$F$26)&gt;0),"",QUOTIENT($M60-1,Calc!$F$26)+1))</f>
        <v/>
      </c>
      <c r="M60" s="102">
        <v>54</v>
      </c>
      <c r="N60" s="302">
        <v>4</v>
      </c>
      <c r="O60" s="108" t="s">
        <v>4</v>
      </c>
      <c r="P60" s="304">
        <v>5</v>
      </c>
      <c r="Q60" s="109" t="str">
        <f t="shared" si="1"/>
        <v>1. FSV Mainz 05</v>
      </c>
      <c r="R60" s="110" t="s">
        <v>4</v>
      </c>
      <c r="S60" s="111" t="str">
        <f t="shared" si="2"/>
        <v>Bayer 04 Leverkusen</v>
      </c>
      <c r="T60" s="211">
        <v>45934</v>
      </c>
      <c r="U60" s="212">
        <v>0.64583333333333337</v>
      </c>
    </row>
    <row r="61" spans="6:21" ht="17.25" x14ac:dyDescent="0.2">
      <c r="F61" s="83">
        <f t="shared" si="3"/>
        <v>2</v>
      </c>
      <c r="G61" s="83" t="str">
        <f t="shared" si="4"/>
        <v>00010012</v>
      </c>
      <c r="H61" s="83" t="str">
        <f t="shared" si="5"/>
        <v>00120001</v>
      </c>
      <c r="I61" s="83">
        <f>IF($G61="",0,COUNTIF($G$7:$G61,$H61))</f>
        <v>0</v>
      </c>
      <c r="J61" s="83"/>
      <c r="K61" s="264" t="str">
        <f>Language!$E$85</f>
        <v>double</v>
      </c>
      <c r="L61" s="240">
        <f>IF(Calc!$F$26=0,"",IF(OR($M61&gt;Calc!$B$24,MOD($M61-1,Calc!$F$26)&gt;0),"",QUOTIENT($M61-1,Calc!$F$26)+1))</f>
        <v>7</v>
      </c>
      <c r="M61" s="102">
        <v>55</v>
      </c>
      <c r="N61" s="302">
        <v>1</v>
      </c>
      <c r="O61" s="108" t="s">
        <v>4</v>
      </c>
      <c r="P61" s="304">
        <v>12</v>
      </c>
      <c r="Q61" s="109" t="str">
        <f t="shared" si="1"/>
        <v>1. FC Heidenheim 1846</v>
      </c>
      <c r="R61" s="110" t="s">
        <v>4</v>
      </c>
      <c r="S61" s="111" t="str">
        <f t="shared" si="2"/>
        <v>Hamburger SV</v>
      </c>
      <c r="T61" s="211">
        <v>45948</v>
      </c>
      <c r="U61" s="212">
        <v>0.64583333333333337</v>
      </c>
    </row>
    <row r="62" spans="6:21" ht="17.25" x14ac:dyDescent="0.2">
      <c r="F62" s="83">
        <f t="shared" si="3"/>
        <v>2</v>
      </c>
      <c r="G62" s="83" t="str">
        <f t="shared" si="4"/>
        <v>00110013</v>
      </c>
      <c r="H62" s="83" t="str">
        <f t="shared" si="5"/>
        <v>00130011</v>
      </c>
      <c r="I62" s="83">
        <f>IF($G62="",0,COUNTIF($G$7:$G62,$H62))</f>
        <v>0</v>
      </c>
      <c r="J62" s="83"/>
      <c r="K62" s="264" t="str">
        <f>Language!$E$85</f>
        <v>double</v>
      </c>
      <c r="L62" s="240" t="str">
        <f>IF(Calc!$F$26=0,"",IF(OR($M62&gt;Calc!$B$24,MOD($M62-1,Calc!$F$26)&gt;0),"",QUOTIENT($M62-1,Calc!$F$26)+1))</f>
        <v/>
      </c>
      <c r="M62" s="102">
        <v>56</v>
      </c>
      <c r="N62" s="302">
        <v>11</v>
      </c>
      <c r="O62" s="108" t="s">
        <v>4</v>
      </c>
      <c r="P62" s="304">
        <v>13</v>
      </c>
      <c r="Q62" s="109" t="str">
        <f t="shared" si="1"/>
        <v>FC St. Pauli</v>
      </c>
      <c r="R62" s="110" t="s">
        <v>4</v>
      </c>
      <c r="S62" s="111" t="str">
        <f t="shared" si="2"/>
        <v>RB Leipzig</v>
      </c>
      <c r="T62" s="211">
        <v>45948</v>
      </c>
      <c r="U62" s="212">
        <v>0.64583333333333337</v>
      </c>
    </row>
    <row r="63" spans="6:21" ht="17.25" x14ac:dyDescent="0.2">
      <c r="F63" s="83">
        <f t="shared" si="3"/>
        <v>2</v>
      </c>
      <c r="G63" s="83" t="str">
        <f t="shared" si="4"/>
        <v>00140010</v>
      </c>
      <c r="H63" s="83" t="str">
        <f t="shared" si="5"/>
        <v>00100014</v>
      </c>
      <c r="I63" s="83">
        <f>IF($G63="",0,COUNTIF($G$7:$G63,$H63))</f>
        <v>0</v>
      </c>
      <c r="J63" s="83"/>
      <c r="K63" s="264" t="str">
        <f>Language!$E$85</f>
        <v>double</v>
      </c>
      <c r="L63" s="240" t="str">
        <f>IF(Calc!$F$26=0,"",IF(OR($M63&gt;Calc!$B$24,MOD($M63-1,Calc!$F$26)&gt;0),"",QUOTIENT($M63-1,Calc!$F$26)+1))</f>
        <v/>
      </c>
      <c r="M63" s="102">
        <v>57</v>
      </c>
      <c r="N63" s="302">
        <v>14</v>
      </c>
      <c r="O63" s="108" t="s">
        <v>4</v>
      </c>
      <c r="P63" s="304">
        <v>10</v>
      </c>
      <c r="Q63" s="109" t="str">
        <f t="shared" si="1"/>
        <v>SC Freiburg</v>
      </c>
      <c r="R63" s="110" t="s">
        <v>4</v>
      </c>
      <c r="S63" s="111" t="str">
        <f t="shared" si="2"/>
        <v>FC Bayern München</v>
      </c>
      <c r="T63" s="211">
        <v>45948</v>
      </c>
      <c r="U63" s="212">
        <v>0.64583333333333337</v>
      </c>
    </row>
    <row r="64" spans="6:21" ht="17.25" x14ac:dyDescent="0.2">
      <c r="F64" s="83">
        <f t="shared" si="3"/>
        <v>2</v>
      </c>
      <c r="G64" s="83" t="str">
        <f t="shared" si="4"/>
        <v>00090015</v>
      </c>
      <c r="H64" s="83" t="str">
        <f t="shared" si="5"/>
        <v>00150009</v>
      </c>
      <c r="I64" s="83">
        <f>IF($G64="",0,COUNTIF($G$7:$G64,$H64))</f>
        <v>0</v>
      </c>
      <c r="J64" s="83"/>
      <c r="K64" s="264" t="str">
        <f>Language!$E$85</f>
        <v>double</v>
      </c>
      <c r="L64" s="240" t="str">
        <f>IF(Calc!$F$26=0,"",IF(OR($M64&gt;Calc!$B$24,MOD($M64-1,Calc!$F$26)&gt;0),"",QUOTIENT($M64-1,Calc!$F$26)+1))</f>
        <v/>
      </c>
      <c r="M64" s="102">
        <v>58</v>
      </c>
      <c r="N64" s="302">
        <v>9</v>
      </c>
      <c r="O64" s="108" t="s">
        <v>4</v>
      </c>
      <c r="P64" s="304">
        <v>15</v>
      </c>
      <c r="Q64" s="109" t="str">
        <f t="shared" si="1"/>
        <v>FC Augsburg</v>
      </c>
      <c r="R64" s="110" t="s">
        <v>4</v>
      </c>
      <c r="S64" s="111" t="str">
        <f t="shared" si="2"/>
        <v>SV Werder Bremen</v>
      </c>
      <c r="T64" s="211">
        <v>45948</v>
      </c>
      <c r="U64" s="212">
        <v>0.64583333333333337</v>
      </c>
    </row>
    <row r="65" spans="6:21" ht="17.25" x14ac:dyDescent="0.2">
      <c r="F65" s="83">
        <f t="shared" si="3"/>
        <v>2</v>
      </c>
      <c r="G65" s="83" t="str">
        <f t="shared" si="4"/>
        <v>00160008</v>
      </c>
      <c r="H65" s="83" t="str">
        <f t="shared" si="5"/>
        <v>00080016</v>
      </c>
      <c r="I65" s="83">
        <f>IF($G65="",0,COUNTIF($G$7:$G65,$H65))</f>
        <v>0</v>
      </c>
      <c r="J65" s="83"/>
      <c r="K65" s="264" t="str">
        <f>Language!$E$85</f>
        <v>double</v>
      </c>
      <c r="L65" s="240" t="str">
        <f>IF(Calc!$F$26=0,"",IF(OR($M65&gt;Calc!$B$24,MOD($M65-1,Calc!$F$26)&gt;0),"",QUOTIENT($M65-1,Calc!$F$26)+1))</f>
        <v/>
      </c>
      <c r="M65" s="102">
        <v>59</v>
      </c>
      <c r="N65" s="302">
        <v>16</v>
      </c>
      <c r="O65" s="108" t="s">
        <v>4</v>
      </c>
      <c r="P65" s="304">
        <v>8</v>
      </c>
      <c r="Q65" s="109" t="str">
        <f t="shared" si="1"/>
        <v>TSG Hoffenheim</v>
      </c>
      <c r="R65" s="110" t="s">
        <v>4</v>
      </c>
      <c r="S65" s="111" t="str">
        <f t="shared" si="2"/>
        <v>Eintracht Frankfurt</v>
      </c>
      <c r="T65" s="211">
        <v>45948</v>
      </c>
      <c r="U65" s="212">
        <v>0.64583333333333337</v>
      </c>
    </row>
    <row r="66" spans="6:21" ht="17.25" x14ac:dyDescent="0.2">
      <c r="F66" s="83">
        <f t="shared" si="3"/>
        <v>2</v>
      </c>
      <c r="G66" s="83" t="str">
        <f t="shared" si="4"/>
        <v>00070017</v>
      </c>
      <c r="H66" s="83" t="str">
        <f t="shared" si="5"/>
        <v>00170007</v>
      </c>
      <c r="I66" s="83">
        <f>IF($G66="",0,COUNTIF($G$7:$G66,$H66))</f>
        <v>0</v>
      </c>
      <c r="J66" s="83"/>
      <c r="K66" s="264" t="str">
        <f>Language!$E$85</f>
        <v>double</v>
      </c>
      <c r="L66" s="240" t="str">
        <f>IF(Calc!$F$26=0,"",IF(OR($M66&gt;Calc!$B$24,MOD($M66-1,Calc!$F$26)&gt;0),"",QUOTIENT($M66-1,Calc!$F$26)+1))</f>
        <v/>
      </c>
      <c r="M66" s="102">
        <v>60</v>
      </c>
      <c r="N66" s="302">
        <v>7</v>
      </c>
      <c r="O66" s="108" t="s">
        <v>4</v>
      </c>
      <c r="P66" s="304">
        <v>17</v>
      </c>
      <c r="Q66" s="109" t="str">
        <f t="shared" si="1"/>
        <v>Borussia Mönchengladbach</v>
      </c>
      <c r="R66" s="110" t="s">
        <v>4</v>
      </c>
      <c r="S66" s="111" t="str">
        <f t="shared" si="2"/>
        <v>VfB Stuttgart</v>
      </c>
      <c r="T66" s="211">
        <v>45948</v>
      </c>
      <c r="U66" s="212">
        <v>0.64583333333333337</v>
      </c>
    </row>
    <row r="67" spans="6:21" ht="17.25" x14ac:dyDescent="0.2">
      <c r="F67" s="83">
        <f t="shared" si="3"/>
        <v>2</v>
      </c>
      <c r="G67" s="83" t="str">
        <f t="shared" si="4"/>
        <v>00180006</v>
      </c>
      <c r="H67" s="83" t="str">
        <f t="shared" si="5"/>
        <v>00060018</v>
      </c>
      <c r="I67" s="83">
        <f>IF($G67="",0,COUNTIF($G$7:$G67,$H67))</f>
        <v>0</v>
      </c>
      <c r="J67" s="83"/>
      <c r="K67" s="264" t="str">
        <f>Language!$E$85</f>
        <v>double</v>
      </c>
      <c r="L67" s="240" t="str">
        <f>IF(Calc!$F$26=0,"",IF(OR($M67&gt;Calc!$B$24,MOD($M67-1,Calc!$F$26)&gt;0),"",QUOTIENT($M67-1,Calc!$F$26)+1))</f>
        <v/>
      </c>
      <c r="M67" s="102">
        <v>61</v>
      </c>
      <c r="N67" s="302">
        <v>18</v>
      </c>
      <c r="O67" s="108" t="s">
        <v>4</v>
      </c>
      <c r="P67" s="304">
        <v>6</v>
      </c>
      <c r="Q67" s="109" t="str">
        <f t="shared" si="1"/>
        <v>VfL Wolfsburg</v>
      </c>
      <c r="R67" s="110" t="s">
        <v>4</v>
      </c>
      <c r="S67" s="111" t="str">
        <f t="shared" si="2"/>
        <v>Borussia Dortmund</v>
      </c>
      <c r="T67" s="211">
        <v>45948</v>
      </c>
      <c r="U67" s="212">
        <v>0.64583333333333337</v>
      </c>
    </row>
    <row r="68" spans="6:21" ht="17.25" x14ac:dyDescent="0.2">
      <c r="F68" s="83">
        <f t="shared" si="3"/>
        <v>2</v>
      </c>
      <c r="G68" s="83" t="str">
        <f t="shared" si="4"/>
        <v>00050002</v>
      </c>
      <c r="H68" s="83" t="str">
        <f t="shared" si="5"/>
        <v>00020005</v>
      </c>
      <c r="I68" s="83">
        <f>IF($G68="",0,COUNTIF($G$7:$G68,$H68))</f>
        <v>0</v>
      </c>
      <c r="J68" s="83"/>
      <c r="K68" s="264" t="str">
        <f>Language!$E$85</f>
        <v>double</v>
      </c>
      <c r="L68" s="240" t="str">
        <f>IF(Calc!$F$26=0,"",IF(OR($M68&gt;Calc!$B$24,MOD($M68-1,Calc!$F$26)&gt;0),"",QUOTIENT($M68-1,Calc!$F$26)+1))</f>
        <v/>
      </c>
      <c r="M68" s="102">
        <v>62</v>
      </c>
      <c r="N68" s="302">
        <v>5</v>
      </c>
      <c r="O68" s="108" t="s">
        <v>4</v>
      </c>
      <c r="P68" s="304">
        <v>2</v>
      </c>
      <c r="Q68" s="109" t="str">
        <f t="shared" si="1"/>
        <v>Bayer 04 Leverkusen</v>
      </c>
      <c r="R68" s="110" t="s">
        <v>4</v>
      </c>
      <c r="S68" s="111" t="str">
        <f t="shared" si="2"/>
        <v>1. FC Köln</v>
      </c>
      <c r="T68" s="211">
        <v>45948</v>
      </c>
      <c r="U68" s="212">
        <v>0.64583333333333337</v>
      </c>
    </row>
    <row r="69" spans="6:21" ht="17.25" x14ac:dyDescent="0.2">
      <c r="F69" s="83">
        <f t="shared" si="3"/>
        <v>2</v>
      </c>
      <c r="G69" s="83" t="str">
        <f t="shared" si="4"/>
        <v>00030004</v>
      </c>
      <c r="H69" s="83" t="str">
        <f t="shared" si="5"/>
        <v>00040003</v>
      </c>
      <c r="I69" s="83">
        <f>IF($G69="",0,COUNTIF($G$7:$G69,$H69))</f>
        <v>0</v>
      </c>
      <c r="J69" s="83"/>
      <c r="K69" s="264" t="str">
        <f>Language!$E$85</f>
        <v>double</v>
      </c>
      <c r="L69" s="240" t="str">
        <f>IF(Calc!$F$26=0,"",IF(OR($M69&gt;Calc!$B$24,MOD($M69-1,Calc!$F$26)&gt;0),"",QUOTIENT($M69-1,Calc!$F$26)+1))</f>
        <v/>
      </c>
      <c r="M69" s="102">
        <v>63</v>
      </c>
      <c r="N69" s="302">
        <v>3</v>
      </c>
      <c r="O69" s="108" t="s">
        <v>4</v>
      </c>
      <c r="P69" s="304">
        <v>4</v>
      </c>
      <c r="Q69" s="109" t="str">
        <f t="shared" si="1"/>
        <v>1. FC Union Berlin</v>
      </c>
      <c r="R69" s="110" t="s">
        <v>4</v>
      </c>
      <c r="S69" s="111" t="str">
        <f t="shared" si="2"/>
        <v>1. FSV Mainz 05</v>
      </c>
      <c r="T69" s="211">
        <v>45948</v>
      </c>
      <c r="U69" s="212">
        <v>0.64583333333333337</v>
      </c>
    </row>
    <row r="70" spans="6:21" ht="17.25" x14ac:dyDescent="0.2">
      <c r="F70" s="83">
        <f t="shared" si="3"/>
        <v>2</v>
      </c>
      <c r="G70" s="83" t="str">
        <f t="shared" si="4"/>
        <v>00110001</v>
      </c>
      <c r="H70" s="83" t="str">
        <f t="shared" si="5"/>
        <v>00010011</v>
      </c>
      <c r="I70" s="83">
        <f>IF($G70="",0,COUNTIF($G$7:$G70,$H70))</f>
        <v>0</v>
      </c>
      <c r="J70" s="83"/>
      <c r="K70" s="264" t="str">
        <f>Language!$E$85</f>
        <v>double</v>
      </c>
      <c r="L70" s="240">
        <f>IF(Calc!$F$26=0,"",IF(OR($M70&gt;Calc!$B$24,MOD($M70-1,Calc!$F$26)&gt;0),"",QUOTIENT($M70-1,Calc!$F$26)+1))</f>
        <v>8</v>
      </c>
      <c r="M70" s="102">
        <v>64</v>
      </c>
      <c r="N70" s="302">
        <v>11</v>
      </c>
      <c r="O70" s="108" t="s">
        <v>4</v>
      </c>
      <c r="P70" s="304">
        <v>1</v>
      </c>
      <c r="Q70" s="109" t="str">
        <f t="shared" si="1"/>
        <v>FC St. Pauli</v>
      </c>
      <c r="R70" s="110" t="s">
        <v>4</v>
      </c>
      <c r="S70" s="111" t="str">
        <f t="shared" si="2"/>
        <v>1. FC Heidenheim 1846</v>
      </c>
      <c r="T70" s="211">
        <v>45955</v>
      </c>
      <c r="U70" s="212">
        <v>0.64583333333333337</v>
      </c>
    </row>
    <row r="71" spans="6:21" ht="17.25" x14ac:dyDescent="0.2">
      <c r="F71" s="83">
        <f t="shared" si="3"/>
        <v>2</v>
      </c>
      <c r="G71" s="83" t="str">
        <f t="shared" si="4"/>
        <v>00100012</v>
      </c>
      <c r="H71" s="83" t="str">
        <f t="shared" si="5"/>
        <v>00120010</v>
      </c>
      <c r="I71" s="83">
        <f>IF($G71="",0,COUNTIF($G$7:$G71,$H71))</f>
        <v>0</v>
      </c>
      <c r="J71" s="83"/>
      <c r="K71" s="264" t="str">
        <f>Language!$E$85</f>
        <v>double</v>
      </c>
      <c r="L71" s="240" t="str">
        <f>IF(Calc!$F$26=0,"",IF(OR($M71&gt;Calc!$B$24,MOD($M71-1,Calc!$F$26)&gt;0),"",QUOTIENT($M71-1,Calc!$F$26)+1))</f>
        <v/>
      </c>
      <c r="M71" s="102">
        <v>65</v>
      </c>
      <c r="N71" s="302">
        <v>10</v>
      </c>
      <c r="O71" s="108" t="s">
        <v>4</v>
      </c>
      <c r="P71" s="304">
        <v>12</v>
      </c>
      <c r="Q71" s="109" t="str">
        <f t="shared" ref="Q71:Q134" si="7">IF(ISBLANK($N71),"",IF(ISBLANK(VLOOKUP($N71,$C$7:$D$26,2,0)),"",VLOOKUP($N71,$C$7:$D$26,2,0)))</f>
        <v>FC Bayern München</v>
      </c>
      <c r="R71" s="110" t="s">
        <v>4</v>
      </c>
      <c r="S71" s="111" t="str">
        <f t="shared" ref="S71:S134" si="8">IF(ISBLANK($P71),"",IF(ISBLANK(VLOOKUP($P71,$C$7:$D$26,2,0)),"",VLOOKUP($P71,$C$7:$D$26,2,0)))</f>
        <v>Hamburger SV</v>
      </c>
      <c r="T71" s="211">
        <v>45955</v>
      </c>
      <c r="U71" s="212">
        <v>0.64583333333333337</v>
      </c>
    </row>
    <row r="72" spans="6:21" ht="17.25" x14ac:dyDescent="0.2">
      <c r="F72" s="83">
        <f t="shared" ref="F72:F135" si="9">IF($G72="",0,IF(LEFT($G72,4)=RIGHT($G72,4),100,IF(COUNTIF($G$7:$G$386,$G72)&gt;1,101,COUNTIF($G$7:$G$386,$G72)+COUNTIF($H$7:$H$386,$G72))))</f>
        <v>2</v>
      </c>
      <c r="G72" s="83" t="str">
        <f t="shared" ref="G72:G135" si="10">IF(OR($N72="",$P72=""),"",TEXT($N72,"0000")&amp;TEXT($P72,"0000"))</f>
        <v>00130009</v>
      </c>
      <c r="H72" s="83" t="str">
        <f t="shared" ref="H72:H135" si="11">IF(OR($N72="",$P72=""),"",TEXT($P72,"0000")&amp;TEXT($N72,"0000"))</f>
        <v>00090013</v>
      </c>
      <c r="I72" s="83">
        <f>IF($G72="",0,COUNTIF($G$7:$G72,$H72))</f>
        <v>0</v>
      </c>
      <c r="J72" s="83"/>
      <c r="K72" s="264" t="str">
        <f>Language!$E$85</f>
        <v>double</v>
      </c>
      <c r="L72" s="240" t="str">
        <f>IF(Calc!$F$26=0,"",IF(OR($M72&gt;Calc!$B$24,MOD($M72-1,Calc!$F$26)&gt;0),"",QUOTIENT($M72-1,Calc!$F$26)+1))</f>
        <v/>
      </c>
      <c r="M72" s="102">
        <v>66</v>
      </c>
      <c r="N72" s="302">
        <v>13</v>
      </c>
      <c r="O72" s="108" t="s">
        <v>4</v>
      </c>
      <c r="P72" s="304">
        <v>9</v>
      </c>
      <c r="Q72" s="109" t="str">
        <f t="shared" si="7"/>
        <v>RB Leipzig</v>
      </c>
      <c r="R72" s="110" t="s">
        <v>4</v>
      </c>
      <c r="S72" s="111" t="str">
        <f t="shared" si="8"/>
        <v>FC Augsburg</v>
      </c>
      <c r="T72" s="211">
        <v>45955</v>
      </c>
      <c r="U72" s="212">
        <v>0.64583333333333337</v>
      </c>
    </row>
    <row r="73" spans="6:21" ht="17.25" x14ac:dyDescent="0.2">
      <c r="F73" s="83">
        <f t="shared" si="9"/>
        <v>2</v>
      </c>
      <c r="G73" s="83" t="str">
        <f t="shared" si="10"/>
        <v>00080014</v>
      </c>
      <c r="H73" s="83" t="str">
        <f t="shared" si="11"/>
        <v>00140008</v>
      </c>
      <c r="I73" s="83">
        <f>IF($G73="",0,COUNTIF($G$7:$G73,$H73))</f>
        <v>0</v>
      </c>
      <c r="J73" s="83"/>
      <c r="K73" s="264" t="str">
        <f>Language!$E$85</f>
        <v>double</v>
      </c>
      <c r="L73" s="240" t="str">
        <f>IF(Calc!$F$26=0,"",IF(OR($M73&gt;Calc!$B$24,MOD($M73-1,Calc!$F$26)&gt;0),"",QUOTIENT($M73-1,Calc!$F$26)+1))</f>
        <v/>
      </c>
      <c r="M73" s="102">
        <v>67</v>
      </c>
      <c r="N73" s="302">
        <v>8</v>
      </c>
      <c r="O73" s="108" t="s">
        <v>4</v>
      </c>
      <c r="P73" s="304">
        <v>14</v>
      </c>
      <c r="Q73" s="109" t="str">
        <f t="shared" si="7"/>
        <v>Eintracht Frankfurt</v>
      </c>
      <c r="R73" s="110" t="s">
        <v>4</v>
      </c>
      <c r="S73" s="111" t="str">
        <f t="shared" si="8"/>
        <v>SC Freiburg</v>
      </c>
      <c r="T73" s="211">
        <v>45955</v>
      </c>
      <c r="U73" s="212">
        <v>0.64583333333333337</v>
      </c>
    </row>
    <row r="74" spans="6:21" ht="17.25" x14ac:dyDescent="0.2">
      <c r="F74" s="83">
        <f t="shared" si="9"/>
        <v>2</v>
      </c>
      <c r="G74" s="83" t="str">
        <f t="shared" si="10"/>
        <v>00150007</v>
      </c>
      <c r="H74" s="83" t="str">
        <f t="shared" si="11"/>
        <v>00070015</v>
      </c>
      <c r="I74" s="83">
        <f>IF($G74="",0,COUNTIF($G$7:$G74,$H74))</f>
        <v>0</v>
      </c>
      <c r="J74" s="83"/>
      <c r="K74" s="264" t="str">
        <f>Language!$E$85</f>
        <v>double</v>
      </c>
      <c r="L74" s="240" t="str">
        <f>IF(Calc!$F$26=0,"",IF(OR($M74&gt;Calc!$B$24,MOD($M74-1,Calc!$F$26)&gt;0),"",QUOTIENT($M74-1,Calc!$F$26)+1))</f>
        <v/>
      </c>
      <c r="M74" s="102">
        <v>68</v>
      </c>
      <c r="N74" s="302">
        <v>15</v>
      </c>
      <c r="O74" s="108" t="s">
        <v>4</v>
      </c>
      <c r="P74" s="304">
        <v>7</v>
      </c>
      <c r="Q74" s="109" t="str">
        <f t="shared" si="7"/>
        <v>SV Werder Bremen</v>
      </c>
      <c r="R74" s="110" t="s">
        <v>4</v>
      </c>
      <c r="S74" s="111" t="str">
        <f t="shared" si="8"/>
        <v>Borussia Mönchengladbach</v>
      </c>
      <c r="T74" s="211">
        <v>45955</v>
      </c>
      <c r="U74" s="212">
        <v>0.64583333333333337</v>
      </c>
    </row>
    <row r="75" spans="6:21" ht="17.25" x14ac:dyDescent="0.2">
      <c r="F75" s="83">
        <f t="shared" si="9"/>
        <v>2</v>
      </c>
      <c r="G75" s="83" t="str">
        <f t="shared" si="10"/>
        <v>00060016</v>
      </c>
      <c r="H75" s="83" t="str">
        <f t="shared" si="11"/>
        <v>00160006</v>
      </c>
      <c r="I75" s="83">
        <f>IF($G75="",0,COUNTIF($G$7:$G75,$H75))</f>
        <v>0</v>
      </c>
      <c r="J75" s="83"/>
      <c r="K75" s="264" t="str">
        <f>Language!$E$85</f>
        <v>double</v>
      </c>
      <c r="L75" s="240" t="str">
        <f>IF(Calc!$F$26=0,"",IF(OR($M75&gt;Calc!$B$24,MOD($M75-1,Calc!$F$26)&gt;0),"",QUOTIENT($M75-1,Calc!$F$26)+1))</f>
        <v/>
      </c>
      <c r="M75" s="102">
        <v>69</v>
      </c>
      <c r="N75" s="302">
        <v>6</v>
      </c>
      <c r="O75" s="108" t="s">
        <v>4</v>
      </c>
      <c r="P75" s="304">
        <v>16</v>
      </c>
      <c r="Q75" s="109" t="str">
        <f t="shared" si="7"/>
        <v>Borussia Dortmund</v>
      </c>
      <c r="R75" s="110" t="s">
        <v>4</v>
      </c>
      <c r="S75" s="111" t="str">
        <f t="shared" si="8"/>
        <v>TSG Hoffenheim</v>
      </c>
      <c r="T75" s="211">
        <v>45955</v>
      </c>
      <c r="U75" s="212">
        <v>0.64583333333333337</v>
      </c>
    </row>
    <row r="76" spans="6:21" ht="17.25" x14ac:dyDescent="0.2">
      <c r="F76" s="83">
        <f t="shared" si="9"/>
        <v>2</v>
      </c>
      <c r="G76" s="83" t="str">
        <f t="shared" si="10"/>
        <v>00170005</v>
      </c>
      <c r="H76" s="83" t="str">
        <f t="shared" si="11"/>
        <v>00050017</v>
      </c>
      <c r="I76" s="83">
        <f>IF($G76="",0,COUNTIF($G$7:$G76,$H76))</f>
        <v>0</v>
      </c>
      <c r="J76" s="83"/>
      <c r="K76" s="264" t="str">
        <f>Language!$E$85</f>
        <v>double</v>
      </c>
      <c r="L76" s="240" t="str">
        <f>IF(Calc!$F$26=0,"",IF(OR($M76&gt;Calc!$B$24,MOD($M76-1,Calc!$F$26)&gt;0),"",QUOTIENT($M76-1,Calc!$F$26)+1))</f>
        <v/>
      </c>
      <c r="M76" s="102">
        <v>70</v>
      </c>
      <c r="N76" s="302">
        <v>17</v>
      </c>
      <c r="O76" s="108" t="s">
        <v>4</v>
      </c>
      <c r="P76" s="304">
        <v>5</v>
      </c>
      <c r="Q76" s="109" t="str">
        <f t="shared" si="7"/>
        <v>VfB Stuttgart</v>
      </c>
      <c r="R76" s="110" t="s">
        <v>4</v>
      </c>
      <c r="S76" s="111" t="str">
        <f t="shared" si="8"/>
        <v>Bayer 04 Leverkusen</v>
      </c>
      <c r="T76" s="211">
        <v>45955</v>
      </c>
      <c r="U76" s="212">
        <v>0.64583333333333337</v>
      </c>
    </row>
    <row r="77" spans="6:21" ht="17.25" x14ac:dyDescent="0.2">
      <c r="F77" s="83">
        <f t="shared" si="9"/>
        <v>2</v>
      </c>
      <c r="G77" s="83" t="str">
        <f t="shared" si="10"/>
        <v>00040018</v>
      </c>
      <c r="H77" s="83" t="str">
        <f t="shared" si="11"/>
        <v>00180004</v>
      </c>
      <c r="I77" s="83">
        <f>IF($G77="",0,COUNTIF($G$7:$G77,$H77))</f>
        <v>0</v>
      </c>
      <c r="J77" s="83"/>
      <c r="K77" s="264" t="str">
        <f>Language!$E$85</f>
        <v>double</v>
      </c>
      <c r="L77" s="240" t="str">
        <f>IF(Calc!$F$26=0,"",IF(OR($M77&gt;Calc!$B$24,MOD($M77-1,Calc!$F$26)&gt;0),"",QUOTIENT($M77-1,Calc!$F$26)+1))</f>
        <v/>
      </c>
      <c r="M77" s="102">
        <v>71</v>
      </c>
      <c r="N77" s="302">
        <v>4</v>
      </c>
      <c r="O77" s="108" t="s">
        <v>4</v>
      </c>
      <c r="P77" s="304">
        <v>18</v>
      </c>
      <c r="Q77" s="109" t="str">
        <f t="shared" si="7"/>
        <v>1. FSV Mainz 05</v>
      </c>
      <c r="R77" s="110" t="s">
        <v>4</v>
      </c>
      <c r="S77" s="111" t="str">
        <f t="shared" si="8"/>
        <v>VfL Wolfsburg</v>
      </c>
      <c r="T77" s="211">
        <v>45955</v>
      </c>
      <c r="U77" s="212">
        <v>0.64583333333333337</v>
      </c>
    </row>
    <row r="78" spans="6:21" ht="17.25" x14ac:dyDescent="0.2">
      <c r="F78" s="83">
        <f t="shared" si="9"/>
        <v>2</v>
      </c>
      <c r="G78" s="83" t="str">
        <f t="shared" si="10"/>
        <v>00020003</v>
      </c>
      <c r="H78" s="83" t="str">
        <f t="shared" si="11"/>
        <v>00030002</v>
      </c>
      <c r="I78" s="83">
        <f>IF($G78="",0,COUNTIF($G$7:$G78,$H78))</f>
        <v>0</v>
      </c>
      <c r="J78" s="83"/>
      <c r="K78" s="264" t="str">
        <f>Language!$E$85</f>
        <v>double</v>
      </c>
      <c r="L78" s="240" t="str">
        <f>IF(Calc!$F$26=0,"",IF(OR($M78&gt;Calc!$B$24,MOD($M78-1,Calc!$F$26)&gt;0),"",QUOTIENT($M78-1,Calc!$F$26)+1))</f>
        <v/>
      </c>
      <c r="M78" s="102">
        <v>72</v>
      </c>
      <c r="N78" s="302">
        <v>2</v>
      </c>
      <c r="O78" s="108" t="s">
        <v>4</v>
      </c>
      <c r="P78" s="304">
        <v>3</v>
      </c>
      <c r="Q78" s="109" t="str">
        <f t="shared" si="7"/>
        <v>1. FC Köln</v>
      </c>
      <c r="R78" s="110" t="s">
        <v>4</v>
      </c>
      <c r="S78" s="111" t="str">
        <f t="shared" si="8"/>
        <v>1. FC Union Berlin</v>
      </c>
      <c r="T78" s="211">
        <v>45955</v>
      </c>
      <c r="U78" s="212">
        <v>0.64583333333333337</v>
      </c>
    </row>
    <row r="79" spans="6:21" ht="17.25" x14ac:dyDescent="0.2">
      <c r="F79" s="83">
        <f t="shared" si="9"/>
        <v>2</v>
      </c>
      <c r="G79" s="83" t="str">
        <f t="shared" si="10"/>
        <v>00010010</v>
      </c>
      <c r="H79" s="83" t="str">
        <f t="shared" si="11"/>
        <v>00100001</v>
      </c>
      <c r="I79" s="83">
        <f>IF($G79="",0,COUNTIF($G$7:$G79,$H79))</f>
        <v>0</v>
      </c>
      <c r="J79" s="83"/>
      <c r="K79" s="264" t="str">
        <f>Language!$E$85</f>
        <v>double</v>
      </c>
      <c r="L79" s="240">
        <f>IF(Calc!$F$26=0,"",IF(OR($M79&gt;Calc!$B$24,MOD($M79-1,Calc!$F$26)&gt;0),"",QUOTIENT($M79-1,Calc!$F$26)+1))</f>
        <v>9</v>
      </c>
      <c r="M79" s="102">
        <v>73</v>
      </c>
      <c r="N79" s="302">
        <v>1</v>
      </c>
      <c r="O79" s="108" t="s">
        <v>4</v>
      </c>
      <c r="P79" s="304">
        <v>10</v>
      </c>
      <c r="Q79" s="109" t="str">
        <f t="shared" si="7"/>
        <v>1. FC Heidenheim 1846</v>
      </c>
      <c r="R79" s="110" t="s">
        <v>4</v>
      </c>
      <c r="S79" s="111" t="str">
        <f t="shared" si="8"/>
        <v>FC Bayern München</v>
      </c>
      <c r="T79" s="211">
        <v>45962</v>
      </c>
      <c r="U79" s="212">
        <v>0.64583333333333337</v>
      </c>
    </row>
    <row r="80" spans="6:21" ht="17.25" x14ac:dyDescent="0.2">
      <c r="F80" s="83">
        <f t="shared" si="9"/>
        <v>2</v>
      </c>
      <c r="G80" s="83" t="str">
        <f t="shared" si="10"/>
        <v>00090011</v>
      </c>
      <c r="H80" s="83" t="str">
        <f t="shared" si="11"/>
        <v>00110009</v>
      </c>
      <c r="I80" s="83">
        <f>IF($G80="",0,COUNTIF($G$7:$G80,$H80))</f>
        <v>0</v>
      </c>
      <c r="J80" s="83"/>
      <c r="K80" s="264" t="str">
        <f>Language!$E$85</f>
        <v>double</v>
      </c>
      <c r="L80" s="240" t="str">
        <f>IF(Calc!$F$26=0,"",IF(OR($M80&gt;Calc!$B$24,MOD($M80-1,Calc!$F$26)&gt;0),"",QUOTIENT($M80-1,Calc!$F$26)+1))</f>
        <v/>
      </c>
      <c r="M80" s="102">
        <v>74</v>
      </c>
      <c r="N80" s="302">
        <v>9</v>
      </c>
      <c r="O80" s="108" t="s">
        <v>4</v>
      </c>
      <c r="P80" s="304">
        <v>11</v>
      </c>
      <c r="Q80" s="109" t="str">
        <f t="shared" si="7"/>
        <v>FC Augsburg</v>
      </c>
      <c r="R80" s="110" t="s">
        <v>4</v>
      </c>
      <c r="S80" s="111" t="str">
        <f t="shared" si="8"/>
        <v>FC St. Pauli</v>
      </c>
      <c r="T80" s="211">
        <v>45962</v>
      </c>
      <c r="U80" s="212">
        <v>0.64583333333333337</v>
      </c>
    </row>
    <row r="81" spans="6:21" ht="17.25" x14ac:dyDescent="0.2">
      <c r="F81" s="83">
        <f t="shared" si="9"/>
        <v>2</v>
      </c>
      <c r="G81" s="83" t="str">
        <f t="shared" si="10"/>
        <v>00120008</v>
      </c>
      <c r="H81" s="83" t="str">
        <f t="shared" si="11"/>
        <v>00080012</v>
      </c>
      <c r="I81" s="83">
        <f>IF($G81="",0,COUNTIF($G$7:$G81,$H81))</f>
        <v>0</v>
      </c>
      <c r="J81" s="83"/>
      <c r="K81" s="264" t="str">
        <f>Language!$E$85</f>
        <v>double</v>
      </c>
      <c r="L81" s="240" t="str">
        <f>IF(Calc!$F$26=0,"",IF(OR($M81&gt;Calc!$B$24,MOD($M81-1,Calc!$F$26)&gt;0),"",QUOTIENT($M81-1,Calc!$F$26)+1))</f>
        <v/>
      </c>
      <c r="M81" s="102">
        <v>75</v>
      </c>
      <c r="N81" s="302">
        <v>12</v>
      </c>
      <c r="O81" s="108" t="s">
        <v>4</v>
      </c>
      <c r="P81" s="304">
        <v>8</v>
      </c>
      <c r="Q81" s="109" t="str">
        <f t="shared" si="7"/>
        <v>Hamburger SV</v>
      </c>
      <c r="R81" s="110" t="s">
        <v>4</v>
      </c>
      <c r="S81" s="111" t="str">
        <f t="shared" si="8"/>
        <v>Eintracht Frankfurt</v>
      </c>
      <c r="T81" s="211">
        <v>45962</v>
      </c>
      <c r="U81" s="212">
        <v>0.64583333333333337</v>
      </c>
    </row>
    <row r="82" spans="6:21" ht="17.25" x14ac:dyDescent="0.2">
      <c r="F82" s="83">
        <f t="shared" si="9"/>
        <v>2</v>
      </c>
      <c r="G82" s="83" t="str">
        <f t="shared" si="10"/>
        <v>00070013</v>
      </c>
      <c r="H82" s="83" t="str">
        <f t="shared" si="11"/>
        <v>00130007</v>
      </c>
      <c r="I82" s="83">
        <f>IF($G82="",0,COUNTIF($G$7:$G82,$H82))</f>
        <v>0</v>
      </c>
      <c r="J82" s="83"/>
      <c r="K82" s="264" t="str">
        <f>Language!$E$85</f>
        <v>double</v>
      </c>
      <c r="L82" s="240" t="str">
        <f>IF(Calc!$F$26=0,"",IF(OR($M82&gt;Calc!$B$24,MOD($M82-1,Calc!$F$26)&gt;0),"",QUOTIENT($M82-1,Calc!$F$26)+1))</f>
        <v/>
      </c>
      <c r="M82" s="102">
        <v>76</v>
      </c>
      <c r="N82" s="302">
        <v>7</v>
      </c>
      <c r="O82" s="108" t="s">
        <v>4</v>
      </c>
      <c r="P82" s="304">
        <v>13</v>
      </c>
      <c r="Q82" s="109" t="str">
        <f t="shared" si="7"/>
        <v>Borussia Mönchengladbach</v>
      </c>
      <c r="R82" s="110" t="s">
        <v>4</v>
      </c>
      <c r="S82" s="111" t="str">
        <f t="shared" si="8"/>
        <v>RB Leipzig</v>
      </c>
      <c r="T82" s="211">
        <v>45962</v>
      </c>
      <c r="U82" s="212">
        <v>0.64583333333333337</v>
      </c>
    </row>
    <row r="83" spans="6:21" ht="17.25" x14ac:dyDescent="0.2">
      <c r="F83" s="83">
        <f t="shared" si="9"/>
        <v>2</v>
      </c>
      <c r="G83" s="83" t="str">
        <f t="shared" si="10"/>
        <v>00140006</v>
      </c>
      <c r="H83" s="83" t="str">
        <f t="shared" si="11"/>
        <v>00060014</v>
      </c>
      <c r="I83" s="83">
        <f>IF($G83="",0,COUNTIF($G$7:$G83,$H83))</f>
        <v>0</v>
      </c>
      <c r="J83" s="83"/>
      <c r="K83" s="264" t="str">
        <f>Language!$E$85</f>
        <v>double</v>
      </c>
      <c r="L83" s="240" t="str">
        <f>IF(Calc!$F$26=0,"",IF(OR($M83&gt;Calc!$B$24,MOD($M83-1,Calc!$F$26)&gt;0),"",QUOTIENT($M83-1,Calc!$F$26)+1))</f>
        <v/>
      </c>
      <c r="M83" s="102">
        <v>77</v>
      </c>
      <c r="N83" s="302">
        <v>14</v>
      </c>
      <c r="O83" s="108" t="s">
        <v>4</v>
      </c>
      <c r="P83" s="304">
        <v>6</v>
      </c>
      <c r="Q83" s="109" t="str">
        <f t="shared" si="7"/>
        <v>SC Freiburg</v>
      </c>
      <c r="R83" s="110" t="s">
        <v>4</v>
      </c>
      <c r="S83" s="111" t="str">
        <f t="shared" si="8"/>
        <v>Borussia Dortmund</v>
      </c>
      <c r="T83" s="211">
        <v>45962</v>
      </c>
      <c r="U83" s="212">
        <v>0.64583333333333337</v>
      </c>
    </row>
    <row r="84" spans="6:21" ht="17.25" x14ac:dyDescent="0.2">
      <c r="F84" s="83">
        <f t="shared" si="9"/>
        <v>2</v>
      </c>
      <c r="G84" s="83" t="str">
        <f t="shared" si="10"/>
        <v>00050015</v>
      </c>
      <c r="H84" s="83" t="str">
        <f t="shared" si="11"/>
        <v>00150005</v>
      </c>
      <c r="I84" s="83">
        <f>IF($G84="",0,COUNTIF($G$7:$G84,$H84))</f>
        <v>0</v>
      </c>
      <c r="J84" s="83"/>
      <c r="K84" s="264" t="str">
        <f>Language!$E$85</f>
        <v>double</v>
      </c>
      <c r="L84" s="240" t="str">
        <f>IF(Calc!$F$26=0,"",IF(OR($M84&gt;Calc!$B$24,MOD($M84-1,Calc!$F$26)&gt;0),"",QUOTIENT($M84-1,Calc!$F$26)+1))</f>
        <v/>
      </c>
      <c r="M84" s="102">
        <v>78</v>
      </c>
      <c r="N84" s="302">
        <v>5</v>
      </c>
      <c r="O84" s="108" t="s">
        <v>4</v>
      </c>
      <c r="P84" s="304">
        <v>15</v>
      </c>
      <c r="Q84" s="109" t="str">
        <f t="shared" si="7"/>
        <v>Bayer 04 Leverkusen</v>
      </c>
      <c r="R84" s="110" t="s">
        <v>4</v>
      </c>
      <c r="S84" s="111" t="str">
        <f t="shared" si="8"/>
        <v>SV Werder Bremen</v>
      </c>
      <c r="T84" s="211">
        <v>45962</v>
      </c>
      <c r="U84" s="212">
        <v>0.64583333333333337</v>
      </c>
    </row>
    <row r="85" spans="6:21" ht="17.25" x14ac:dyDescent="0.2">
      <c r="F85" s="83">
        <f t="shared" si="9"/>
        <v>2</v>
      </c>
      <c r="G85" s="83" t="str">
        <f t="shared" si="10"/>
        <v>00160004</v>
      </c>
      <c r="H85" s="83" t="str">
        <f t="shared" si="11"/>
        <v>00040016</v>
      </c>
      <c r="I85" s="83">
        <f>IF($G85="",0,COUNTIF($G$7:$G85,$H85))</f>
        <v>0</v>
      </c>
      <c r="J85" s="83"/>
      <c r="K85" s="264" t="str">
        <f>Language!$E$85</f>
        <v>double</v>
      </c>
      <c r="L85" s="240" t="str">
        <f>IF(Calc!$F$26=0,"",IF(OR($M85&gt;Calc!$B$24,MOD($M85-1,Calc!$F$26)&gt;0),"",QUOTIENT($M85-1,Calc!$F$26)+1))</f>
        <v/>
      </c>
      <c r="M85" s="102">
        <v>79</v>
      </c>
      <c r="N85" s="302">
        <v>16</v>
      </c>
      <c r="O85" s="108" t="s">
        <v>4</v>
      </c>
      <c r="P85" s="304">
        <v>4</v>
      </c>
      <c r="Q85" s="109" t="str">
        <f t="shared" si="7"/>
        <v>TSG Hoffenheim</v>
      </c>
      <c r="R85" s="110" t="s">
        <v>4</v>
      </c>
      <c r="S85" s="111" t="str">
        <f t="shared" si="8"/>
        <v>1. FSV Mainz 05</v>
      </c>
      <c r="T85" s="211">
        <v>45962</v>
      </c>
      <c r="U85" s="212">
        <v>0.64583333333333337</v>
      </c>
    </row>
    <row r="86" spans="6:21" ht="17.25" x14ac:dyDescent="0.2">
      <c r="F86" s="83">
        <f t="shared" si="9"/>
        <v>2</v>
      </c>
      <c r="G86" s="83" t="str">
        <f t="shared" si="10"/>
        <v>00030017</v>
      </c>
      <c r="H86" s="83" t="str">
        <f t="shared" si="11"/>
        <v>00170003</v>
      </c>
      <c r="I86" s="83">
        <f>IF($G86="",0,COUNTIF($G$7:$G86,$H86))</f>
        <v>0</v>
      </c>
      <c r="J86" s="83"/>
      <c r="K86" s="264" t="str">
        <f>Language!$E$85</f>
        <v>double</v>
      </c>
      <c r="L86" s="240" t="str">
        <f>IF(Calc!$F$26=0,"",IF(OR($M86&gt;Calc!$B$24,MOD($M86-1,Calc!$F$26)&gt;0),"",QUOTIENT($M86-1,Calc!$F$26)+1))</f>
        <v/>
      </c>
      <c r="M86" s="102">
        <v>80</v>
      </c>
      <c r="N86" s="302">
        <v>3</v>
      </c>
      <c r="O86" s="108" t="s">
        <v>4</v>
      </c>
      <c r="P86" s="304">
        <v>17</v>
      </c>
      <c r="Q86" s="109" t="str">
        <f t="shared" si="7"/>
        <v>1. FC Union Berlin</v>
      </c>
      <c r="R86" s="110" t="s">
        <v>4</v>
      </c>
      <c r="S86" s="111" t="str">
        <f t="shared" si="8"/>
        <v>VfB Stuttgart</v>
      </c>
      <c r="T86" s="211">
        <v>45962</v>
      </c>
      <c r="U86" s="212">
        <v>0.64583333333333337</v>
      </c>
    </row>
    <row r="87" spans="6:21" ht="17.25" x14ac:dyDescent="0.2">
      <c r="F87" s="83">
        <f t="shared" si="9"/>
        <v>2</v>
      </c>
      <c r="G87" s="83" t="str">
        <f t="shared" si="10"/>
        <v>00180002</v>
      </c>
      <c r="H87" s="83" t="str">
        <f t="shared" si="11"/>
        <v>00020018</v>
      </c>
      <c r="I87" s="83">
        <f>IF($G87="",0,COUNTIF($G$7:$G87,$H87))</f>
        <v>0</v>
      </c>
      <c r="J87" s="83"/>
      <c r="K87" s="264" t="str">
        <f>Language!$E$85</f>
        <v>double</v>
      </c>
      <c r="L87" s="240" t="str">
        <f>IF(Calc!$F$26=0,"",IF(OR($M87&gt;Calc!$B$24,MOD($M87-1,Calc!$F$26)&gt;0),"",QUOTIENT($M87-1,Calc!$F$26)+1))</f>
        <v/>
      </c>
      <c r="M87" s="102">
        <v>81</v>
      </c>
      <c r="N87" s="302">
        <v>18</v>
      </c>
      <c r="O87" s="108" t="s">
        <v>4</v>
      </c>
      <c r="P87" s="304">
        <v>2</v>
      </c>
      <c r="Q87" s="109" t="str">
        <f t="shared" si="7"/>
        <v>VfL Wolfsburg</v>
      </c>
      <c r="R87" s="110" t="s">
        <v>4</v>
      </c>
      <c r="S87" s="111" t="str">
        <f t="shared" si="8"/>
        <v>1. FC Köln</v>
      </c>
      <c r="T87" s="211">
        <v>45962</v>
      </c>
      <c r="U87" s="212">
        <v>0.64583333333333337</v>
      </c>
    </row>
    <row r="88" spans="6:21" ht="17.25" x14ac:dyDescent="0.2">
      <c r="F88" s="83">
        <f t="shared" si="9"/>
        <v>2</v>
      </c>
      <c r="G88" s="83" t="str">
        <f t="shared" si="10"/>
        <v>00090001</v>
      </c>
      <c r="H88" s="83" t="str">
        <f t="shared" si="11"/>
        <v>00010009</v>
      </c>
      <c r="I88" s="83">
        <f>IF($G88="",0,COUNTIF($G$7:$G88,$H88))</f>
        <v>0</v>
      </c>
      <c r="J88" s="83"/>
      <c r="K88" s="264" t="str">
        <f>Language!$E$85</f>
        <v>double</v>
      </c>
      <c r="L88" s="240">
        <f>IF(Calc!$F$26=0,"",IF(OR($M88&gt;Calc!$B$24,MOD($M88-1,Calc!$F$26)&gt;0),"",QUOTIENT($M88-1,Calc!$F$26)+1))</f>
        <v>10</v>
      </c>
      <c r="M88" s="102">
        <v>82</v>
      </c>
      <c r="N88" s="302">
        <v>9</v>
      </c>
      <c r="O88" s="108" t="s">
        <v>4</v>
      </c>
      <c r="P88" s="304">
        <v>1</v>
      </c>
      <c r="Q88" s="109" t="str">
        <f t="shared" si="7"/>
        <v>FC Augsburg</v>
      </c>
      <c r="R88" s="110" t="s">
        <v>4</v>
      </c>
      <c r="S88" s="111" t="str">
        <f t="shared" si="8"/>
        <v>1. FC Heidenheim 1846</v>
      </c>
      <c r="T88" s="211">
        <v>45969</v>
      </c>
      <c r="U88" s="212">
        <v>0.64583333333333337</v>
      </c>
    </row>
    <row r="89" spans="6:21" ht="17.25" x14ac:dyDescent="0.2">
      <c r="F89" s="83">
        <f t="shared" si="9"/>
        <v>2</v>
      </c>
      <c r="G89" s="83" t="str">
        <f t="shared" si="10"/>
        <v>00080010</v>
      </c>
      <c r="H89" s="83" t="str">
        <f t="shared" si="11"/>
        <v>00100008</v>
      </c>
      <c r="I89" s="83">
        <f>IF($G89="",0,COUNTIF($G$7:$G89,$H89))</f>
        <v>0</v>
      </c>
      <c r="J89" s="83"/>
      <c r="K89" s="264" t="str">
        <f>Language!$E$85</f>
        <v>double</v>
      </c>
      <c r="L89" s="240" t="str">
        <f>IF(Calc!$F$26=0,"",IF(OR($M89&gt;Calc!$B$24,MOD($M89-1,Calc!$F$26)&gt;0),"",QUOTIENT($M89-1,Calc!$F$26)+1))</f>
        <v/>
      </c>
      <c r="M89" s="102">
        <v>83</v>
      </c>
      <c r="N89" s="302">
        <v>8</v>
      </c>
      <c r="O89" s="108" t="s">
        <v>4</v>
      </c>
      <c r="P89" s="304">
        <v>10</v>
      </c>
      <c r="Q89" s="109" t="str">
        <f t="shared" si="7"/>
        <v>Eintracht Frankfurt</v>
      </c>
      <c r="R89" s="110" t="s">
        <v>4</v>
      </c>
      <c r="S89" s="111" t="str">
        <f t="shared" si="8"/>
        <v>FC Bayern München</v>
      </c>
      <c r="T89" s="211">
        <v>45969</v>
      </c>
      <c r="U89" s="212">
        <v>0.64583333333333337</v>
      </c>
    </row>
    <row r="90" spans="6:21" ht="17.25" x14ac:dyDescent="0.2">
      <c r="F90" s="83">
        <f t="shared" si="9"/>
        <v>2</v>
      </c>
      <c r="G90" s="83" t="str">
        <f t="shared" si="10"/>
        <v>00110007</v>
      </c>
      <c r="H90" s="83" t="str">
        <f t="shared" si="11"/>
        <v>00070011</v>
      </c>
      <c r="I90" s="83">
        <f>IF($G90="",0,COUNTIF($G$7:$G90,$H90))</f>
        <v>0</v>
      </c>
      <c r="J90" s="83"/>
      <c r="K90" s="264" t="str">
        <f>Language!$E$85</f>
        <v>double</v>
      </c>
      <c r="L90" s="240" t="str">
        <f>IF(Calc!$F$26=0,"",IF(OR($M90&gt;Calc!$B$24,MOD($M90-1,Calc!$F$26)&gt;0),"",QUOTIENT($M90-1,Calc!$F$26)+1))</f>
        <v/>
      </c>
      <c r="M90" s="102">
        <v>84</v>
      </c>
      <c r="N90" s="302">
        <v>11</v>
      </c>
      <c r="O90" s="108" t="s">
        <v>4</v>
      </c>
      <c r="P90" s="304">
        <v>7</v>
      </c>
      <c r="Q90" s="109" t="str">
        <f t="shared" si="7"/>
        <v>FC St. Pauli</v>
      </c>
      <c r="R90" s="110" t="s">
        <v>4</v>
      </c>
      <c r="S90" s="111" t="str">
        <f t="shared" si="8"/>
        <v>Borussia Mönchengladbach</v>
      </c>
      <c r="T90" s="211">
        <v>45969</v>
      </c>
      <c r="U90" s="212">
        <v>0.64583333333333337</v>
      </c>
    </row>
    <row r="91" spans="6:21" ht="17.25" x14ac:dyDescent="0.2">
      <c r="F91" s="83">
        <f t="shared" si="9"/>
        <v>2</v>
      </c>
      <c r="G91" s="83" t="str">
        <f t="shared" si="10"/>
        <v>00060012</v>
      </c>
      <c r="H91" s="83" t="str">
        <f t="shared" si="11"/>
        <v>00120006</v>
      </c>
      <c r="I91" s="83">
        <f>IF($G91="",0,COUNTIF($G$7:$G91,$H91))</f>
        <v>0</v>
      </c>
      <c r="J91" s="83"/>
      <c r="K91" s="264" t="str">
        <f>Language!$E$85</f>
        <v>double</v>
      </c>
      <c r="L91" s="240" t="str">
        <f>IF(Calc!$F$26=0,"",IF(OR($M91&gt;Calc!$B$24,MOD($M91-1,Calc!$F$26)&gt;0),"",QUOTIENT($M91-1,Calc!$F$26)+1))</f>
        <v/>
      </c>
      <c r="M91" s="102">
        <v>85</v>
      </c>
      <c r="N91" s="302">
        <v>6</v>
      </c>
      <c r="O91" s="108" t="s">
        <v>4</v>
      </c>
      <c r="P91" s="304">
        <v>12</v>
      </c>
      <c r="Q91" s="109" t="str">
        <f t="shared" si="7"/>
        <v>Borussia Dortmund</v>
      </c>
      <c r="R91" s="110" t="s">
        <v>4</v>
      </c>
      <c r="S91" s="111" t="str">
        <f t="shared" si="8"/>
        <v>Hamburger SV</v>
      </c>
      <c r="T91" s="211">
        <v>45969</v>
      </c>
      <c r="U91" s="212">
        <v>0.64583333333333337</v>
      </c>
    </row>
    <row r="92" spans="6:21" ht="17.25" x14ac:dyDescent="0.2">
      <c r="F92" s="83">
        <f t="shared" si="9"/>
        <v>2</v>
      </c>
      <c r="G92" s="83" t="str">
        <f t="shared" si="10"/>
        <v>00130005</v>
      </c>
      <c r="H92" s="83" t="str">
        <f t="shared" si="11"/>
        <v>00050013</v>
      </c>
      <c r="I92" s="83">
        <f>IF($G92="",0,COUNTIF($G$7:$G92,$H92))</f>
        <v>0</v>
      </c>
      <c r="J92" s="83"/>
      <c r="K92" s="264" t="str">
        <f>Language!$E$85</f>
        <v>double</v>
      </c>
      <c r="L92" s="240" t="str">
        <f>IF(Calc!$F$26=0,"",IF(OR($M92&gt;Calc!$B$24,MOD($M92-1,Calc!$F$26)&gt;0),"",QUOTIENT($M92-1,Calc!$F$26)+1))</f>
        <v/>
      </c>
      <c r="M92" s="102">
        <v>86</v>
      </c>
      <c r="N92" s="302">
        <v>13</v>
      </c>
      <c r="O92" s="108" t="s">
        <v>4</v>
      </c>
      <c r="P92" s="304">
        <v>5</v>
      </c>
      <c r="Q92" s="109" t="str">
        <f t="shared" si="7"/>
        <v>RB Leipzig</v>
      </c>
      <c r="R92" s="110" t="s">
        <v>4</v>
      </c>
      <c r="S92" s="111" t="str">
        <f t="shared" si="8"/>
        <v>Bayer 04 Leverkusen</v>
      </c>
      <c r="T92" s="211">
        <v>45969</v>
      </c>
      <c r="U92" s="212">
        <v>0.64583333333333337</v>
      </c>
    </row>
    <row r="93" spans="6:21" ht="17.25" x14ac:dyDescent="0.2">
      <c r="F93" s="83">
        <f t="shared" si="9"/>
        <v>2</v>
      </c>
      <c r="G93" s="83" t="str">
        <f t="shared" si="10"/>
        <v>00040014</v>
      </c>
      <c r="H93" s="83" t="str">
        <f t="shared" si="11"/>
        <v>00140004</v>
      </c>
      <c r="I93" s="83">
        <f>IF($G93="",0,COUNTIF($G$7:$G93,$H93))</f>
        <v>0</v>
      </c>
      <c r="J93" s="83"/>
      <c r="K93" s="264" t="str">
        <f>Language!$E$85</f>
        <v>double</v>
      </c>
      <c r="L93" s="240" t="str">
        <f>IF(Calc!$F$26=0,"",IF(OR($M93&gt;Calc!$B$24,MOD($M93-1,Calc!$F$26)&gt;0),"",QUOTIENT($M93-1,Calc!$F$26)+1))</f>
        <v/>
      </c>
      <c r="M93" s="102">
        <v>87</v>
      </c>
      <c r="N93" s="302">
        <v>4</v>
      </c>
      <c r="O93" s="108" t="s">
        <v>4</v>
      </c>
      <c r="P93" s="304">
        <v>14</v>
      </c>
      <c r="Q93" s="109" t="str">
        <f t="shared" si="7"/>
        <v>1. FSV Mainz 05</v>
      </c>
      <c r="R93" s="110" t="s">
        <v>4</v>
      </c>
      <c r="S93" s="111" t="str">
        <f t="shared" si="8"/>
        <v>SC Freiburg</v>
      </c>
      <c r="T93" s="211">
        <v>45969</v>
      </c>
      <c r="U93" s="212">
        <v>0.64583333333333337</v>
      </c>
    </row>
    <row r="94" spans="6:21" ht="17.25" x14ac:dyDescent="0.2">
      <c r="F94" s="83">
        <f t="shared" si="9"/>
        <v>2</v>
      </c>
      <c r="G94" s="83" t="str">
        <f t="shared" si="10"/>
        <v>00150003</v>
      </c>
      <c r="H94" s="83" t="str">
        <f t="shared" si="11"/>
        <v>00030015</v>
      </c>
      <c r="I94" s="83">
        <f>IF($G94="",0,COUNTIF($G$7:$G94,$H94))</f>
        <v>0</v>
      </c>
      <c r="J94" s="83"/>
      <c r="K94" s="264" t="str">
        <f>Language!$E$85</f>
        <v>double</v>
      </c>
      <c r="L94" s="240" t="str">
        <f>IF(Calc!$F$26=0,"",IF(OR($M94&gt;Calc!$B$24,MOD($M94-1,Calc!$F$26)&gt;0),"",QUOTIENT($M94-1,Calc!$F$26)+1))</f>
        <v/>
      </c>
      <c r="M94" s="102">
        <v>88</v>
      </c>
      <c r="N94" s="302">
        <v>15</v>
      </c>
      <c r="O94" s="108" t="s">
        <v>4</v>
      </c>
      <c r="P94" s="304">
        <v>3</v>
      </c>
      <c r="Q94" s="109" t="str">
        <f t="shared" si="7"/>
        <v>SV Werder Bremen</v>
      </c>
      <c r="R94" s="110" t="s">
        <v>4</v>
      </c>
      <c r="S94" s="111" t="str">
        <f t="shared" si="8"/>
        <v>1. FC Union Berlin</v>
      </c>
      <c r="T94" s="211">
        <v>45969</v>
      </c>
      <c r="U94" s="212">
        <v>0.64583333333333337</v>
      </c>
    </row>
    <row r="95" spans="6:21" ht="17.25" x14ac:dyDescent="0.2">
      <c r="F95" s="83">
        <f t="shared" si="9"/>
        <v>2</v>
      </c>
      <c r="G95" s="83" t="str">
        <f t="shared" si="10"/>
        <v>00020016</v>
      </c>
      <c r="H95" s="83" t="str">
        <f t="shared" si="11"/>
        <v>00160002</v>
      </c>
      <c r="I95" s="83">
        <f>IF($G95="",0,COUNTIF($G$7:$G95,$H95))</f>
        <v>0</v>
      </c>
      <c r="J95" s="83"/>
      <c r="K95" s="264" t="str">
        <f>Language!$E$85</f>
        <v>double</v>
      </c>
      <c r="L95" s="240" t="str">
        <f>IF(Calc!$F$26=0,"",IF(OR($M95&gt;Calc!$B$24,MOD($M95-1,Calc!$F$26)&gt;0),"",QUOTIENT($M95-1,Calc!$F$26)+1))</f>
        <v/>
      </c>
      <c r="M95" s="102">
        <v>89</v>
      </c>
      <c r="N95" s="302">
        <v>2</v>
      </c>
      <c r="O95" s="108" t="s">
        <v>4</v>
      </c>
      <c r="P95" s="304">
        <v>16</v>
      </c>
      <c r="Q95" s="109" t="str">
        <f t="shared" si="7"/>
        <v>1. FC Köln</v>
      </c>
      <c r="R95" s="110" t="s">
        <v>4</v>
      </c>
      <c r="S95" s="111" t="str">
        <f t="shared" si="8"/>
        <v>TSG Hoffenheim</v>
      </c>
      <c r="T95" s="211">
        <v>45969</v>
      </c>
      <c r="U95" s="212">
        <v>0.64583333333333337</v>
      </c>
    </row>
    <row r="96" spans="6:21" ht="17.25" x14ac:dyDescent="0.2">
      <c r="F96" s="83">
        <f t="shared" si="9"/>
        <v>2</v>
      </c>
      <c r="G96" s="83" t="str">
        <f t="shared" si="10"/>
        <v>00170018</v>
      </c>
      <c r="H96" s="83" t="str">
        <f t="shared" si="11"/>
        <v>00180017</v>
      </c>
      <c r="I96" s="83">
        <f>IF($G96="",0,COUNTIF($G$7:$G96,$H96))</f>
        <v>0</v>
      </c>
      <c r="J96" s="83"/>
      <c r="K96" s="264" t="str">
        <f>Language!$E$85</f>
        <v>double</v>
      </c>
      <c r="L96" s="240" t="str">
        <f>IF(Calc!$F$26=0,"",IF(OR($M96&gt;Calc!$B$24,MOD($M96-1,Calc!$F$26)&gt;0),"",QUOTIENT($M96-1,Calc!$F$26)+1))</f>
        <v/>
      </c>
      <c r="M96" s="102">
        <v>90</v>
      </c>
      <c r="N96" s="302">
        <v>17</v>
      </c>
      <c r="O96" s="108" t="s">
        <v>4</v>
      </c>
      <c r="P96" s="304">
        <v>18</v>
      </c>
      <c r="Q96" s="109" t="str">
        <f t="shared" si="7"/>
        <v>VfB Stuttgart</v>
      </c>
      <c r="R96" s="110" t="s">
        <v>4</v>
      </c>
      <c r="S96" s="111" t="str">
        <f t="shared" si="8"/>
        <v>VfL Wolfsburg</v>
      </c>
      <c r="T96" s="211">
        <v>45969</v>
      </c>
      <c r="U96" s="212">
        <v>0.64583333333333337</v>
      </c>
    </row>
    <row r="97" spans="6:21" ht="17.25" x14ac:dyDescent="0.2">
      <c r="F97" s="83">
        <f t="shared" si="9"/>
        <v>2</v>
      </c>
      <c r="G97" s="83" t="str">
        <f t="shared" si="10"/>
        <v>00010008</v>
      </c>
      <c r="H97" s="83" t="str">
        <f t="shared" si="11"/>
        <v>00080001</v>
      </c>
      <c r="I97" s="83">
        <f>IF($G97="",0,COUNTIF($G$7:$G97,$H97))</f>
        <v>0</v>
      </c>
      <c r="J97" s="83"/>
      <c r="K97" s="264" t="str">
        <f>Language!$E$85</f>
        <v>double</v>
      </c>
      <c r="L97" s="240">
        <f>IF(Calc!$F$26=0,"",IF(OR($M97&gt;Calc!$B$24,MOD($M97-1,Calc!$F$26)&gt;0),"",QUOTIENT($M97-1,Calc!$F$26)+1))</f>
        <v>11</v>
      </c>
      <c r="M97" s="102">
        <v>91</v>
      </c>
      <c r="N97" s="302">
        <v>1</v>
      </c>
      <c r="O97" s="108" t="s">
        <v>4</v>
      </c>
      <c r="P97" s="304">
        <v>8</v>
      </c>
      <c r="Q97" s="109" t="str">
        <f t="shared" si="7"/>
        <v>1. FC Heidenheim 1846</v>
      </c>
      <c r="R97" s="110" t="s">
        <v>4</v>
      </c>
      <c r="S97" s="111" t="str">
        <f t="shared" si="8"/>
        <v>Eintracht Frankfurt</v>
      </c>
      <c r="T97" s="211">
        <v>45983</v>
      </c>
      <c r="U97" s="212">
        <v>0.64583333333333337</v>
      </c>
    </row>
    <row r="98" spans="6:21" ht="17.25" x14ac:dyDescent="0.2">
      <c r="F98" s="83">
        <f t="shared" si="9"/>
        <v>2</v>
      </c>
      <c r="G98" s="83" t="str">
        <f t="shared" si="10"/>
        <v>00070009</v>
      </c>
      <c r="H98" s="83" t="str">
        <f t="shared" si="11"/>
        <v>00090007</v>
      </c>
      <c r="I98" s="83">
        <f>IF($G98="",0,COUNTIF($G$7:$G98,$H98))</f>
        <v>0</v>
      </c>
      <c r="J98" s="83"/>
      <c r="K98" s="264" t="str">
        <f>Language!$E$85</f>
        <v>double</v>
      </c>
      <c r="L98" s="240" t="str">
        <f>IF(Calc!$F$26=0,"",IF(OR($M98&gt;Calc!$B$24,MOD($M98-1,Calc!$F$26)&gt;0),"",QUOTIENT($M98-1,Calc!$F$26)+1))</f>
        <v/>
      </c>
      <c r="M98" s="102">
        <v>92</v>
      </c>
      <c r="N98" s="302">
        <v>7</v>
      </c>
      <c r="O98" s="108" t="s">
        <v>4</v>
      </c>
      <c r="P98" s="304">
        <v>9</v>
      </c>
      <c r="Q98" s="109" t="str">
        <f t="shared" si="7"/>
        <v>Borussia Mönchengladbach</v>
      </c>
      <c r="R98" s="110" t="s">
        <v>4</v>
      </c>
      <c r="S98" s="111" t="str">
        <f t="shared" si="8"/>
        <v>FC Augsburg</v>
      </c>
      <c r="T98" s="211">
        <v>45983</v>
      </c>
      <c r="U98" s="212">
        <v>0.64583333333333337</v>
      </c>
    </row>
    <row r="99" spans="6:21" ht="17.25" x14ac:dyDescent="0.2">
      <c r="F99" s="83">
        <f t="shared" si="9"/>
        <v>2</v>
      </c>
      <c r="G99" s="83" t="str">
        <f t="shared" si="10"/>
        <v>00100006</v>
      </c>
      <c r="H99" s="83" t="str">
        <f t="shared" si="11"/>
        <v>00060010</v>
      </c>
      <c r="I99" s="83">
        <f>IF($G99="",0,COUNTIF($G$7:$G99,$H99))</f>
        <v>0</v>
      </c>
      <c r="J99" s="83"/>
      <c r="K99" s="264" t="str">
        <f>Language!$E$85</f>
        <v>double</v>
      </c>
      <c r="L99" s="240" t="str">
        <f>IF(Calc!$F$26=0,"",IF(OR($M99&gt;Calc!$B$24,MOD($M99-1,Calc!$F$26)&gt;0),"",QUOTIENT($M99-1,Calc!$F$26)+1))</f>
        <v/>
      </c>
      <c r="M99" s="102">
        <v>93</v>
      </c>
      <c r="N99" s="302">
        <v>10</v>
      </c>
      <c r="O99" s="108" t="s">
        <v>4</v>
      </c>
      <c r="P99" s="304">
        <v>6</v>
      </c>
      <c r="Q99" s="109" t="str">
        <f t="shared" si="7"/>
        <v>FC Bayern München</v>
      </c>
      <c r="R99" s="110" t="s">
        <v>4</v>
      </c>
      <c r="S99" s="111" t="str">
        <f t="shared" si="8"/>
        <v>Borussia Dortmund</v>
      </c>
      <c r="T99" s="211">
        <v>45983</v>
      </c>
      <c r="U99" s="212">
        <v>0.64583333333333337</v>
      </c>
    </row>
    <row r="100" spans="6:21" ht="17.25" x14ac:dyDescent="0.2">
      <c r="F100" s="83">
        <f t="shared" si="9"/>
        <v>2</v>
      </c>
      <c r="G100" s="83" t="str">
        <f t="shared" si="10"/>
        <v>00050011</v>
      </c>
      <c r="H100" s="83" t="str">
        <f t="shared" si="11"/>
        <v>00110005</v>
      </c>
      <c r="I100" s="83">
        <f>IF($G100="",0,COUNTIF($G$7:$G100,$H100))</f>
        <v>0</v>
      </c>
      <c r="J100" s="83"/>
      <c r="K100" s="264" t="str">
        <f>Language!$E$85</f>
        <v>double</v>
      </c>
      <c r="L100" s="240" t="str">
        <f>IF(Calc!$F$26=0,"",IF(OR($M100&gt;Calc!$B$24,MOD($M100-1,Calc!$F$26)&gt;0),"",QUOTIENT($M100-1,Calc!$F$26)+1))</f>
        <v/>
      </c>
      <c r="M100" s="102">
        <v>94</v>
      </c>
      <c r="N100" s="302">
        <v>5</v>
      </c>
      <c r="O100" s="108" t="s">
        <v>4</v>
      </c>
      <c r="P100" s="304">
        <v>11</v>
      </c>
      <c r="Q100" s="109" t="str">
        <f t="shared" si="7"/>
        <v>Bayer 04 Leverkusen</v>
      </c>
      <c r="R100" s="110" t="s">
        <v>4</v>
      </c>
      <c r="S100" s="111" t="str">
        <f t="shared" si="8"/>
        <v>FC St. Pauli</v>
      </c>
      <c r="T100" s="211">
        <v>45983</v>
      </c>
      <c r="U100" s="212">
        <v>0.64583333333333337</v>
      </c>
    </row>
    <row r="101" spans="6:21" ht="17.25" x14ac:dyDescent="0.2">
      <c r="F101" s="83">
        <f t="shared" si="9"/>
        <v>2</v>
      </c>
      <c r="G101" s="83" t="str">
        <f t="shared" si="10"/>
        <v>00120004</v>
      </c>
      <c r="H101" s="83" t="str">
        <f t="shared" si="11"/>
        <v>00040012</v>
      </c>
      <c r="I101" s="83">
        <f>IF($G101="",0,COUNTIF($G$7:$G101,$H101))</f>
        <v>0</v>
      </c>
      <c r="J101" s="83"/>
      <c r="K101" s="264" t="str">
        <f>Language!$E$85</f>
        <v>double</v>
      </c>
      <c r="L101" s="240" t="str">
        <f>IF(Calc!$F$26=0,"",IF(OR($M101&gt;Calc!$B$24,MOD($M101-1,Calc!$F$26)&gt;0),"",QUOTIENT($M101-1,Calc!$F$26)+1))</f>
        <v/>
      </c>
      <c r="M101" s="102">
        <v>95</v>
      </c>
      <c r="N101" s="302">
        <v>12</v>
      </c>
      <c r="O101" s="108" t="s">
        <v>4</v>
      </c>
      <c r="P101" s="304">
        <v>4</v>
      </c>
      <c r="Q101" s="109" t="str">
        <f t="shared" si="7"/>
        <v>Hamburger SV</v>
      </c>
      <c r="R101" s="110" t="s">
        <v>4</v>
      </c>
      <c r="S101" s="111" t="str">
        <f t="shared" si="8"/>
        <v>1. FSV Mainz 05</v>
      </c>
      <c r="T101" s="211">
        <v>45983</v>
      </c>
      <c r="U101" s="212">
        <v>0.64583333333333337</v>
      </c>
    </row>
    <row r="102" spans="6:21" ht="17.25" x14ac:dyDescent="0.2">
      <c r="F102" s="83">
        <f t="shared" si="9"/>
        <v>2</v>
      </c>
      <c r="G102" s="83" t="str">
        <f t="shared" si="10"/>
        <v>00030013</v>
      </c>
      <c r="H102" s="83" t="str">
        <f t="shared" si="11"/>
        <v>00130003</v>
      </c>
      <c r="I102" s="83">
        <f>IF($G102="",0,COUNTIF($G$7:$G102,$H102))</f>
        <v>0</v>
      </c>
      <c r="J102" s="83"/>
      <c r="K102" s="264" t="str">
        <f>Language!$E$85</f>
        <v>double</v>
      </c>
      <c r="L102" s="240" t="str">
        <f>IF(Calc!$F$26=0,"",IF(OR($M102&gt;Calc!$B$24,MOD($M102-1,Calc!$F$26)&gt;0),"",QUOTIENT($M102-1,Calc!$F$26)+1))</f>
        <v/>
      </c>
      <c r="M102" s="102">
        <v>96</v>
      </c>
      <c r="N102" s="302">
        <v>3</v>
      </c>
      <c r="O102" s="108" t="s">
        <v>4</v>
      </c>
      <c r="P102" s="304">
        <v>13</v>
      </c>
      <c r="Q102" s="109" t="str">
        <f t="shared" si="7"/>
        <v>1. FC Union Berlin</v>
      </c>
      <c r="R102" s="110" t="s">
        <v>4</v>
      </c>
      <c r="S102" s="111" t="str">
        <f t="shared" si="8"/>
        <v>RB Leipzig</v>
      </c>
      <c r="T102" s="211">
        <v>45983</v>
      </c>
      <c r="U102" s="212">
        <v>0.64583333333333337</v>
      </c>
    </row>
    <row r="103" spans="6:21" ht="17.25" x14ac:dyDescent="0.2">
      <c r="F103" s="83">
        <f t="shared" si="9"/>
        <v>2</v>
      </c>
      <c r="G103" s="83" t="str">
        <f t="shared" si="10"/>
        <v>00140002</v>
      </c>
      <c r="H103" s="83" t="str">
        <f t="shared" si="11"/>
        <v>00020014</v>
      </c>
      <c r="I103" s="83">
        <f>IF($G103="",0,COUNTIF($G$7:$G103,$H103))</f>
        <v>0</v>
      </c>
      <c r="J103" s="83"/>
      <c r="K103" s="264" t="str">
        <f>Language!$E$85</f>
        <v>double</v>
      </c>
      <c r="L103" s="240" t="str">
        <f>IF(Calc!$F$26=0,"",IF(OR($M103&gt;Calc!$B$24,MOD($M103-1,Calc!$F$26)&gt;0),"",QUOTIENT($M103-1,Calc!$F$26)+1))</f>
        <v/>
      </c>
      <c r="M103" s="102">
        <v>97</v>
      </c>
      <c r="N103" s="302">
        <v>14</v>
      </c>
      <c r="O103" s="108" t="s">
        <v>4</v>
      </c>
      <c r="P103" s="304">
        <v>2</v>
      </c>
      <c r="Q103" s="109" t="str">
        <f t="shared" si="7"/>
        <v>SC Freiburg</v>
      </c>
      <c r="R103" s="110" t="s">
        <v>4</v>
      </c>
      <c r="S103" s="111" t="str">
        <f t="shared" si="8"/>
        <v>1. FC Köln</v>
      </c>
      <c r="T103" s="211">
        <v>45983</v>
      </c>
      <c r="U103" s="212">
        <v>0.64583333333333337</v>
      </c>
    </row>
    <row r="104" spans="6:21" ht="17.25" x14ac:dyDescent="0.2">
      <c r="F104" s="83">
        <f t="shared" si="9"/>
        <v>2</v>
      </c>
      <c r="G104" s="83" t="str">
        <f t="shared" si="10"/>
        <v>00180015</v>
      </c>
      <c r="H104" s="83" t="str">
        <f t="shared" si="11"/>
        <v>00150018</v>
      </c>
      <c r="I104" s="83">
        <f>IF($G104="",0,COUNTIF($G$7:$G104,$H104))</f>
        <v>0</v>
      </c>
      <c r="J104" s="83"/>
      <c r="K104" s="264" t="str">
        <f>Language!$E$85</f>
        <v>double</v>
      </c>
      <c r="L104" s="240" t="str">
        <f>IF(Calc!$F$26=0,"",IF(OR($M104&gt;Calc!$B$24,MOD($M104-1,Calc!$F$26)&gt;0),"",QUOTIENT($M104-1,Calc!$F$26)+1))</f>
        <v/>
      </c>
      <c r="M104" s="102">
        <v>98</v>
      </c>
      <c r="N104" s="302">
        <v>18</v>
      </c>
      <c r="O104" s="108" t="s">
        <v>4</v>
      </c>
      <c r="P104" s="304">
        <v>15</v>
      </c>
      <c r="Q104" s="109" t="str">
        <f t="shared" si="7"/>
        <v>VfL Wolfsburg</v>
      </c>
      <c r="R104" s="110" t="s">
        <v>4</v>
      </c>
      <c r="S104" s="111" t="str">
        <f t="shared" si="8"/>
        <v>SV Werder Bremen</v>
      </c>
      <c r="T104" s="211">
        <v>45983</v>
      </c>
      <c r="U104" s="212">
        <v>0.64583333333333337</v>
      </c>
    </row>
    <row r="105" spans="6:21" ht="17.25" x14ac:dyDescent="0.2">
      <c r="F105" s="83">
        <f t="shared" si="9"/>
        <v>2</v>
      </c>
      <c r="G105" s="83" t="str">
        <f t="shared" si="10"/>
        <v>00160017</v>
      </c>
      <c r="H105" s="83" t="str">
        <f t="shared" si="11"/>
        <v>00170016</v>
      </c>
      <c r="I105" s="83">
        <f>IF($G105="",0,COUNTIF($G$7:$G105,$H105))</f>
        <v>0</v>
      </c>
      <c r="J105" s="83"/>
      <c r="K105" s="264" t="str">
        <f>Language!$E$85</f>
        <v>double</v>
      </c>
      <c r="L105" s="240" t="str">
        <f>IF(Calc!$F$26=0,"",IF(OR($M105&gt;Calc!$B$24,MOD($M105-1,Calc!$F$26)&gt;0),"",QUOTIENT($M105-1,Calc!$F$26)+1))</f>
        <v/>
      </c>
      <c r="M105" s="102">
        <v>99</v>
      </c>
      <c r="N105" s="302">
        <v>16</v>
      </c>
      <c r="O105" s="108" t="s">
        <v>4</v>
      </c>
      <c r="P105" s="304">
        <v>17</v>
      </c>
      <c r="Q105" s="109" t="str">
        <f t="shared" si="7"/>
        <v>TSG Hoffenheim</v>
      </c>
      <c r="R105" s="110" t="s">
        <v>4</v>
      </c>
      <c r="S105" s="111" t="str">
        <f t="shared" si="8"/>
        <v>VfB Stuttgart</v>
      </c>
      <c r="T105" s="211">
        <v>45983</v>
      </c>
      <c r="U105" s="212">
        <v>0.64583333333333337</v>
      </c>
    </row>
    <row r="106" spans="6:21" ht="17.25" x14ac:dyDescent="0.2">
      <c r="F106" s="83">
        <f t="shared" si="9"/>
        <v>2</v>
      </c>
      <c r="G106" s="83" t="str">
        <f t="shared" si="10"/>
        <v>00070001</v>
      </c>
      <c r="H106" s="83" t="str">
        <f t="shared" si="11"/>
        <v>00010007</v>
      </c>
      <c r="I106" s="83">
        <f>IF($G106="",0,COUNTIF($G$7:$G106,$H106))</f>
        <v>0</v>
      </c>
      <c r="J106" s="83"/>
      <c r="K106" s="264" t="str">
        <f>Language!$E$85</f>
        <v>double</v>
      </c>
      <c r="L106" s="240">
        <f>IF(Calc!$F$26=0,"",IF(OR($M106&gt;Calc!$B$24,MOD($M106-1,Calc!$F$26)&gt;0),"",QUOTIENT($M106-1,Calc!$F$26)+1))</f>
        <v>12</v>
      </c>
      <c r="M106" s="102">
        <v>100</v>
      </c>
      <c r="N106" s="302">
        <v>7</v>
      </c>
      <c r="O106" s="108" t="s">
        <v>4</v>
      </c>
      <c r="P106" s="304">
        <v>1</v>
      </c>
      <c r="Q106" s="109" t="str">
        <f t="shared" si="7"/>
        <v>Borussia Mönchengladbach</v>
      </c>
      <c r="R106" s="110" t="s">
        <v>4</v>
      </c>
      <c r="S106" s="111" t="str">
        <f t="shared" si="8"/>
        <v>1. FC Heidenheim 1846</v>
      </c>
      <c r="T106" s="211">
        <v>45990</v>
      </c>
      <c r="U106" s="212">
        <v>0.64583333333333337</v>
      </c>
    </row>
    <row r="107" spans="6:21" ht="17.25" x14ac:dyDescent="0.2">
      <c r="F107" s="83">
        <f t="shared" si="9"/>
        <v>2</v>
      </c>
      <c r="G107" s="83" t="str">
        <f t="shared" si="10"/>
        <v>00060008</v>
      </c>
      <c r="H107" s="83" t="str">
        <f t="shared" si="11"/>
        <v>00080006</v>
      </c>
      <c r="I107" s="83">
        <f>IF($G107="",0,COUNTIF($G$7:$G107,$H107))</f>
        <v>0</v>
      </c>
      <c r="J107" s="83"/>
      <c r="K107" s="264" t="str">
        <f>Language!$E$85</f>
        <v>double</v>
      </c>
      <c r="L107" s="240" t="str">
        <f>IF(Calc!$F$26=0,"",IF(OR($M107&gt;Calc!$B$24,MOD($M107-1,Calc!$F$26)&gt;0),"",QUOTIENT($M107-1,Calc!$F$26)+1))</f>
        <v/>
      </c>
      <c r="M107" s="102">
        <v>101</v>
      </c>
      <c r="N107" s="302">
        <v>6</v>
      </c>
      <c r="O107" s="108" t="s">
        <v>4</v>
      </c>
      <c r="P107" s="304">
        <v>8</v>
      </c>
      <c r="Q107" s="109" t="str">
        <f t="shared" si="7"/>
        <v>Borussia Dortmund</v>
      </c>
      <c r="R107" s="110" t="s">
        <v>4</v>
      </c>
      <c r="S107" s="111" t="str">
        <f t="shared" si="8"/>
        <v>Eintracht Frankfurt</v>
      </c>
      <c r="T107" s="211">
        <v>45990</v>
      </c>
      <c r="U107" s="212">
        <v>0.64583333333333337</v>
      </c>
    </row>
    <row r="108" spans="6:21" ht="17.25" x14ac:dyDescent="0.2">
      <c r="F108" s="83">
        <f t="shared" si="9"/>
        <v>2</v>
      </c>
      <c r="G108" s="83" t="str">
        <f t="shared" si="10"/>
        <v>00090005</v>
      </c>
      <c r="H108" s="83" t="str">
        <f t="shared" si="11"/>
        <v>00050009</v>
      </c>
      <c r="I108" s="83">
        <f>IF($G108="",0,COUNTIF($G$7:$G108,$H108))</f>
        <v>0</v>
      </c>
      <c r="J108" s="83"/>
      <c r="K108" s="264" t="str">
        <f>Language!$E$85</f>
        <v>double</v>
      </c>
      <c r="L108" s="240" t="str">
        <f>IF(Calc!$F$26=0,"",IF(OR($M108&gt;Calc!$B$24,MOD($M108-1,Calc!$F$26)&gt;0),"",QUOTIENT($M108-1,Calc!$F$26)+1))</f>
        <v/>
      </c>
      <c r="M108" s="102">
        <v>102</v>
      </c>
      <c r="N108" s="302">
        <v>9</v>
      </c>
      <c r="O108" s="108" t="s">
        <v>4</v>
      </c>
      <c r="P108" s="304">
        <v>5</v>
      </c>
      <c r="Q108" s="109" t="str">
        <f t="shared" si="7"/>
        <v>FC Augsburg</v>
      </c>
      <c r="R108" s="110" t="s">
        <v>4</v>
      </c>
      <c r="S108" s="111" t="str">
        <f t="shared" si="8"/>
        <v>Bayer 04 Leverkusen</v>
      </c>
      <c r="T108" s="211">
        <v>45990</v>
      </c>
      <c r="U108" s="212">
        <v>0.64583333333333337</v>
      </c>
    </row>
    <row r="109" spans="6:21" ht="17.25" x14ac:dyDescent="0.2">
      <c r="F109" s="83">
        <f t="shared" si="9"/>
        <v>2</v>
      </c>
      <c r="G109" s="83" t="str">
        <f t="shared" si="10"/>
        <v>00040010</v>
      </c>
      <c r="H109" s="83" t="str">
        <f t="shared" si="11"/>
        <v>00100004</v>
      </c>
      <c r="I109" s="83">
        <f>IF($G109="",0,COUNTIF($G$7:$G109,$H109))</f>
        <v>0</v>
      </c>
      <c r="J109" s="83"/>
      <c r="K109" s="264" t="str">
        <f>Language!$E$85</f>
        <v>double</v>
      </c>
      <c r="L109" s="240" t="str">
        <f>IF(Calc!$F$26=0,"",IF(OR($M109&gt;Calc!$B$24,MOD($M109-1,Calc!$F$26)&gt;0),"",QUOTIENT($M109-1,Calc!$F$26)+1))</f>
        <v/>
      </c>
      <c r="M109" s="102">
        <v>103</v>
      </c>
      <c r="N109" s="302">
        <v>4</v>
      </c>
      <c r="O109" s="108" t="s">
        <v>4</v>
      </c>
      <c r="P109" s="304">
        <v>10</v>
      </c>
      <c r="Q109" s="109" t="str">
        <f t="shared" si="7"/>
        <v>1. FSV Mainz 05</v>
      </c>
      <c r="R109" s="110" t="s">
        <v>4</v>
      </c>
      <c r="S109" s="111" t="str">
        <f t="shared" si="8"/>
        <v>FC Bayern München</v>
      </c>
      <c r="T109" s="211">
        <v>45990</v>
      </c>
      <c r="U109" s="212">
        <v>0.64583333333333337</v>
      </c>
    </row>
    <row r="110" spans="6:21" ht="17.25" x14ac:dyDescent="0.2">
      <c r="F110" s="83">
        <f t="shared" si="9"/>
        <v>2</v>
      </c>
      <c r="G110" s="83" t="str">
        <f t="shared" si="10"/>
        <v>00110003</v>
      </c>
      <c r="H110" s="83" t="str">
        <f t="shared" si="11"/>
        <v>00030011</v>
      </c>
      <c r="I110" s="83">
        <f>IF($G110="",0,COUNTIF($G$7:$G110,$H110))</f>
        <v>0</v>
      </c>
      <c r="J110" s="83"/>
      <c r="K110" s="264" t="str">
        <f>Language!$E$85</f>
        <v>double</v>
      </c>
      <c r="L110" s="240" t="str">
        <f>IF(Calc!$F$26=0,"",IF(OR($M110&gt;Calc!$B$24,MOD($M110-1,Calc!$F$26)&gt;0),"",QUOTIENT($M110-1,Calc!$F$26)+1))</f>
        <v/>
      </c>
      <c r="M110" s="102">
        <v>104</v>
      </c>
      <c r="N110" s="302">
        <v>11</v>
      </c>
      <c r="O110" s="108" t="s">
        <v>4</v>
      </c>
      <c r="P110" s="304">
        <v>3</v>
      </c>
      <c r="Q110" s="109" t="str">
        <f t="shared" si="7"/>
        <v>FC St. Pauli</v>
      </c>
      <c r="R110" s="110" t="s">
        <v>4</v>
      </c>
      <c r="S110" s="111" t="str">
        <f t="shared" si="8"/>
        <v>1. FC Union Berlin</v>
      </c>
      <c r="T110" s="211">
        <v>45990</v>
      </c>
      <c r="U110" s="212">
        <v>0.64583333333333337</v>
      </c>
    </row>
    <row r="111" spans="6:21" ht="17.25" x14ac:dyDescent="0.2">
      <c r="F111" s="83">
        <f t="shared" si="9"/>
        <v>2</v>
      </c>
      <c r="G111" s="83" t="str">
        <f t="shared" si="10"/>
        <v>00020012</v>
      </c>
      <c r="H111" s="83" t="str">
        <f t="shared" si="11"/>
        <v>00120002</v>
      </c>
      <c r="I111" s="83">
        <f>IF($G111="",0,COUNTIF($G$7:$G111,$H111))</f>
        <v>0</v>
      </c>
      <c r="J111" s="83"/>
      <c r="K111" s="264" t="str">
        <f>Language!$E$85</f>
        <v>double</v>
      </c>
      <c r="L111" s="240" t="str">
        <f>IF(Calc!$F$26=0,"",IF(OR($M111&gt;Calc!$B$24,MOD($M111-1,Calc!$F$26)&gt;0),"",QUOTIENT($M111-1,Calc!$F$26)+1))</f>
        <v/>
      </c>
      <c r="M111" s="102">
        <v>105</v>
      </c>
      <c r="N111" s="302">
        <v>2</v>
      </c>
      <c r="O111" s="108" t="s">
        <v>4</v>
      </c>
      <c r="P111" s="304">
        <v>12</v>
      </c>
      <c r="Q111" s="109" t="str">
        <f t="shared" si="7"/>
        <v>1. FC Köln</v>
      </c>
      <c r="R111" s="110" t="s">
        <v>4</v>
      </c>
      <c r="S111" s="111" t="str">
        <f t="shared" si="8"/>
        <v>Hamburger SV</v>
      </c>
      <c r="T111" s="211">
        <v>45990</v>
      </c>
      <c r="U111" s="212">
        <v>0.64583333333333337</v>
      </c>
    </row>
    <row r="112" spans="6:21" ht="17.25" x14ac:dyDescent="0.2">
      <c r="F112" s="83">
        <f t="shared" si="9"/>
        <v>2</v>
      </c>
      <c r="G112" s="83" t="str">
        <f t="shared" si="10"/>
        <v>00130018</v>
      </c>
      <c r="H112" s="83" t="str">
        <f t="shared" si="11"/>
        <v>00180013</v>
      </c>
      <c r="I112" s="83">
        <f>IF($G112="",0,COUNTIF($G$7:$G112,$H112))</f>
        <v>0</v>
      </c>
      <c r="J112" s="83"/>
      <c r="K112" s="264" t="str">
        <f>Language!$E$85</f>
        <v>double</v>
      </c>
      <c r="L112" s="240" t="str">
        <f>IF(Calc!$F$26=0,"",IF(OR($M112&gt;Calc!$B$24,MOD($M112-1,Calc!$F$26)&gt;0),"",QUOTIENT($M112-1,Calc!$F$26)+1))</f>
        <v/>
      </c>
      <c r="M112" s="102">
        <v>106</v>
      </c>
      <c r="N112" s="302">
        <v>13</v>
      </c>
      <c r="O112" s="108" t="s">
        <v>4</v>
      </c>
      <c r="P112" s="304">
        <v>18</v>
      </c>
      <c r="Q112" s="109" t="str">
        <f t="shared" si="7"/>
        <v>RB Leipzig</v>
      </c>
      <c r="R112" s="110" t="s">
        <v>4</v>
      </c>
      <c r="S112" s="111" t="str">
        <f t="shared" si="8"/>
        <v>VfL Wolfsburg</v>
      </c>
      <c r="T112" s="211">
        <v>45990</v>
      </c>
      <c r="U112" s="212">
        <v>0.64583333333333337</v>
      </c>
    </row>
    <row r="113" spans="6:21" ht="17.25" x14ac:dyDescent="0.2">
      <c r="F113" s="83">
        <f t="shared" si="9"/>
        <v>2</v>
      </c>
      <c r="G113" s="83" t="str">
        <f t="shared" si="10"/>
        <v>00170014</v>
      </c>
      <c r="H113" s="83" t="str">
        <f t="shared" si="11"/>
        <v>00140017</v>
      </c>
      <c r="I113" s="83">
        <f>IF($G113="",0,COUNTIF($G$7:$G113,$H113))</f>
        <v>0</v>
      </c>
      <c r="J113" s="83"/>
      <c r="K113" s="264" t="str">
        <f>Language!$E$85</f>
        <v>double</v>
      </c>
      <c r="L113" s="240" t="str">
        <f>IF(Calc!$F$26=0,"",IF(OR($M113&gt;Calc!$B$24,MOD($M113-1,Calc!$F$26)&gt;0),"",QUOTIENT($M113-1,Calc!$F$26)+1))</f>
        <v/>
      </c>
      <c r="M113" s="102">
        <v>107</v>
      </c>
      <c r="N113" s="302">
        <v>17</v>
      </c>
      <c r="O113" s="108" t="s">
        <v>4</v>
      </c>
      <c r="P113" s="304">
        <v>14</v>
      </c>
      <c r="Q113" s="109" t="str">
        <f t="shared" si="7"/>
        <v>VfB Stuttgart</v>
      </c>
      <c r="R113" s="110" t="s">
        <v>4</v>
      </c>
      <c r="S113" s="111" t="str">
        <f t="shared" si="8"/>
        <v>SC Freiburg</v>
      </c>
      <c r="T113" s="211">
        <v>45990</v>
      </c>
      <c r="U113" s="212">
        <v>0.64583333333333337</v>
      </c>
    </row>
    <row r="114" spans="6:21" ht="17.25" x14ac:dyDescent="0.2">
      <c r="F114" s="83">
        <f t="shared" si="9"/>
        <v>2</v>
      </c>
      <c r="G114" s="83" t="str">
        <f t="shared" si="10"/>
        <v>00150016</v>
      </c>
      <c r="H114" s="83" t="str">
        <f t="shared" si="11"/>
        <v>00160015</v>
      </c>
      <c r="I114" s="83">
        <f>IF($G114="",0,COUNTIF($G$7:$G114,$H114))</f>
        <v>0</v>
      </c>
      <c r="J114" s="83"/>
      <c r="K114" s="264" t="str">
        <f>Language!$E$85</f>
        <v>double</v>
      </c>
      <c r="L114" s="240" t="str">
        <f>IF(Calc!$F$26=0,"",IF(OR($M114&gt;Calc!$B$24,MOD($M114-1,Calc!$F$26)&gt;0),"",QUOTIENT($M114-1,Calc!$F$26)+1))</f>
        <v/>
      </c>
      <c r="M114" s="102">
        <v>108</v>
      </c>
      <c r="N114" s="302">
        <v>15</v>
      </c>
      <c r="O114" s="108" t="s">
        <v>4</v>
      </c>
      <c r="P114" s="304">
        <v>16</v>
      </c>
      <c r="Q114" s="109" t="str">
        <f t="shared" si="7"/>
        <v>SV Werder Bremen</v>
      </c>
      <c r="R114" s="110" t="s">
        <v>4</v>
      </c>
      <c r="S114" s="111" t="str">
        <f t="shared" si="8"/>
        <v>TSG Hoffenheim</v>
      </c>
      <c r="T114" s="211">
        <v>45990</v>
      </c>
      <c r="U114" s="212">
        <v>0.64583333333333337</v>
      </c>
    </row>
    <row r="115" spans="6:21" ht="17.25" x14ac:dyDescent="0.2">
      <c r="F115" s="83">
        <f t="shared" si="9"/>
        <v>2</v>
      </c>
      <c r="G115" s="83" t="str">
        <f t="shared" si="10"/>
        <v>00010006</v>
      </c>
      <c r="H115" s="83" t="str">
        <f t="shared" si="11"/>
        <v>00060001</v>
      </c>
      <c r="I115" s="83">
        <f>IF($G115="",0,COUNTIF($G$7:$G115,$H115))</f>
        <v>0</v>
      </c>
      <c r="J115" s="83"/>
      <c r="K115" s="264" t="str">
        <f>Language!$E$85</f>
        <v>double</v>
      </c>
      <c r="L115" s="240">
        <f>IF(Calc!$F$26=0,"",IF(OR($M115&gt;Calc!$B$24,MOD($M115-1,Calc!$F$26)&gt;0),"",QUOTIENT($M115-1,Calc!$F$26)+1))</f>
        <v>13</v>
      </c>
      <c r="M115" s="102">
        <v>109</v>
      </c>
      <c r="N115" s="302">
        <v>1</v>
      </c>
      <c r="O115" s="108" t="s">
        <v>4</v>
      </c>
      <c r="P115" s="304">
        <v>6</v>
      </c>
      <c r="Q115" s="109" t="str">
        <f t="shared" si="7"/>
        <v>1. FC Heidenheim 1846</v>
      </c>
      <c r="R115" s="110" t="s">
        <v>4</v>
      </c>
      <c r="S115" s="111" t="str">
        <f t="shared" si="8"/>
        <v>Borussia Dortmund</v>
      </c>
      <c r="T115" s="211">
        <v>45997</v>
      </c>
      <c r="U115" s="212">
        <v>0.64583333333333337</v>
      </c>
    </row>
    <row r="116" spans="6:21" ht="17.25" x14ac:dyDescent="0.2">
      <c r="F116" s="83">
        <f t="shared" si="9"/>
        <v>2</v>
      </c>
      <c r="G116" s="83" t="str">
        <f t="shared" si="10"/>
        <v>00050007</v>
      </c>
      <c r="H116" s="83" t="str">
        <f t="shared" si="11"/>
        <v>00070005</v>
      </c>
      <c r="I116" s="83">
        <f>IF($G116="",0,COUNTIF($G$7:$G116,$H116))</f>
        <v>0</v>
      </c>
      <c r="J116" s="83"/>
      <c r="K116" s="264" t="str">
        <f>Language!$E$85</f>
        <v>double</v>
      </c>
      <c r="L116" s="240" t="str">
        <f>IF(Calc!$F$26=0,"",IF(OR($M116&gt;Calc!$B$24,MOD($M116-1,Calc!$F$26)&gt;0),"",QUOTIENT($M116-1,Calc!$F$26)+1))</f>
        <v/>
      </c>
      <c r="M116" s="102">
        <v>110</v>
      </c>
      <c r="N116" s="302">
        <v>5</v>
      </c>
      <c r="O116" s="108" t="s">
        <v>4</v>
      </c>
      <c r="P116" s="304">
        <v>7</v>
      </c>
      <c r="Q116" s="109" t="str">
        <f t="shared" si="7"/>
        <v>Bayer 04 Leverkusen</v>
      </c>
      <c r="R116" s="110" t="s">
        <v>4</v>
      </c>
      <c r="S116" s="111" t="str">
        <f t="shared" si="8"/>
        <v>Borussia Mönchengladbach</v>
      </c>
      <c r="T116" s="211">
        <v>45997</v>
      </c>
      <c r="U116" s="212">
        <v>0.64583333333333337</v>
      </c>
    </row>
    <row r="117" spans="6:21" ht="17.25" x14ac:dyDescent="0.2">
      <c r="F117" s="83">
        <f t="shared" si="9"/>
        <v>2</v>
      </c>
      <c r="G117" s="83" t="str">
        <f t="shared" si="10"/>
        <v>00080004</v>
      </c>
      <c r="H117" s="83" t="str">
        <f t="shared" si="11"/>
        <v>00040008</v>
      </c>
      <c r="I117" s="83">
        <f>IF($G117="",0,COUNTIF($G$7:$G117,$H117))</f>
        <v>0</v>
      </c>
      <c r="J117" s="83"/>
      <c r="K117" s="264" t="str">
        <f>Language!$E$85</f>
        <v>double</v>
      </c>
      <c r="L117" s="240" t="str">
        <f>IF(Calc!$F$26=0,"",IF(OR($M117&gt;Calc!$B$24,MOD($M117-1,Calc!$F$26)&gt;0),"",QUOTIENT($M117-1,Calc!$F$26)+1))</f>
        <v/>
      </c>
      <c r="M117" s="102">
        <v>111</v>
      </c>
      <c r="N117" s="302">
        <v>8</v>
      </c>
      <c r="O117" s="108" t="s">
        <v>4</v>
      </c>
      <c r="P117" s="304">
        <v>4</v>
      </c>
      <c r="Q117" s="109" t="str">
        <f t="shared" si="7"/>
        <v>Eintracht Frankfurt</v>
      </c>
      <c r="R117" s="110" t="s">
        <v>4</v>
      </c>
      <c r="S117" s="111" t="str">
        <f t="shared" si="8"/>
        <v>1. FSV Mainz 05</v>
      </c>
      <c r="T117" s="211">
        <v>45997</v>
      </c>
      <c r="U117" s="212">
        <v>0.64583333333333337</v>
      </c>
    </row>
    <row r="118" spans="6:21" ht="17.25" x14ac:dyDescent="0.2">
      <c r="F118" s="83">
        <f t="shared" si="9"/>
        <v>2</v>
      </c>
      <c r="G118" s="83" t="str">
        <f t="shared" si="10"/>
        <v>00030009</v>
      </c>
      <c r="H118" s="83" t="str">
        <f t="shared" si="11"/>
        <v>00090003</v>
      </c>
      <c r="I118" s="83">
        <f>IF($G118="",0,COUNTIF($G$7:$G118,$H118))</f>
        <v>0</v>
      </c>
      <c r="J118" s="83"/>
      <c r="K118" s="264" t="str">
        <f>Language!$E$85</f>
        <v>double</v>
      </c>
      <c r="L118" s="240" t="str">
        <f>IF(Calc!$F$26=0,"",IF(OR($M118&gt;Calc!$B$24,MOD($M118-1,Calc!$F$26)&gt;0),"",QUOTIENT($M118-1,Calc!$F$26)+1))</f>
        <v/>
      </c>
      <c r="M118" s="102">
        <v>112</v>
      </c>
      <c r="N118" s="302">
        <v>3</v>
      </c>
      <c r="O118" s="108" t="s">
        <v>4</v>
      </c>
      <c r="P118" s="304">
        <v>9</v>
      </c>
      <c r="Q118" s="109" t="str">
        <f t="shared" si="7"/>
        <v>1. FC Union Berlin</v>
      </c>
      <c r="R118" s="110" t="s">
        <v>4</v>
      </c>
      <c r="S118" s="111" t="str">
        <f t="shared" si="8"/>
        <v>FC Augsburg</v>
      </c>
      <c r="T118" s="211">
        <v>45997</v>
      </c>
      <c r="U118" s="212">
        <v>0.64583333333333337</v>
      </c>
    </row>
    <row r="119" spans="6:21" ht="17.25" x14ac:dyDescent="0.2">
      <c r="F119" s="83">
        <f t="shared" si="9"/>
        <v>2</v>
      </c>
      <c r="G119" s="83" t="str">
        <f t="shared" si="10"/>
        <v>00100002</v>
      </c>
      <c r="H119" s="83" t="str">
        <f t="shared" si="11"/>
        <v>00020010</v>
      </c>
      <c r="I119" s="83">
        <f>IF($G119="",0,COUNTIF($G$7:$G119,$H119))</f>
        <v>0</v>
      </c>
      <c r="J119" s="83"/>
      <c r="K119" s="264" t="str">
        <f>Language!$E$85</f>
        <v>double</v>
      </c>
      <c r="L119" s="240" t="str">
        <f>IF(Calc!$F$26=0,"",IF(OR($M119&gt;Calc!$B$24,MOD($M119-1,Calc!$F$26)&gt;0),"",QUOTIENT($M119-1,Calc!$F$26)+1))</f>
        <v/>
      </c>
      <c r="M119" s="102">
        <v>113</v>
      </c>
      <c r="N119" s="302">
        <v>10</v>
      </c>
      <c r="O119" s="108" t="s">
        <v>4</v>
      </c>
      <c r="P119" s="304">
        <v>2</v>
      </c>
      <c r="Q119" s="109" t="str">
        <f t="shared" si="7"/>
        <v>FC Bayern München</v>
      </c>
      <c r="R119" s="110" t="s">
        <v>4</v>
      </c>
      <c r="S119" s="111" t="str">
        <f t="shared" si="8"/>
        <v>1. FC Köln</v>
      </c>
      <c r="T119" s="211">
        <v>45997</v>
      </c>
      <c r="U119" s="212">
        <v>0.64583333333333337</v>
      </c>
    </row>
    <row r="120" spans="6:21" ht="17.25" x14ac:dyDescent="0.2">
      <c r="F120" s="83">
        <f t="shared" si="9"/>
        <v>2</v>
      </c>
      <c r="G120" s="83" t="str">
        <f t="shared" si="10"/>
        <v>00180011</v>
      </c>
      <c r="H120" s="83" t="str">
        <f t="shared" si="11"/>
        <v>00110018</v>
      </c>
      <c r="I120" s="83">
        <f>IF($G120="",0,COUNTIF($G$7:$G120,$H120))</f>
        <v>0</v>
      </c>
      <c r="J120" s="83"/>
      <c r="K120" s="264" t="str">
        <f>Language!$E$85</f>
        <v>double</v>
      </c>
      <c r="L120" s="240" t="str">
        <f>IF(Calc!$F$26=0,"",IF(OR($M120&gt;Calc!$B$24,MOD($M120-1,Calc!$F$26)&gt;0),"",QUOTIENT($M120-1,Calc!$F$26)+1))</f>
        <v/>
      </c>
      <c r="M120" s="102">
        <v>114</v>
      </c>
      <c r="N120" s="302">
        <v>18</v>
      </c>
      <c r="O120" s="108" t="s">
        <v>4</v>
      </c>
      <c r="P120" s="304">
        <v>11</v>
      </c>
      <c r="Q120" s="109" t="str">
        <f t="shared" si="7"/>
        <v>VfL Wolfsburg</v>
      </c>
      <c r="R120" s="110" t="s">
        <v>4</v>
      </c>
      <c r="S120" s="111" t="str">
        <f t="shared" si="8"/>
        <v>FC St. Pauli</v>
      </c>
      <c r="T120" s="211">
        <v>45997</v>
      </c>
      <c r="U120" s="212">
        <v>0.64583333333333337</v>
      </c>
    </row>
    <row r="121" spans="6:21" ht="17.25" x14ac:dyDescent="0.2">
      <c r="F121" s="83">
        <f t="shared" si="9"/>
        <v>2</v>
      </c>
      <c r="G121" s="83" t="str">
        <f t="shared" si="10"/>
        <v>00120017</v>
      </c>
      <c r="H121" s="83" t="str">
        <f t="shared" si="11"/>
        <v>00170012</v>
      </c>
      <c r="I121" s="83">
        <f>IF($G121="",0,COUNTIF($G$7:$G121,$H121))</f>
        <v>0</v>
      </c>
      <c r="J121" s="83"/>
      <c r="K121" s="264" t="str">
        <f>Language!$E$85</f>
        <v>double</v>
      </c>
      <c r="L121" s="240" t="str">
        <f>IF(Calc!$F$26=0,"",IF(OR($M121&gt;Calc!$B$24,MOD($M121-1,Calc!$F$26)&gt;0),"",QUOTIENT($M121-1,Calc!$F$26)+1))</f>
        <v/>
      </c>
      <c r="M121" s="102">
        <v>115</v>
      </c>
      <c r="N121" s="302">
        <v>12</v>
      </c>
      <c r="O121" s="108" t="s">
        <v>4</v>
      </c>
      <c r="P121" s="304">
        <v>17</v>
      </c>
      <c r="Q121" s="109" t="str">
        <f t="shared" si="7"/>
        <v>Hamburger SV</v>
      </c>
      <c r="R121" s="110" t="s">
        <v>4</v>
      </c>
      <c r="S121" s="111" t="str">
        <f t="shared" si="8"/>
        <v>VfB Stuttgart</v>
      </c>
      <c r="T121" s="211">
        <v>45997</v>
      </c>
      <c r="U121" s="212">
        <v>0.64583333333333337</v>
      </c>
    </row>
    <row r="122" spans="6:21" ht="17.25" x14ac:dyDescent="0.2">
      <c r="F122" s="83">
        <f t="shared" si="9"/>
        <v>2</v>
      </c>
      <c r="G122" s="83" t="str">
        <f t="shared" si="10"/>
        <v>00160013</v>
      </c>
      <c r="H122" s="83" t="str">
        <f t="shared" si="11"/>
        <v>00130016</v>
      </c>
      <c r="I122" s="83">
        <f>IF($G122="",0,COUNTIF($G$7:$G122,$H122))</f>
        <v>0</v>
      </c>
      <c r="J122" s="83"/>
      <c r="K122" s="264" t="str">
        <f>Language!$E$85</f>
        <v>double</v>
      </c>
      <c r="L122" s="240" t="str">
        <f>IF(Calc!$F$26=0,"",IF(OR($M122&gt;Calc!$B$24,MOD($M122-1,Calc!$F$26)&gt;0),"",QUOTIENT($M122-1,Calc!$F$26)+1))</f>
        <v/>
      </c>
      <c r="M122" s="102">
        <v>116</v>
      </c>
      <c r="N122" s="302">
        <v>16</v>
      </c>
      <c r="O122" s="108" t="s">
        <v>4</v>
      </c>
      <c r="P122" s="304">
        <v>13</v>
      </c>
      <c r="Q122" s="109" t="str">
        <f t="shared" si="7"/>
        <v>TSG Hoffenheim</v>
      </c>
      <c r="R122" s="110" t="s">
        <v>4</v>
      </c>
      <c r="S122" s="111" t="str">
        <f t="shared" si="8"/>
        <v>RB Leipzig</v>
      </c>
      <c r="T122" s="211">
        <v>45997</v>
      </c>
      <c r="U122" s="212">
        <v>0.64583333333333337</v>
      </c>
    </row>
    <row r="123" spans="6:21" ht="17.25" x14ac:dyDescent="0.2">
      <c r="F123" s="83">
        <f t="shared" si="9"/>
        <v>2</v>
      </c>
      <c r="G123" s="83" t="str">
        <f t="shared" si="10"/>
        <v>00140015</v>
      </c>
      <c r="H123" s="83" t="str">
        <f t="shared" si="11"/>
        <v>00150014</v>
      </c>
      <c r="I123" s="83">
        <f>IF($G123="",0,COUNTIF($G$7:$G123,$H123))</f>
        <v>0</v>
      </c>
      <c r="J123" s="83"/>
      <c r="K123" s="264" t="str">
        <f>Language!$E$85</f>
        <v>double</v>
      </c>
      <c r="L123" s="240" t="str">
        <f>IF(Calc!$F$26=0,"",IF(OR($M123&gt;Calc!$B$24,MOD($M123-1,Calc!$F$26)&gt;0),"",QUOTIENT($M123-1,Calc!$F$26)+1))</f>
        <v/>
      </c>
      <c r="M123" s="102">
        <v>117</v>
      </c>
      <c r="N123" s="302">
        <v>14</v>
      </c>
      <c r="O123" s="108" t="s">
        <v>4</v>
      </c>
      <c r="P123" s="304">
        <v>15</v>
      </c>
      <c r="Q123" s="109" t="str">
        <f t="shared" si="7"/>
        <v>SC Freiburg</v>
      </c>
      <c r="R123" s="110" t="s">
        <v>4</v>
      </c>
      <c r="S123" s="111" t="str">
        <f t="shared" si="8"/>
        <v>SV Werder Bremen</v>
      </c>
      <c r="T123" s="211">
        <v>45997</v>
      </c>
      <c r="U123" s="212">
        <v>0.64583333333333337</v>
      </c>
    </row>
    <row r="124" spans="6:21" ht="17.25" x14ac:dyDescent="0.2">
      <c r="F124" s="83">
        <f t="shared" si="9"/>
        <v>2</v>
      </c>
      <c r="G124" s="83" t="str">
        <f t="shared" si="10"/>
        <v>00050001</v>
      </c>
      <c r="H124" s="83" t="str">
        <f t="shared" si="11"/>
        <v>00010005</v>
      </c>
      <c r="I124" s="83">
        <f>IF($G124="",0,COUNTIF($G$7:$G124,$H124))</f>
        <v>0</v>
      </c>
      <c r="J124" s="83"/>
      <c r="K124" s="264" t="str">
        <f>Language!$E$85</f>
        <v>double</v>
      </c>
      <c r="L124" s="240">
        <f>IF(Calc!$F$26=0,"",IF(OR($M124&gt;Calc!$B$24,MOD($M124-1,Calc!$F$26)&gt;0),"",QUOTIENT($M124-1,Calc!$F$26)+1))</f>
        <v>14</v>
      </c>
      <c r="M124" s="102">
        <v>118</v>
      </c>
      <c r="N124" s="302">
        <v>5</v>
      </c>
      <c r="O124" s="108" t="s">
        <v>4</v>
      </c>
      <c r="P124" s="304">
        <v>1</v>
      </c>
      <c r="Q124" s="109" t="str">
        <f t="shared" si="7"/>
        <v>Bayer 04 Leverkusen</v>
      </c>
      <c r="R124" s="110" t="s">
        <v>4</v>
      </c>
      <c r="S124" s="111" t="str">
        <f t="shared" si="8"/>
        <v>1. FC Heidenheim 1846</v>
      </c>
      <c r="T124" s="211">
        <v>46004</v>
      </c>
      <c r="U124" s="212">
        <v>0.64583333333333337</v>
      </c>
    </row>
    <row r="125" spans="6:21" ht="17.25" x14ac:dyDescent="0.2">
      <c r="F125" s="83">
        <f t="shared" si="9"/>
        <v>2</v>
      </c>
      <c r="G125" s="83" t="str">
        <f t="shared" si="10"/>
        <v>00040006</v>
      </c>
      <c r="H125" s="83" t="str">
        <f t="shared" si="11"/>
        <v>00060004</v>
      </c>
      <c r="I125" s="83">
        <f>IF($G125="",0,COUNTIF($G$7:$G125,$H125))</f>
        <v>0</v>
      </c>
      <c r="J125" s="83"/>
      <c r="K125" s="264" t="str">
        <f>Language!$E$85</f>
        <v>double</v>
      </c>
      <c r="L125" s="240" t="str">
        <f>IF(Calc!$F$26=0,"",IF(OR($M125&gt;Calc!$B$24,MOD($M125-1,Calc!$F$26)&gt;0),"",QUOTIENT($M125-1,Calc!$F$26)+1))</f>
        <v/>
      </c>
      <c r="M125" s="102">
        <v>119</v>
      </c>
      <c r="N125" s="302">
        <v>4</v>
      </c>
      <c r="O125" s="108" t="s">
        <v>4</v>
      </c>
      <c r="P125" s="304">
        <v>6</v>
      </c>
      <c r="Q125" s="109" t="str">
        <f t="shared" si="7"/>
        <v>1. FSV Mainz 05</v>
      </c>
      <c r="R125" s="110" t="s">
        <v>4</v>
      </c>
      <c r="S125" s="111" t="str">
        <f t="shared" si="8"/>
        <v>Borussia Dortmund</v>
      </c>
      <c r="T125" s="211">
        <v>46004</v>
      </c>
      <c r="U125" s="212">
        <v>0.64583333333333337</v>
      </c>
    </row>
    <row r="126" spans="6:21" ht="17.25" x14ac:dyDescent="0.2">
      <c r="F126" s="83">
        <f t="shared" si="9"/>
        <v>2</v>
      </c>
      <c r="G126" s="83" t="str">
        <f t="shared" si="10"/>
        <v>00070003</v>
      </c>
      <c r="H126" s="83" t="str">
        <f t="shared" si="11"/>
        <v>00030007</v>
      </c>
      <c r="I126" s="83">
        <f>IF($G126="",0,COUNTIF($G$7:$G126,$H126))</f>
        <v>0</v>
      </c>
      <c r="J126" s="83"/>
      <c r="K126" s="264" t="str">
        <f>Language!$E$85</f>
        <v>double</v>
      </c>
      <c r="L126" s="240" t="str">
        <f>IF(Calc!$F$26=0,"",IF(OR($M126&gt;Calc!$B$24,MOD($M126-1,Calc!$F$26)&gt;0),"",QUOTIENT($M126-1,Calc!$F$26)+1))</f>
        <v/>
      </c>
      <c r="M126" s="102">
        <v>120</v>
      </c>
      <c r="N126" s="302">
        <v>7</v>
      </c>
      <c r="O126" s="108" t="s">
        <v>4</v>
      </c>
      <c r="P126" s="304">
        <v>3</v>
      </c>
      <c r="Q126" s="109" t="str">
        <f t="shared" si="7"/>
        <v>Borussia Mönchengladbach</v>
      </c>
      <c r="R126" s="110" t="s">
        <v>4</v>
      </c>
      <c r="S126" s="111" t="str">
        <f t="shared" si="8"/>
        <v>1. FC Union Berlin</v>
      </c>
      <c r="T126" s="211">
        <v>46004</v>
      </c>
      <c r="U126" s="212">
        <v>0.64583333333333337</v>
      </c>
    </row>
    <row r="127" spans="6:21" ht="17.25" x14ac:dyDescent="0.2">
      <c r="F127" s="83">
        <f t="shared" si="9"/>
        <v>2</v>
      </c>
      <c r="G127" s="83" t="str">
        <f t="shared" si="10"/>
        <v>00020008</v>
      </c>
      <c r="H127" s="83" t="str">
        <f t="shared" si="11"/>
        <v>00080002</v>
      </c>
      <c r="I127" s="83">
        <f>IF($G127="",0,COUNTIF($G$7:$G127,$H127))</f>
        <v>0</v>
      </c>
      <c r="J127" s="83"/>
      <c r="K127" s="264" t="str">
        <f>Language!$E$85</f>
        <v>double</v>
      </c>
      <c r="L127" s="240" t="str">
        <f>IF(Calc!$F$26=0,"",IF(OR($M127&gt;Calc!$B$24,MOD($M127-1,Calc!$F$26)&gt;0),"",QUOTIENT($M127-1,Calc!$F$26)+1))</f>
        <v/>
      </c>
      <c r="M127" s="102">
        <v>121</v>
      </c>
      <c r="N127" s="302">
        <v>2</v>
      </c>
      <c r="O127" s="108" t="s">
        <v>4</v>
      </c>
      <c r="P127" s="304">
        <v>8</v>
      </c>
      <c r="Q127" s="109" t="str">
        <f t="shared" si="7"/>
        <v>1. FC Köln</v>
      </c>
      <c r="R127" s="110" t="s">
        <v>4</v>
      </c>
      <c r="S127" s="111" t="str">
        <f t="shared" si="8"/>
        <v>Eintracht Frankfurt</v>
      </c>
      <c r="T127" s="211">
        <v>46004</v>
      </c>
      <c r="U127" s="212">
        <v>0.64583333333333337</v>
      </c>
    </row>
    <row r="128" spans="6:21" ht="17.25" x14ac:dyDescent="0.2">
      <c r="F128" s="83">
        <f t="shared" si="9"/>
        <v>2</v>
      </c>
      <c r="G128" s="83" t="str">
        <f t="shared" si="10"/>
        <v>00090018</v>
      </c>
      <c r="H128" s="83" t="str">
        <f t="shared" si="11"/>
        <v>00180009</v>
      </c>
      <c r="I128" s="83">
        <f>IF($G128="",0,COUNTIF($G$7:$G128,$H128))</f>
        <v>0</v>
      </c>
      <c r="J128" s="83"/>
      <c r="K128" s="264" t="str">
        <f>Language!$E$85</f>
        <v>double</v>
      </c>
      <c r="L128" s="240" t="str">
        <f>IF(Calc!$F$26=0,"",IF(OR($M128&gt;Calc!$B$24,MOD($M128-1,Calc!$F$26)&gt;0),"",QUOTIENT($M128-1,Calc!$F$26)+1))</f>
        <v/>
      </c>
      <c r="M128" s="102">
        <v>122</v>
      </c>
      <c r="N128" s="302">
        <v>9</v>
      </c>
      <c r="O128" s="108" t="s">
        <v>4</v>
      </c>
      <c r="P128" s="304">
        <v>18</v>
      </c>
      <c r="Q128" s="109" t="str">
        <f t="shared" si="7"/>
        <v>FC Augsburg</v>
      </c>
      <c r="R128" s="110" t="s">
        <v>4</v>
      </c>
      <c r="S128" s="111" t="str">
        <f t="shared" si="8"/>
        <v>VfL Wolfsburg</v>
      </c>
      <c r="T128" s="211">
        <v>46004</v>
      </c>
      <c r="U128" s="212">
        <v>0.64583333333333337</v>
      </c>
    </row>
    <row r="129" spans="6:21" ht="17.25" x14ac:dyDescent="0.2">
      <c r="F129" s="83">
        <f t="shared" si="9"/>
        <v>2</v>
      </c>
      <c r="G129" s="83" t="str">
        <f t="shared" si="10"/>
        <v>00170010</v>
      </c>
      <c r="H129" s="83" t="str">
        <f t="shared" si="11"/>
        <v>00100017</v>
      </c>
      <c r="I129" s="83">
        <f>IF($G129="",0,COUNTIF($G$7:$G129,$H129))</f>
        <v>0</v>
      </c>
      <c r="J129" s="83"/>
      <c r="K129" s="264" t="str">
        <f>Language!$E$85</f>
        <v>double</v>
      </c>
      <c r="L129" s="240" t="str">
        <f>IF(Calc!$F$26=0,"",IF(OR($M129&gt;Calc!$B$24,MOD($M129-1,Calc!$F$26)&gt;0),"",QUOTIENT($M129-1,Calc!$F$26)+1))</f>
        <v/>
      </c>
      <c r="M129" s="102">
        <v>123</v>
      </c>
      <c r="N129" s="302">
        <v>17</v>
      </c>
      <c r="O129" s="108" t="s">
        <v>4</v>
      </c>
      <c r="P129" s="304">
        <v>10</v>
      </c>
      <c r="Q129" s="109" t="str">
        <f t="shared" si="7"/>
        <v>VfB Stuttgart</v>
      </c>
      <c r="R129" s="110" t="s">
        <v>4</v>
      </c>
      <c r="S129" s="111" t="str">
        <f t="shared" si="8"/>
        <v>FC Bayern München</v>
      </c>
      <c r="T129" s="211">
        <v>46004</v>
      </c>
      <c r="U129" s="212">
        <v>0.64583333333333337</v>
      </c>
    </row>
    <row r="130" spans="6:21" ht="17.25" x14ac:dyDescent="0.2">
      <c r="F130" s="83">
        <f t="shared" si="9"/>
        <v>2</v>
      </c>
      <c r="G130" s="83" t="str">
        <f t="shared" si="10"/>
        <v>00110016</v>
      </c>
      <c r="H130" s="83" t="str">
        <f t="shared" si="11"/>
        <v>00160011</v>
      </c>
      <c r="I130" s="83">
        <f>IF($G130="",0,COUNTIF($G$7:$G130,$H130))</f>
        <v>0</v>
      </c>
      <c r="J130" s="83"/>
      <c r="K130" s="264" t="str">
        <f>Language!$E$85</f>
        <v>double</v>
      </c>
      <c r="L130" s="240" t="str">
        <f>IF(Calc!$F$26=0,"",IF(OR($M130&gt;Calc!$B$24,MOD($M130-1,Calc!$F$26)&gt;0),"",QUOTIENT($M130-1,Calc!$F$26)+1))</f>
        <v/>
      </c>
      <c r="M130" s="102">
        <v>124</v>
      </c>
      <c r="N130" s="302">
        <v>11</v>
      </c>
      <c r="O130" s="108" t="s">
        <v>4</v>
      </c>
      <c r="P130" s="304">
        <v>16</v>
      </c>
      <c r="Q130" s="109" t="str">
        <f t="shared" si="7"/>
        <v>FC St. Pauli</v>
      </c>
      <c r="R130" s="110" t="s">
        <v>4</v>
      </c>
      <c r="S130" s="111" t="str">
        <f t="shared" si="8"/>
        <v>TSG Hoffenheim</v>
      </c>
      <c r="T130" s="211">
        <v>46004</v>
      </c>
      <c r="U130" s="212">
        <v>0.64583333333333337</v>
      </c>
    </row>
    <row r="131" spans="6:21" ht="17.25" x14ac:dyDescent="0.2">
      <c r="F131" s="83">
        <f t="shared" si="9"/>
        <v>2</v>
      </c>
      <c r="G131" s="83" t="str">
        <f t="shared" si="10"/>
        <v>00150012</v>
      </c>
      <c r="H131" s="83" t="str">
        <f t="shared" si="11"/>
        <v>00120015</v>
      </c>
      <c r="I131" s="83">
        <f>IF($G131="",0,COUNTIF($G$7:$G131,$H131))</f>
        <v>0</v>
      </c>
      <c r="J131" s="83"/>
      <c r="K131" s="264" t="str">
        <f>Language!$E$85</f>
        <v>double</v>
      </c>
      <c r="L131" s="240" t="str">
        <f>IF(Calc!$F$26=0,"",IF(OR($M131&gt;Calc!$B$24,MOD($M131-1,Calc!$F$26)&gt;0),"",QUOTIENT($M131-1,Calc!$F$26)+1))</f>
        <v/>
      </c>
      <c r="M131" s="102">
        <v>125</v>
      </c>
      <c r="N131" s="302">
        <v>15</v>
      </c>
      <c r="O131" s="108" t="s">
        <v>4</v>
      </c>
      <c r="P131" s="304">
        <v>12</v>
      </c>
      <c r="Q131" s="109" t="str">
        <f t="shared" si="7"/>
        <v>SV Werder Bremen</v>
      </c>
      <c r="R131" s="110" t="s">
        <v>4</v>
      </c>
      <c r="S131" s="111" t="str">
        <f t="shared" si="8"/>
        <v>Hamburger SV</v>
      </c>
      <c r="T131" s="211">
        <v>46004</v>
      </c>
      <c r="U131" s="212">
        <v>0.64583333333333337</v>
      </c>
    </row>
    <row r="132" spans="6:21" ht="17.25" x14ac:dyDescent="0.2">
      <c r="F132" s="83">
        <f t="shared" si="9"/>
        <v>2</v>
      </c>
      <c r="G132" s="83" t="str">
        <f t="shared" si="10"/>
        <v>00130014</v>
      </c>
      <c r="H132" s="83" t="str">
        <f t="shared" si="11"/>
        <v>00140013</v>
      </c>
      <c r="I132" s="83">
        <f>IF($G132="",0,COUNTIF($G$7:$G132,$H132))</f>
        <v>0</v>
      </c>
      <c r="J132" s="83"/>
      <c r="K132" s="264" t="str">
        <f>Language!$E$85</f>
        <v>double</v>
      </c>
      <c r="L132" s="240" t="str">
        <f>IF(Calc!$F$26=0,"",IF(OR($M132&gt;Calc!$B$24,MOD($M132-1,Calc!$F$26)&gt;0),"",QUOTIENT($M132-1,Calc!$F$26)+1))</f>
        <v/>
      </c>
      <c r="M132" s="102">
        <v>126</v>
      </c>
      <c r="N132" s="302">
        <v>13</v>
      </c>
      <c r="O132" s="108" t="s">
        <v>4</v>
      </c>
      <c r="P132" s="304">
        <v>14</v>
      </c>
      <c r="Q132" s="109" t="str">
        <f t="shared" si="7"/>
        <v>RB Leipzig</v>
      </c>
      <c r="R132" s="110" t="s">
        <v>4</v>
      </c>
      <c r="S132" s="111" t="str">
        <f t="shared" si="8"/>
        <v>SC Freiburg</v>
      </c>
      <c r="T132" s="211">
        <v>46004</v>
      </c>
      <c r="U132" s="212">
        <v>0.64583333333333337</v>
      </c>
    </row>
    <row r="133" spans="6:21" ht="17.25" x14ac:dyDescent="0.2">
      <c r="F133" s="83">
        <f t="shared" si="9"/>
        <v>2</v>
      </c>
      <c r="G133" s="83" t="str">
        <f t="shared" si="10"/>
        <v>00010004</v>
      </c>
      <c r="H133" s="83" t="str">
        <f t="shared" si="11"/>
        <v>00040001</v>
      </c>
      <c r="I133" s="83">
        <f>IF($G133="",0,COUNTIF($G$7:$G133,$H133))</f>
        <v>0</v>
      </c>
      <c r="J133" s="83"/>
      <c r="K133" s="264" t="str">
        <f>Language!$E$85</f>
        <v>double</v>
      </c>
      <c r="L133" s="240">
        <f>IF(Calc!$F$26=0,"",IF(OR($M133&gt;Calc!$B$24,MOD($M133-1,Calc!$F$26)&gt;0),"",QUOTIENT($M133-1,Calc!$F$26)+1))</f>
        <v>15</v>
      </c>
      <c r="M133" s="102">
        <v>127</v>
      </c>
      <c r="N133" s="302">
        <v>1</v>
      </c>
      <c r="O133" s="108" t="s">
        <v>4</v>
      </c>
      <c r="P133" s="304">
        <v>4</v>
      </c>
      <c r="Q133" s="109" t="str">
        <f t="shared" si="7"/>
        <v>1. FC Heidenheim 1846</v>
      </c>
      <c r="R133" s="110" t="s">
        <v>4</v>
      </c>
      <c r="S133" s="111" t="str">
        <f t="shared" si="8"/>
        <v>1. FSV Mainz 05</v>
      </c>
      <c r="T133" s="211">
        <v>46011</v>
      </c>
      <c r="U133" s="212">
        <v>0.64583333333333337</v>
      </c>
    </row>
    <row r="134" spans="6:21" ht="17.25" x14ac:dyDescent="0.2">
      <c r="F134" s="83">
        <f t="shared" si="9"/>
        <v>2</v>
      </c>
      <c r="G134" s="83" t="str">
        <f t="shared" si="10"/>
        <v>00030005</v>
      </c>
      <c r="H134" s="83" t="str">
        <f t="shared" si="11"/>
        <v>00050003</v>
      </c>
      <c r="I134" s="83">
        <f>IF($G134="",0,COUNTIF($G$7:$G134,$H134))</f>
        <v>0</v>
      </c>
      <c r="J134" s="83"/>
      <c r="K134" s="264" t="str">
        <f>Language!$E$85</f>
        <v>double</v>
      </c>
      <c r="L134" s="240" t="str">
        <f>IF(Calc!$F$26=0,"",IF(OR($M134&gt;Calc!$B$24,MOD($M134-1,Calc!$F$26)&gt;0),"",QUOTIENT($M134-1,Calc!$F$26)+1))</f>
        <v/>
      </c>
      <c r="M134" s="102">
        <v>128</v>
      </c>
      <c r="N134" s="302">
        <v>3</v>
      </c>
      <c r="O134" s="108" t="s">
        <v>4</v>
      </c>
      <c r="P134" s="304">
        <v>5</v>
      </c>
      <c r="Q134" s="109" t="str">
        <f t="shared" si="7"/>
        <v>1. FC Union Berlin</v>
      </c>
      <c r="R134" s="110" t="s">
        <v>4</v>
      </c>
      <c r="S134" s="111" t="str">
        <f t="shared" si="8"/>
        <v>Bayer 04 Leverkusen</v>
      </c>
      <c r="T134" s="211">
        <v>46011</v>
      </c>
      <c r="U134" s="212">
        <v>0.64583333333333337</v>
      </c>
    </row>
    <row r="135" spans="6:21" ht="17.25" x14ac:dyDescent="0.2">
      <c r="F135" s="83">
        <f t="shared" si="9"/>
        <v>2</v>
      </c>
      <c r="G135" s="83" t="str">
        <f t="shared" si="10"/>
        <v>00060002</v>
      </c>
      <c r="H135" s="83" t="str">
        <f t="shared" si="11"/>
        <v>00020006</v>
      </c>
      <c r="I135" s="83">
        <f>IF($G135="",0,COUNTIF($G$7:$G135,$H135))</f>
        <v>0</v>
      </c>
      <c r="J135" s="83"/>
      <c r="K135" s="264" t="str">
        <f>Language!$E$85</f>
        <v>double</v>
      </c>
      <c r="L135" s="240" t="str">
        <f>IF(Calc!$F$26=0,"",IF(OR($M135&gt;Calc!$B$24,MOD($M135-1,Calc!$F$26)&gt;0),"",QUOTIENT($M135-1,Calc!$F$26)+1))</f>
        <v/>
      </c>
      <c r="M135" s="102">
        <v>129</v>
      </c>
      <c r="N135" s="302">
        <v>6</v>
      </c>
      <c r="O135" s="108" t="s">
        <v>4</v>
      </c>
      <c r="P135" s="304">
        <v>2</v>
      </c>
      <c r="Q135" s="109" t="str">
        <f t="shared" ref="Q135:Q198" si="12">IF(ISBLANK($N135),"",IF(ISBLANK(VLOOKUP($N135,$C$7:$D$26,2,0)),"",VLOOKUP($N135,$C$7:$D$26,2,0)))</f>
        <v>Borussia Dortmund</v>
      </c>
      <c r="R135" s="110" t="s">
        <v>4</v>
      </c>
      <c r="S135" s="111" t="str">
        <f t="shared" ref="S135:S198" si="13">IF(ISBLANK($P135),"",IF(ISBLANK(VLOOKUP($P135,$C$7:$D$26,2,0)),"",VLOOKUP($P135,$C$7:$D$26,2,0)))</f>
        <v>1. FC Köln</v>
      </c>
      <c r="T135" s="211">
        <v>46011</v>
      </c>
      <c r="U135" s="212">
        <v>0.64583333333333337</v>
      </c>
    </row>
    <row r="136" spans="6:21" ht="17.25" x14ac:dyDescent="0.2">
      <c r="F136" s="83">
        <f t="shared" ref="F136:F199" si="14">IF($G136="",0,IF(LEFT($G136,4)=RIGHT($G136,4),100,IF(COUNTIF($G$7:$G$386,$G136)&gt;1,101,COUNTIF($G$7:$G$386,$G136)+COUNTIF($H$7:$H$386,$G136))))</f>
        <v>2</v>
      </c>
      <c r="G136" s="83" t="str">
        <f t="shared" ref="G136:G199" si="15">IF(OR($N136="",$P136=""),"",TEXT($N136,"0000")&amp;TEXT($P136,"0000"))</f>
        <v>00180007</v>
      </c>
      <c r="H136" s="83" t="str">
        <f t="shared" ref="H136:H199" si="16">IF(OR($N136="",$P136=""),"",TEXT($P136,"0000")&amp;TEXT($N136,"0000"))</f>
        <v>00070018</v>
      </c>
      <c r="I136" s="83">
        <f>IF($G136="",0,COUNTIF($G$7:$G136,$H136))</f>
        <v>0</v>
      </c>
      <c r="J136" s="83"/>
      <c r="K136" s="264" t="str">
        <f>Language!$E$85</f>
        <v>double</v>
      </c>
      <c r="L136" s="240" t="str">
        <f>IF(Calc!$F$26=0,"",IF(OR($M136&gt;Calc!$B$24,MOD($M136-1,Calc!$F$26)&gt;0),"",QUOTIENT($M136-1,Calc!$F$26)+1))</f>
        <v/>
      </c>
      <c r="M136" s="102">
        <v>130</v>
      </c>
      <c r="N136" s="302">
        <v>18</v>
      </c>
      <c r="O136" s="108" t="s">
        <v>4</v>
      </c>
      <c r="P136" s="304">
        <v>7</v>
      </c>
      <c r="Q136" s="109" t="str">
        <f t="shared" si="12"/>
        <v>VfL Wolfsburg</v>
      </c>
      <c r="R136" s="110" t="s">
        <v>4</v>
      </c>
      <c r="S136" s="111" t="str">
        <f t="shared" si="13"/>
        <v>Borussia Mönchengladbach</v>
      </c>
      <c r="T136" s="211">
        <v>46011</v>
      </c>
      <c r="U136" s="212">
        <v>0.64583333333333337</v>
      </c>
    </row>
    <row r="137" spans="6:21" ht="17.25" x14ac:dyDescent="0.2">
      <c r="F137" s="83">
        <f t="shared" si="14"/>
        <v>2</v>
      </c>
      <c r="G137" s="83" t="str">
        <f t="shared" si="15"/>
        <v>00080017</v>
      </c>
      <c r="H137" s="83" t="str">
        <f t="shared" si="16"/>
        <v>00170008</v>
      </c>
      <c r="I137" s="83">
        <f>IF($G137="",0,COUNTIF($G$7:$G137,$H137))</f>
        <v>0</v>
      </c>
      <c r="J137" s="83"/>
      <c r="K137" s="264" t="str">
        <f>Language!$E$85</f>
        <v>double</v>
      </c>
      <c r="L137" s="240" t="str">
        <f>IF(Calc!$F$26=0,"",IF(OR($M137&gt;Calc!$B$24,MOD($M137-1,Calc!$F$26)&gt;0),"",QUOTIENT($M137-1,Calc!$F$26)+1))</f>
        <v/>
      </c>
      <c r="M137" s="102">
        <v>131</v>
      </c>
      <c r="N137" s="302">
        <v>8</v>
      </c>
      <c r="O137" s="108" t="s">
        <v>4</v>
      </c>
      <c r="P137" s="304">
        <v>17</v>
      </c>
      <c r="Q137" s="109" t="str">
        <f t="shared" si="12"/>
        <v>Eintracht Frankfurt</v>
      </c>
      <c r="R137" s="110" t="s">
        <v>4</v>
      </c>
      <c r="S137" s="111" t="str">
        <f t="shared" si="13"/>
        <v>VfB Stuttgart</v>
      </c>
      <c r="T137" s="211">
        <v>46011</v>
      </c>
      <c r="U137" s="212">
        <v>0.64583333333333337</v>
      </c>
    </row>
    <row r="138" spans="6:21" ht="17.25" x14ac:dyDescent="0.2">
      <c r="F138" s="83">
        <f t="shared" si="14"/>
        <v>2</v>
      </c>
      <c r="G138" s="83" t="str">
        <f t="shared" si="15"/>
        <v>00160009</v>
      </c>
      <c r="H138" s="83" t="str">
        <f t="shared" si="16"/>
        <v>00090016</v>
      </c>
      <c r="I138" s="83">
        <f>IF($G138="",0,COUNTIF($G$7:$G138,$H138))</f>
        <v>0</v>
      </c>
      <c r="J138" s="83"/>
      <c r="K138" s="264" t="str">
        <f>Language!$E$85</f>
        <v>double</v>
      </c>
      <c r="L138" s="240" t="str">
        <f>IF(Calc!$F$26=0,"",IF(OR($M138&gt;Calc!$B$24,MOD($M138-1,Calc!$F$26)&gt;0),"",QUOTIENT($M138-1,Calc!$F$26)+1))</f>
        <v/>
      </c>
      <c r="M138" s="102">
        <v>132</v>
      </c>
      <c r="N138" s="302">
        <v>16</v>
      </c>
      <c r="O138" s="108" t="s">
        <v>4</v>
      </c>
      <c r="P138" s="304">
        <v>9</v>
      </c>
      <c r="Q138" s="109" t="str">
        <f t="shared" si="12"/>
        <v>TSG Hoffenheim</v>
      </c>
      <c r="R138" s="110" t="s">
        <v>4</v>
      </c>
      <c r="S138" s="111" t="str">
        <f t="shared" si="13"/>
        <v>FC Augsburg</v>
      </c>
      <c r="T138" s="211">
        <v>46011</v>
      </c>
      <c r="U138" s="212">
        <v>0.64583333333333337</v>
      </c>
    </row>
    <row r="139" spans="6:21" ht="17.25" x14ac:dyDescent="0.2">
      <c r="F139" s="83">
        <f t="shared" si="14"/>
        <v>2</v>
      </c>
      <c r="G139" s="83" t="str">
        <f t="shared" si="15"/>
        <v>00100015</v>
      </c>
      <c r="H139" s="83" t="str">
        <f t="shared" si="16"/>
        <v>00150010</v>
      </c>
      <c r="I139" s="83">
        <f>IF($G139="",0,COUNTIF($G$7:$G139,$H139))</f>
        <v>0</v>
      </c>
      <c r="J139" s="83"/>
      <c r="K139" s="264" t="str">
        <f>Language!$E$85</f>
        <v>double</v>
      </c>
      <c r="L139" s="240" t="str">
        <f>IF(Calc!$F$26=0,"",IF(OR($M139&gt;Calc!$B$24,MOD($M139-1,Calc!$F$26)&gt;0),"",QUOTIENT($M139-1,Calc!$F$26)+1))</f>
        <v/>
      </c>
      <c r="M139" s="102">
        <v>133</v>
      </c>
      <c r="N139" s="302">
        <v>10</v>
      </c>
      <c r="O139" s="108" t="s">
        <v>4</v>
      </c>
      <c r="P139" s="304">
        <v>15</v>
      </c>
      <c r="Q139" s="109" t="str">
        <f t="shared" si="12"/>
        <v>FC Bayern München</v>
      </c>
      <c r="R139" s="110" t="s">
        <v>4</v>
      </c>
      <c r="S139" s="111" t="str">
        <f t="shared" si="13"/>
        <v>SV Werder Bremen</v>
      </c>
      <c r="T139" s="211">
        <v>46011</v>
      </c>
      <c r="U139" s="212">
        <v>0.64583333333333337</v>
      </c>
    </row>
    <row r="140" spans="6:21" ht="17.25" x14ac:dyDescent="0.2">
      <c r="F140" s="83">
        <f t="shared" si="14"/>
        <v>2</v>
      </c>
      <c r="G140" s="83" t="str">
        <f t="shared" si="15"/>
        <v>00140011</v>
      </c>
      <c r="H140" s="83" t="str">
        <f t="shared" si="16"/>
        <v>00110014</v>
      </c>
      <c r="I140" s="83">
        <f>IF($G140="",0,COUNTIF($G$7:$G140,$H140))</f>
        <v>0</v>
      </c>
      <c r="J140" s="83"/>
      <c r="K140" s="264" t="str">
        <f>Language!$E$85</f>
        <v>double</v>
      </c>
      <c r="L140" s="240" t="str">
        <f>IF(Calc!$F$26=0,"",IF(OR($M140&gt;Calc!$B$24,MOD($M140-1,Calc!$F$26)&gt;0),"",QUOTIENT($M140-1,Calc!$F$26)+1))</f>
        <v/>
      </c>
      <c r="M140" s="102">
        <v>134</v>
      </c>
      <c r="N140" s="302">
        <v>14</v>
      </c>
      <c r="O140" s="108" t="s">
        <v>4</v>
      </c>
      <c r="P140" s="304">
        <v>11</v>
      </c>
      <c r="Q140" s="109" t="str">
        <f t="shared" si="12"/>
        <v>SC Freiburg</v>
      </c>
      <c r="R140" s="110" t="s">
        <v>4</v>
      </c>
      <c r="S140" s="111" t="str">
        <f t="shared" si="13"/>
        <v>FC St. Pauli</v>
      </c>
      <c r="T140" s="211">
        <v>46011</v>
      </c>
      <c r="U140" s="212">
        <v>0.64583333333333337</v>
      </c>
    </row>
    <row r="141" spans="6:21" ht="17.25" x14ac:dyDescent="0.2">
      <c r="F141" s="83">
        <f t="shared" si="14"/>
        <v>2</v>
      </c>
      <c r="G141" s="83" t="str">
        <f t="shared" si="15"/>
        <v>00120013</v>
      </c>
      <c r="H141" s="83" t="str">
        <f t="shared" si="16"/>
        <v>00130012</v>
      </c>
      <c r="I141" s="83">
        <f>IF($G141="",0,COUNTIF($G$7:$G141,$H141))</f>
        <v>0</v>
      </c>
      <c r="J141" s="83"/>
      <c r="K141" s="264" t="str">
        <f>Language!$E$85</f>
        <v>double</v>
      </c>
      <c r="L141" s="240" t="str">
        <f>IF(Calc!$F$26=0,"",IF(OR($M141&gt;Calc!$B$24,MOD($M141-1,Calc!$F$26)&gt;0),"",QUOTIENT($M141-1,Calc!$F$26)+1))</f>
        <v/>
      </c>
      <c r="M141" s="102">
        <v>135</v>
      </c>
      <c r="N141" s="302">
        <v>12</v>
      </c>
      <c r="O141" s="108" t="s">
        <v>4</v>
      </c>
      <c r="P141" s="304">
        <v>13</v>
      </c>
      <c r="Q141" s="109" t="str">
        <f t="shared" si="12"/>
        <v>Hamburger SV</v>
      </c>
      <c r="R141" s="110" t="s">
        <v>4</v>
      </c>
      <c r="S141" s="111" t="str">
        <f t="shared" si="13"/>
        <v>RB Leipzig</v>
      </c>
      <c r="T141" s="211">
        <v>46011</v>
      </c>
      <c r="U141" s="212">
        <v>0.64583333333333337</v>
      </c>
    </row>
    <row r="142" spans="6:21" ht="17.25" x14ac:dyDescent="0.2">
      <c r="F142" s="83">
        <f t="shared" si="14"/>
        <v>2</v>
      </c>
      <c r="G142" s="83" t="str">
        <f t="shared" si="15"/>
        <v>00030001</v>
      </c>
      <c r="H142" s="83" t="str">
        <f t="shared" si="16"/>
        <v>00010003</v>
      </c>
      <c r="I142" s="83">
        <f>IF($G142="",0,COUNTIF($G$7:$G142,$H142))</f>
        <v>0</v>
      </c>
      <c r="J142" s="83"/>
      <c r="K142" s="264" t="str">
        <f>Language!$E$85</f>
        <v>double</v>
      </c>
      <c r="L142" s="240">
        <f>IF(Calc!$F$26=0,"",IF(OR($M142&gt;Calc!$B$24,MOD($M142-1,Calc!$F$26)&gt;0),"",QUOTIENT($M142-1,Calc!$F$26)+1))</f>
        <v>16</v>
      </c>
      <c r="M142" s="102">
        <v>136</v>
      </c>
      <c r="N142" s="302">
        <v>3</v>
      </c>
      <c r="O142" s="108" t="s">
        <v>4</v>
      </c>
      <c r="P142" s="304">
        <v>1</v>
      </c>
      <c r="Q142" s="109" t="str">
        <f t="shared" si="12"/>
        <v>1. FC Union Berlin</v>
      </c>
      <c r="R142" s="110" t="s">
        <v>4</v>
      </c>
      <c r="S142" s="111" t="str">
        <f t="shared" si="13"/>
        <v>1. FC Heidenheim 1846</v>
      </c>
      <c r="T142" s="211">
        <v>46032</v>
      </c>
      <c r="U142" s="212">
        <v>0.64583333333333337</v>
      </c>
    </row>
    <row r="143" spans="6:21" ht="17.25" x14ac:dyDescent="0.2">
      <c r="F143" s="83">
        <f t="shared" si="14"/>
        <v>2</v>
      </c>
      <c r="G143" s="83" t="str">
        <f t="shared" si="15"/>
        <v>00020004</v>
      </c>
      <c r="H143" s="83" t="str">
        <f t="shared" si="16"/>
        <v>00040002</v>
      </c>
      <c r="I143" s="83">
        <f>IF($G143="",0,COUNTIF($G$7:$G143,$H143))</f>
        <v>0</v>
      </c>
      <c r="J143" s="83"/>
      <c r="K143" s="264" t="str">
        <f>Language!$E$85</f>
        <v>double</v>
      </c>
      <c r="L143" s="240" t="str">
        <f>IF(Calc!$F$26=0,"",IF(OR($M143&gt;Calc!$B$24,MOD($M143-1,Calc!$F$26)&gt;0),"",QUOTIENT($M143-1,Calc!$F$26)+1))</f>
        <v/>
      </c>
      <c r="M143" s="102">
        <v>137</v>
      </c>
      <c r="N143" s="302">
        <v>2</v>
      </c>
      <c r="O143" s="108" t="s">
        <v>4</v>
      </c>
      <c r="P143" s="304">
        <v>4</v>
      </c>
      <c r="Q143" s="109" t="str">
        <f t="shared" si="12"/>
        <v>1. FC Köln</v>
      </c>
      <c r="R143" s="110" t="s">
        <v>4</v>
      </c>
      <c r="S143" s="111" t="str">
        <f t="shared" si="13"/>
        <v>1. FSV Mainz 05</v>
      </c>
      <c r="T143" s="211">
        <v>46032</v>
      </c>
      <c r="U143" s="212">
        <v>0.64583333333333337</v>
      </c>
    </row>
    <row r="144" spans="6:21" ht="17.25" x14ac:dyDescent="0.2">
      <c r="F144" s="83">
        <f t="shared" si="14"/>
        <v>2</v>
      </c>
      <c r="G144" s="83" t="str">
        <f t="shared" si="15"/>
        <v>00050018</v>
      </c>
      <c r="H144" s="83" t="str">
        <f t="shared" si="16"/>
        <v>00180005</v>
      </c>
      <c r="I144" s="83">
        <f>IF($G144="",0,COUNTIF($G$7:$G144,$H144))</f>
        <v>0</v>
      </c>
      <c r="J144" s="83"/>
      <c r="K144" s="264" t="str">
        <f>Language!$E$85</f>
        <v>double</v>
      </c>
      <c r="L144" s="240" t="str">
        <f>IF(Calc!$F$26=0,"",IF(OR($M144&gt;Calc!$B$24,MOD($M144-1,Calc!$F$26)&gt;0),"",QUOTIENT($M144-1,Calc!$F$26)+1))</f>
        <v/>
      </c>
      <c r="M144" s="102">
        <v>138</v>
      </c>
      <c r="N144" s="302">
        <v>5</v>
      </c>
      <c r="O144" s="108" t="s">
        <v>4</v>
      </c>
      <c r="P144" s="304">
        <v>18</v>
      </c>
      <c r="Q144" s="109" t="str">
        <f t="shared" si="12"/>
        <v>Bayer 04 Leverkusen</v>
      </c>
      <c r="R144" s="110" t="s">
        <v>4</v>
      </c>
      <c r="S144" s="111" t="str">
        <f t="shared" si="13"/>
        <v>VfL Wolfsburg</v>
      </c>
      <c r="T144" s="211">
        <v>46032</v>
      </c>
      <c r="U144" s="212">
        <v>0.64583333333333337</v>
      </c>
    </row>
    <row r="145" spans="6:21" ht="17.25" x14ac:dyDescent="0.2">
      <c r="F145" s="83">
        <f t="shared" si="14"/>
        <v>2</v>
      </c>
      <c r="G145" s="83" t="str">
        <f t="shared" si="15"/>
        <v>00170006</v>
      </c>
      <c r="H145" s="83" t="str">
        <f t="shared" si="16"/>
        <v>00060017</v>
      </c>
      <c r="I145" s="83">
        <f>IF($G145="",0,COUNTIF($G$7:$G145,$H145))</f>
        <v>0</v>
      </c>
      <c r="J145" s="83"/>
      <c r="K145" s="264" t="str">
        <f>Language!$E$85</f>
        <v>double</v>
      </c>
      <c r="L145" s="240" t="str">
        <f>IF(Calc!$F$26=0,"",IF(OR($M145&gt;Calc!$B$24,MOD($M145-1,Calc!$F$26)&gt;0),"",QUOTIENT($M145-1,Calc!$F$26)+1))</f>
        <v/>
      </c>
      <c r="M145" s="102">
        <v>139</v>
      </c>
      <c r="N145" s="302">
        <v>17</v>
      </c>
      <c r="O145" s="108" t="s">
        <v>4</v>
      </c>
      <c r="P145" s="304">
        <v>6</v>
      </c>
      <c r="Q145" s="109" t="str">
        <f t="shared" si="12"/>
        <v>VfB Stuttgart</v>
      </c>
      <c r="R145" s="110" t="s">
        <v>4</v>
      </c>
      <c r="S145" s="111" t="str">
        <f t="shared" si="13"/>
        <v>Borussia Dortmund</v>
      </c>
      <c r="T145" s="211">
        <v>46032</v>
      </c>
      <c r="U145" s="212">
        <v>0.64583333333333337</v>
      </c>
    </row>
    <row r="146" spans="6:21" ht="17.25" x14ac:dyDescent="0.2">
      <c r="F146" s="83">
        <f t="shared" si="14"/>
        <v>2</v>
      </c>
      <c r="G146" s="83" t="str">
        <f t="shared" si="15"/>
        <v>00070016</v>
      </c>
      <c r="H146" s="83" t="str">
        <f t="shared" si="16"/>
        <v>00160007</v>
      </c>
      <c r="I146" s="83">
        <f>IF($G146="",0,COUNTIF($G$7:$G146,$H146))</f>
        <v>0</v>
      </c>
      <c r="J146" s="83"/>
      <c r="K146" s="264" t="str">
        <f>Language!$E$85</f>
        <v>double</v>
      </c>
      <c r="L146" s="240" t="str">
        <f>IF(Calc!$F$26=0,"",IF(OR($M146&gt;Calc!$B$24,MOD($M146-1,Calc!$F$26)&gt;0),"",QUOTIENT($M146-1,Calc!$F$26)+1))</f>
        <v/>
      </c>
      <c r="M146" s="102">
        <v>140</v>
      </c>
      <c r="N146" s="302">
        <v>7</v>
      </c>
      <c r="O146" s="108" t="s">
        <v>4</v>
      </c>
      <c r="P146" s="304">
        <v>16</v>
      </c>
      <c r="Q146" s="109" t="str">
        <f t="shared" si="12"/>
        <v>Borussia Mönchengladbach</v>
      </c>
      <c r="R146" s="110" t="s">
        <v>4</v>
      </c>
      <c r="S146" s="111" t="str">
        <f t="shared" si="13"/>
        <v>TSG Hoffenheim</v>
      </c>
      <c r="T146" s="211">
        <v>46032</v>
      </c>
      <c r="U146" s="212">
        <v>0.64583333333333337</v>
      </c>
    </row>
    <row r="147" spans="6:21" ht="17.25" x14ac:dyDescent="0.2">
      <c r="F147" s="83">
        <f t="shared" si="14"/>
        <v>2</v>
      </c>
      <c r="G147" s="83" t="str">
        <f t="shared" si="15"/>
        <v>00150008</v>
      </c>
      <c r="H147" s="83" t="str">
        <f t="shared" si="16"/>
        <v>00080015</v>
      </c>
      <c r="I147" s="83">
        <f>IF($G147="",0,COUNTIF($G$7:$G147,$H147))</f>
        <v>0</v>
      </c>
      <c r="J147" s="83"/>
      <c r="K147" s="264" t="str">
        <f>Language!$E$85</f>
        <v>double</v>
      </c>
      <c r="L147" s="240" t="str">
        <f>IF(Calc!$F$26=0,"",IF(OR($M147&gt;Calc!$B$24,MOD($M147-1,Calc!$F$26)&gt;0),"",QUOTIENT($M147-1,Calc!$F$26)+1))</f>
        <v/>
      </c>
      <c r="M147" s="102">
        <v>141</v>
      </c>
      <c r="N147" s="302">
        <v>15</v>
      </c>
      <c r="O147" s="108" t="s">
        <v>4</v>
      </c>
      <c r="P147" s="304">
        <v>8</v>
      </c>
      <c r="Q147" s="109" t="str">
        <f t="shared" si="12"/>
        <v>SV Werder Bremen</v>
      </c>
      <c r="R147" s="110" t="s">
        <v>4</v>
      </c>
      <c r="S147" s="111" t="str">
        <f t="shared" si="13"/>
        <v>Eintracht Frankfurt</v>
      </c>
      <c r="T147" s="211">
        <v>46032</v>
      </c>
      <c r="U147" s="212">
        <v>0.64583333333333337</v>
      </c>
    </row>
    <row r="148" spans="6:21" ht="17.25" x14ac:dyDescent="0.2">
      <c r="F148" s="83">
        <f t="shared" si="14"/>
        <v>2</v>
      </c>
      <c r="G148" s="83" t="str">
        <f t="shared" si="15"/>
        <v>00090014</v>
      </c>
      <c r="H148" s="83" t="str">
        <f t="shared" si="16"/>
        <v>00140009</v>
      </c>
      <c r="I148" s="83">
        <f>IF($G148="",0,COUNTIF($G$7:$G148,$H148))</f>
        <v>0</v>
      </c>
      <c r="J148" s="83"/>
      <c r="K148" s="264" t="str">
        <f>Language!$E$85</f>
        <v>double</v>
      </c>
      <c r="L148" s="240" t="str">
        <f>IF(Calc!$F$26=0,"",IF(OR($M148&gt;Calc!$B$24,MOD($M148-1,Calc!$F$26)&gt;0),"",QUOTIENT($M148-1,Calc!$F$26)+1))</f>
        <v/>
      </c>
      <c r="M148" s="102">
        <v>142</v>
      </c>
      <c r="N148" s="302">
        <v>9</v>
      </c>
      <c r="O148" s="108" t="s">
        <v>4</v>
      </c>
      <c r="P148" s="304">
        <v>14</v>
      </c>
      <c r="Q148" s="109" t="str">
        <f t="shared" si="12"/>
        <v>FC Augsburg</v>
      </c>
      <c r="R148" s="110" t="s">
        <v>4</v>
      </c>
      <c r="S148" s="111" t="str">
        <f t="shared" si="13"/>
        <v>SC Freiburg</v>
      </c>
      <c r="T148" s="211">
        <v>46032</v>
      </c>
      <c r="U148" s="212">
        <v>0.64583333333333337</v>
      </c>
    </row>
    <row r="149" spans="6:21" ht="17.25" x14ac:dyDescent="0.2">
      <c r="F149" s="83">
        <f t="shared" si="14"/>
        <v>2</v>
      </c>
      <c r="G149" s="83" t="str">
        <f t="shared" si="15"/>
        <v>00130010</v>
      </c>
      <c r="H149" s="83" t="str">
        <f t="shared" si="16"/>
        <v>00100013</v>
      </c>
      <c r="I149" s="83">
        <f>IF($G149="",0,COUNTIF($G$7:$G149,$H149))</f>
        <v>0</v>
      </c>
      <c r="J149" s="83"/>
      <c r="K149" s="264" t="str">
        <f>Language!$E$85</f>
        <v>double</v>
      </c>
      <c r="L149" s="240" t="str">
        <f>IF(Calc!$F$26=0,"",IF(OR($M149&gt;Calc!$B$24,MOD($M149-1,Calc!$F$26)&gt;0),"",QUOTIENT($M149-1,Calc!$F$26)+1))</f>
        <v/>
      </c>
      <c r="M149" s="102">
        <v>143</v>
      </c>
      <c r="N149" s="302">
        <v>13</v>
      </c>
      <c r="O149" s="108" t="s">
        <v>4</v>
      </c>
      <c r="P149" s="304">
        <v>10</v>
      </c>
      <c r="Q149" s="109" t="str">
        <f t="shared" si="12"/>
        <v>RB Leipzig</v>
      </c>
      <c r="R149" s="110" t="s">
        <v>4</v>
      </c>
      <c r="S149" s="111" t="str">
        <f t="shared" si="13"/>
        <v>FC Bayern München</v>
      </c>
      <c r="T149" s="211">
        <v>46032</v>
      </c>
      <c r="U149" s="212">
        <v>0.64583333333333337</v>
      </c>
    </row>
    <row r="150" spans="6:21" ht="17.25" x14ac:dyDescent="0.2">
      <c r="F150" s="83">
        <f t="shared" si="14"/>
        <v>2</v>
      </c>
      <c r="G150" s="83" t="str">
        <f t="shared" si="15"/>
        <v>00110012</v>
      </c>
      <c r="H150" s="83" t="str">
        <f t="shared" si="16"/>
        <v>00120011</v>
      </c>
      <c r="I150" s="83">
        <f>IF($G150="",0,COUNTIF($G$7:$G150,$H150))</f>
        <v>0</v>
      </c>
      <c r="J150" s="83"/>
      <c r="K150" s="264" t="str">
        <f>Language!$E$85</f>
        <v>double</v>
      </c>
      <c r="L150" s="240" t="str">
        <f>IF(Calc!$F$26=0,"",IF(OR($M150&gt;Calc!$B$24,MOD($M150-1,Calc!$F$26)&gt;0),"",QUOTIENT($M150-1,Calc!$F$26)+1))</f>
        <v/>
      </c>
      <c r="M150" s="102">
        <v>144</v>
      </c>
      <c r="N150" s="302">
        <v>11</v>
      </c>
      <c r="O150" s="108" t="s">
        <v>4</v>
      </c>
      <c r="P150" s="304">
        <v>12</v>
      </c>
      <c r="Q150" s="109" t="str">
        <f t="shared" si="12"/>
        <v>FC St. Pauli</v>
      </c>
      <c r="R150" s="110" t="s">
        <v>4</v>
      </c>
      <c r="S150" s="111" t="str">
        <f t="shared" si="13"/>
        <v>Hamburger SV</v>
      </c>
      <c r="T150" s="211">
        <v>46032</v>
      </c>
      <c r="U150" s="212">
        <v>0.64583333333333337</v>
      </c>
    </row>
    <row r="151" spans="6:21" ht="17.25" x14ac:dyDescent="0.2">
      <c r="F151" s="83">
        <f t="shared" si="14"/>
        <v>2</v>
      </c>
      <c r="G151" s="83" t="str">
        <f t="shared" si="15"/>
        <v>00010002</v>
      </c>
      <c r="H151" s="83" t="str">
        <f t="shared" si="16"/>
        <v>00020001</v>
      </c>
      <c r="I151" s="83">
        <f>IF($G151="",0,COUNTIF($G$7:$G151,$H151))</f>
        <v>0</v>
      </c>
      <c r="J151" s="83"/>
      <c r="K151" s="264" t="str">
        <f>Language!$E$85</f>
        <v>double</v>
      </c>
      <c r="L151" s="240">
        <f>IF(Calc!$F$26=0,"",IF(OR($M151&gt;Calc!$B$24,MOD($M151-1,Calc!$F$26)&gt;0),"",QUOTIENT($M151-1,Calc!$F$26)+1))</f>
        <v>17</v>
      </c>
      <c r="M151" s="102">
        <v>145</v>
      </c>
      <c r="N151" s="302">
        <v>1</v>
      </c>
      <c r="O151" s="108" t="s">
        <v>4</v>
      </c>
      <c r="P151" s="304">
        <v>2</v>
      </c>
      <c r="Q151" s="109" t="str">
        <f t="shared" si="12"/>
        <v>1. FC Heidenheim 1846</v>
      </c>
      <c r="R151" s="110" t="s">
        <v>4</v>
      </c>
      <c r="S151" s="111" t="str">
        <f t="shared" si="13"/>
        <v>1. FC Köln</v>
      </c>
      <c r="T151" s="211">
        <v>46035</v>
      </c>
      <c r="U151" s="212">
        <v>0.85416666666666663</v>
      </c>
    </row>
    <row r="152" spans="6:21" ht="17.25" x14ac:dyDescent="0.2">
      <c r="F152" s="83">
        <f t="shared" si="14"/>
        <v>2</v>
      </c>
      <c r="G152" s="83" t="str">
        <f t="shared" si="15"/>
        <v>00180003</v>
      </c>
      <c r="H152" s="83" t="str">
        <f t="shared" si="16"/>
        <v>00030018</v>
      </c>
      <c r="I152" s="83">
        <f>IF($G152="",0,COUNTIF($G$7:$G152,$H152))</f>
        <v>0</v>
      </c>
      <c r="J152" s="83"/>
      <c r="K152" s="264" t="str">
        <f>Language!$E$85</f>
        <v>double</v>
      </c>
      <c r="L152" s="240" t="str">
        <f>IF(Calc!$F$26=0,"",IF(OR($M152&gt;Calc!$B$24,MOD($M152-1,Calc!$F$26)&gt;0),"",QUOTIENT($M152-1,Calc!$F$26)+1))</f>
        <v/>
      </c>
      <c r="M152" s="102">
        <v>146</v>
      </c>
      <c r="N152" s="302">
        <v>18</v>
      </c>
      <c r="O152" s="108" t="s">
        <v>4</v>
      </c>
      <c r="P152" s="304">
        <v>3</v>
      </c>
      <c r="Q152" s="109" t="str">
        <f t="shared" si="12"/>
        <v>VfL Wolfsburg</v>
      </c>
      <c r="R152" s="110" t="s">
        <v>4</v>
      </c>
      <c r="S152" s="111" t="str">
        <f t="shared" si="13"/>
        <v>1. FC Union Berlin</v>
      </c>
      <c r="T152" s="211">
        <v>46035</v>
      </c>
      <c r="U152" s="212">
        <v>0.85416666666666663</v>
      </c>
    </row>
    <row r="153" spans="6:21" ht="17.25" x14ac:dyDescent="0.2">
      <c r="F153" s="83">
        <f t="shared" si="14"/>
        <v>2</v>
      </c>
      <c r="G153" s="83" t="str">
        <f t="shared" si="15"/>
        <v>00040017</v>
      </c>
      <c r="H153" s="83" t="str">
        <f t="shared" si="16"/>
        <v>00170004</v>
      </c>
      <c r="I153" s="83">
        <f>IF($G153="",0,COUNTIF($G$7:$G153,$H153))</f>
        <v>0</v>
      </c>
      <c r="J153" s="83"/>
      <c r="K153" s="264" t="str">
        <f>Language!$E$85</f>
        <v>double</v>
      </c>
      <c r="L153" s="240" t="str">
        <f>IF(Calc!$F$26=0,"",IF(OR($M153&gt;Calc!$B$24,MOD($M153-1,Calc!$F$26)&gt;0),"",QUOTIENT($M153-1,Calc!$F$26)+1))</f>
        <v/>
      </c>
      <c r="M153" s="102">
        <v>147</v>
      </c>
      <c r="N153" s="302">
        <v>4</v>
      </c>
      <c r="O153" s="108" t="s">
        <v>4</v>
      </c>
      <c r="P153" s="304">
        <v>17</v>
      </c>
      <c r="Q153" s="109" t="str">
        <f t="shared" si="12"/>
        <v>1. FSV Mainz 05</v>
      </c>
      <c r="R153" s="110" t="s">
        <v>4</v>
      </c>
      <c r="S153" s="111" t="str">
        <f t="shared" si="13"/>
        <v>VfB Stuttgart</v>
      </c>
      <c r="T153" s="211">
        <v>46035</v>
      </c>
      <c r="U153" s="212">
        <v>0.85416666666666663</v>
      </c>
    </row>
    <row r="154" spans="6:21" ht="17.25" x14ac:dyDescent="0.2">
      <c r="F154" s="83">
        <f t="shared" si="14"/>
        <v>2</v>
      </c>
      <c r="G154" s="83" t="str">
        <f t="shared" si="15"/>
        <v>00160005</v>
      </c>
      <c r="H154" s="83" t="str">
        <f t="shared" si="16"/>
        <v>00050016</v>
      </c>
      <c r="I154" s="83">
        <f>IF($G154="",0,COUNTIF($G$7:$G154,$H154))</f>
        <v>0</v>
      </c>
      <c r="J154" s="83"/>
      <c r="K154" s="264" t="str">
        <f>Language!$E$85</f>
        <v>double</v>
      </c>
      <c r="L154" s="240" t="str">
        <f>IF(Calc!$F$26=0,"",IF(OR($M154&gt;Calc!$B$24,MOD($M154-1,Calc!$F$26)&gt;0),"",QUOTIENT($M154-1,Calc!$F$26)+1))</f>
        <v/>
      </c>
      <c r="M154" s="102">
        <v>148</v>
      </c>
      <c r="N154" s="302">
        <v>16</v>
      </c>
      <c r="O154" s="108" t="s">
        <v>4</v>
      </c>
      <c r="P154" s="304">
        <v>5</v>
      </c>
      <c r="Q154" s="109" t="str">
        <f t="shared" si="12"/>
        <v>TSG Hoffenheim</v>
      </c>
      <c r="R154" s="110" t="s">
        <v>4</v>
      </c>
      <c r="S154" s="111" t="str">
        <f t="shared" si="13"/>
        <v>Bayer 04 Leverkusen</v>
      </c>
      <c r="T154" s="211">
        <v>46035</v>
      </c>
      <c r="U154" s="212">
        <v>0.85416666666666663</v>
      </c>
    </row>
    <row r="155" spans="6:21" ht="17.25" x14ac:dyDescent="0.2">
      <c r="F155" s="83">
        <f t="shared" si="14"/>
        <v>2</v>
      </c>
      <c r="G155" s="83" t="str">
        <f t="shared" si="15"/>
        <v>00060015</v>
      </c>
      <c r="H155" s="83" t="str">
        <f t="shared" si="16"/>
        <v>00150006</v>
      </c>
      <c r="I155" s="83">
        <f>IF($G155="",0,COUNTIF($G$7:$G155,$H155))</f>
        <v>0</v>
      </c>
      <c r="J155" s="83"/>
      <c r="K155" s="264" t="str">
        <f>Language!$E$85</f>
        <v>double</v>
      </c>
      <c r="L155" s="240" t="str">
        <f>IF(Calc!$F$26=0,"",IF(OR($M155&gt;Calc!$B$24,MOD($M155-1,Calc!$F$26)&gt;0),"",QUOTIENT($M155-1,Calc!$F$26)+1))</f>
        <v/>
      </c>
      <c r="M155" s="102">
        <v>149</v>
      </c>
      <c r="N155" s="302">
        <v>6</v>
      </c>
      <c r="O155" s="108" t="s">
        <v>4</v>
      </c>
      <c r="P155" s="304">
        <v>15</v>
      </c>
      <c r="Q155" s="109" t="str">
        <f t="shared" si="12"/>
        <v>Borussia Dortmund</v>
      </c>
      <c r="R155" s="110" t="s">
        <v>4</v>
      </c>
      <c r="S155" s="111" t="str">
        <f t="shared" si="13"/>
        <v>SV Werder Bremen</v>
      </c>
      <c r="T155" s="211">
        <v>46035</v>
      </c>
      <c r="U155" s="212">
        <v>0.85416666666666663</v>
      </c>
    </row>
    <row r="156" spans="6:21" ht="17.25" x14ac:dyDescent="0.2">
      <c r="F156" s="83">
        <f t="shared" si="14"/>
        <v>2</v>
      </c>
      <c r="G156" s="83" t="str">
        <f t="shared" si="15"/>
        <v>00140007</v>
      </c>
      <c r="H156" s="83" t="str">
        <f t="shared" si="16"/>
        <v>00070014</v>
      </c>
      <c r="I156" s="83">
        <f>IF($G156="",0,COUNTIF($G$7:$G156,$H156))</f>
        <v>0</v>
      </c>
      <c r="J156" s="83"/>
      <c r="K156" s="264" t="str">
        <f>Language!$E$85</f>
        <v>double</v>
      </c>
      <c r="L156" s="240" t="str">
        <f>IF(Calc!$F$26=0,"",IF(OR($M156&gt;Calc!$B$24,MOD($M156-1,Calc!$F$26)&gt;0),"",QUOTIENT($M156-1,Calc!$F$26)+1))</f>
        <v/>
      </c>
      <c r="M156" s="102">
        <v>150</v>
      </c>
      <c r="N156" s="302">
        <v>14</v>
      </c>
      <c r="O156" s="108" t="s">
        <v>4</v>
      </c>
      <c r="P156" s="304">
        <v>7</v>
      </c>
      <c r="Q156" s="109" t="str">
        <f t="shared" si="12"/>
        <v>SC Freiburg</v>
      </c>
      <c r="R156" s="110" t="s">
        <v>4</v>
      </c>
      <c r="S156" s="111" t="str">
        <f t="shared" si="13"/>
        <v>Borussia Mönchengladbach</v>
      </c>
      <c r="T156" s="211">
        <v>46035</v>
      </c>
      <c r="U156" s="212">
        <v>0.85416666666666663</v>
      </c>
    </row>
    <row r="157" spans="6:21" ht="17.25" x14ac:dyDescent="0.2">
      <c r="F157" s="83">
        <f t="shared" si="14"/>
        <v>2</v>
      </c>
      <c r="G157" s="83" t="str">
        <f t="shared" si="15"/>
        <v>00080013</v>
      </c>
      <c r="H157" s="83" t="str">
        <f t="shared" si="16"/>
        <v>00130008</v>
      </c>
      <c r="I157" s="83">
        <f>IF($G157="",0,COUNTIF($G$7:$G157,$H157))</f>
        <v>0</v>
      </c>
      <c r="J157" s="83"/>
      <c r="K157" s="264" t="str">
        <f>Language!$E$85</f>
        <v>double</v>
      </c>
      <c r="L157" s="240" t="str">
        <f>IF(Calc!$F$26=0,"",IF(OR($M157&gt;Calc!$B$24,MOD($M157-1,Calc!$F$26)&gt;0),"",QUOTIENT($M157-1,Calc!$F$26)+1))</f>
        <v/>
      </c>
      <c r="M157" s="102">
        <v>151</v>
      </c>
      <c r="N157" s="302">
        <v>8</v>
      </c>
      <c r="O157" s="108" t="s">
        <v>4</v>
      </c>
      <c r="P157" s="304">
        <v>13</v>
      </c>
      <c r="Q157" s="109" t="str">
        <f t="shared" si="12"/>
        <v>Eintracht Frankfurt</v>
      </c>
      <c r="R157" s="110" t="s">
        <v>4</v>
      </c>
      <c r="S157" s="111" t="str">
        <f t="shared" si="13"/>
        <v>RB Leipzig</v>
      </c>
      <c r="T157" s="211">
        <v>46035</v>
      </c>
      <c r="U157" s="212">
        <v>0.85416666666666663</v>
      </c>
    </row>
    <row r="158" spans="6:21" ht="17.25" x14ac:dyDescent="0.2">
      <c r="F158" s="83">
        <f t="shared" si="14"/>
        <v>2</v>
      </c>
      <c r="G158" s="83" t="str">
        <f t="shared" si="15"/>
        <v>00120009</v>
      </c>
      <c r="H158" s="83" t="str">
        <f t="shared" si="16"/>
        <v>00090012</v>
      </c>
      <c r="I158" s="83">
        <f>IF($G158="",0,COUNTIF($G$7:$G158,$H158))</f>
        <v>0</v>
      </c>
      <c r="J158" s="83"/>
      <c r="K158" s="264" t="str">
        <f>Language!$E$85</f>
        <v>double</v>
      </c>
      <c r="L158" s="240" t="str">
        <f>IF(Calc!$F$26=0,"",IF(OR($M158&gt;Calc!$B$24,MOD($M158-1,Calc!$F$26)&gt;0),"",QUOTIENT($M158-1,Calc!$F$26)+1))</f>
        <v/>
      </c>
      <c r="M158" s="102">
        <v>152</v>
      </c>
      <c r="N158" s="302">
        <v>12</v>
      </c>
      <c r="O158" s="108" t="s">
        <v>4</v>
      </c>
      <c r="P158" s="304">
        <v>9</v>
      </c>
      <c r="Q158" s="109" t="str">
        <f t="shared" si="12"/>
        <v>Hamburger SV</v>
      </c>
      <c r="R158" s="110" t="s">
        <v>4</v>
      </c>
      <c r="S158" s="111" t="str">
        <f t="shared" si="13"/>
        <v>FC Augsburg</v>
      </c>
      <c r="T158" s="211">
        <v>46035</v>
      </c>
      <c r="U158" s="212">
        <v>0.85416666666666663</v>
      </c>
    </row>
    <row r="159" spans="6:21" ht="17.25" x14ac:dyDescent="0.2">
      <c r="F159" s="83">
        <f t="shared" si="14"/>
        <v>2</v>
      </c>
      <c r="G159" s="83" t="str">
        <f t="shared" si="15"/>
        <v>00100011</v>
      </c>
      <c r="H159" s="83" t="str">
        <f t="shared" si="16"/>
        <v>00110010</v>
      </c>
      <c r="I159" s="83">
        <f>IF($G159="",0,COUNTIF($G$7:$G159,$H159))</f>
        <v>0</v>
      </c>
      <c r="J159" s="83"/>
      <c r="K159" s="264" t="str">
        <f>Language!$E$85</f>
        <v>double</v>
      </c>
      <c r="L159" s="312" t="str">
        <f>IF(Calc!$F$26=0,"",IF(OR($M159&gt;Calc!$B$24,MOD($M159-1,Calc!$F$26)&gt;0),"",QUOTIENT($M159-1,Calc!$F$26)+1))</f>
        <v/>
      </c>
      <c r="M159" s="102">
        <v>153</v>
      </c>
      <c r="N159" s="306">
        <v>10</v>
      </c>
      <c r="O159" s="307" t="s">
        <v>4</v>
      </c>
      <c r="P159" s="308">
        <v>11</v>
      </c>
      <c r="Q159" s="309" t="str">
        <f t="shared" si="12"/>
        <v>FC Bayern München</v>
      </c>
      <c r="R159" s="310" t="s">
        <v>4</v>
      </c>
      <c r="S159" s="311" t="str">
        <f t="shared" si="13"/>
        <v>FC St. Pauli</v>
      </c>
      <c r="T159" s="211">
        <v>46035</v>
      </c>
      <c r="U159" s="212">
        <v>0.85416666666666663</v>
      </c>
    </row>
    <row r="160" spans="6:21" ht="17.25" x14ac:dyDescent="0.2">
      <c r="F160" s="83">
        <f t="shared" si="14"/>
        <v>2</v>
      </c>
      <c r="G160" s="83" t="str">
        <f t="shared" si="15"/>
        <v>00180001</v>
      </c>
      <c r="H160" s="83" t="str">
        <f t="shared" si="16"/>
        <v>00010018</v>
      </c>
      <c r="I160" s="83">
        <f>IF($G160="",0,COUNTIF($G$7:$G160,$H160))</f>
        <v>1</v>
      </c>
      <c r="J160" s="83"/>
      <c r="K160" s="264" t="str">
        <f>Language!$E$85</f>
        <v>double</v>
      </c>
      <c r="L160" s="313">
        <f>IF(Calc!$F$26=0,"",IF(OR($M160&gt;Calc!$B$24,MOD($M160-1,Calc!$F$26)&gt;0),"",QUOTIENT($M160-1,Calc!$F$26)+1))</f>
        <v>18</v>
      </c>
      <c r="M160" s="102">
        <v>154</v>
      </c>
      <c r="N160" s="306">
        <v>18</v>
      </c>
      <c r="O160" s="307" t="s">
        <v>4</v>
      </c>
      <c r="P160" s="308">
        <v>1</v>
      </c>
      <c r="Q160" s="309" t="str">
        <f t="shared" si="12"/>
        <v>VfL Wolfsburg</v>
      </c>
      <c r="R160" s="310" t="s">
        <v>4</v>
      </c>
      <c r="S160" s="311" t="str">
        <f t="shared" si="13"/>
        <v>1. FC Heidenheim 1846</v>
      </c>
      <c r="T160" s="211">
        <v>46039</v>
      </c>
      <c r="U160" s="212">
        <v>0.64583333333333337</v>
      </c>
    </row>
    <row r="161" spans="6:21" ht="17.25" x14ac:dyDescent="0.2">
      <c r="F161" s="83">
        <f t="shared" si="14"/>
        <v>2</v>
      </c>
      <c r="G161" s="83" t="str">
        <f t="shared" si="15"/>
        <v>00020017</v>
      </c>
      <c r="H161" s="83" t="str">
        <f t="shared" si="16"/>
        <v>00170002</v>
      </c>
      <c r="I161" s="83">
        <f>IF($G161="",0,COUNTIF($G$7:$G161,$H161))</f>
        <v>1</v>
      </c>
      <c r="J161" s="83"/>
      <c r="K161" s="264" t="str">
        <f>Language!$E$85</f>
        <v>double</v>
      </c>
      <c r="L161" s="240" t="str">
        <f>IF(Calc!$F$26=0,"",IF(OR($M161&gt;Calc!$B$24,MOD($M161-1,Calc!$F$26)&gt;0),"",QUOTIENT($M161-1,Calc!$F$26)+1))</f>
        <v/>
      </c>
      <c r="M161" s="102">
        <v>155</v>
      </c>
      <c r="N161" s="302">
        <v>2</v>
      </c>
      <c r="O161" s="108" t="s">
        <v>4</v>
      </c>
      <c r="P161" s="304">
        <v>17</v>
      </c>
      <c r="Q161" s="109" t="str">
        <f t="shared" si="12"/>
        <v>1. FC Köln</v>
      </c>
      <c r="R161" s="110" t="s">
        <v>4</v>
      </c>
      <c r="S161" s="111" t="str">
        <f t="shared" si="13"/>
        <v>VfB Stuttgart</v>
      </c>
      <c r="T161" s="211">
        <v>46039</v>
      </c>
      <c r="U161" s="212">
        <v>0.64583333333333337</v>
      </c>
    </row>
    <row r="162" spans="6:21" ht="17.25" x14ac:dyDescent="0.2">
      <c r="F162" s="83">
        <f t="shared" si="14"/>
        <v>2</v>
      </c>
      <c r="G162" s="83" t="str">
        <f t="shared" si="15"/>
        <v>00160003</v>
      </c>
      <c r="H162" s="83" t="str">
        <f t="shared" si="16"/>
        <v>00030016</v>
      </c>
      <c r="I162" s="83">
        <f>IF($G162="",0,COUNTIF($G$7:$G162,$H162))</f>
        <v>1</v>
      </c>
      <c r="J162" s="83"/>
      <c r="K162" s="264" t="str">
        <f>Language!$E$85</f>
        <v>double</v>
      </c>
      <c r="L162" s="240" t="str">
        <f>IF(Calc!$F$26=0,"",IF(OR($M162&gt;Calc!$B$24,MOD($M162-1,Calc!$F$26)&gt;0),"",QUOTIENT($M162-1,Calc!$F$26)+1))</f>
        <v/>
      </c>
      <c r="M162" s="102">
        <v>156</v>
      </c>
      <c r="N162" s="302">
        <v>16</v>
      </c>
      <c r="O162" s="108" t="s">
        <v>4</v>
      </c>
      <c r="P162" s="304">
        <v>3</v>
      </c>
      <c r="Q162" s="109" t="str">
        <f t="shared" si="12"/>
        <v>TSG Hoffenheim</v>
      </c>
      <c r="R162" s="110" t="s">
        <v>4</v>
      </c>
      <c r="S162" s="111" t="str">
        <f t="shared" si="13"/>
        <v>1. FC Union Berlin</v>
      </c>
      <c r="T162" s="211">
        <v>46039</v>
      </c>
      <c r="U162" s="212">
        <v>0.64583333333333337</v>
      </c>
    </row>
    <row r="163" spans="6:21" ht="17.25" x14ac:dyDescent="0.2">
      <c r="F163" s="83">
        <f t="shared" si="14"/>
        <v>2</v>
      </c>
      <c r="G163" s="83" t="str">
        <f t="shared" si="15"/>
        <v>00040015</v>
      </c>
      <c r="H163" s="83" t="str">
        <f t="shared" si="16"/>
        <v>00150004</v>
      </c>
      <c r="I163" s="83">
        <f>IF($G163="",0,COUNTIF($G$7:$G163,$H163))</f>
        <v>1</v>
      </c>
      <c r="J163" s="83"/>
      <c r="K163" s="264" t="str">
        <f>Language!$E$85</f>
        <v>double</v>
      </c>
      <c r="L163" s="240" t="str">
        <f>IF(Calc!$F$26=0,"",IF(OR($M163&gt;Calc!$B$24,MOD($M163-1,Calc!$F$26)&gt;0),"",QUOTIENT($M163-1,Calc!$F$26)+1))</f>
        <v/>
      </c>
      <c r="M163" s="102">
        <v>157</v>
      </c>
      <c r="N163" s="302">
        <v>4</v>
      </c>
      <c r="O163" s="108" t="s">
        <v>4</v>
      </c>
      <c r="P163" s="304">
        <v>15</v>
      </c>
      <c r="Q163" s="109" t="str">
        <f t="shared" si="12"/>
        <v>1. FSV Mainz 05</v>
      </c>
      <c r="R163" s="110" t="s">
        <v>4</v>
      </c>
      <c r="S163" s="111" t="str">
        <f t="shared" si="13"/>
        <v>SV Werder Bremen</v>
      </c>
      <c r="T163" s="211">
        <v>46039</v>
      </c>
      <c r="U163" s="212">
        <v>0.64583333333333337</v>
      </c>
    </row>
    <row r="164" spans="6:21" ht="17.25" x14ac:dyDescent="0.2">
      <c r="F164" s="83">
        <f t="shared" si="14"/>
        <v>2</v>
      </c>
      <c r="G164" s="83" t="str">
        <f t="shared" si="15"/>
        <v>00140005</v>
      </c>
      <c r="H164" s="83" t="str">
        <f t="shared" si="16"/>
        <v>00050014</v>
      </c>
      <c r="I164" s="83">
        <f>IF($G164="",0,COUNTIF($G$7:$G164,$H164))</f>
        <v>1</v>
      </c>
      <c r="J164" s="83"/>
      <c r="K164" s="264" t="str">
        <f>Language!$E$85</f>
        <v>double</v>
      </c>
      <c r="L164" s="240" t="str">
        <f>IF(Calc!$F$26=0,"",IF(OR($M164&gt;Calc!$B$24,MOD($M164-1,Calc!$F$26)&gt;0),"",QUOTIENT($M164-1,Calc!$F$26)+1))</f>
        <v/>
      </c>
      <c r="M164" s="102">
        <v>158</v>
      </c>
      <c r="N164" s="302">
        <v>14</v>
      </c>
      <c r="O164" s="108" t="s">
        <v>4</v>
      </c>
      <c r="P164" s="304">
        <v>5</v>
      </c>
      <c r="Q164" s="109" t="str">
        <f t="shared" si="12"/>
        <v>SC Freiburg</v>
      </c>
      <c r="R164" s="110" t="s">
        <v>4</v>
      </c>
      <c r="S164" s="111" t="str">
        <f t="shared" si="13"/>
        <v>Bayer 04 Leverkusen</v>
      </c>
      <c r="T164" s="211">
        <v>46039</v>
      </c>
      <c r="U164" s="212">
        <v>0.64583333333333337</v>
      </c>
    </row>
    <row r="165" spans="6:21" ht="17.25" x14ac:dyDescent="0.2">
      <c r="F165" s="83">
        <f t="shared" si="14"/>
        <v>2</v>
      </c>
      <c r="G165" s="83" t="str">
        <f t="shared" si="15"/>
        <v>00060013</v>
      </c>
      <c r="H165" s="83" t="str">
        <f t="shared" si="16"/>
        <v>00130006</v>
      </c>
      <c r="I165" s="83">
        <f>IF($G165="",0,COUNTIF($G$7:$G165,$H165))</f>
        <v>1</v>
      </c>
      <c r="J165" s="83"/>
      <c r="K165" s="264" t="str">
        <f>Language!$E$85</f>
        <v>double</v>
      </c>
      <c r="L165" s="240" t="str">
        <f>IF(Calc!$F$26=0,"",IF(OR($M165&gt;Calc!$B$24,MOD($M165-1,Calc!$F$26)&gt;0),"",QUOTIENT($M165-1,Calc!$F$26)+1))</f>
        <v/>
      </c>
      <c r="M165" s="102">
        <v>159</v>
      </c>
      <c r="N165" s="302">
        <v>6</v>
      </c>
      <c r="O165" s="108" t="s">
        <v>4</v>
      </c>
      <c r="P165" s="304">
        <v>13</v>
      </c>
      <c r="Q165" s="109" t="str">
        <f t="shared" si="12"/>
        <v>Borussia Dortmund</v>
      </c>
      <c r="R165" s="110" t="s">
        <v>4</v>
      </c>
      <c r="S165" s="111" t="str">
        <f t="shared" si="13"/>
        <v>RB Leipzig</v>
      </c>
      <c r="T165" s="211">
        <v>46039</v>
      </c>
      <c r="U165" s="212">
        <v>0.64583333333333337</v>
      </c>
    </row>
    <row r="166" spans="6:21" ht="17.25" x14ac:dyDescent="0.2">
      <c r="F166" s="83">
        <f t="shared" si="14"/>
        <v>2</v>
      </c>
      <c r="G166" s="83" t="str">
        <f t="shared" si="15"/>
        <v>00120007</v>
      </c>
      <c r="H166" s="83" t="str">
        <f t="shared" si="16"/>
        <v>00070012</v>
      </c>
      <c r="I166" s="83">
        <f>IF($G166="",0,COUNTIF($G$7:$G166,$H166))</f>
        <v>1</v>
      </c>
      <c r="J166" s="83"/>
      <c r="K166" s="264" t="str">
        <f>Language!$E$85</f>
        <v>double</v>
      </c>
      <c r="L166" s="240" t="str">
        <f>IF(Calc!$F$26=0,"",IF(OR($M166&gt;Calc!$B$24,MOD($M166-1,Calc!$F$26)&gt;0),"",QUOTIENT($M166-1,Calc!$F$26)+1))</f>
        <v/>
      </c>
      <c r="M166" s="102">
        <v>160</v>
      </c>
      <c r="N166" s="302">
        <v>12</v>
      </c>
      <c r="O166" s="108" t="s">
        <v>4</v>
      </c>
      <c r="P166" s="304">
        <v>7</v>
      </c>
      <c r="Q166" s="109" t="str">
        <f t="shared" si="12"/>
        <v>Hamburger SV</v>
      </c>
      <c r="R166" s="110" t="s">
        <v>4</v>
      </c>
      <c r="S166" s="111" t="str">
        <f t="shared" si="13"/>
        <v>Borussia Mönchengladbach</v>
      </c>
      <c r="T166" s="211">
        <v>46039</v>
      </c>
      <c r="U166" s="212">
        <v>0.64583333333333337</v>
      </c>
    </row>
    <row r="167" spans="6:21" ht="17.25" x14ac:dyDescent="0.2">
      <c r="F167" s="83">
        <f t="shared" si="14"/>
        <v>2</v>
      </c>
      <c r="G167" s="83" t="str">
        <f t="shared" si="15"/>
        <v>00080011</v>
      </c>
      <c r="H167" s="83" t="str">
        <f t="shared" si="16"/>
        <v>00110008</v>
      </c>
      <c r="I167" s="83">
        <f>IF($G167="",0,COUNTIF($G$7:$G167,$H167))</f>
        <v>1</v>
      </c>
      <c r="J167" s="83"/>
      <c r="K167" s="264" t="str">
        <f>Language!$E$85</f>
        <v>double</v>
      </c>
      <c r="L167" s="240" t="str">
        <f>IF(Calc!$F$26=0,"",IF(OR($M167&gt;Calc!$B$24,MOD($M167-1,Calc!$F$26)&gt;0),"",QUOTIENT($M167-1,Calc!$F$26)+1))</f>
        <v/>
      </c>
      <c r="M167" s="102">
        <v>161</v>
      </c>
      <c r="N167" s="302">
        <v>8</v>
      </c>
      <c r="O167" s="108" t="s">
        <v>4</v>
      </c>
      <c r="P167" s="304">
        <v>11</v>
      </c>
      <c r="Q167" s="109" t="str">
        <f t="shared" si="12"/>
        <v>Eintracht Frankfurt</v>
      </c>
      <c r="R167" s="110" t="s">
        <v>4</v>
      </c>
      <c r="S167" s="111" t="str">
        <f t="shared" si="13"/>
        <v>FC St. Pauli</v>
      </c>
      <c r="T167" s="211">
        <v>46039</v>
      </c>
      <c r="U167" s="212">
        <v>0.64583333333333337</v>
      </c>
    </row>
    <row r="168" spans="6:21" ht="17.25" x14ac:dyDescent="0.2">
      <c r="F168" s="83">
        <f t="shared" si="14"/>
        <v>2</v>
      </c>
      <c r="G168" s="83" t="str">
        <f t="shared" si="15"/>
        <v>00100009</v>
      </c>
      <c r="H168" s="83" t="str">
        <f t="shared" si="16"/>
        <v>00090010</v>
      </c>
      <c r="I168" s="83">
        <f>IF($G168="",0,COUNTIF($G$7:$G168,$H168))</f>
        <v>1</v>
      </c>
      <c r="J168" s="83"/>
      <c r="K168" s="264" t="str">
        <f>Language!$E$85</f>
        <v>double</v>
      </c>
      <c r="L168" s="240" t="str">
        <f>IF(Calc!$F$26=0,"",IF(OR($M168&gt;Calc!$B$24,MOD($M168-1,Calc!$F$26)&gt;0),"",QUOTIENT($M168-1,Calc!$F$26)+1))</f>
        <v/>
      </c>
      <c r="M168" s="102">
        <v>162</v>
      </c>
      <c r="N168" s="302">
        <v>10</v>
      </c>
      <c r="O168" s="108" t="s">
        <v>4</v>
      </c>
      <c r="P168" s="304">
        <v>9</v>
      </c>
      <c r="Q168" s="109" t="str">
        <f t="shared" si="12"/>
        <v>FC Bayern München</v>
      </c>
      <c r="R168" s="110" t="s">
        <v>4</v>
      </c>
      <c r="S168" s="111" t="str">
        <f t="shared" si="13"/>
        <v>FC Augsburg</v>
      </c>
      <c r="T168" s="211">
        <v>46039</v>
      </c>
      <c r="U168" s="212">
        <v>0.64583333333333337</v>
      </c>
    </row>
    <row r="169" spans="6:21" ht="17.25" x14ac:dyDescent="0.2">
      <c r="F169" s="83">
        <f t="shared" si="14"/>
        <v>2</v>
      </c>
      <c r="G169" s="83" t="str">
        <f t="shared" si="15"/>
        <v>00010017</v>
      </c>
      <c r="H169" s="83" t="str">
        <f t="shared" si="16"/>
        <v>00170001</v>
      </c>
      <c r="I169" s="83">
        <f>IF($G169="",0,COUNTIF($G$7:$G169,$H169))</f>
        <v>1</v>
      </c>
      <c r="J169" s="83"/>
      <c r="K169" s="264" t="str">
        <f>Language!$E$85</f>
        <v>double</v>
      </c>
      <c r="L169" s="240">
        <f>IF(Calc!$F$26=0,"",IF(OR($M169&gt;Calc!$B$24,MOD($M169-1,Calc!$F$26)&gt;0),"",QUOTIENT($M169-1,Calc!$F$26)+1))</f>
        <v>19</v>
      </c>
      <c r="M169" s="102">
        <v>163</v>
      </c>
      <c r="N169" s="302">
        <v>1</v>
      </c>
      <c r="O169" s="108" t="s">
        <v>4</v>
      </c>
      <c r="P169" s="304">
        <v>17</v>
      </c>
      <c r="Q169" s="109" t="str">
        <f t="shared" si="12"/>
        <v>1. FC Heidenheim 1846</v>
      </c>
      <c r="R169" s="110" t="s">
        <v>4</v>
      </c>
      <c r="S169" s="111" t="str">
        <f t="shared" si="13"/>
        <v>VfB Stuttgart</v>
      </c>
      <c r="T169" s="211">
        <v>46046</v>
      </c>
      <c r="U169" s="212">
        <v>0.64583333333333337</v>
      </c>
    </row>
    <row r="170" spans="6:21" ht="17.25" x14ac:dyDescent="0.2">
      <c r="F170" s="83">
        <f t="shared" si="14"/>
        <v>2</v>
      </c>
      <c r="G170" s="83" t="str">
        <f t="shared" si="15"/>
        <v>00180016</v>
      </c>
      <c r="H170" s="83" t="str">
        <f t="shared" si="16"/>
        <v>00160018</v>
      </c>
      <c r="I170" s="83">
        <f>IF($G170="",0,COUNTIF($G$7:$G170,$H170))</f>
        <v>1</v>
      </c>
      <c r="J170" s="83"/>
      <c r="K170" s="264" t="str">
        <f>Language!$E$85</f>
        <v>double</v>
      </c>
      <c r="L170" s="240" t="str">
        <f>IF(Calc!$F$26=0,"",IF(OR($M170&gt;Calc!$B$24,MOD($M170-1,Calc!$F$26)&gt;0),"",QUOTIENT($M170-1,Calc!$F$26)+1))</f>
        <v/>
      </c>
      <c r="M170" s="102">
        <v>164</v>
      </c>
      <c r="N170" s="302">
        <v>18</v>
      </c>
      <c r="O170" s="108" t="s">
        <v>4</v>
      </c>
      <c r="P170" s="304">
        <v>16</v>
      </c>
      <c r="Q170" s="109" t="str">
        <f t="shared" si="12"/>
        <v>VfL Wolfsburg</v>
      </c>
      <c r="R170" s="110" t="s">
        <v>4</v>
      </c>
      <c r="S170" s="111" t="str">
        <f t="shared" si="13"/>
        <v>TSG Hoffenheim</v>
      </c>
      <c r="T170" s="211">
        <v>46046</v>
      </c>
      <c r="U170" s="212">
        <v>0.64583333333333337</v>
      </c>
    </row>
    <row r="171" spans="6:21" ht="17.25" x14ac:dyDescent="0.2">
      <c r="F171" s="83">
        <f t="shared" si="14"/>
        <v>2</v>
      </c>
      <c r="G171" s="83" t="str">
        <f t="shared" si="15"/>
        <v>00150002</v>
      </c>
      <c r="H171" s="83" t="str">
        <f t="shared" si="16"/>
        <v>00020015</v>
      </c>
      <c r="I171" s="83">
        <f>IF($G171="",0,COUNTIF($G$7:$G171,$H171))</f>
        <v>1</v>
      </c>
      <c r="J171" s="83"/>
      <c r="K171" s="264" t="str">
        <f>Language!$E$85</f>
        <v>double</v>
      </c>
      <c r="L171" s="240" t="str">
        <f>IF(Calc!$F$26=0,"",IF(OR($M171&gt;Calc!$B$24,MOD($M171-1,Calc!$F$26)&gt;0),"",QUOTIENT($M171-1,Calc!$F$26)+1))</f>
        <v/>
      </c>
      <c r="M171" s="102">
        <v>165</v>
      </c>
      <c r="N171" s="302">
        <v>15</v>
      </c>
      <c r="O171" s="108" t="s">
        <v>4</v>
      </c>
      <c r="P171" s="304">
        <v>2</v>
      </c>
      <c r="Q171" s="109" t="str">
        <f t="shared" si="12"/>
        <v>SV Werder Bremen</v>
      </c>
      <c r="R171" s="110" t="s">
        <v>4</v>
      </c>
      <c r="S171" s="111" t="str">
        <f t="shared" si="13"/>
        <v>1. FC Köln</v>
      </c>
      <c r="T171" s="211">
        <v>46046</v>
      </c>
      <c r="U171" s="212">
        <v>0.64583333333333337</v>
      </c>
    </row>
    <row r="172" spans="6:21" ht="17.25" x14ac:dyDescent="0.2">
      <c r="F172" s="83">
        <f t="shared" si="14"/>
        <v>2</v>
      </c>
      <c r="G172" s="83" t="str">
        <f t="shared" si="15"/>
        <v>00030014</v>
      </c>
      <c r="H172" s="83" t="str">
        <f t="shared" si="16"/>
        <v>00140003</v>
      </c>
      <c r="I172" s="83">
        <f>IF($G172="",0,COUNTIF($G$7:$G172,$H172))</f>
        <v>1</v>
      </c>
      <c r="J172" s="83"/>
      <c r="K172" s="264" t="str">
        <f>Language!$E$85</f>
        <v>double</v>
      </c>
      <c r="L172" s="240" t="str">
        <f>IF(Calc!$F$26=0,"",IF(OR($M172&gt;Calc!$B$24,MOD($M172-1,Calc!$F$26)&gt;0),"",QUOTIENT($M172-1,Calc!$F$26)+1))</f>
        <v/>
      </c>
      <c r="M172" s="102">
        <v>166</v>
      </c>
      <c r="N172" s="302">
        <v>3</v>
      </c>
      <c r="O172" s="108" t="s">
        <v>4</v>
      </c>
      <c r="P172" s="304">
        <v>14</v>
      </c>
      <c r="Q172" s="109" t="str">
        <f t="shared" si="12"/>
        <v>1. FC Union Berlin</v>
      </c>
      <c r="R172" s="110" t="s">
        <v>4</v>
      </c>
      <c r="S172" s="111" t="str">
        <f t="shared" si="13"/>
        <v>SC Freiburg</v>
      </c>
      <c r="T172" s="211">
        <v>46046</v>
      </c>
      <c r="U172" s="212">
        <v>0.64583333333333337</v>
      </c>
    </row>
    <row r="173" spans="6:21" ht="17.25" x14ac:dyDescent="0.2">
      <c r="F173" s="83">
        <f t="shared" si="14"/>
        <v>2</v>
      </c>
      <c r="G173" s="83" t="str">
        <f t="shared" si="15"/>
        <v>00130004</v>
      </c>
      <c r="H173" s="83" t="str">
        <f t="shared" si="16"/>
        <v>00040013</v>
      </c>
      <c r="I173" s="83">
        <f>IF($G173="",0,COUNTIF($G$7:$G173,$H173))</f>
        <v>1</v>
      </c>
      <c r="J173" s="83"/>
      <c r="K173" s="264" t="str">
        <f>Language!$E$85</f>
        <v>double</v>
      </c>
      <c r="L173" s="240" t="str">
        <f>IF(Calc!$F$26=0,"",IF(OR($M173&gt;Calc!$B$24,MOD($M173-1,Calc!$F$26)&gt;0),"",QUOTIENT($M173-1,Calc!$F$26)+1))</f>
        <v/>
      </c>
      <c r="M173" s="102">
        <v>167</v>
      </c>
      <c r="N173" s="302">
        <v>13</v>
      </c>
      <c r="O173" s="108" t="s">
        <v>4</v>
      </c>
      <c r="P173" s="304">
        <v>4</v>
      </c>
      <c r="Q173" s="109" t="str">
        <f t="shared" si="12"/>
        <v>RB Leipzig</v>
      </c>
      <c r="R173" s="110" t="s">
        <v>4</v>
      </c>
      <c r="S173" s="111" t="str">
        <f t="shared" si="13"/>
        <v>1. FSV Mainz 05</v>
      </c>
      <c r="T173" s="211">
        <v>46046</v>
      </c>
      <c r="U173" s="212">
        <v>0.64583333333333337</v>
      </c>
    </row>
    <row r="174" spans="6:21" ht="17.25" x14ac:dyDescent="0.2">
      <c r="F174" s="83">
        <f t="shared" si="14"/>
        <v>2</v>
      </c>
      <c r="G174" s="83" t="str">
        <f t="shared" si="15"/>
        <v>00050012</v>
      </c>
      <c r="H174" s="83" t="str">
        <f t="shared" si="16"/>
        <v>00120005</v>
      </c>
      <c r="I174" s="83">
        <f>IF($G174="",0,COUNTIF($G$7:$G174,$H174))</f>
        <v>1</v>
      </c>
      <c r="J174" s="83"/>
      <c r="K174" s="264" t="str">
        <f>Language!$E$85</f>
        <v>double</v>
      </c>
      <c r="L174" s="240" t="str">
        <f>IF(Calc!$F$26=0,"",IF(OR($M174&gt;Calc!$B$24,MOD($M174-1,Calc!$F$26)&gt;0),"",QUOTIENT($M174-1,Calc!$F$26)+1))</f>
        <v/>
      </c>
      <c r="M174" s="102">
        <v>168</v>
      </c>
      <c r="N174" s="302">
        <v>5</v>
      </c>
      <c r="O174" s="108" t="s">
        <v>4</v>
      </c>
      <c r="P174" s="304">
        <v>12</v>
      </c>
      <c r="Q174" s="109" t="str">
        <f t="shared" si="12"/>
        <v>Bayer 04 Leverkusen</v>
      </c>
      <c r="R174" s="110" t="s">
        <v>4</v>
      </c>
      <c r="S174" s="111" t="str">
        <f t="shared" si="13"/>
        <v>Hamburger SV</v>
      </c>
      <c r="T174" s="211">
        <v>46046</v>
      </c>
      <c r="U174" s="212">
        <v>0.64583333333333337</v>
      </c>
    </row>
    <row r="175" spans="6:21" ht="17.25" x14ac:dyDescent="0.2">
      <c r="F175" s="83">
        <f t="shared" si="14"/>
        <v>2</v>
      </c>
      <c r="G175" s="83" t="str">
        <f t="shared" si="15"/>
        <v>00110006</v>
      </c>
      <c r="H175" s="83" t="str">
        <f t="shared" si="16"/>
        <v>00060011</v>
      </c>
      <c r="I175" s="83">
        <f>IF($G175="",0,COUNTIF($G$7:$G175,$H175))</f>
        <v>1</v>
      </c>
      <c r="J175" s="83"/>
      <c r="K175" s="264" t="str">
        <f>Language!$E$85</f>
        <v>double</v>
      </c>
      <c r="L175" s="240" t="str">
        <f>IF(Calc!$F$26=0,"",IF(OR($M175&gt;Calc!$B$24,MOD($M175-1,Calc!$F$26)&gt;0),"",QUOTIENT($M175-1,Calc!$F$26)+1))</f>
        <v/>
      </c>
      <c r="M175" s="102">
        <v>169</v>
      </c>
      <c r="N175" s="302">
        <v>11</v>
      </c>
      <c r="O175" s="108" t="s">
        <v>4</v>
      </c>
      <c r="P175" s="304">
        <v>6</v>
      </c>
      <c r="Q175" s="109" t="str">
        <f t="shared" si="12"/>
        <v>FC St. Pauli</v>
      </c>
      <c r="R175" s="110" t="s">
        <v>4</v>
      </c>
      <c r="S175" s="111" t="str">
        <f t="shared" si="13"/>
        <v>Borussia Dortmund</v>
      </c>
      <c r="T175" s="211">
        <v>46046</v>
      </c>
      <c r="U175" s="212">
        <v>0.64583333333333337</v>
      </c>
    </row>
    <row r="176" spans="6:21" ht="17.25" x14ac:dyDescent="0.2">
      <c r="F176" s="83">
        <f t="shared" si="14"/>
        <v>2</v>
      </c>
      <c r="G176" s="83" t="str">
        <f t="shared" si="15"/>
        <v>00070010</v>
      </c>
      <c r="H176" s="83" t="str">
        <f t="shared" si="16"/>
        <v>00100007</v>
      </c>
      <c r="I176" s="83">
        <f>IF($G176="",0,COUNTIF($G$7:$G176,$H176))</f>
        <v>1</v>
      </c>
      <c r="J176" s="83"/>
      <c r="K176" s="264" t="str">
        <f>Language!$E$85</f>
        <v>double</v>
      </c>
      <c r="L176" s="240" t="str">
        <f>IF(Calc!$F$26=0,"",IF(OR($M176&gt;Calc!$B$24,MOD($M176-1,Calc!$F$26)&gt;0),"",QUOTIENT($M176-1,Calc!$F$26)+1))</f>
        <v/>
      </c>
      <c r="M176" s="102">
        <v>170</v>
      </c>
      <c r="N176" s="302">
        <v>7</v>
      </c>
      <c r="O176" s="108" t="s">
        <v>4</v>
      </c>
      <c r="P176" s="304">
        <v>10</v>
      </c>
      <c r="Q176" s="109" t="str">
        <f t="shared" si="12"/>
        <v>Borussia Mönchengladbach</v>
      </c>
      <c r="R176" s="110" t="s">
        <v>4</v>
      </c>
      <c r="S176" s="111" t="str">
        <f t="shared" si="13"/>
        <v>FC Bayern München</v>
      </c>
      <c r="T176" s="211">
        <v>46046</v>
      </c>
      <c r="U176" s="212">
        <v>0.64583333333333337</v>
      </c>
    </row>
    <row r="177" spans="6:21" ht="17.25" x14ac:dyDescent="0.2">
      <c r="F177" s="83">
        <f t="shared" si="14"/>
        <v>2</v>
      </c>
      <c r="G177" s="83" t="str">
        <f t="shared" si="15"/>
        <v>00090008</v>
      </c>
      <c r="H177" s="83" t="str">
        <f t="shared" si="16"/>
        <v>00080009</v>
      </c>
      <c r="I177" s="83">
        <f>IF($G177="",0,COUNTIF($G$7:$G177,$H177))</f>
        <v>1</v>
      </c>
      <c r="J177" s="83"/>
      <c r="K177" s="264" t="str">
        <f>Language!$E$85</f>
        <v>double</v>
      </c>
      <c r="L177" s="240" t="str">
        <f>IF(Calc!$F$26=0,"",IF(OR($M177&gt;Calc!$B$24,MOD($M177-1,Calc!$F$26)&gt;0),"",QUOTIENT($M177-1,Calc!$F$26)+1))</f>
        <v/>
      </c>
      <c r="M177" s="102">
        <v>171</v>
      </c>
      <c r="N177" s="302">
        <v>9</v>
      </c>
      <c r="O177" s="108" t="s">
        <v>4</v>
      </c>
      <c r="P177" s="304">
        <v>8</v>
      </c>
      <c r="Q177" s="109" t="str">
        <f t="shared" si="12"/>
        <v>FC Augsburg</v>
      </c>
      <c r="R177" s="110" t="s">
        <v>4</v>
      </c>
      <c r="S177" s="111" t="str">
        <f t="shared" si="13"/>
        <v>Eintracht Frankfurt</v>
      </c>
      <c r="T177" s="211">
        <v>46046</v>
      </c>
      <c r="U177" s="212">
        <v>0.64583333333333337</v>
      </c>
    </row>
    <row r="178" spans="6:21" ht="17.25" x14ac:dyDescent="0.2">
      <c r="F178" s="83">
        <f t="shared" si="14"/>
        <v>2</v>
      </c>
      <c r="G178" s="83" t="str">
        <f t="shared" si="15"/>
        <v>00160001</v>
      </c>
      <c r="H178" s="83" t="str">
        <f t="shared" si="16"/>
        <v>00010016</v>
      </c>
      <c r="I178" s="83">
        <f>IF($G178="",0,COUNTIF($G$7:$G178,$H178))</f>
        <v>1</v>
      </c>
      <c r="J178" s="83"/>
      <c r="K178" s="264" t="str">
        <f>Language!$E$85</f>
        <v>double</v>
      </c>
      <c r="L178" s="240">
        <f>IF(Calc!$F$26=0,"",IF(OR($M178&gt;Calc!$B$24,MOD($M178-1,Calc!$F$26)&gt;0),"",QUOTIENT($M178-1,Calc!$F$26)+1))</f>
        <v>20</v>
      </c>
      <c r="M178" s="102">
        <v>172</v>
      </c>
      <c r="N178" s="302">
        <v>16</v>
      </c>
      <c r="O178" s="108" t="s">
        <v>4</v>
      </c>
      <c r="P178" s="304">
        <v>1</v>
      </c>
      <c r="Q178" s="109" t="str">
        <f t="shared" si="12"/>
        <v>TSG Hoffenheim</v>
      </c>
      <c r="R178" s="110" t="s">
        <v>4</v>
      </c>
      <c r="S178" s="111" t="str">
        <f t="shared" si="13"/>
        <v>1. FC Heidenheim 1846</v>
      </c>
      <c r="T178" s="211">
        <v>46053</v>
      </c>
      <c r="U178" s="212">
        <v>0.64583333333333337</v>
      </c>
    </row>
    <row r="179" spans="6:21" ht="17.25" x14ac:dyDescent="0.2">
      <c r="F179" s="83">
        <f t="shared" si="14"/>
        <v>2</v>
      </c>
      <c r="G179" s="83" t="str">
        <f t="shared" si="15"/>
        <v>00170015</v>
      </c>
      <c r="H179" s="83" t="str">
        <f t="shared" si="16"/>
        <v>00150017</v>
      </c>
      <c r="I179" s="83">
        <f>IF($G179="",0,COUNTIF($G$7:$G179,$H179))</f>
        <v>1</v>
      </c>
      <c r="J179" s="83"/>
      <c r="K179" s="264" t="str">
        <f>Language!$E$85</f>
        <v>double</v>
      </c>
      <c r="L179" s="240" t="str">
        <f>IF(Calc!$F$26=0,"",IF(OR($M179&gt;Calc!$B$24,MOD($M179-1,Calc!$F$26)&gt;0),"",QUOTIENT($M179-1,Calc!$F$26)+1))</f>
        <v/>
      </c>
      <c r="M179" s="102">
        <v>173</v>
      </c>
      <c r="N179" s="302">
        <v>17</v>
      </c>
      <c r="O179" s="108" t="s">
        <v>4</v>
      </c>
      <c r="P179" s="304">
        <v>15</v>
      </c>
      <c r="Q179" s="109" t="str">
        <f t="shared" si="12"/>
        <v>VfB Stuttgart</v>
      </c>
      <c r="R179" s="110" t="s">
        <v>4</v>
      </c>
      <c r="S179" s="111" t="str">
        <f t="shared" si="13"/>
        <v>SV Werder Bremen</v>
      </c>
      <c r="T179" s="211">
        <v>46053</v>
      </c>
      <c r="U179" s="212">
        <v>0.64583333333333337</v>
      </c>
    </row>
    <row r="180" spans="6:21" ht="17.25" x14ac:dyDescent="0.2">
      <c r="F180" s="83">
        <f t="shared" si="14"/>
        <v>2</v>
      </c>
      <c r="G180" s="83" t="str">
        <f t="shared" si="15"/>
        <v>00140018</v>
      </c>
      <c r="H180" s="83" t="str">
        <f t="shared" si="16"/>
        <v>00180014</v>
      </c>
      <c r="I180" s="83">
        <f>IF($G180="",0,COUNTIF($G$7:$G180,$H180))</f>
        <v>1</v>
      </c>
      <c r="J180" s="83"/>
      <c r="K180" s="264" t="str">
        <f>Language!$E$85</f>
        <v>double</v>
      </c>
      <c r="L180" s="240" t="str">
        <f>IF(Calc!$F$26=0,"",IF(OR($M180&gt;Calc!$B$24,MOD($M180-1,Calc!$F$26)&gt;0),"",QUOTIENT($M180-1,Calc!$F$26)+1))</f>
        <v/>
      </c>
      <c r="M180" s="102">
        <v>174</v>
      </c>
      <c r="N180" s="302">
        <v>14</v>
      </c>
      <c r="O180" s="108" t="s">
        <v>4</v>
      </c>
      <c r="P180" s="304">
        <v>18</v>
      </c>
      <c r="Q180" s="109" t="str">
        <f t="shared" si="12"/>
        <v>SC Freiburg</v>
      </c>
      <c r="R180" s="110" t="s">
        <v>4</v>
      </c>
      <c r="S180" s="111" t="str">
        <f t="shared" si="13"/>
        <v>VfL Wolfsburg</v>
      </c>
      <c r="T180" s="211">
        <v>46053</v>
      </c>
      <c r="U180" s="212">
        <v>0.64583333333333337</v>
      </c>
    </row>
    <row r="181" spans="6:21" ht="17.25" x14ac:dyDescent="0.2">
      <c r="F181" s="83">
        <f t="shared" si="14"/>
        <v>2</v>
      </c>
      <c r="G181" s="83" t="str">
        <f t="shared" si="15"/>
        <v>00020013</v>
      </c>
      <c r="H181" s="83" t="str">
        <f t="shared" si="16"/>
        <v>00130002</v>
      </c>
      <c r="I181" s="83">
        <f>IF($G181="",0,COUNTIF($G$7:$G181,$H181))</f>
        <v>1</v>
      </c>
      <c r="J181" s="83"/>
      <c r="K181" s="264" t="str">
        <f>Language!$E$85</f>
        <v>double</v>
      </c>
      <c r="L181" s="240" t="str">
        <f>IF(Calc!$F$26=0,"",IF(OR($M181&gt;Calc!$B$24,MOD($M181-1,Calc!$F$26)&gt;0),"",QUOTIENT($M181-1,Calc!$F$26)+1))</f>
        <v/>
      </c>
      <c r="M181" s="102">
        <v>175</v>
      </c>
      <c r="N181" s="302">
        <v>2</v>
      </c>
      <c r="O181" s="108" t="s">
        <v>4</v>
      </c>
      <c r="P181" s="304">
        <v>13</v>
      </c>
      <c r="Q181" s="109" t="str">
        <f t="shared" si="12"/>
        <v>1. FC Köln</v>
      </c>
      <c r="R181" s="110" t="s">
        <v>4</v>
      </c>
      <c r="S181" s="111" t="str">
        <f t="shared" si="13"/>
        <v>RB Leipzig</v>
      </c>
      <c r="T181" s="211">
        <v>46053</v>
      </c>
      <c r="U181" s="212">
        <v>0.64583333333333337</v>
      </c>
    </row>
    <row r="182" spans="6:21" ht="17.25" x14ac:dyDescent="0.2">
      <c r="F182" s="83">
        <f t="shared" si="14"/>
        <v>2</v>
      </c>
      <c r="G182" s="83" t="str">
        <f t="shared" si="15"/>
        <v>00120003</v>
      </c>
      <c r="H182" s="83" t="str">
        <f t="shared" si="16"/>
        <v>00030012</v>
      </c>
      <c r="I182" s="83">
        <f>IF($G182="",0,COUNTIF($G$7:$G182,$H182))</f>
        <v>1</v>
      </c>
      <c r="J182" s="83"/>
      <c r="K182" s="264" t="str">
        <f>Language!$E$85</f>
        <v>double</v>
      </c>
      <c r="L182" s="240" t="str">
        <f>IF(Calc!$F$26=0,"",IF(OR($M182&gt;Calc!$B$24,MOD($M182-1,Calc!$F$26)&gt;0),"",QUOTIENT($M182-1,Calc!$F$26)+1))</f>
        <v/>
      </c>
      <c r="M182" s="102">
        <v>176</v>
      </c>
      <c r="N182" s="302">
        <v>12</v>
      </c>
      <c r="O182" s="108" t="s">
        <v>4</v>
      </c>
      <c r="P182" s="304">
        <v>3</v>
      </c>
      <c r="Q182" s="109" t="str">
        <f t="shared" si="12"/>
        <v>Hamburger SV</v>
      </c>
      <c r="R182" s="110" t="s">
        <v>4</v>
      </c>
      <c r="S182" s="111" t="str">
        <f t="shared" si="13"/>
        <v>1. FC Union Berlin</v>
      </c>
      <c r="T182" s="211">
        <v>46053</v>
      </c>
      <c r="U182" s="212">
        <v>0.64583333333333337</v>
      </c>
    </row>
    <row r="183" spans="6:21" ht="17.25" x14ac:dyDescent="0.2">
      <c r="F183" s="83">
        <f t="shared" si="14"/>
        <v>2</v>
      </c>
      <c r="G183" s="83" t="str">
        <f t="shared" si="15"/>
        <v>00040011</v>
      </c>
      <c r="H183" s="83" t="str">
        <f t="shared" si="16"/>
        <v>00110004</v>
      </c>
      <c r="I183" s="83">
        <f>IF($G183="",0,COUNTIF($G$7:$G183,$H183))</f>
        <v>1</v>
      </c>
      <c r="J183" s="83"/>
      <c r="K183" s="264" t="str">
        <f>Language!$E$85</f>
        <v>double</v>
      </c>
      <c r="L183" s="240" t="str">
        <f>IF(Calc!$F$26=0,"",IF(OR($M183&gt;Calc!$B$24,MOD($M183-1,Calc!$F$26)&gt;0),"",QUOTIENT($M183-1,Calc!$F$26)+1))</f>
        <v/>
      </c>
      <c r="M183" s="102">
        <v>177</v>
      </c>
      <c r="N183" s="302">
        <v>4</v>
      </c>
      <c r="O183" s="108" t="s">
        <v>4</v>
      </c>
      <c r="P183" s="304">
        <v>11</v>
      </c>
      <c r="Q183" s="109" t="str">
        <f t="shared" si="12"/>
        <v>1. FSV Mainz 05</v>
      </c>
      <c r="R183" s="110" t="s">
        <v>4</v>
      </c>
      <c r="S183" s="111" t="str">
        <f t="shared" si="13"/>
        <v>FC St. Pauli</v>
      </c>
      <c r="T183" s="211">
        <v>46053</v>
      </c>
      <c r="U183" s="212">
        <v>0.64583333333333337</v>
      </c>
    </row>
    <row r="184" spans="6:21" ht="17.25" x14ac:dyDescent="0.2">
      <c r="F184" s="83">
        <f t="shared" si="14"/>
        <v>2</v>
      </c>
      <c r="G184" s="83" t="str">
        <f t="shared" si="15"/>
        <v>00100005</v>
      </c>
      <c r="H184" s="83" t="str">
        <f t="shared" si="16"/>
        <v>00050010</v>
      </c>
      <c r="I184" s="83">
        <f>IF($G184="",0,COUNTIF($G$7:$G184,$H184))</f>
        <v>1</v>
      </c>
      <c r="J184" s="83"/>
      <c r="K184" s="264" t="str">
        <f>Language!$E$85</f>
        <v>double</v>
      </c>
      <c r="L184" s="240" t="str">
        <f>IF(Calc!$F$26=0,"",IF(OR($M184&gt;Calc!$B$24,MOD($M184-1,Calc!$F$26)&gt;0),"",QUOTIENT($M184-1,Calc!$F$26)+1))</f>
        <v/>
      </c>
      <c r="M184" s="102">
        <v>178</v>
      </c>
      <c r="N184" s="302">
        <v>10</v>
      </c>
      <c r="O184" s="108" t="s">
        <v>4</v>
      </c>
      <c r="P184" s="304">
        <v>5</v>
      </c>
      <c r="Q184" s="109" t="str">
        <f t="shared" si="12"/>
        <v>FC Bayern München</v>
      </c>
      <c r="R184" s="110" t="s">
        <v>4</v>
      </c>
      <c r="S184" s="111" t="str">
        <f t="shared" si="13"/>
        <v>Bayer 04 Leverkusen</v>
      </c>
      <c r="T184" s="211">
        <v>46053</v>
      </c>
      <c r="U184" s="212">
        <v>0.64583333333333337</v>
      </c>
    </row>
    <row r="185" spans="6:21" ht="17.25" x14ac:dyDescent="0.2">
      <c r="F185" s="83">
        <f t="shared" si="14"/>
        <v>2</v>
      </c>
      <c r="G185" s="83" t="str">
        <f t="shared" si="15"/>
        <v>00060009</v>
      </c>
      <c r="H185" s="83" t="str">
        <f t="shared" si="16"/>
        <v>00090006</v>
      </c>
      <c r="I185" s="83">
        <f>IF($G185="",0,COUNTIF($G$7:$G185,$H185))</f>
        <v>1</v>
      </c>
      <c r="J185" s="83"/>
      <c r="K185" s="264" t="str">
        <f>Language!$E$85</f>
        <v>double</v>
      </c>
      <c r="L185" s="240" t="str">
        <f>IF(Calc!$F$26=0,"",IF(OR($M185&gt;Calc!$B$24,MOD($M185-1,Calc!$F$26)&gt;0),"",QUOTIENT($M185-1,Calc!$F$26)+1))</f>
        <v/>
      </c>
      <c r="M185" s="102">
        <v>179</v>
      </c>
      <c r="N185" s="302">
        <v>6</v>
      </c>
      <c r="O185" s="108" t="s">
        <v>4</v>
      </c>
      <c r="P185" s="304">
        <v>9</v>
      </c>
      <c r="Q185" s="109" t="str">
        <f t="shared" si="12"/>
        <v>Borussia Dortmund</v>
      </c>
      <c r="R185" s="110" t="s">
        <v>4</v>
      </c>
      <c r="S185" s="111" t="str">
        <f t="shared" si="13"/>
        <v>FC Augsburg</v>
      </c>
      <c r="T185" s="211">
        <v>46053</v>
      </c>
      <c r="U185" s="212">
        <v>0.64583333333333337</v>
      </c>
    </row>
    <row r="186" spans="6:21" ht="17.25" x14ac:dyDescent="0.2">
      <c r="F186" s="83">
        <f t="shared" si="14"/>
        <v>2</v>
      </c>
      <c r="G186" s="83" t="str">
        <f t="shared" si="15"/>
        <v>00080007</v>
      </c>
      <c r="H186" s="83" t="str">
        <f t="shared" si="16"/>
        <v>00070008</v>
      </c>
      <c r="I186" s="83">
        <f>IF($G186="",0,COUNTIF($G$7:$G186,$H186))</f>
        <v>1</v>
      </c>
      <c r="J186" s="83"/>
      <c r="K186" s="264" t="str">
        <f>Language!$E$85</f>
        <v>double</v>
      </c>
      <c r="L186" s="240" t="str">
        <f>IF(Calc!$F$26=0,"",IF(OR($M186&gt;Calc!$B$24,MOD($M186-1,Calc!$F$26)&gt;0),"",QUOTIENT($M186-1,Calc!$F$26)+1))</f>
        <v/>
      </c>
      <c r="M186" s="102">
        <v>180</v>
      </c>
      <c r="N186" s="302">
        <v>8</v>
      </c>
      <c r="O186" s="108" t="s">
        <v>4</v>
      </c>
      <c r="P186" s="304">
        <v>7</v>
      </c>
      <c r="Q186" s="109" t="str">
        <f t="shared" si="12"/>
        <v>Eintracht Frankfurt</v>
      </c>
      <c r="R186" s="110" t="s">
        <v>4</v>
      </c>
      <c r="S186" s="111" t="str">
        <f t="shared" si="13"/>
        <v>Borussia Mönchengladbach</v>
      </c>
      <c r="T186" s="211">
        <v>46053</v>
      </c>
      <c r="U186" s="212">
        <v>0.64583333333333337</v>
      </c>
    </row>
    <row r="187" spans="6:21" ht="17.25" x14ac:dyDescent="0.2">
      <c r="F187" s="83">
        <f t="shared" si="14"/>
        <v>2</v>
      </c>
      <c r="G187" s="83" t="str">
        <f t="shared" si="15"/>
        <v>00010015</v>
      </c>
      <c r="H187" s="83" t="str">
        <f t="shared" si="16"/>
        <v>00150001</v>
      </c>
      <c r="I187" s="83">
        <f>IF($G187="",0,COUNTIF($G$7:$G187,$H187))</f>
        <v>1</v>
      </c>
      <c r="J187" s="83"/>
      <c r="K187" s="264" t="str">
        <f>Language!$E$85</f>
        <v>double</v>
      </c>
      <c r="L187" s="240">
        <f>IF(Calc!$F$26=0,"",IF(OR($M187&gt;Calc!$B$24,MOD($M187-1,Calc!$F$26)&gt;0),"",QUOTIENT($M187-1,Calc!$F$26)+1))</f>
        <v>21</v>
      </c>
      <c r="M187" s="102">
        <v>181</v>
      </c>
      <c r="N187" s="302">
        <v>1</v>
      </c>
      <c r="O187" s="108" t="s">
        <v>4</v>
      </c>
      <c r="P187" s="304">
        <v>15</v>
      </c>
      <c r="Q187" s="109" t="str">
        <f t="shared" si="12"/>
        <v>1. FC Heidenheim 1846</v>
      </c>
      <c r="R187" s="110" t="s">
        <v>4</v>
      </c>
      <c r="S187" s="111" t="str">
        <f t="shared" si="13"/>
        <v>SV Werder Bremen</v>
      </c>
      <c r="T187" s="211">
        <v>46060</v>
      </c>
      <c r="U187" s="212">
        <v>0.64583333333333337</v>
      </c>
    </row>
    <row r="188" spans="6:21" ht="17.25" x14ac:dyDescent="0.2">
      <c r="F188" s="83">
        <f t="shared" si="14"/>
        <v>2</v>
      </c>
      <c r="G188" s="83" t="str">
        <f t="shared" si="15"/>
        <v>00160014</v>
      </c>
      <c r="H188" s="83" t="str">
        <f t="shared" si="16"/>
        <v>00140016</v>
      </c>
      <c r="I188" s="83">
        <f>IF($G188="",0,COUNTIF($G$7:$G188,$H188))</f>
        <v>1</v>
      </c>
      <c r="J188" s="83"/>
      <c r="K188" s="264" t="str">
        <f>Language!$E$85</f>
        <v>double</v>
      </c>
      <c r="L188" s="240" t="str">
        <f>IF(Calc!$F$26=0,"",IF(OR($M188&gt;Calc!$B$24,MOD($M188-1,Calc!$F$26)&gt;0),"",QUOTIENT($M188-1,Calc!$F$26)+1))</f>
        <v/>
      </c>
      <c r="M188" s="102">
        <v>182</v>
      </c>
      <c r="N188" s="302">
        <v>16</v>
      </c>
      <c r="O188" s="108" t="s">
        <v>4</v>
      </c>
      <c r="P188" s="304">
        <v>14</v>
      </c>
      <c r="Q188" s="109" t="str">
        <f t="shared" si="12"/>
        <v>TSG Hoffenheim</v>
      </c>
      <c r="R188" s="110" t="s">
        <v>4</v>
      </c>
      <c r="S188" s="111" t="str">
        <f t="shared" si="13"/>
        <v>SC Freiburg</v>
      </c>
      <c r="T188" s="211">
        <v>46060</v>
      </c>
      <c r="U188" s="212">
        <v>0.64583333333333337</v>
      </c>
    </row>
    <row r="189" spans="6:21" ht="17.25" x14ac:dyDescent="0.2">
      <c r="F189" s="83">
        <f t="shared" si="14"/>
        <v>2</v>
      </c>
      <c r="G189" s="83" t="str">
        <f t="shared" si="15"/>
        <v>00130017</v>
      </c>
      <c r="H189" s="83" t="str">
        <f t="shared" si="16"/>
        <v>00170013</v>
      </c>
      <c r="I189" s="83">
        <f>IF($G189="",0,COUNTIF($G$7:$G189,$H189))</f>
        <v>1</v>
      </c>
      <c r="J189" s="83"/>
      <c r="K189" s="264" t="str">
        <f>Language!$E$85</f>
        <v>double</v>
      </c>
      <c r="L189" s="240" t="str">
        <f>IF(Calc!$F$26=0,"",IF(OR($M189&gt;Calc!$B$24,MOD($M189-1,Calc!$F$26)&gt;0),"",QUOTIENT($M189-1,Calc!$F$26)+1))</f>
        <v/>
      </c>
      <c r="M189" s="102">
        <v>183</v>
      </c>
      <c r="N189" s="302">
        <v>13</v>
      </c>
      <c r="O189" s="108" t="s">
        <v>4</v>
      </c>
      <c r="P189" s="304">
        <v>17</v>
      </c>
      <c r="Q189" s="109" t="str">
        <f t="shared" si="12"/>
        <v>RB Leipzig</v>
      </c>
      <c r="R189" s="110" t="s">
        <v>4</v>
      </c>
      <c r="S189" s="111" t="str">
        <f t="shared" si="13"/>
        <v>VfB Stuttgart</v>
      </c>
      <c r="T189" s="211">
        <v>46060</v>
      </c>
      <c r="U189" s="212">
        <v>0.64583333333333337</v>
      </c>
    </row>
    <row r="190" spans="6:21" ht="17.25" x14ac:dyDescent="0.2">
      <c r="F190" s="83">
        <f t="shared" si="14"/>
        <v>2</v>
      </c>
      <c r="G190" s="83" t="str">
        <f t="shared" si="15"/>
        <v>00180012</v>
      </c>
      <c r="H190" s="83" t="str">
        <f t="shared" si="16"/>
        <v>00120018</v>
      </c>
      <c r="I190" s="83">
        <f>IF($G190="",0,COUNTIF($G$7:$G190,$H190))</f>
        <v>1</v>
      </c>
      <c r="J190" s="83"/>
      <c r="K190" s="264" t="str">
        <f>Language!$E$85</f>
        <v>double</v>
      </c>
      <c r="L190" s="240" t="str">
        <f>IF(Calc!$F$26=0,"",IF(OR($M190&gt;Calc!$B$24,MOD($M190-1,Calc!$F$26)&gt;0),"",QUOTIENT($M190-1,Calc!$F$26)+1))</f>
        <v/>
      </c>
      <c r="M190" s="102">
        <v>184</v>
      </c>
      <c r="N190" s="302">
        <v>18</v>
      </c>
      <c r="O190" s="108" t="s">
        <v>4</v>
      </c>
      <c r="P190" s="304">
        <v>12</v>
      </c>
      <c r="Q190" s="109" t="str">
        <f t="shared" si="12"/>
        <v>VfL Wolfsburg</v>
      </c>
      <c r="R190" s="110" t="s">
        <v>4</v>
      </c>
      <c r="S190" s="111" t="str">
        <f t="shared" si="13"/>
        <v>Hamburger SV</v>
      </c>
      <c r="T190" s="211">
        <v>46060</v>
      </c>
      <c r="U190" s="212">
        <v>0.64583333333333337</v>
      </c>
    </row>
    <row r="191" spans="6:21" ht="17.25" x14ac:dyDescent="0.2">
      <c r="F191" s="83">
        <f t="shared" si="14"/>
        <v>2</v>
      </c>
      <c r="G191" s="83" t="str">
        <f t="shared" si="15"/>
        <v>00110002</v>
      </c>
      <c r="H191" s="83" t="str">
        <f t="shared" si="16"/>
        <v>00020011</v>
      </c>
      <c r="I191" s="83">
        <f>IF($G191="",0,COUNTIF($G$7:$G191,$H191))</f>
        <v>1</v>
      </c>
      <c r="J191" s="83"/>
      <c r="K191" s="264" t="str">
        <f>Language!$E$85</f>
        <v>double</v>
      </c>
      <c r="L191" s="240" t="str">
        <f>IF(Calc!$F$26=0,"",IF(OR($M191&gt;Calc!$B$24,MOD($M191-1,Calc!$F$26)&gt;0),"",QUOTIENT($M191-1,Calc!$F$26)+1))</f>
        <v/>
      </c>
      <c r="M191" s="102">
        <v>185</v>
      </c>
      <c r="N191" s="302">
        <v>11</v>
      </c>
      <c r="O191" s="108" t="s">
        <v>4</v>
      </c>
      <c r="P191" s="304">
        <v>2</v>
      </c>
      <c r="Q191" s="109" t="str">
        <f t="shared" si="12"/>
        <v>FC St. Pauli</v>
      </c>
      <c r="R191" s="110" t="s">
        <v>4</v>
      </c>
      <c r="S191" s="111" t="str">
        <f t="shared" si="13"/>
        <v>1. FC Köln</v>
      </c>
      <c r="T191" s="211">
        <v>46060</v>
      </c>
      <c r="U191" s="212">
        <v>0.64583333333333337</v>
      </c>
    </row>
    <row r="192" spans="6:21" ht="17.25" x14ac:dyDescent="0.2">
      <c r="F192" s="83">
        <f t="shared" si="14"/>
        <v>2</v>
      </c>
      <c r="G192" s="83" t="str">
        <f t="shared" si="15"/>
        <v>00030010</v>
      </c>
      <c r="H192" s="83" t="str">
        <f t="shared" si="16"/>
        <v>00100003</v>
      </c>
      <c r="I192" s="83">
        <f>IF($G192="",0,COUNTIF($G$7:$G192,$H192))</f>
        <v>1</v>
      </c>
      <c r="J192" s="83"/>
      <c r="K192" s="264" t="str">
        <f>Language!$E$85</f>
        <v>double</v>
      </c>
      <c r="L192" s="240" t="str">
        <f>IF(Calc!$F$26=0,"",IF(OR($M192&gt;Calc!$B$24,MOD($M192-1,Calc!$F$26)&gt;0),"",QUOTIENT($M192-1,Calc!$F$26)+1))</f>
        <v/>
      </c>
      <c r="M192" s="102">
        <v>186</v>
      </c>
      <c r="N192" s="302">
        <v>3</v>
      </c>
      <c r="O192" s="108" t="s">
        <v>4</v>
      </c>
      <c r="P192" s="304">
        <v>10</v>
      </c>
      <c r="Q192" s="109" t="str">
        <f t="shared" si="12"/>
        <v>1. FC Union Berlin</v>
      </c>
      <c r="R192" s="110" t="s">
        <v>4</v>
      </c>
      <c r="S192" s="111" t="str">
        <f t="shared" si="13"/>
        <v>FC Bayern München</v>
      </c>
      <c r="T192" s="211">
        <v>46060</v>
      </c>
      <c r="U192" s="212">
        <v>0.64583333333333337</v>
      </c>
    </row>
    <row r="193" spans="6:21" ht="17.25" x14ac:dyDescent="0.2">
      <c r="F193" s="83">
        <f t="shared" si="14"/>
        <v>2</v>
      </c>
      <c r="G193" s="83" t="str">
        <f t="shared" si="15"/>
        <v>00090004</v>
      </c>
      <c r="H193" s="83" t="str">
        <f t="shared" si="16"/>
        <v>00040009</v>
      </c>
      <c r="I193" s="83">
        <f>IF($G193="",0,COUNTIF($G$7:$G193,$H193))</f>
        <v>1</v>
      </c>
      <c r="J193" s="83"/>
      <c r="K193" s="264" t="str">
        <f>Language!$E$85</f>
        <v>double</v>
      </c>
      <c r="L193" s="240" t="str">
        <f>IF(Calc!$F$26=0,"",IF(OR($M193&gt;Calc!$B$24,MOD($M193-1,Calc!$F$26)&gt;0),"",QUOTIENT($M193-1,Calc!$F$26)+1))</f>
        <v/>
      </c>
      <c r="M193" s="102">
        <v>187</v>
      </c>
      <c r="N193" s="302">
        <v>9</v>
      </c>
      <c r="O193" s="108" t="s">
        <v>4</v>
      </c>
      <c r="P193" s="304">
        <v>4</v>
      </c>
      <c r="Q193" s="109" t="str">
        <f t="shared" si="12"/>
        <v>FC Augsburg</v>
      </c>
      <c r="R193" s="110" t="s">
        <v>4</v>
      </c>
      <c r="S193" s="111" t="str">
        <f t="shared" si="13"/>
        <v>1. FSV Mainz 05</v>
      </c>
      <c r="T193" s="211">
        <v>46060</v>
      </c>
      <c r="U193" s="212">
        <v>0.64583333333333337</v>
      </c>
    </row>
    <row r="194" spans="6:21" ht="17.25" x14ac:dyDescent="0.2">
      <c r="F194" s="83">
        <f t="shared" si="14"/>
        <v>2</v>
      </c>
      <c r="G194" s="83" t="str">
        <f t="shared" si="15"/>
        <v>00050008</v>
      </c>
      <c r="H194" s="83" t="str">
        <f t="shared" si="16"/>
        <v>00080005</v>
      </c>
      <c r="I194" s="83">
        <f>IF($G194="",0,COUNTIF($G$7:$G194,$H194))</f>
        <v>1</v>
      </c>
      <c r="J194" s="83"/>
      <c r="K194" s="264" t="str">
        <f>Language!$E$85</f>
        <v>double</v>
      </c>
      <c r="L194" s="240" t="str">
        <f>IF(Calc!$F$26=0,"",IF(OR($M194&gt;Calc!$B$24,MOD($M194-1,Calc!$F$26)&gt;0),"",QUOTIENT($M194-1,Calc!$F$26)+1))</f>
        <v/>
      </c>
      <c r="M194" s="102">
        <v>188</v>
      </c>
      <c r="N194" s="302">
        <v>5</v>
      </c>
      <c r="O194" s="108" t="s">
        <v>4</v>
      </c>
      <c r="P194" s="304">
        <v>8</v>
      </c>
      <c r="Q194" s="109" t="str">
        <f t="shared" si="12"/>
        <v>Bayer 04 Leverkusen</v>
      </c>
      <c r="R194" s="110" t="s">
        <v>4</v>
      </c>
      <c r="S194" s="111" t="str">
        <f t="shared" si="13"/>
        <v>Eintracht Frankfurt</v>
      </c>
      <c r="T194" s="211">
        <v>46060</v>
      </c>
      <c r="U194" s="212">
        <v>0.64583333333333337</v>
      </c>
    </row>
    <row r="195" spans="6:21" ht="17.25" x14ac:dyDescent="0.2">
      <c r="F195" s="83">
        <f t="shared" si="14"/>
        <v>2</v>
      </c>
      <c r="G195" s="83" t="str">
        <f t="shared" si="15"/>
        <v>00070006</v>
      </c>
      <c r="H195" s="83" t="str">
        <f t="shared" si="16"/>
        <v>00060007</v>
      </c>
      <c r="I195" s="83">
        <f>IF($G195="",0,COUNTIF($G$7:$G195,$H195))</f>
        <v>1</v>
      </c>
      <c r="J195" s="83"/>
      <c r="K195" s="264" t="str">
        <f>Language!$E$85</f>
        <v>double</v>
      </c>
      <c r="L195" s="240" t="str">
        <f>IF(Calc!$F$26=0,"",IF(OR($M195&gt;Calc!$B$24,MOD($M195-1,Calc!$F$26)&gt;0),"",QUOTIENT($M195-1,Calc!$F$26)+1))</f>
        <v/>
      </c>
      <c r="M195" s="102">
        <v>189</v>
      </c>
      <c r="N195" s="302">
        <v>7</v>
      </c>
      <c r="O195" s="108" t="s">
        <v>4</v>
      </c>
      <c r="P195" s="304">
        <v>6</v>
      </c>
      <c r="Q195" s="109" t="str">
        <f t="shared" si="12"/>
        <v>Borussia Mönchengladbach</v>
      </c>
      <c r="R195" s="110" t="s">
        <v>4</v>
      </c>
      <c r="S195" s="111" t="str">
        <f t="shared" si="13"/>
        <v>Borussia Dortmund</v>
      </c>
      <c r="T195" s="211">
        <v>46060</v>
      </c>
      <c r="U195" s="212">
        <v>0.64583333333333337</v>
      </c>
    </row>
    <row r="196" spans="6:21" ht="17.25" x14ac:dyDescent="0.2">
      <c r="F196" s="83">
        <f t="shared" si="14"/>
        <v>2</v>
      </c>
      <c r="G196" s="83" t="str">
        <f t="shared" si="15"/>
        <v>00140001</v>
      </c>
      <c r="H196" s="83" t="str">
        <f t="shared" si="16"/>
        <v>00010014</v>
      </c>
      <c r="I196" s="83">
        <f>IF($G196="",0,COUNTIF($G$7:$G196,$H196))</f>
        <v>1</v>
      </c>
      <c r="J196" s="83"/>
      <c r="K196" s="264" t="str">
        <f>Language!$E$85</f>
        <v>double</v>
      </c>
      <c r="L196" s="240">
        <f>IF(Calc!$F$26=0,"",IF(OR($M196&gt;Calc!$B$24,MOD($M196-1,Calc!$F$26)&gt;0),"",QUOTIENT($M196-1,Calc!$F$26)+1))</f>
        <v>22</v>
      </c>
      <c r="M196" s="102">
        <v>190</v>
      </c>
      <c r="N196" s="302">
        <v>14</v>
      </c>
      <c r="O196" s="108" t="s">
        <v>4</v>
      </c>
      <c r="P196" s="304">
        <v>1</v>
      </c>
      <c r="Q196" s="109" t="str">
        <f t="shared" si="12"/>
        <v>SC Freiburg</v>
      </c>
      <c r="R196" s="110" t="s">
        <v>4</v>
      </c>
      <c r="S196" s="111" t="str">
        <f t="shared" si="13"/>
        <v>1. FC Heidenheim 1846</v>
      </c>
      <c r="T196" s="211">
        <v>46067</v>
      </c>
      <c r="U196" s="212">
        <v>0.64583333333333337</v>
      </c>
    </row>
    <row r="197" spans="6:21" ht="17.25" x14ac:dyDescent="0.2">
      <c r="F197" s="83">
        <f t="shared" si="14"/>
        <v>2</v>
      </c>
      <c r="G197" s="83" t="str">
        <f t="shared" si="15"/>
        <v>00150013</v>
      </c>
      <c r="H197" s="83" t="str">
        <f t="shared" si="16"/>
        <v>00130015</v>
      </c>
      <c r="I197" s="83">
        <f>IF($G197="",0,COUNTIF($G$7:$G197,$H197))</f>
        <v>1</v>
      </c>
      <c r="J197" s="83"/>
      <c r="K197" s="264" t="str">
        <f>Language!$E$85</f>
        <v>double</v>
      </c>
      <c r="L197" s="240" t="str">
        <f>IF(Calc!$F$26=0,"",IF(OR($M197&gt;Calc!$B$24,MOD($M197-1,Calc!$F$26)&gt;0),"",QUOTIENT($M197-1,Calc!$F$26)+1))</f>
        <v/>
      </c>
      <c r="M197" s="102">
        <v>191</v>
      </c>
      <c r="N197" s="302">
        <v>15</v>
      </c>
      <c r="O197" s="108" t="s">
        <v>4</v>
      </c>
      <c r="P197" s="304">
        <v>13</v>
      </c>
      <c r="Q197" s="109" t="str">
        <f t="shared" si="12"/>
        <v>SV Werder Bremen</v>
      </c>
      <c r="R197" s="110" t="s">
        <v>4</v>
      </c>
      <c r="S197" s="111" t="str">
        <f t="shared" si="13"/>
        <v>RB Leipzig</v>
      </c>
      <c r="T197" s="211">
        <v>46067</v>
      </c>
      <c r="U197" s="212">
        <v>0.64583333333333337</v>
      </c>
    </row>
    <row r="198" spans="6:21" ht="17.25" x14ac:dyDescent="0.2">
      <c r="F198" s="83">
        <f t="shared" si="14"/>
        <v>2</v>
      </c>
      <c r="G198" s="83" t="str">
        <f t="shared" si="15"/>
        <v>00120016</v>
      </c>
      <c r="H198" s="83" t="str">
        <f t="shared" si="16"/>
        <v>00160012</v>
      </c>
      <c r="I198" s="83">
        <f>IF($G198="",0,COUNTIF($G$7:$G198,$H198))</f>
        <v>1</v>
      </c>
      <c r="J198" s="83"/>
      <c r="K198" s="264" t="str">
        <f>Language!$E$85</f>
        <v>double</v>
      </c>
      <c r="L198" s="240" t="str">
        <f>IF(Calc!$F$26=0,"",IF(OR($M198&gt;Calc!$B$24,MOD($M198-1,Calc!$F$26)&gt;0),"",QUOTIENT($M198-1,Calc!$F$26)+1))</f>
        <v/>
      </c>
      <c r="M198" s="102">
        <v>192</v>
      </c>
      <c r="N198" s="302">
        <v>12</v>
      </c>
      <c r="O198" s="108" t="s">
        <v>4</v>
      </c>
      <c r="P198" s="304">
        <v>16</v>
      </c>
      <c r="Q198" s="109" t="str">
        <f t="shared" si="12"/>
        <v>Hamburger SV</v>
      </c>
      <c r="R198" s="110" t="s">
        <v>4</v>
      </c>
      <c r="S198" s="111" t="str">
        <f t="shared" si="13"/>
        <v>TSG Hoffenheim</v>
      </c>
      <c r="T198" s="211">
        <v>46067</v>
      </c>
      <c r="U198" s="212">
        <v>0.64583333333333337</v>
      </c>
    </row>
    <row r="199" spans="6:21" ht="17.25" x14ac:dyDescent="0.2">
      <c r="F199" s="83">
        <f t="shared" si="14"/>
        <v>2</v>
      </c>
      <c r="G199" s="83" t="str">
        <f t="shared" si="15"/>
        <v>00170011</v>
      </c>
      <c r="H199" s="83" t="str">
        <f t="shared" si="16"/>
        <v>00110017</v>
      </c>
      <c r="I199" s="83">
        <f>IF($G199="",0,COUNTIF($G$7:$G199,$H199))</f>
        <v>1</v>
      </c>
      <c r="J199" s="83"/>
      <c r="K199" s="264" t="str">
        <f>Language!$E$85</f>
        <v>double</v>
      </c>
      <c r="L199" s="240" t="str">
        <f>IF(Calc!$F$26=0,"",IF(OR($M199&gt;Calc!$B$24,MOD($M199-1,Calc!$F$26)&gt;0),"",QUOTIENT($M199-1,Calc!$F$26)+1))</f>
        <v/>
      </c>
      <c r="M199" s="102">
        <v>193</v>
      </c>
      <c r="N199" s="302">
        <v>17</v>
      </c>
      <c r="O199" s="108" t="s">
        <v>4</v>
      </c>
      <c r="P199" s="304">
        <v>11</v>
      </c>
      <c r="Q199" s="109" t="str">
        <f t="shared" ref="Q199:Q262" si="17">IF(ISBLANK($N199),"",IF(ISBLANK(VLOOKUP($N199,$C$7:$D$26,2,0)),"",VLOOKUP($N199,$C$7:$D$26,2,0)))</f>
        <v>VfB Stuttgart</v>
      </c>
      <c r="R199" s="110" t="s">
        <v>4</v>
      </c>
      <c r="S199" s="111" t="str">
        <f t="shared" ref="S199:S262" si="18">IF(ISBLANK($P199),"",IF(ISBLANK(VLOOKUP($P199,$C$7:$D$26,2,0)),"",VLOOKUP($P199,$C$7:$D$26,2,0)))</f>
        <v>FC St. Pauli</v>
      </c>
      <c r="T199" s="211">
        <v>46067</v>
      </c>
      <c r="U199" s="212">
        <v>0.64583333333333337</v>
      </c>
    </row>
    <row r="200" spans="6:21" ht="17.25" x14ac:dyDescent="0.2">
      <c r="F200" s="83">
        <f t="shared" ref="F200:F263" si="19">IF($G200="",0,IF(LEFT($G200,4)=RIGHT($G200,4),100,IF(COUNTIF($G$7:$G$386,$G200)&gt;1,101,COUNTIF($G$7:$G$386,$G200)+COUNTIF($H$7:$H$386,$G200))))</f>
        <v>2</v>
      </c>
      <c r="G200" s="83" t="str">
        <f t="shared" ref="G200:G263" si="20">IF(OR($N200="",$P200=""),"",TEXT($N200,"0000")&amp;TEXT($P200,"0000"))</f>
        <v>00100018</v>
      </c>
      <c r="H200" s="83" t="str">
        <f t="shared" ref="H200:H263" si="21">IF(OR($N200="",$P200=""),"",TEXT($P200,"0000")&amp;TEXT($N200,"0000"))</f>
        <v>00180010</v>
      </c>
      <c r="I200" s="83">
        <f>IF($G200="",0,COUNTIF($G$7:$G200,$H200))</f>
        <v>1</v>
      </c>
      <c r="J200" s="83"/>
      <c r="K200" s="264" t="str">
        <f>Language!$E$85</f>
        <v>double</v>
      </c>
      <c r="L200" s="240" t="str">
        <f>IF(Calc!$F$26=0,"",IF(OR($M200&gt;Calc!$B$24,MOD($M200-1,Calc!$F$26)&gt;0),"",QUOTIENT($M200-1,Calc!$F$26)+1))</f>
        <v/>
      </c>
      <c r="M200" s="102">
        <v>194</v>
      </c>
      <c r="N200" s="302">
        <v>10</v>
      </c>
      <c r="O200" s="108" t="s">
        <v>4</v>
      </c>
      <c r="P200" s="304">
        <v>18</v>
      </c>
      <c r="Q200" s="109" t="str">
        <f t="shared" si="17"/>
        <v>FC Bayern München</v>
      </c>
      <c r="R200" s="110" t="s">
        <v>4</v>
      </c>
      <c r="S200" s="111" t="str">
        <f t="shared" si="18"/>
        <v>VfL Wolfsburg</v>
      </c>
      <c r="T200" s="211">
        <v>46067</v>
      </c>
      <c r="U200" s="212">
        <v>0.64583333333333337</v>
      </c>
    </row>
    <row r="201" spans="6:21" ht="17.25" x14ac:dyDescent="0.2">
      <c r="F201" s="83">
        <f t="shared" si="19"/>
        <v>2</v>
      </c>
      <c r="G201" s="83" t="str">
        <f t="shared" si="20"/>
        <v>00020009</v>
      </c>
      <c r="H201" s="83" t="str">
        <f t="shared" si="21"/>
        <v>00090002</v>
      </c>
      <c r="I201" s="83">
        <f>IF($G201="",0,COUNTIF($G$7:$G201,$H201))</f>
        <v>1</v>
      </c>
      <c r="J201" s="83"/>
      <c r="K201" s="264" t="str">
        <f>Language!$E$85</f>
        <v>double</v>
      </c>
      <c r="L201" s="240" t="str">
        <f>IF(Calc!$F$26=0,"",IF(OR($M201&gt;Calc!$B$24,MOD($M201-1,Calc!$F$26)&gt;0),"",QUOTIENT($M201-1,Calc!$F$26)+1))</f>
        <v/>
      </c>
      <c r="M201" s="102">
        <v>195</v>
      </c>
      <c r="N201" s="302">
        <v>2</v>
      </c>
      <c r="O201" s="108" t="s">
        <v>4</v>
      </c>
      <c r="P201" s="304">
        <v>9</v>
      </c>
      <c r="Q201" s="109" t="str">
        <f t="shared" si="17"/>
        <v>1. FC Köln</v>
      </c>
      <c r="R201" s="110" t="s">
        <v>4</v>
      </c>
      <c r="S201" s="111" t="str">
        <f t="shared" si="18"/>
        <v>FC Augsburg</v>
      </c>
      <c r="T201" s="211">
        <v>46067</v>
      </c>
      <c r="U201" s="212">
        <v>0.64583333333333337</v>
      </c>
    </row>
    <row r="202" spans="6:21" ht="17.25" x14ac:dyDescent="0.2">
      <c r="F202" s="83">
        <f t="shared" si="19"/>
        <v>2</v>
      </c>
      <c r="G202" s="83" t="str">
        <f t="shared" si="20"/>
        <v>00080003</v>
      </c>
      <c r="H202" s="83" t="str">
        <f t="shared" si="21"/>
        <v>00030008</v>
      </c>
      <c r="I202" s="83">
        <f>IF($G202="",0,COUNTIF($G$7:$G202,$H202))</f>
        <v>1</v>
      </c>
      <c r="J202" s="83"/>
      <c r="K202" s="264" t="str">
        <f>Language!$E$85</f>
        <v>double</v>
      </c>
      <c r="L202" s="240" t="str">
        <f>IF(Calc!$F$26=0,"",IF(OR($M202&gt;Calc!$B$24,MOD($M202-1,Calc!$F$26)&gt;0),"",QUOTIENT($M202-1,Calc!$F$26)+1))</f>
        <v/>
      </c>
      <c r="M202" s="102">
        <v>196</v>
      </c>
      <c r="N202" s="302">
        <v>8</v>
      </c>
      <c r="O202" s="108" t="s">
        <v>4</v>
      </c>
      <c r="P202" s="304">
        <v>3</v>
      </c>
      <c r="Q202" s="109" t="str">
        <f t="shared" si="17"/>
        <v>Eintracht Frankfurt</v>
      </c>
      <c r="R202" s="110" t="s">
        <v>4</v>
      </c>
      <c r="S202" s="111" t="str">
        <f t="shared" si="18"/>
        <v>1. FC Union Berlin</v>
      </c>
      <c r="T202" s="211">
        <v>46067</v>
      </c>
      <c r="U202" s="212">
        <v>0.64583333333333337</v>
      </c>
    </row>
    <row r="203" spans="6:21" ht="17.25" x14ac:dyDescent="0.2">
      <c r="F203" s="83">
        <f t="shared" si="19"/>
        <v>2</v>
      </c>
      <c r="G203" s="83" t="str">
        <f t="shared" si="20"/>
        <v>00040007</v>
      </c>
      <c r="H203" s="83" t="str">
        <f t="shared" si="21"/>
        <v>00070004</v>
      </c>
      <c r="I203" s="83">
        <f>IF($G203="",0,COUNTIF($G$7:$G203,$H203))</f>
        <v>1</v>
      </c>
      <c r="J203" s="83"/>
      <c r="K203" s="264" t="str">
        <f>Language!$E$85</f>
        <v>double</v>
      </c>
      <c r="L203" s="240" t="str">
        <f>IF(Calc!$F$26=0,"",IF(OR($M203&gt;Calc!$B$24,MOD($M203-1,Calc!$F$26)&gt;0),"",QUOTIENT($M203-1,Calc!$F$26)+1))</f>
        <v/>
      </c>
      <c r="M203" s="102">
        <v>197</v>
      </c>
      <c r="N203" s="302">
        <v>4</v>
      </c>
      <c r="O203" s="108" t="s">
        <v>4</v>
      </c>
      <c r="P203" s="304">
        <v>7</v>
      </c>
      <c r="Q203" s="109" t="str">
        <f t="shared" si="17"/>
        <v>1. FSV Mainz 05</v>
      </c>
      <c r="R203" s="110" t="s">
        <v>4</v>
      </c>
      <c r="S203" s="111" t="str">
        <f t="shared" si="18"/>
        <v>Borussia Mönchengladbach</v>
      </c>
      <c r="T203" s="211">
        <v>46067</v>
      </c>
      <c r="U203" s="212">
        <v>0.64583333333333337</v>
      </c>
    </row>
    <row r="204" spans="6:21" ht="17.25" x14ac:dyDescent="0.2">
      <c r="F204" s="83">
        <f t="shared" si="19"/>
        <v>2</v>
      </c>
      <c r="G204" s="83" t="str">
        <f t="shared" si="20"/>
        <v>00060005</v>
      </c>
      <c r="H204" s="83" t="str">
        <f t="shared" si="21"/>
        <v>00050006</v>
      </c>
      <c r="I204" s="83">
        <f>IF($G204="",0,COUNTIF($G$7:$G204,$H204))</f>
        <v>1</v>
      </c>
      <c r="J204" s="83"/>
      <c r="K204" s="264" t="str">
        <f>Language!$E$85</f>
        <v>double</v>
      </c>
      <c r="L204" s="240" t="str">
        <f>IF(Calc!$F$26=0,"",IF(OR($M204&gt;Calc!$B$24,MOD($M204-1,Calc!$F$26)&gt;0),"",QUOTIENT($M204-1,Calc!$F$26)+1))</f>
        <v/>
      </c>
      <c r="M204" s="102">
        <v>198</v>
      </c>
      <c r="N204" s="302">
        <v>6</v>
      </c>
      <c r="O204" s="108" t="s">
        <v>4</v>
      </c>
      <c r="P204" s="304">
        <v>5</v>
      </c>
      <c r="Q204" s="109" t="str">
        <f t="shared" si="17"/>
        <v>Borussia Dortmund</v>
      </c>
      <c r="R204" s="110" t="s">
        <v>4</v>
      </c>
      <c r="S204" s="111" t="str">
        <f t="shared" si="18"/>
        <v>Bayer 04 Leverkusen</v>
      </c>
      <c r="T204" s="211">
        <v>46067</v>
      </c>
      <c r="U204" s="212">
        <v>0.64583333333333337</v>
      </c>
    </row>
    <row r="205" spans="6:21" ht="17.25" x14ac:dyDescent="0.2">
      <c r="F205" s="83">
        <f t="shared" si="19"/>
        <v>2</v>
      </c>
      <c r="G205" s="83" t="str">
        <f t="shared" si="20"/>
        <v>00010013</v>
      </c>
      <c r="H205" s="83" t="str">
        <f t="shared" si="21"/>
        <v>00130001</v>
      </c>
      <c r="I205" s="83">
        <f>IF($G205="",0,COUNTIF($G$7:$G205,$H205))</f>
        <v>1</v>
      </c>
      <c r="J205" s="83"/>
      <c r="K205" s="264" t="str">
        <f>Language!$E$85</f>
        <v>double</v>
      </c>
      <c r="L205" s="240">
        <f>IF(Calc!$F$26=0,"",IF(OR($M205&gt;Calc!$B$24,MOD($M205-1,Calc!$F$26)&gt;0),"",QUOTIENT($M205-1,Calc!$F$26)+1))</f>
        <v>23</v>
      </c>
      <c r="M205" s="102">
        <v>199</v>
      </c>
      <c r="N205" s="302">
        <v>1</v>
      </c>
      <c r="O205" s="108" t="s">
        <v>4</v>
      </c>
      <c r="P205" s="304">
        <v>13</v>
      </c>
      <c r="Q205" s="109" t="str">
        <f t="shared" si="17"/>
        <v>1. FC Heidenheim 1846</v>
      </c>
      <c r="R205" s="110" t="s">
        <v>4</v>
      </c>
      <c r="S205" s="111" t="str">
        <f t="shared" si="18"/>
        <v>RB Leipzig</v>
      </c>
      <c r="T205" s="211">
        <v>46074</v>
      </c>
      <c r="U205" s="212">
        <v>0.64583333333333337</v>
      </c>
    </row>
    <row r="206" spans="6:21" ht="17.25" x14ac:dyDescent="0.2">
      <c r="F206" s="83">
        <f t="shared" si="19"/>
        <v>2</v>
      </c>
      <c r="G206" s="83" t="str">
        <f t="shared" si="20"/>
        <v>00140012</v>
      </c>
      <c r="H206" s="83" t="str">
        <f t="shared" si="21"/>
        <v>00120014</v>
      </c>
      <c r="I206" s="83">
        <f>IF($G206="",0,COUNTIF($G$7:$G206,$H206))</f>
        <v>1</v>
      </c>
      <c r="J206" s="83"/>
      <c r="K206" s="264" t="str">
        <f>Language!$E$85</f>
        <v>double</v>
      </c>
      <c r="L206" s="240" t="str">
        <f>IF(Calc!$F$26=0,"",IF(OR($M206&gt;Calc!$B$24,MOD($M206-1,Calc!$F$26)&gt;0),"",QUOTIENT($M206-1,Calc!$F$26)+1))</f>
        <v/>
      </c>
      <c r="M206" s="102">
        <v>200</v>
      </c>
      <c r="N206" s="302">
        <v>14</v>
      </c>
      <c r="O206" s="108" t="s">
        <v>4</v>
      </c>
      <c r="P206" s="304">
        <v>12</v>
      </c>
      <c r="Q206" s="109" t="str">
        <f t="shared" si="17"/>
        <v>SC Freiburg</v>
      </c>
      <c r="R206" s="110" t="s">
        <v>4</v>
      </c>
      <c r="S206" s="111" t="str">
        <f t="shared" si="18"/>
        <v>Hamburger SV</v>
      </c>
      <c r="T206" s="211">
        <v>46074</v>
      </c>
      <c r="U206" s="212">
        <v>0.64583333333333337</v>
      </c>
    </row>
    <row r="207" spans="6:21" ht="17.25" x14ac:dyDescent="0.2">
      <c r="F207" s="83">
        <f t="shared" si="19"/>
        <v>2</v>
      </c>
      <c r="G207" s="83" t="str">
        <f t="shared" si="20"/>
        <v>00110015</v>
      </c>
      <c r="H207" s="83" t="str">
        <f t="shared" si="21"/>
        <v>00150011</v>
      </c>
      <c r="I207" s="83">
        <f>IF($G207="",0,COUNTIF($G$7:$G207,$H207))</f>
        <v>1</v>
      </c>
      <c r="J207" s="83"/>
      <c r="K207" s="264" t="str">
        <f>Language!$E$85</f>
        <v>double</v>
      </c>
      <c r="L207" s="240" t="str">
        <f>IF(Calc!$F$26=0,"",IF(OR($M207&gt;Calc!$B$24,MOD($M207-1,Calc!$F$26)&gt;0),"",QUOTIENT($M207-1,Calc!$F$26)+1))</f>
        <v/>
      </c>
      <c r="M207" s="102">
        <v>201</v>
      </c>
      <c r="N207" s="302">
        <v>11</v>
      </c>
      <c r="O207" s="108" t="s">
        <v>4</v>
      </c>
      <c r="P207" s="304">
        <v>15</v>
      </c>
      <c r="Q207" s="109" t="str">
        <f t="shared" si="17"/>
        <v>FC St. Pauli</v>
      </c>
      <c r="R207" s="110" t="s">
        <v>4</v>
      </c>
      <c r="S207" s="111" t="str">
        <f t="shared" si="18"/>
        <v>SV Werder Bremen</v>
      </c>
      <c r="T207" s="211">
        <v>46074</v>
      </c>
      <c r="U207" s="212">
        <v>0.64583333333333337</v>
      </c>
    </row>
    <row r="208" spans="6:21" ht="17.25" x14ac:dyDescent="0.2">
      <c r="F208" s="83">
        <f t="shared" si="19"/>
        <v>2</v>
      </c>
      <c r="G208" s="83" t="str">
        <f t="shared" si="20"/>
        <v>00160010</v>
      </c>
      <c r="H208" s="83" t="str">
        <f t="shared" si="21"/>
        <v>00100016</v>
      </c>
      <c r="I208" s="83">
        <f>IF($G208="",0,COUNTIF($G$7:$G208,$H208))</f>
        <v>1</v>
      </c>
      <c r="J208" s="83"/>
      <c r="K208" s="264" t="str">
        <f>Language!$E$85</f>
        <v>double</v>
      </c>
      <c r="L208" s="240" t="str">
        <f>IF(Calc!$F$26=0,"",IF(OR($M208&gt;Calc!$B$24,MOD($M208-1,Calc!$F$26)&gt;0),"",QUOTIENT($M208-1,Calc!$F$26)+1))</f>
        <v/>
      </c>
      <c r="M208" s="102">
        <v>202</v>
      </c>
      <c r="N208" s="302">
        <v>16</v>
      </c>
      <c r="O208" s="108" t="s">
        <v>4</v>
      </c>
      <c r="P208" s="304">
        <v>10</v>
      </c>
      <c r="Q208" s="109" t="str">
        <f t="shared" si="17"/>
        <v>TSG Hoffenheim</v>
      </c>
      <c r="R208" s="110" t="s">
        <v>4</v>
      </c>
      <c r="S208" s="111" t="str">
        <f t="shared" si="18"/>
        <v>FC Bayern München</v>
      </c>
      <c r="T208" s="211">
        <v>46074</v>
      </c>
      <c r="U208" s="212">
        <v>0.64583333333333337</v>
      </c>
    </row>
    <row r="209" spans="6:21" ht="17.25" x14ac:dyDescent="0.2">
      <c r="F209" s="83">
        <f t="shared" si="19"/>
        <v>2</v>
      </c>
      <c r="G209" s="83" t="str">
        <f t="shared" si="20"/>
        <v>00090017</v>
      </c>
      <c r="H209" s="83" t="str">
        <f t="shared" si="21"/>
        <v>00170009</v>
      </c>
      <c r="I209" s="83">
        <f>IF($G209="",0,COUNTIF($G$7:$G209,$H209))</f>
        <v>1</v>
      </c>
      <c r="J209" s="83"/>
      <c r="K209" s="264" t="str">
        <f>Language!$E$85</f>
        <v>double</v>
      </c>
      <c r="L209" s="240" t="str">
        <f>IF(Calc!$F$26=0,"",IF(OR($M209&gt;Calc!$B$24,MOD($M209-1,Calc!$F$26)&gt;0),"",QUOTIENT($M209-1,Calc!$F$26)+1))</f>
        <v/>
      </c>
      <c r="M209" s="102">
        <v>203</v>
      </c>
      <c r="N209" s="302">
        <v>9</v>
      </c>
      <c r="O209" s="108" t="s">
        <v>4</v>
      </c>
      <c r="P209" s="304">
        <v>17</v>
      </c>
      <c r="Q209" s="109" t="str">
        <f t="shared" si="17"/>
        <v>FC Augsburg</v>
      </c>
      <c r="R209" s="110" t="s">
        <v>4</v>
      </c>
      <c r="S209" s="111" t="str">
        <f t="shared" si="18"/>
        <v>VfB Stuttgart</v>
      </c>
      <c r="T209" s="211">
        <v>46074</v>
      </c>
      <c r="U209" s="212">
        <v>0.64583333333333337</v>
      </c>
    </row>
    <row r="210" spans="6:21" ht="17.25" x14ac:dyDescent="0.2">
      <c r="F210" s="83">
        <f t="shared" si="19"/>
        <v>2</v>
      </c>
      <c r="G210" s="83" t="str">
        <f t="shared" si="20"/>
        <v>00180008</v>
      </c>
      <c r="H210" s="83" t="str">
        <f t="shared" si="21"/>
        <v>00080018</v>
      </c>
      <c r="I210" s="83">
        <f>IF($G210="",0,COUNTIF($G$7:$G210,$H210))</f>
        <v>1</v>
      </c>
      <c r="J210" s="83"/>
      <c r="K210" s="264" t="str">
        <f>Language!$E$85</f>
        <v>double</v>
      </c>
      <c r="L210" s="240" t="str">
        <f>IF(Calc!$F$26=0,"",IF(OR($M210&gt;Calc!$B$24,MOD($M210-1,Calc!$F$26)&gt;0),"",QUOTIENT($M210-1,Calc!$F$26)+1))</f>
        <v/>
      </c>
      <c r="M210" s="102">
        <v>204</v>
      </c>
      <c r="N210" s="302">
        <v>18</v>
      </c>
      <c r="O210" s="108" t="s">
        <v>4</v>
      </c>
      <c r="P210" s="304">
        <v>8</v>
      </c>
      <c r="Q210" s="109" t="str">
        <f t="shared" si="17"/>
        <v>VfL Wolfsburg</v>
      </c>
      <c r="R210" s="110" t="s">
        <v>4</v>
      </c>
      <c r="S210" s="111" t="str">
        <f t="shared" si="18"/>
        <v>Eintracht Frankfurt</v>
      </c>
      <c r="T210" s="211">
        <v>46074</v>
      </c>
      <c r="U210" s="212">
        <v>0.64583333333333337</v>
      </c>
    </row>
    <row r="211" spans="6:21" ht="17.25" x14ac:dyDescent="0.2">
      <c r="F211" s="83">
        <f t="shared" si="19"/>
        <v>2</v>
      </c>
      <c r="G211" s="83" t="str">
        <f t="shared" si="20"/>
        <v>00070002</v>
      </c>
      <c r="H211" s="83" t="str">
        <f t="shared" si="21"/>
        <v>00020007</v>
      </c>
      <c r="I211" s="83">
        <f>IF($G211="",0,COUNTIF($G$7:$G211,$H211))</f>
        <v>1</v>
      </c>
      <c r="J211" s="83"/>
      <c r="K211" s="264" t="str">
        <f>Language!$E$85</f>
        <v>double</v>
      </c>
      <c r="L211" s="240" t="str">
        <f>IF(Calc!$F$26=0,"",IF(OR($M211&gt;Calc!$B$24,MOD($M211-1,Calc!$F$26)&gt;0),"",QUOTIENT($M211-1,Calc!$F$26)+1))</f>
        <v/>
      </c>
      <c r="M211" s="102">
        <v>205</v>
      </c>
      <c r="N211" s="302">
        <v>7</v>
      </c>
      <c r="O211" s="108" t="s">
        <v>4</v>
      </c>
      <c r="P211" s="304">
        <v>2</v>
      </c>
      <c r="Q211" s="109" t="str">
        <f t="shared" si="17"/>
        <v>Borussia Mönchengladbach</v>
      </c>
      <c r="R211" s="110" t="s">
        <v>4</v>
      </c>
      <c r="S211" s="111" t="str">
        <f t="shared" si="18"/>
        <v>1. FC Köln</v>
      </c>
      <c r="T211" s="211">
        <v>46074</v>
      </c>
      <c r="U211" s="212">
        <v>0.64583333333333337</v>
      </c>
    </row>
    <row r="212" spans="6:21" ht="17.25" x14ac:dyDescent="0.2">
      <c r="F212" s="83">
        <f t="shared" si="19"/>
        <v>2</v>
      </c>
      <c r="G212" s="83" t="str">
        <f t="shared" si="20"/>
        <v>00030006</v>
      </c>
      <c r="H212" s="83" t="str">
        <f t="shared" si="21"/>
        <v>00060003</v>
      </c>
      <c r="I212" s="83">
        <f>IF($G212="",0,COUNTIF($G$7:$G212,$H212))</f>
        <v>1</v>
      </c>
      <c r="J212" s="83"/>
      <c r="K212" s="264" t="str">
        <f>Language!$E$85</f>
        <v>double</v>
      </c>
      <c r="L212" s="240" t="str">
        <f>IF(Calc!$F$26=0,"",IF(OR($M212&gt;Calc!$B$24,MOD($M212-1,Calc!$F$26)&gt;0),"",QUOTIENT($M212-1,Calc!$F$26)+1))</f>
        <v/>
      </c>
      <c r="M212" s="102">
        <v>206</v>
      </c>
      <c r="N212" s="302">
        <v>3</v>
      </c>
      <c r="O212" s="108" t="s">
        <v>4</v>
      </c>
      <c r="P212" s="304">
        <v>6</v>
      </c>
      <c r="Q212" s="109" t="str">
        <f t="shared" si="17"/>
        <v>1. FC Union Berlin</v>
      </c>
      <c r="R212" s="110" t="s">
        <v>4</v>
      </c>
      <c r="S212" s="111" t="str">
        <f t="shared" si="18"/>
        <v>Borussia Dortmund</v>
      </c>
      <c r="T212" s="211">
        <v>46074</v>
      </c>
      <c r="U212" s="212">
        <v>0.64583333333333337</v>
      </c>
    </row>
    <row r="213" spans="6:21" ht="17.25" x14ac:dyDescent="0.2">
      <c r="F213" s="83">
        <f t="shared" si="19"/>
        <v>2</v>
      </c>
      <c r="G213" s="83" t="str">
        <f t="shared" si="20"/>
        <v>00050004</v>
      </c>
      <c r="H213" s="83" t="str">
        <f t="shared" si="21"/>
        <v>00040005</v>
      </c>
      <c r="I213" s="83">
        <f>IF($G213="",0,COUNTIF($G$7:$G213,$H213))</f>
        <v>1</v>
      </c>
      <c r="J213" s="83"/>
      <c r="K213" s="264" t="str">
        <f>Language!$E$85</f>
        <v>double</v>
      </c>
      <c r="L213" s="240" t="str">
        <f>IF(Calc!$F$26=0,"",IF(OR($M213&gt;Calc!$B$24,MOD($M213-1,Calc!$F$26)&gt;0),"",QUOTIENT($M213-1,Calc!$F$26)+1))</f>
        <v/>
      </c>
      <c r="M213" s="102">
        <v>207</v>
      </c>
      <c r="N213" s="302">
        <v>5</v>
      </c>
      <c r="O213" s="108" t="s">
        <v>4</v>
      </c>
      <c r="P213" s="304">
        <v>4</v>
      </c>
      <c r="Q213" s="109" t="str">
        <f t="shared" si="17"/>
        <v>Bayer 04 Leverkusen</v>
      </c>
      <c r="R213" s="110" t="s">
        <v>4</v>
      </c>
      <c r="S213" s="111" t="str">
        <f t="shared" si="18"/>
        <v>1. FSV Mainz 05</v>
      </c>
      <c r="T213" s="211">
        <v>46074</v>
      </c>
      <c r="U213" s="212">
        <v>0.64583333333333337</v>
      </c>
    </row>
    <row r="214" spans="6:21" ht="17.25" x14ac:dyDescent="0.2">
      <c r="F214" s="83">
        <f t="shared" si="19"/>
        <v>2</v>
      </c>
      <c r="G214" s="83" t="str">
        <f t="shared" si="20"/>
        <v>00120001</v>
      </c>
      <c r="H214" s="83" t="str">
        <f t="shared" si="21"/>
        <v>00010012</v>
      </c>
      <c r="I214" s="83">
        <f>IF($G214="",0,COUNTIF($G$7:$G214,$H214))</f>
        <v>1</v>
      </c>
      <c r="J214" s="83"/>
      <c r="K214" s="264" t="str">
        <f>Language!$E$85</f>
        <v>double</v>
      </c>
      <c r="L214" s="240">
        <f>IF(Calc!$F$26=0,"",IF(OR($M214&gt;Calc!$B$24,MOD($M214-1,Calc!$F$26)&gt;0),"",QUOTIENT($M214-1,Calc!$F$26)+1))</f>
        <v>24</v>
      </c>
      <c r="M214" s="102">
        <v>208</v>
      </c>
      <c r="N214" s="302">
        <v>12</v>
      </c>
      <c r="O214" s="108" t="s">
        <v>4</v>
      </c>
      <c r="P214" s="304">
        <v>1</v>
      </c>
      <c r="Q214" s="109" t="str">
        <f t="shared" si="17"/>
        <v>Hamburger SV</v>
      </c>
      <c r="R214" s="110" t="s">
        <v>4</v>
      </c>
      <c r="S214" s="111" t="str">
        <f t="shared" si="18"/>
        <v>1. FC Heidenheim 1846</v>
      </c>
      <c r="T214" s="211">
        <v>46081</v>
      </c>
      <c r="U214" s="212">
        <v>0.64583333333333337</v>
      </c>
    </row>
    <row r="215" spans="6:21" ht="17.25" x14ac:dyDescent="0.2">
      <c r="F215" s="83">
        <f t="shared" si="19"/>
        <v>2</v>
      </c>
      <c r="G215" s="83" t="str">
        <f t="shared" si="20"/>
        <v>00130011</v>
      </c>
      <c r="H215" s="83" t="str">
        <f t="shared" si="21"/>
        <v>00110013</v>
      </c>
      <c r="I215" s="83">
        <f>IF($G215="",0,COUNTIF($G$7:$G215,$H215))</f>
        <v>1</v>
      </c>
      <c r="J215" s="83"/>
      <c r="K215" s="264" t="str">
        <f>Language!$E$85</f>
        <v>double</v>
      </c>
      <c r="L215" s="240" t="str">
        <f>IF(Calc!$F$26=0,"",IF(OR($M215&gt;Calc!$B$24,MOD($M215-1,Calc!$F$26)&gt;0),"",QUOTIENT($M215-1,Calc!$F$26)+1))</f>
        <v/>
      </c>
      <c r="M215" s="102">
        <v>209</v>
      </c>
      <c r="N215" s="302">
        <v>13</v>
      </c>
      <c r="O215" s="108" t="s">
        <v>4</v>
      </c>
      <c r="P215" s="304">
        <v>11</v>
      </c>
      <c r="Q215" s="109" t="str">
        <f t="shared" si="17"/>
        <v>RB Leipzig</v>
      </c>
      <c r="R215" s="110" t="s">
        <v>4</v>
      </c>
      <c r="S215" s="111" t="str">
        <f t="shared" si="18"/>
        <v>FC St. Pauli</v>
      </c>
      <c r="T215" s="211">
        <v>46081</v>
      </c>
      <c r="U215" s="212">
        <v>0.64583333333333337</v>
      </c>
    </row>
    <row r="216" spans="6:21" ht="17.25" x14ac:dyDescent="0.2">
      <c r="F216" s="83">
        <f t="shared" si="19"/>
        <v>2</v>
      </c>
      <c r="G216" s="83" t="str">
        <f t="shared" si="20"/>
        <v>00100014</v>
      </c>
      <c r="H216" s="83" t="str">
        <f t="shared" si="21"/>
        <v>00140010</v>
      </c>
      <c r="I216" s="83">
        <f>IF($G216="",0,COUNTIF($G$7:$G216,$H216))</f>
        <v>1</v>
      </c>
      <c r="J216" s="83"/>
      <c r="K216" s="264" t="str">
        <f>Language!$E$85</f>
        <v>double</v>
      </c>
      <c r="L216" s="240" t="str">
        <f>IF(Calc!$F$26=0,"",IF(OR($M216&gt;Calc!$B$24,MOD($M216-1,Calc!$F$26)&gt;0),"",QUOTIENT($M216-1,Calc!$F$26)+1))</f>
        <v/>
      </c>
      <c r="M216" s="102">
        <v>210</v>
      </c>
      <c r="N216" s="302">
        <v>10</v>
      </c>
      <c r="O216" s="108" t="s">
        <v>4</v>
      </c>
      <c r="P216" s="304">
        <v>14</v>
      </c>
      <c r="Q216" s="109" t="str">
        <f t="shared" si="17"/>
        <v>FC Bayern München</v>
      </c>
      <c r="R216" s="110" t="s">
        <v>4</v>
      </c>
      <c r="S216" s="111" t="str">
        <f t="shared" si="18"/>
        <v>SC Freiburg</v>
      </c>
      <c r="T216" s="211">
        <v>46081</v>
      </c>
      <c r="U216" s="212">
        <v>0.64583333333333337</v>
      </c>
    </row>
    <row r="217" spans="6:21" ht="17.25" x14ac:dyDescent="0.2">
      <c r="F217" s="83">
        <f t="shared" si="19"/>
        <v>2</v>
      </c>
      <c r="G217" s="83" t="str">
        <f t="shared" si="20"/>
        <v>00150009</v>
      </c>
      <c r="H217" s="83" t="str">
        <f t="shared" si="21"/>
        <v>00090015</v>
      </c>
      <c r="I217" s="83">
        <f>IF($G217="",0,COUNTIF($G$7:$G217,$H217))</f>
        <v>1</v>
      </c>
      <c r="J217" s="83"/>
      <c r="K217" s="264" t="str">
        <f>Language!$E$85</f>
        <v>double</v>
      </c>
      <c r="L217" s="240" t="str">
        <f>IF(Calc!$F$26=0,"",IF(OR($M217&gt;Calc!$B$24,MOD($M217-1,Calc!$F$26)&gt;0),"",QUOTIENT($M217-1,Calc!$F$26)+1))</f>
        <v/>
      </c>
      <c r="M217" s="102">
        <v>211</v>
      </c>
      <c r="N217" s="302">
        <v>15</v>
      </c>
      <c r="O217" s="108" t="s">
        <v>4</v>
      </c>
      <c r="P217" s="304">
        <v>9</v>
      </c>
      <c r="Q217" s="109" t="str">
        <f t="shared" si="17"/>
        <v>SV Werder Bremen</v>
      </c>
      <c r="R217" s="110" t="s">
        <v>4</v>
      </c>
      <c r="S217" s="111" t="str">
        <f t="shared" si="18"/>
        <v>FC Augsburg</v>
      </c>
      <c r="T217" s="211">
        <v>46081</v>
      </c>
      <c r="U217" s="212">
        <v>0.64583333333333337</v>
      </c>
    </row>
    <row r="218" spans="6:21" ht="17.25" x14ac:dyDescent="0.2">
      <c r="F218" s="83">
        <f t="shared" si="19"/>
        <v>2</v>
      </c>
      <c r="G218" s="83" t="str">
        <f t="shared" si="20"/>
        <v>00080016</v>
      </c>
      <c r="H218" s="83" t="str">
        <f t="shared" si="21"/>
        <v>00160008</v>
      </c>
      <c r="I218" s="83">
        <f>IF($G218="",0,COUNTIF($G$7:$G218,$H218))</f>
        <v>1</v>
      </c>
      <c r="J218" s="83"/>
      <c r="K218" s="264" t="str">
        <f>Language!$E$85</f>
        <v>double</v>
      </c>
      <c r="L218" s="240" t="str">
        <f>IF(Calc!$F$26=0,"",IF(OR($M218&gt;Calc!$B$24,MOD($M218-1,Calc!$F$26)&gt;0),"",QUOTIENT($M218-1,Calc!$F$26)+1))</f>
        <v/>
      </c>
      <c r="M218" s="102">
        <v>212</v>
      </c>
      <c r="N218" s="302">
        <v>8</v>
      </c>
      <c r="O218" s="108" t="s">
        <v>4</v>
      </c>
      <c r="P218" s="304">
        <v>16</v>
      </c>
      <c r="Q218" s="109" t="str">
        <f t="shared" si="17"/>
        <v>Eintracht Frankfurt</v>
      </c>
      <c r="R218" s="110" t="s">
        <v>4</v>
      </c>
      <c r="S218" s="111" t="str">
        <f t="shared" si="18"/>
        <v>TSG Hoffenheim</v>
      </c>
      <c r="T218" s="211">
        <v>46081</v>
      </c>
      <c r="U218" s="212">
        <v>0.64583333333333337</v>
      </c>
    </row>
    <row r="219" spans="6:21" ht="17.25" x14ac:dyDescent="0.2">
      <c r="F219" s="83">
        <f t="shared" si="19"/>
        <v>2</v>
      </c>
      <c r="G219" s="83" t="str">
        <f t="shared" si="20"/>
        <v>00170007</v>
      </c>
      <c r="H219" s="83" t="str">
        <f t="shared" si="21"/>
        <v>00070017</v>
      </c>
      <c r="I219" s="83">
        <f>IF($G219="",0,COUNTIF($G$7:$G219,$H219))</f>
        <v>1</v>
      </c>
      <c r="J219" s="83"/>
      <c r="K219" s="264" t="str">
        <f>Language!$E$85</f>
        <v>double</v>
      </c>
      <c r="L219" s="240" t="str">
        <f>IF(Calc!$F$26=0,"",IF(OR($M219&gt;Calc!$B$24,MOD($M219-1,Calc!$F$26)&gt;0),"",QUOTIENT($M219-1,Calc!$F$26)+1))</f>
        <v/>
      </c>
      <c r="M219" s="102">
        <v>213</v>
      </c>
      <c r="N219" s="302">
        <v>17</v>
      </c>
      <c r="O219" s="108" t="s">
        <v>4</v>
      </c>
      <c r="P219" s="304">
        <v>7</v>
      </c>
      <c r="Q219" s="109" t="str">
        <f t="shared" si="17"/>
        <v>VfB Stuttgart</v>
      </c>
      <c r="R219" s="110" t="s">
        <v>4</v>
      </c>
      <c r="S219" s="111" t="str">
        <f t="shared" si="18"/>
        <v>Borussia Mönchengladbach</v>
      </c>
      <c r="T219" s="211">
        <v>46081</v>
      </c>
      <c r="U219" s="212">
        <v>0.64583333333333337</v>
      </c>
    </row>
    <row r="220" spans="6:21" ht="17.25" x14ac:dyDescent="0.2">
      <c r="F220" s="83">
        <f t="shared" si="19"/>
        <v>2</v>
      </c>
      <c r="G220" s="83" t="str">
        <f t="shared" si="20"/>
        <v>00060018</v>
      </c>
      <c r="H220" s="83" t="str">
        <f t="shared" si="21"/>
        <v>00180006</v>
      </c>
      <c r="I220" s="83">
        <f>IF($G220="",0,COUNTIF($G$7:$G220,$H220))</f>
        <v>1</v>
      </c>
      <c r="J220" s="83"/>
      <c r="K220" s="264" t="str">
        <f>Language!$E$85</f>
        <v>double</v>
      </c>
      <c r="L220" s="240" t="str">
        <f>IF(Calc!$F$26=0,"",IF(OR($M220&gt;Calc!$B$24,MOD($M220-1,Calc!$F$26)&gt;0),"",QUOTIENT($M220-1,Calc!$F$26)+1))</f>
        <v/>
      </c>
      <c r="M220" s="102">
        <v>214</v>
      </c>
      <c r="N220" s="302">
        <v>6</v>
      </c>
      <c r="O220" s="108" t="s">
        <v>4</v>
      </c>
      <c r="P220" s="304">
        <v>18</v>
      </c>
      <c r="Q220" s="109" t="str">
        <f t="shared" si="17"/>
        <v>Borussia Dortmund</v>
      </c>
      <c r="R220" s="110" t="s">
        <v>4</v>
      </c>
      <c r="S220" s="111" t="str">
        <f t="shared" si="18"/>
        <v>VfL Wolfsburg</v>
      </c>
      <c r="T220" s="211">
        <v>46081</v>
      </c>
      <c r="U220" s="212">
        <v>0.64583333333333337</v>
      </c>
    </row>
    <row r="221" spans="6:21" ht="17.25" x14ac:dyDescent="0.2">
      <c r="F221" s="83">
        <f t="shared" si="19"/>
        <v>2</v>
      </c>
      <c r="G221" s="83" t="str">
        <f t="shared" si="20"/>
        <v>00020005</v>
      </c>
      <c r="H221" s="83" t="str">
        <f t="shared" si="21"/>
        <v>00050002</v>
      </c>
      <c r="I221" s="83">
        <f>IF($G221="",0,COUNTIF($G$7:$G221,$H221))</f>
        <v>1</v>
      </c>
      <c r="J221" s="83"/>
      <c r="K221" s="264" t="str">
        <f>Language!$E$85</f>
        <v>double</v>
      </c>
      <c r="L221" s="240" t="str">
        <f>IF(Calc!$F$26=0,"",IF(OR($M221&gt;Calc!$B$24,MOD($M221-1,Calc!$F$26)&gt;0),"",QUOTIENT($M221-1,Calc!$F$26)+1))</f>
        <v/>
      </c>
      <c r="M221" s="102">
        <v>215</v>
      </c>
      <c r="N221" s="302">
        <v>2</v>
      </c>
      <c r="O221" s="108" t="s">
        <v>4</v>
      </c>
      <c r="P221" s="304">
        <v>5</v>
      </c>
      <c r="Q221" s="109" t="str">
        <f t="shared" si="17"/>
        <v>1. FC Köln</v>
      </c>
      <c r="R221" s="110" t="s">
        <v>4</v>
      </c>
      <c r="S221" s="111" t="str">
        <f t="shared" si="18"/>
        <v>Bayer 04 Leverkusen</v>
      </c>
      <c r="T221" s="211">
        <v>46081</v>
      </c>
      <c r="U221" s="212">
        <v>0.64583333333333337</v>
      </c>
    </row>
    <row r="222" spans="6:21" ht="17.25" x14ac:dyDescent="0.2">
      <c r="F222" s="83">
        <f t="shared" si="19"/>
        <v>2</v>
      </c>
      <c r="G222" s="83" t="str">
        <f t="shared" si="20"/>
        <v>00040003</v>
      </c>
      <c r="H222" s="83" t="str">
        <f t="shared" si="21"/>
        <v>00030004</v>
      </c>
      <c r="I222" s="83">
        <f>IF($G222="",0,COUNTIF($G$7:$G222,$H222))</f>
        <v>1</v>
      </c>
      <c r="J222" s="83"/>
      <c r="K222" s="264" t="str">
        <f>Language!$E$85</f>
        <v>double</v>
      </c>
      <c r="L222" s="240" t="str">
        <f>IF(Calc!$F$26=0,"",IF(OR($M222&gt;Calc!$B$24,MOD($M222-1,Calc!$F$26)&gt;0),"",QUOTIENT($M222-1,Calc!$F$26)+1))</f>
        <v/>
      </c>
      <c r="M222" s="102">
        <v>216</v>
      </c>
      <c r="N222" s="302">
        <v>4</v>
      </c>
      <c r="O222" s="108" t="s">
        <v>4</v>
      </c>
      <c r="P222" s="304">
        <v>3</v>
      </c>
      <c r="Q222" s="109" t="str">
        <f t="shared" si="17"/>
        <v>1. FSV Mainz 05</v>
      </c>
      <c r="R222" s="110" t="s">
        <v>4</v>
      </c>
      <c r="S222" s="111" t="str">
        <f t="shared" si="18"/>
        <v>1. FC Union Berlin</v>
      </c>
      <c r="T222" s="211">
        <v>46081</v>
      </c>
      <c r="U222" s="212">
        <v>0.64583333333333337</v>
      </c>
    </row>
    <row r="223" spans="6:21" ht="17.25" x14ac:dyDescent="0.2">
      <c r="F223" s="83">
        <f t="shared" si="19"/>
        <v>2</v>
      </c>
      <c r="G223" s="83" t="str">
        <f t="shared" si="20"/>
        <v>00010011</v>
      </c>
      <c r="H223" s="83" t="str">
        <f t="shared" si="21"/>
        <v>00110001</v>
      </c>
      <c r="I223" s="83">
        <f>IF($G223="",0,COUNTIF($G$7:$G223,$H223))</f>
        <v>1</v>
      </c>
      <c r="J223" s="83"/>
      <c r="K223" s="264" t="str">
        <f>Language!$E$85</f>
        <v>double</v>
      </c>
      <c r="L223" s="240">
        <f>IF(Calc!$F$26=0,"",IF(OR($M223&gt;Calc!$B$24,MOD($M223-1,Calc!$F$26)&gt;0),"",QUOTIENT($M223-1,Calc!$F$26)+1))</f>
        <v>25</v>
      </c>
      <c r="M223" s="102">
        <v>217</v>
      </c>
      <c r="N223" s="302">
        <v>1</v>
      </c>
      <c r="O223" s="108" t="s">
        <v>4</v>
      </c>
      <c r="P223" s="304">
        <v>11</v>
      </c>
      <c r="Q223" s="109" t="str">
        <f t="shared" si="17"/>
        <v>1. FC Heidenheim 1846</v>
      </c>
      <c r="R223" s="110" t="s">
        <v>4</v>
      </c>
      <c r="S223" s="111" t="str">
        <f t="shared" si="18"/>
        <v>FC St. Pauli</v>
      </c>
      <c r="T223" s="211">
        <v>46088</v>
      </c>
      <c r="U223" s="212">
        <v>0.64583333333333337</v>
      </c>
    </row>
    <row r="224" spans="6:21" ht="17.25" x14ac:dyDescent="0.2">
      <c r="F224" s="83">
        <f t="shared" si="19"/>
        <v>2</v>
      </c>
      <c r="G224" s="83" t="str">
        <f t="shared" si="20"/>
        <v>00120010</v>
      </c>
      <c r="H224" s="83" t="str">
        <f t="shared" si="21"/>
        <v>00100012</v>
      </c>
      <c r="I224" s="83">
        <f>IF($G224="",0,COUNTIF($G$7:$G224,$H224))</f>
        <v>1</v>
      </c>
      <c r="J224" s="83"/>
      <c r="K224" s="264" t="str">
        <f>Language!$E$85</f>
        <v>double</v>
      </c>
      <c r="L224" s="240" t="str">
        <f>IF(Calc!$F$26=0,"",IF(OR($M224&gt;Calc!$B$24,MOD($M224-1,Calc!$F$26)&gt;0),"",QUOTIENT($M224-1,Calc!$F$26)+1))</f>
        <v/>
      </c>
      <c r="M224" s="102">
        <v>218</v>
      </c>
      <c r="N224" s="302">
        <v>12</v>
      </c>
      <c r="O224" s="108" t="s">
        <v>4</v>
      </c>
      <c r="P224" s="304">
        <v>10</v>
      </c>
      <c r="Q224" s="109" t="str">
        <f t="shared" si="17"/>
        <v>Hamburger SV</v>
      </c>
      <c r="R224" s="110" t="s">
        <v>4</v>
      </c>
      <c r="S224" s="111" t="str">
        <f t="shared" si="18"/>
        <v>FC Bayern München</v>
      </c>
      <c r="T224" s="211">
        <v>46088</v>
      </c>
      <c r="U224" s="212">
        <v>0.64583333333333337</v>
      </c>
    </row>
    <row r="225" spans="6:21" ht="17.25" x14ac:dyDescent="0.2">
      <c r="F225" s="83">
        <f t="shared" si="19"/>
        <v>2</v>
      </c>
      <c r="G225" s="83" t="str">
        <f t="shared" si="20"/>
        <v>00090013</v>
      </c>
      <c r="H225" s="83" t="str">
        <f t="shared" si="21"/>
        <v>00130009</v>
      </c>
      <c r="I225" s="83">
        <f>IF($G225="",0,COUNTIF($G$7:$G225,$H225))</f>
        <v>1</v>
      </c>
      <c r="J225" s="83"/>
      <c r="K225" s="264" t="str">
        <f>Language!$E$85</f>
        <v>double</v>
      </c>
      <c r="L225" s="240" t="str">
        <f>IF(Calc!$F$26=0,"",IF(OR($M225&gt;Calc!$B$24,MOD($M225-1,Calc!$F$26)&gt;0),"",QUOTIENT($M225-1,Calc!$F$26)+1))</f>
        <v/>
      </c>
      <c r="M225" s="102">
        <v>219</v>
      </c>
      <c r="N225" s="302">
        <v>9</v>
      </c>
      <c r="O225" s="108" t="s">
        <v>4</v>
      </c>
      <c r="P225" s="304">
        <v>13</v>
      </c>
      <c r="Q225" s="109" t="str">
        <f t="shared" si="17"/>
        <v>FC Augsburg</v>
      </c>
      <c r="R225" s="110" t="s">
        <v>4</v>
      </c>
      <c r="S225" s="111" t="str">
        <f t="shared" si="18"/>
        <v>RB Leipzig</v>
      </c>
      <c r="T225" s="211">
        <v>46088</v>
      </c>
      <c r="U225" s="212">
        <v>0.64583333333333337</v>
      </c>
    </row>
    <row r="226" spans="6:21" ht="17.25" x14ac:dyDescent="0.2">
      <c r="F226" s="83">
        <f t="shared" si="19"/>
        <v>2</v>
      </c>
      <c r="G226" s="83" t="str">
        <f t="shared" si="20"/>
        <v>00140008</v>
      </c>
      <c r="H226" s="83" t="str">
        <f t="shared" si="21"/>
        <v>00080014</v>
      </c>
      <c r="I226" s="83">
        <f>IF($G226="",0,COUNTIF($G$7:$G226,$H226))</f>
        <v>1</v>
      </c>
      <c r="J226" s="83"/>
      <c r="K226" s="264" t="str">
        <f>Language!$E$85</f>
        <v>double</v>
      </c>
      <c r="L226" s="240" t="str">
        <f>IF(Calc!$F$26=0,"",IF(OR($M226&gt;Calc!$B$24,MOD($M226-1,Calc!$F$26)&gt;0),"",QUOTIENT($M226-1,Calc!$F$26)+1))</f>
        <v/>
      </c>
      <c r="M226" s="102">
        <v>220</v>
      </c>
      <c r="N226" s="302">
        <v>14</v>
      </c>
      <c r="O226" s="108" t="s">
        <v>4</v>
      </c>
      <c r="P226" s="304">
        <v>8</v>
      </c>
      <c r="Q226" s="109" t="str">
        <f t="shared" si="17"/>
        <v>SC Freiburg</v>
      </c>
      <c r="R226" s="110" t="s">
        <v>4</v>
      </c>
      <c r="S226" s="111" t="str">
        <f t="shared" si="18"/>
        <v>Eintracht Frankfurt</v>
      </c>
      <c r="T226" s="211">
        <v>46088</v>
      </c>
      <c r="U226" s="212">
        <v>0.64583333333333337</v>
      </c>
    </row>
    <row r="227" spans="6:21" ht="17.25" x14ac:dyDescent="0.2">
      <c r="F227" s="83">
        <f t="shared" si="19"/>
        <v>2</v>
      </c>
      <c r="G227" s="83" t="str">
        <f t="shared" si="20"/>
        <v>00070015</v>
      </c>
      <c r="H227" s="83" t="str">
        <f t="shared" si="21"/>
        <v>00150007</v>
      </c>
      <c r="I227" s="83">
        <f>IF($G227="",0,COUNTIF($G$7:$G227,$H227))</f>
        <v>1</v>
      </c>
      <c r="J227" s="83"/>
      <c r="K227" s="264" t="str">
        <f>Language!$E$85</f>
        <v>double</v>
      </c>
      <c r="L227" s="240" t="str">
        <f>IF(Calc!$F$26=0,"",IF(OR($M227&gt;Calc!$B$24,MOD($M227-1,Calc!$F$26)&gt;0),"",QUOTIENT($M227-1,Calc!$F$26)+1))</f>
        <v/>
      </c>
      <c r="M227" s="102">
        <v>221</v>
      </c>
      <c r="N227" s="302">
        <v>7</v>
      </c>
      <c r="O227" s="108" t="s">
        <v>4</v>
      </c>
      <c r="P227" s="304">
        <v>15</v>
      </c>
      <c r="Q227" s="109" t="str">
        <f t="shared" si="17"/>
        <v>Borussia Mönchengladbach</v>
      </c>
      <c r="R227" s="110" t="s">
        <v>4</v>
      </c>
      <c r="S227" s="111" t="str">
        <f t="shared" si="18"/>
        <v>SV Werder Bremen</v>
      </c>
      <c r="T227" s="211">
        <v>46088</v>
      </c>
      <c r="U227" s="212">
        <v>0.64583333333333337</v>
      </c>
    </row>
    <row r="228" spans="6:21" ht="17.25" x14ac:dyDescent="0.2">
      <c r="F228" s="83">
        <f t="shared" si="19"/>
        <v>2</v>
      </c>
      <c r="G228" s="83" t="str">
        <f t="shared" si="20"/>
        <v>00160006</v>
      </c>
      <c r="H228" s="83" t="str">
        <f t="shared" si="21"/>
        <v>00060016</v>
      </c>
      <c r="I228" s="83">
        <f>IF($G228="",0,COUNTIF($G$7:$G228,$H228))</f>
        <v>1</v>
      </c>
      <c r="J228" s="83"/>
      <c r="K228" s="264" t="str">
        <f>Language!$E$85</f>
        <v>double</v>
      </c>
      <c r="L228" s="240" t="str">
        <f>IF(Calc!$F$26=0,"",IF(OR($M228&gt;Calc!$B$24,MOD($M228-1,Calc!$F$26)&gt;0),"",QUOTIENT($M228-1,Calc!$F$26)+1))</f>
        <v/>
      </c>
      <c r="M228" s="102">
        <v>222</v>
      </c>
      <c r="N228" s="302">
        <v>16</v>
      </c>
      <c r="O228" s="108" t="s">
        <v>4</v>
      </c>
      <c r="P228" s="304">
        <v>6</v>
      </c>
      <c r="Q228" s="109" t="str">
        <f t="shared" si="17"/>
        <v>TSG Hoffenheim</v>
      </c>
      <c r="R228" s="110" t="s">
        <v>4</v>
      </c>
      <c r="S228" s="111" t="str">
        <f t="shared" si="18"/>
        <v>Borussia Dortmund</v>
      </c>
      <c r="T228" s="211">
        <v>46088</v>
      </c>
      <c r="U228" s="212">
        <v>0.64583333333333337</v>
      </c>
    </row>
    <row r="229" spans="6:21" ht="17.25" x14ac:dyDescent="0.2">
      <c r="F229" s="83">
        <f t="shared" si="19"/>
        <v>2</v>
      </c>
      <c r="G229" s="83" t="str">
        <f t="shared" si="20"/>
        <v>00050017</v>
      </c>
      <c r="H229" s="83" t="str">
        <f t="shared" si="21"/>
        <v>00170005</v>
      </c>
      <c r="I229" s="83">
        <f>IF($G229="",0,COUNTIF($G$7:$G229,$H229))</f>
        <v>1</v>
      </c>
      <c r="J229" s="83"/>
      <c r="K229" s="264" t="str">
        <f>Language!$E$85</f>
        <v>double</v>
      </c>
      <c r="L229" s="240" t="str">
        <f>IF(Calc!$F$26=0,"",IF(OR($M229&gt;Calc!$B$24,MOD($M229-1,Calc!$F$26)&gt;0),"",QUOTIENT($M229-1,Calc!$F$26)+1))</f>
        <v/>
      </c>
      <c r="M229" s="102">
        <v>223</v>
      </c>
      <c r="N229" s="302">
        <v>5</v>
      </c>
      <c r="O229" s="108" t="s">
        <v>4</v>
      </c>
      <c r="P229" s="304">
        <v>17</v>
      </c>
      <c r="Q229" s="109" t="str">
        <f t="shared" si="17"/>
        <v>Bayer 04 Leverkusen</v>
      </c>
      <c r="R229" s="110" t="s">
        <v>4</v>
      </c>
      <c r="S229" s="111" t="str">
        <f t="shared" si="18"/>
        <v>VfB Stuttgart</v>
      </c>
      <c r="T229" s="211">
        <v>46088</v>
      </c>
      <c r="U229" s="212">
        <v>0.64583333333333337</v>
      </c>
    </row>
    <row r="230" spans="6:21" ht="17.25" x14ac:dyDescent="0.2">
      <c r="F230" s="83">
        <f t="shared" si="19"/>
        <v>2</v>
      </c>
      <c r="G230" s="83" t="str">
        <f t="shared" si="20"/>
        <v>00180004</v>
      </c>
      <c r="H230" s="83" t="str">
        <f t="shared" si="21"/>
        <v>00040018</v>
      </c>
      <c r="I230" s="83">
        <f>IF($G230="",0,COUNTIF($G$7:$G230,$H230))</f>
        <v>1</v>
      </c>
      <c r="J230" s="83"/>
      <c r="K230" s="264" t="str">
        <f>Language!$E$85</f>
        <v>double</v>
      </c>
      <c r="L230" s="240" t="str">
        <f>IF(Calc!$F$26=0,"",IF(OR($M230&gt;Calc!$B$24,MOD($M230-1,Calc!$F$26)&gt;0),"",QUOTIENT($M230-1,Calc!$F$26)+1))</f>
        <v/>
      </c>
      <c r="M230" s="102">
        <v>224</v>
      </c>
      <c r="N230" s="302">
        <v>18</v>
      </c>
      <c r="O230" s="108" t="s">
        <v>4</v>
      </c>
      <c r="P230" s="304">
        <v>4</v>
      </c>
      <c r="Q230" s="109" t="str">
        <f t="shared" si="17"/>
        <v>VfL Wolfsburg</v>
      </c>
      <c r="R230" s="110" t="s">
        <v>4</v>
      </c>
      <c r="S230" s="111" t="str">
        <f t="shared" si="18"/>
        <v>1. FSV Mainz 05</v>
      </c>
      <c r="T230" s="211">
        <v>46088</v>
      </c>
      <c r="U230" s="212">
        <v>0.64583333333333337</v>
      </c>
    </row>
    <row r="231" spans="6:21" ht="17.25" x14ac:dyDescent="0.2">
      <c r="F231" s="83">
        <f t="shared" si="19"/>
        <v>2</v>
      </c>
      <c r="G231" s="83" t="str">
        <f t="shared" si="20"/>
        <v>00030002</v>
      </c>
      <c r="H231" s="83" t="str">
        <f t="shared" si="21"/>
        <v>00020003</v>
      </c>
      <c r="I231" s="83">
        <f>IF($G231="",0,COUNTIF($G$7:$G231,$H231))</f>
        <v>1</v>
      </c>
      <c r="J231" s="83"/>
      <c r="K231" s="264" t="str">
        <f>Language!$E$85</f>
        <v>double</v>
      </c>
      <c r="L231" s="240" t="str">
        <f>IF(Calc!$F$26=0,"",IF(OR($M231&gt;Calc!$B$24,MOD($M231-1,Calc!$F$26)&gt;0),"",QUOTIENT($M231-1,Calc!$F$26)+1))</f>
        <v/>
      </c>
      <c r="M231" s="102">
        <v>225</v>
      </c>
      <c r="N231" s="302">
        <v>3</v>
      </c>
      <c r="O231" s="108" t="s">
        <v>4</v>
      </c>
      <c r="P231" s="304">
        <v>2</v>
      </c>
      <c r="Q231" s="109" t="str">
        <f t="shared" si="17"/>
        <v>1. FC Union Berlin</v>
      </c>
      <c r="R231" s="110" t="s">
        <v>4</v>
      </c>
      <c r="S231" s="111" t="str">
        <f t="shared" si="18"/>
        <v>1. FC Köln</v>
      </c>
      <c r="T231" s="211">
        <v>46088</v>
      </c>
      <c r="U231" s="212">
        <v>0.64583333333333337</v>
      </c>
    </row>
    <row r="232" spans="6:21" ht="17.25" x14ac:dyDescent="0.2">
      <c r="F232" s="83">
        <f t="shared" si="19"/>
        <v>2</v>
      </c>
      <c r="G232" s="83" t="str">
        <f t="shared" si="20"/>
        <v>00100001</v>
      </c>
      <c r="H232" s="83" t="str">
        <f t="shared" si="21"/>
        <v>00010010</v>
      </c>
      <c r="I232" s="83">
        <f>IF($G232="",0,COUNTIF($G$7:$G232,$H232))</f>
        <v>1</v>
      </c>
      <c r="J232" s="83"/>
      <c r="K232" s="264" t="str">
        <f>Language!$E$85</f>
        <v>double</v>
      </c>
      <c r="L232" s="240">
        <f>IF(Calc!$F$26=0,"",IF(OR($M232&gt;Calc!$B$24,MOD($M232-1,Calc!$F$26)&gt;0),"",QUOTIENT($M232-1,Calc!$F$26)+1))</f>
        <v>26</v>
      </c>
      <c r="M232" s="102">
        <v>226</v>
      </c>
      <c r="N232" s="302">
        <v>10</v>
      </c>
      <c r="O232" s="108" t="s">
        <v>4</v>
      </c>
      <c r="P232" s="304">
        <v>1</v>
      </c>
      <c r="Q232" s="109" t="str">
        <f t="shared" si="17"/>
        <v>FC Bayern München</v>
      </c>
      <c r="R232" s="110" t="s">
        <v>4</v>
      </c>
      <c r="S232" s="111" t="str">
        <f t="shared" si="18"/>
        <v>1. FC Heidenheim 1846</v>
      </c>
      <c r="T232" s="211">
        <v>46095</v>
      </c>
      <c r="U232" s="212">
        <v>0.64583333333333337</v>
      </c>
    </row>
    <row r="233" spans="6:21" ht="17.25" x14ac:dyDescent="0.2">
      <c r="F233" s="83">
        <f t="shared" si="19"/>
        <v>2</v>
      </c>
      <c r="G233" s="83" t="str">
        <f t="shared" si="20"/>
        <v>00110009</v>
      </c>
      <c r="H233" s="83" t="str">
        <f t="shared" si="21"/>
        <v>00090011</v>
      </c>
      <c r="I233" s="83">
        <f>IF($G233="",0,COUNTIF($G$7:$G233,$H233))</f>
        <v>1</v>
      </c>
      <c r="J233" s="83"/>
      <c r="K233" s="264" t="str">
        <f>Language!$E$85</f>
        <v>double</v>
      </c>
      <c r="L233" s="240" t="str">
        <f>IF(Calc!$F$26=0,"",IF(OR($M233&gt;Calc!$B$24,MOD($M233-1,Calc!$F$26)&gt;0),"",QUOTIENT($M233-1,Calc!$F$26)+1))</f>
        <v/>
      </c>
      <c r="M233" s="102">
        <v>227</v>
      </c>
      <c r="N233" s="302">
        <v>11</v>
      </c>
      <c r="O233" s="108" t="s">
        <v>4</v>
      </c>
      <c r="P233" s="304">
        <v>9</v>
      </c>
      <c r="Q233" s="109" t="str">
        <f t="shared" si="17"/>
        <v>FC St. Pauli</v>
      </c>
      <c r="R233" s="110" t="s">
        <v>4</v>
      </c>
      <c r="S233" s="111" t="str">
        <f t="shared" si="18"/>
        <v>FC Augsburg</v>
      </c>
      <c r="T233" s="211">
        <v>46095</v>
      </c>
      <c r="U233" s="212">
        <v>0.64583333333333337</v>
      </c>
    </row>
    <row r="234" spans="6:21" ht="17.25" x14ac:dyDescent="0.2">
      <c r="F234" s="83">
        <f t="shared" si="19"/>
        <v>2</v>
      </c>
      <c r="G234" s="83" t="str">
        <f t="shared" si="20"/>
        <v>00080012</v>
      </c>
      <c r="H234" s="83" t="str">
        <f t="shared" si="21"/>
        <v>00120008</v>
      </c>
      <c r="I234" s="83">
        <f>IF($G234="",0,COUNTIF($G$7:$G234,$H234))</f>
        <v>1</v>
      </c>
      <c r="J234" s="83"/>
      <c r="K234" s="264" t="str">
        <f>Language!$E$85</f>
        <v>double</v>
      </c>
      <c r="L234" s="240" t="str">
        <f>IF(Calc!$F$26=0,"",IF(OR($M234&gt;Calc!$B$24,MOD($M234-1,Calc!$F$26)&gt;0),"",QUOTIENT($M234-1,Calc!$F$26)+1))</f>
        <v/>
      </c>
      <c r="M234" s="102">
        <v>228</v>
      </c>
      <c r="N234" s="302">
        <v>8</v>
      </c>
      <c r="O234" s="108" t="s">
        <v>4</v>
      </c>
      <c r="P234" s="304">
        <v>12</v>
      </c>
      <c r="Q234" s="109" t="str">
        <f t="shared" si="17"/>
        <v>Eintracht Frankfurt</v>
      </c>
      <c r="R234" s="110" t="s">
        <v>4</v>
      </c>
      <c r="S234" s="111" t="str">
        <f t="shared" si="18"/>
        <v>Hamburger SV</v>
      </c>
      <c r="T234" s="211">
        <v>46095</v>
      </c>
      <c r="U234" s="212">
        <v>0.64583333333333337</v>
      </c>
    </row>
    <row r="235" spans="6:21" ht="17.25" x14ac:dyDescent="0.2">
      <c r="F235" s="83">
        <f t="shared" si="19"/>
        <v>2</v>
      </c>
      <c r="G235" s="83" t="str">
        <f t="shared" si="20"/>
        <v>00130007</v>
      </c>
      <c r="H235" s="83" t="str">
        <f t="shared" si="21"/>
        <v>00070013</v>
      </c>
      <c r="I235" s="83">
        <f>IF($G235="",0,COUNTIF($G$7:$G235,$H235))</f>
        <v>1</v>
      </c>
      <c r="J235" s="83"/>
      <c r="K235" s="264" t="str">
        <f>Language!$E$85</f>
        <v>double</v>
      </c>
      <c r="L235" s="240" t="str">
        <f>IF(Calc!$F$26=0,"",IF(OR($M235&gt;Calc!$B$24,MOD($M235-1,Calc!$F$26)&gt;0),"",QUOTIENT($M235-1,Calc!$F$26)+1))</f>
        <v/>
      </c>
      <c r="M235" s="102">
        <v>229</v>
      </c>
      <c r="N235" s="302">
        <v>13</v>
      </c>
      <c r="O235" s="108" t="s">
        <v>4</v>
      </c>
      <c r="P235" s="304">
        <v>7</v>
      </c>
      <c r="Q235" s="109" t="str">
        <f t="shared" si="17"/>
        <v>RB Leipzig</v>
      </c>
      <c r="R235" s="110" t="s">
        <v>4</v>
      </c>
      <c r="S235" s="111" t="str">
        <f t="shared" si="18"/>
        <v>Borussia Mönchengladbach</v>
      </c>
      <c r="T235" s="211">
        <v>46095</v>
      </c>
      <c r="U235" s="212">
        <v>0.64583333333333337</v>
      </c>
    </row>
    <row r="236" spans="6:21" ht="17.25" x14ac:dyDescent="0.2">
      <c r="F236" s="83">
        <f t="shared" si="19"/>
        <v>2</v>
      </c>
      <c r="G236" s="83" t="str">
        <f t="shared" si="20"/>
        <v>00060014</v>
      </c>
      <c r="H236" s="83" t="str">
        <f t="shared" si="21"/>
        <v>00140006</v>
      </c>
      <c r="I236" s="83">
        <f>IF($G236="",0,COUNTIF($G$7:$G236,$H236))</f>
        <v>1</v>
      </c>
      <c r="J236" s="83"/>
      <c r="K236" s="264" t="str">
        <f>Language!$E$85</f>
        <v>double</v>
      </c>
      <c r="L236" s="240" t="str">
        <f>IF(Calc!$F$26=0,"",IF(OR($M236&gt;Calc!$B$24,MOD($M236-1,Calc!$F$26)&gt;0),"",QUOTIENT($M236-1,Calc!$F$26)+1))</f>
        <v/>
      </c>
      <c r="M236" s="102">
        <v>230</v>
      </c>
      <c r="N236" s="302">
        <v>6</v>
      </c>
      <c r="O236" s="108" t="s">
        <v>4</v>
      </c>
      <c r="P236" s="304">
        <v>14</v>
      </c>
      <c r="Q236" s="109" t="str">
        <f t="shared" si="17"/>
        <v>Borussia Dortmund</v>
      </c>
      <c r="R236" s="110" t="s">
        <v>4</v>
      </c>
      <c r="S236" s="111" t="str">
        <f t="shared" si="18"/>
        <v>SC Freiburg</v>
      </c>
      <c r="T236" s="211">
        <v>46095</v>
      </c>
      <c r="U236" s="212">
        <v>0.64583333333333337</v>
      </c>
    </row>
    <row r="237" spans="6:21" ht="17.25" x14ac:dyDescent="0.2">
      <c r="F237" s="83">
        <f t="shared" si="19"/>
        <v>2</v>
      </c>
      <c r="G237" s="83" t="str">
        <f t="shared" si="20"/>
        <v>00150005</v>
      </c>
      <c r="H237" s="83" t="str">
        <f t="shared" si="21"/>
        <v>00050015</v>
      </c>
      <c r="I237" s="83">
        <f>IF($G237="",0,COUNTIF($G$7:$G237,$H237))</f>
        <v>1</v>
      </c>
      <c r="J237" s="83"/>
      <c r="K237" s="264" t="str">
        <f>Language!$E$85</f>
        <v>double</v>
      </c>
      <c r="L237" s="240" t="str">
        <f>IF(Calc!$F$26=0,"",IF(OR($M237&gt;Calc!$B$24,MOD($M237-1,Calc!$F$26)&gt;0),"",QUOTIENT($M237-1,Calc!$F$26)+1))</f>
        <v/>
      </c>
      <c r="M237" s="102">
        <v>231</v>
      </c>
      <c r="N237" s="302">
        <v>15</v>
      </c>
      <c r="O237" s="108" t="s">
        <v>4</v>
      </c>
      <c r="P237" s="304">
        <v>5</v>
      </c>
      <c r="Q237" s="109" t="str">
        <f t="shared" si="17"/>
        <v>SV Werder Bremen</v>
      </c>
      <c r="R237" s="110" t="s">
        <v>4</v>
      </c>
      <c r="S237" s="111" t="str">
        <f t="shared" si="18"/>
        <v>Bayer 04 Leverkusen</v>
      </c>
      <c r="T237" s="211">
        <v>46095</v>
      </c>
      <c r="U237" s="212">
        <v>0.64583333333333337</v>
      </c>
    </row>
    <row r="238" spans="6:21" ht="17.25" x14ac:dyDescent="0.2">
      <c r="F238" s="83">
        <f t="shared" si="19"/>
        <v>2</v>
      </c>
      <c r="G238" s="83" t="str">
        <f t="shared" si="20"/>
        <v>00040016</v>
      </c>
      <c r="H238" s="83" t="str">
        <f t="shared" si="21"/>
        <v>00160004</v>
      </c>
      <c r="I238" s="83">
        <f>IF($G238="",0,COUNTIF($G$7:$G238,$H238))</f>
        <v>1</v>
      </c>
      <c r="J238" s="83"/>
      <c r="K238" s="264" t="str">
        <f>Language!$E$85</f>
        <v>double</v>
      </c>
      <c r="L238" s="240" t="str">
        <f>IF(Calc!$F$26=0,"",IF(OR($M238&gt;Calc!$B$24,MOD($M238-1,Calc!$F$26)&gt;0),"",QUOTIENT($M238-1,Calc!$F$26)+1))</f>
        <v/>
      </c>
      <c r="M238" s="102">
        <v>232</v>
      </c>
      <c r="N238" s="302">
        <v>4</v>
      </c>
      <c r="O238" s="108" t="s">
        <v>4</v>
      </c>
      <c r="P238" s="304">
        <v>16</v>
      </c>
      <c r="Q238" s="109" t="str">
        <f t="shared" si="17"/>
        <v>1. FSV Mainz 05</v>
      </c>
      <c r="R238" s="110" t="s">
        <v>4</v>
      </c>
      <c r="S238" s="111" t="str">
        <f t="shared" si="18"/>
        <v>TSG Hoffenheim</v>
      </c>
      <c r="T238" s="211">
        <v>46095</v>
      </c>
      <c r="U238" s="212">
        <v>0.64583333333333337</v>
      </c>
    </row>
    <row r="239" spans="6:21" ht="17.25" x14ac:dyDescent="0.2">
      <c r="F239" s="83">
        <f t="shared" si="19"/>
        <v>2</v>
      </c>
      <c r="G239" s="83" t="str">
        <f t="shared" si="20"/>
        <v>00170003</v>
      </c>
      <c r="H239" s="83" t="str">
        <f t="shared" si="21"/>
        <v>00030017</v>
      </c>
      <c r="I239" s="83">
        <f>IF($G239="",0,COUNTIF($G$7:$G239,$H239))</f>
        <v>1</v>
      </c>
      <c r="J239" s="83"/>
      <c r="K239" s="264" t="str">
        <f>Language!$E$85</f>
        <v>double</v>
      </c>
      <c r="L239" s="240" t="str">
        <f>IF(Calc!$F$26=0,"",IF(OR($M239&gt;Calc!$B$24,MOD($M239-1,Calc!$F$26)&gt;0),"",QUOTIENT($M239-1,Calc!$F$26)+1))</f>
        <v/>
      </c>
      <c r="M239" s="102">
        <v>233</v>
      </c>
      <c r="N239" s="302">
        <v>17</v>
      </c>
      <c r="O239" s="108" t="s">
        <v>4</v>
      </c>
      <c r="P239" s="304">
        <v>3</v>
      </c>
      <c r="Q239" s="109" t="str">
        <f t="shared" si="17"/>
        <v>VfB Stuttgart</v>
      </c>
      <c r="R239" s="110" t="s">
        <v>4</v>
      </c>
      <c r="S239" s="111" t="str">
        <f t="shared" si="18"/>
        <v>1. FC Union Berlin</v>
      </c>
      <c r="T239" s="211">
        <v>46095</v>
      </c>
      <c r="U239" s="212">
        <v>0.64583333333333337</v>
      </c>
    </row>
    <row r="240" spans="6:21" ht="17.25" x14ac:dyDescent="0.2">
      <c r="F240" s="83">
        <f t="shared" si="19"/>
        <v>2</v>
      </c>
      <c r="G240" s="83" t="str">
        <f t="shared" si="20"/>
        <v>00020018</v>
      </c>
      <c r="H240" s="83" t="str">
        <f t="shared" si="21"/>
        <v>00180002</v>
      </c>
      <c r="I240" s="83">
        <f>IF($G240="",0,COUNTIF($G$7:$G240,$H240))</f>
        <v>1</v>
      </c>
      <c r="J240" s="83"/>
      <c r="K240" s="264" t="str">
        <f>Language!$E$85</f>
        <v>double</v>
      </c>
      <c r="L240" s="240" t="str">
        <f>IF(Calc!$F$26=0,"",IF(OR($M240&gt;Calc!$B$24,MOD($M240-1,Calc!$F$26)&gt;0),"",QUOTIENT($M240-1,Calc!$F$26)+1))</f>
        <v/>
      </c>
      <c r="M240" s="102">
        <v>234</v>
      </c>
      <c r="N240" s="302">
        <v>2</v>
      </c>
      <c r="O240" s="108" t="s">
        <v>4</v>
      </c>
      <c r="P240" s="304">
        <v>18</v>
      </c>
      <c r="Q240" s="109" t="str">
        <f t="shared" si="17"/>
        <v>1. FC Köln</v>
      </c>
      <c r="R240" s="110" t="s">
        <v>4</v>
      </c>
      <c r="S240" s="111" t="str">
        <f t="shared" si="18"/>
        <v>VfL Wolfsburg</v>
      </c>
      <c r="T240" s="211">
        <v>46095</v>
      </c>
      <c r="U240" s="212">
        <v>0.64583333333333337</v>
      </c>
    </row>
    <row r="241" spans="6:21" ht="17.25" x14ac:dyDescent="0.2">
      <c r="F241" s="83">
        <f t="shared" si="19"/>
        <v>2</v>
      </c>
      <c r="G241" s="83" t="str">
        <f t="shared" si="20"/>
        <v>00010009</v>
      </c>
      <c r="H241" s="83" t="str">
        <f t="shared" si="21"/>
        <v>00090001</v>
      </c>
      <c r="I241" s="83">
        <f>IF($G241="",0,COUNTIF($G$7:$G241,$H241))</f>
        <v>1</v>
      </c>
      <c r="J241" s="83"/>
      <c r="K241" s="264" t="str">
        <f>Language!$E$85</f>
        <v>double</v>
      </c>
      <c r="L241" s="240">
        <f>IF(Calc!$F$26=0,"",IF(OR($M241&gt;Calc!$B$24,MOD($M241-1,Calc!$F$26)&gt;0),"",QUOTIENT($M241-1,Calc!$F$26)+1))</f>
        <v>27</v>
      </c>
      <c r="M241" s="102">
        <v>235</v>
      </c>
      <c r="N241" s="302">
        <v>1</v>
      </c>
      <c r="O241" s="108" t="s">
        <v>4</v>
      </c>
      <c r="P241" s="304">
        <v>9</v>
      </c>
      <c r="Q241" s="109" t="str">
        <f t="shared" si="17"/>
        <v>1. FC Heidenheim 1846</v>
      </c>
      <c r="R241" s="110" t="s">
        <v>4</v>
      </c>
      <c r="S241" s="111" t="str">
        <f t="shared" si="18"/>
        <v>FC Augsburg</v>
      </c>
      <c r="T241" s="211">
        <v>46102</v>
      </c>
      <c r="U241" s="212">
        <v>0.64583333333333337</v>
      </c>
    </row>
    <row r="242" spans="6:21" ht="17.25" x14ac:dyDescent="0.2">
      <c r="F242" s="83">
        <f t="shared" si="19"/>
        <v>2</v>
      </c>
      <c r="G242" s="83" t="str">
        <f t="shared" si="20"/>
        <v>00100008</v>
      </c>
      <c r="H242" s="83" t="str">
        <f t="shared" si="21"/>
        <v>00080010</v>
      </c>
      <c r="I242" s="83">
        <f>IF($G242="",0,COUNTIF($G$7:$G242,$H242))</f>
        <v>1</v>
      </c>
      <c r="J242" s="83"/>
      <c r="K242" s="264" t="str">
        <f>Language!$E$85</f>
        <v>double</v>
      </c>
      <c r="L242" s="240" t="str">
        <f>IF(Calc!$F$26=0,"",IF(OR($M242&gt;Calc!$B$24,MOD($M242-1,Calc!$F$26)&gt;0),"",QUOTIENT($M242-1,Calc!$F$26)+1))</f>
        <v/>
      </c>
      <c r="M242" s="102">
        <v>236</v>
      </c>
      <c r="N242" s="302">
        <v>10</v>
      </c>
      <c r="O242" s="108" t="s">
        <v>4</v>
      </c>
      <c r="P242" s="304">
        <v>8</v>
      </c>
      <c r="Q242" s="109" t="str">
        <f t="shared" si="17"/>
        <v>FC Bayern München</v>
      </c>
      <c r="R242" s="110" t="s">
        <v>4</v>
      </c>
      <c r="S242" s="111" t="str">
        <f t="shared" si="18"/>
        <v>Eintracht Frankfurt</v>
      </c>
      <c r="T242" s="211">
        <v>46102</v>
      </c>
      <c r="U242" s="212">
        <v>0.64583333333333337</v>
      </c>
    </row>
    <row r="243" spans="6:21" ht="17.25" x14ac:dyDescent="0.2">
      <c r="F243" s="83">
        <f t="shared" si="19"/>
        <v>2</v>
      </c>
      <c r="G243" s="83" t="str">
        <f t="shared" si="20"/>
        <v>00070011</v>
      </c>
      <c r="H243" s="83" t="str">
        <f t="shared" si="21"/>
        <v>00110007</v>
      </c>
      <c r="I243" s="83">
        <f>IF($G243="",0,COUNTIF($G$7:$G243,$H243))</f>
        <v>1</v>
      </c>
      <c r="J243" s="83"/>
      <c r="K243" s="264" t="str">
        <f>Language!$E$85</f>
        <v>double</v>
      </c>
      <c r="L243" s="240" t="str">
        <f>IF(Calc!$F$26=0,"",IF(OR($M243&gt;Calc!$B$24,MOD($M243-1,Calc!$F$26)&gt;0),"",QUOTIENT($M243-1,Calc!$F$26)+1))</f>
        <v/>
      </c>
      <c r="M243" s="102">
        <v>237</v>
      </c>
      <c r="N243" s="302">
        <v>7</v>
      </c>
      <c r="O243" s="108" t="s">
        <v>4</v>
      </c>
      <c r="P243" s="304">
        <v>11</v>
      </c>
      <c r="Q243" s="109" t="str">
        <f t="shared" si="17"/>
        <v>Borussia Mönchengladbach</v>
      </c>
      <c r="R243" s="110" t="s">
        <v>4</v>
      </c>
      <c r="S243" s="111" t="str">
        <f t="shared" si="18"/>
        <v>FC St. Pauli</v>
      </c>
      <c r="T243" s="211">
        <v>46102</v>
      </c>
      <c r="U243" s="212">
        <v>0.64583333333333337</v>
      </c>
    </row>
    <row r="244" spans="6:21" ht="17.25" x14ac:dyDescent="0.2">
      <c r="F244" s="83">
        <f t="shared" si="19"/>
        <v>2</v>
      </c>
      <c r="G244" s="83" t="str">
        <f t="shared" si="20"/>
        <v>00120006</v>
      </c>
      <c r="H244" s="83" t="str">
        <f t="shared" si="21"/>
        <v>00060012</v>
      </c>
      <c r="I244" s="83">
        <f>IF($G244="",0,COUNTIF($G$7:$G244,$H244))</f>
        <v>1</v>
      </c>
      <c r="J244" s="83"/>
      <c r="K244" s="264" t="str">
        <f>Language!$E$85</f>
        <v>double</v>
      </c>
      <c r="L244" s="240" t="str">
        <f>IF(Calc!$F$26=0,"",IF(OR($M244&gt;Calc!$B$24,MOD($M244-1,Calc!$F$26)&gt;0),"",QUOTIENT($M244-1,Calc!$F$26)+1))</f>
        <v/>
      </c>
      <c r="M244" s="102">
        <v>238</v>
      </c>
      <c r="N244" s="302">
        <v>12</v>
      </c>
      <c r="O244" s="108" t="s">
        <v>4</v>
      </c>
      <c r="P244" s="304">
        <v>6</v>
      </c>
      <c r="Q244" s="109" t="str">
        <f t="shared" si="17"/>
        <v>Hamburger SV</v>
      </c>
      <c r="R244" s="110" t="s">
        <v>4</v>
      </c>
      <c r="S244" s="111" t="str">
        <f t="shared" si="18"/>
        <v>Borussia Dortmund</v>
      </c>
      <c r="T244" s="211">
        <v>46102</v>
      </c>
      <c r="U244" s="212">
        <v>0.64583333333333337</v>
      </c>
    </row>
    <row r="245" spans="6:21" ht="17.25" x14ac:dyDescent="0.2">
      <c r="F245" s="83">
        <f t="shared" si="19"/>
        <v>2</v>
      </c>
      <c r="G245" s="83" t="str">
        <f t="shared" si="20"/>
        <v>00050013</v>
      </c>
      <c r="H245" s="83" t="str">
        <f t="shared" si="21"/>
        <v>00130005</v>
      </c>
      <c r="I245" s="83">
        <f>IF($G245="",0,COUNTIF($G$7:$G245,$H245))</f>
        <v>1</v>
      </c>
      <c r="J245" s="83"/>
      <c r="K245" s="264" t="str">
        <f>Language!$E$85</f>
        <v>double</v>
      </c>
      <c r="L245" s="240" t="str">
        <f>IF(Calc!$F$26=0,"",IF(OR($M245&gt;Calc!$B$24,MOD($M245-1,Calc!$F$26)&gt;0),"",QUOTIENT($M245-1,Calc!$F$26)+1))</f>
        <v/>
      </c>
      <c r="M245" s="102">
        <v>239</v>
      </c>
      <c r="N245" s="302">
        <v>5</v>
      </c>
      <c r="O245" s="108" t="s">
        <v>4</v>
      </c>
      <c r="P245" s="304">
        <v>13</v>
      </c>
      <c r="Q245" s="109" t="str">
        <f t="shared" si="17"/>
        <v>Bayer 04 Leverkusen</v>
      </c>
      <c r="R245" s="110" t="s">
        <v>4</v>
      </c>
      <c r="S245" s="111" t="str">
        <f t="shared" si="18"/>
        <v>RB Leipzig</v>
      </c>
      <c r="T245" s="211">
        <v>46102</v>
      </c>
      <c r="U245" s="212">
        <v>0.64583333333333337</v>
      </c>
    </row>
    <row r="246" spans="6:21" ht="17.25" x14ac:dyDescent="0.2">
      <c r="F246" s="83">
        <f t="shared" si="19"/>
        <v>2</v>
      </c>
      <c r="G246" s="83" t="str">
        <f t="shared" si="20"/>
        <v>00140004</v>
      </c>
      <c r="H246" s="83" t="str">
        <f t="shared" si="21"/>
        <v>00040014</v>
      </c>
      <c r="I246" s="83">
        <f>IF($G246="",0,COUNTIF($G$7:$G246,$H246))</f>
        <v>1</v>
      </c>
      <c r="J246" s="83"/>
      <c r="K246" s="264" t="str">
        <f>Language!$E$85</f>
        <v>double</v>
      </c>
      <c r="L246" s="240" t="str">
        <f>IF(Calc!$F$26=0,"",IF(OR($M246&gt;Calc!$B$24,MOD($M246-1,Calc!$F$26)&gt;0),"",QUOTIENT($M246-1,Calc!$F$26)+1))</f>
        <v/>
      </c>
      <c r="M246" s="102">
        <v>240</v>
      </c>
      <c r="N246" s="302">
        <v>14</v>
      </c>
      <c r="O246" s="108" t="s">
        <v>4</v>
      </c>
      <c r="P246" s="304">
        <v>4</v>
      </c>
      <c r="Q246" s="109" t="str">
        <f t="shared" si="17"/>
        <v>SC Freiburg</v>
      </c>
      <c r="R246" s="110" t="s">
        <v>4</v>
      </c>
      <c r="S246" s="111" t="str">
        <f t="shared" si="18"/>
        <v>1. FSV Mainz 05</v>
      </c>
      <c r="T246" s="211">
        <v>46102</v>
      </c>
      <c r="U246" s="212">
        <v>0.64583333333333337</v>
      </c>
    </row>
    <row r="247" spans="6:21" ht="17.25" x14ac:dyDescent="0.2">
      <c r="F247" s="83">
        <f t="shared" si="19"/>
        <v>2</v>
      </c>
      <c r="G247" s="83" t="str">
        <f t="shared" si="20"/>
        <v>00030015</v>
      </c>
      <c r="H247" s="83" t="str">
        <f t="shared" si="21"/>
        <v>00150003</v>
      </c>
      <c r="I247" s="83">
        <f>IF($G247="",0,COUNTIF($G$7:$G247,$H247))</f>
        <v>1</v>
      </c>
      <c r="J247" s="83"/>
      <c r="K247" s="264" t="str">
        <f>Language!$E$85</f>
        <v>double</v>
      </c>
      <c r="L247" s="240" t="str">
        <f>IF(Calc!$F$26=0,"",IF(OR($M247&gt;Calc!$B$24,MOD($M247-1,Calc!$F$26)&gt;0),"",QUOTIENT($M247-1,Calc!$F$26)+1))</f>
        <v/>
      </c>
      <c r="M247" s="102">
        <v>241</v>
      </c>
      <c r="N247" s="302">
        <v>3</v>
      </c>
      <c r="O247" s="108" t="s">
        <v>4</v>
      </c>
      <c r="P247" s="304">
        <v>15</v>
      </c>
      <c r="Q247" s="109" t="str">
        <f t="shared" si="17"/>
        <v>1. FC Union Berlin</v>
      </c>
      <c r="R247" s="110" t="s">
        <v>4</v>
      </c>
      <c r="S247" s="111" t="str">
        <f t="shared" si="18"/>
        <v>SV Werder Bremen</v>
      </c>
      <c r="T247" s="211">
        <v>46102</v>
      </c>
      <c r="U247" s="212">
        <v>0.64583333333333337</v>
      </c>
    </row>
    <row r="248" spans="6:21" ht="17.25" x14ac:dyDescent="0.2">
      <c r="F248" s="83">
        <f t="shared" si="19"/>
        <v>2</v>
      </c>
      <c r="G248" s="83" t="str">
        <f t="shared" si="20"/>
        <v>00160002</v>
      </c>
      <c r="H248" s="83" t="str">
        <f t="shared" si="21"/>
        <v>00020016</v>
      </c>
      <c r="I248" s="83">
        <f>IF($G248="",0,COUNTIF($G$7:$G248,$H248))</f>
        <v>1</v>
      </c>
      <c r="J248" s="83"/>
      <c r="K248" s="264" t="str">
        <f>Language!$E$85</f>
        <v>double</v>
      </c>
      <c r="L248" s="240" t="str">
        <f>IF(Calc!$F$26=0,"",IF(OR($M248&gt;Calc!$B$24,MOD($M248-1,Calc!$F$26)&gt;0),"",QUOTIENT($M248-1,Calc!$F$26)+1))</f>
        <v/>
      </c>
      <c r="M248" s="102">
        <v>242</v>
      </c>
      <c r="N248" s="302">
        <v>16</v>
      </c>
      <c r="O248" s="108" t="s">
        <v>4</v>
      </c>
      <c r="P248" s="304">
        <v>2</v>
      </c>
      <c r="Q248" s="109" t="str">
        <f t="shared" si="17"/>
        <v>TSG Hoffenheim</v>
      </c>
      <c r="R248" s="110" t="s">
        <v>4</v>
      </c>
      <c r="S248" s="111" t="str">
        <f t="shared" si="18"/>
        <v>1. FC Köln</v>
      </c>
      <c r="T248" s="211">
        <v>46102</v>
      </c>
      <c r="U248" s="212">
        <v>0.64583333333333337</v>
      </c>
    </row>
    <row r="249" spans="6:21" ht="17.25" x14ac:dyDescent="0.2">
      <c r="F249" s="83">
        <f t="shared" si="19"/>
        <v>2</v>
      </c>
      <c r="G249" s="83" t="str">
        <f t="shared" si="20"/>
        <v>00180017</v>
      </c>
      <c r="H249" s="83" t="str">
        <f t="shared" si="21"/>
        <v>00170018</v>
      </c>
      <c r="I249" s="83">
        <f>IF($G249="",0,COUNTIF($G$7:$G249,$H249))</f>
        <v>1</v>
      </c>
      <c r="J249" s="83"/>
      <c r="K249" s="264" t="str">
        <f>Language!$E$85</f>
        <v>double</v>
      </c>
      <c r="L249" s="240" t="str">
        <f>IF(Calc!$F$26=0,"",IF(OR($M249&gt;Calc!$B$24,MOD($M249-1,Calc!$F$26)&gt;0),"",QUOTIENT($M249-1,Calc!$F$26)+1))</f>
        <v/>
      </c>
      <c r="M249" s="102">
        <v>243</v>
      </c>
      <c r="N249" s="302">
        <v>18</v>
      </c>
      <c r="O249" s="108" t="s">
        <v>4</v>
      </c>
      <c r="P249" s="304">
        <v>17</v>
      </c>
      <c r="Q249" s="109" t="str">
        <f t="shared" si="17"/>
        <v>VfL Wolfsburg</v>
      </c>
      <c r="R249" s="110" t="s">
        <v>4</v>
      </c>
      <c r="S249" s="111" t="str">
        <f t="shared" si="18"/>
        <v>VfB Stuttgart</v>
      </c>
      <c r="T249" s="211">
        <v>46102</v>
      </c>
      <c r="U249" s="212">
        <v>0.64583333333333337</v>
      </c>
    </row>
    <row r="250" spans="6:21" ht="17.25" x14ac:dyDescent="0.2">
      <c r="F250" s="83">
        <f t="shared" si="19"/>
        <v>2</v>
      </c>
      <c r="G250" s="83" t="str">
        <f t="shared" si="20"/>
        <v>00080001</v>
      </c>
      <c r="H250" s="83" t="str">
        <f t="shared" si="21"/>
        <v>00010008</v>
      </c>
      <c r="I250" s="83">
        <f>IF($G250="",0,COUNTIF($G$7:$G250,$H250))</f>
        <v>1</v>
      </c>
      <c r="J250" s="83"/>
      <c r="K250" s="264" t="str">
        <f>Language!$E$85</f>
        <v>double</v>
      </c>
      <c r="L250" s="240">
        <f>IF(Calc!$F$26=0,"",IF(OR($M250&gt;Calc!$B$24,MOD($M250-1,Calc!$F$26)&gt;0),"",QUOTIENT($M250-1,Calc!$F$26)+1))</f>
        <v>28</v>
      </c>
      <c r="M250" s="102">
        <v>244</v>
      </c>
      <c r="N250" s="302">
        <v>8</v>
      </c>
      <c r="O250" s="108" t="s">
        <v>4</v>
      </c>
      <c r="P250" s="304">
        <v>1</v>
      </c>
      <c r="Q250" s="109" t="str">
        <f t="shared" si="17"/>
        <v>Eintracht Frankfurt</v>
      </c>
      <c r="R250" s="110" t="s">
        <v>4</v>
      </c>
      <c r="S250" s="111" t="str">
        <f t="shared" si="18"/>
        <v>1. FC Heidenheim 1846</v>
      </c>
      <c r="T250" s="211">
        <v>46116</v>
      </c>
      <c r="U250" s="212">
        <v>0.64583333333333337</v>
      </c>
    </row>
    <row r="251" spans="6:21" ht="17.25" x14ac:dyDescent="0.2">
      <c r="F251" s="83">
        <f t="shared" si="19"/>
        <v>2</v>
      </c>
      <c r="G251" s="83" t="str">
        <f t="shared" si="20"/>
        <v>00090007</v>
      </c>
      <c r="H251" s="83" t="str">
        <f t="shared" si="21"/>
        <v>00070009</v>
      </c>
      <c r="I251" s="83">
        <f>IF($G251="",0,COUNTIF($G$7:$G251,$H251))</f>
        <v>1</v>
      </c>
      <c r="J251" s="83"/>
      <c r="K251" s="264" t="str">
        <f>Language!$E$85</f>
        <v>double</v>
      </c>
      <c r="L251" s="240" t="str">
        <f>IF(Calc!$F$26=0,"",IF(OR($M251&gt;Calc!$B$24,MOD($M251-1,Calc!$F$26)&gt;0),"",QUOTIENT($M251-1,Calc!$F$26)+1))</f>
        <v/>
      </c>
      <c r="M251" s="102">
        <v>245</v>
      </c>
      <c r="N251" s="302">
        <v>9</v>
      </c>
      <c r="O251" s="108" t="s">
        <v>4</v>
      </c>
      <c r="P251" s="304">
        <v>7</v>
      </c>
      <c r="Q251" s="109" t="str">
        <f t="shared" si="17"/>
        <v>FC Augsburg</v>
      </c>
      <c r="R251" s="110" t="s">
        <v>4</v>
      </c>
      <c r="S251" s="111" t="str">
        <f t="shared" si="18"/>
        <v>Borussia Mönchengladbach</v>
      </c>
      <c r="T251" s="211">
        <v>46116</v>
      </c>
      <c r="U251" s="212">
        <v>0.64583333333333337</v>
      </c>
    </row>
    <row r="252" spans="6:21" ht="17.25" x14ac:dyDescent="0.2">
      <c r="F252" s="83">
        <f t="shared" si="19"/>
        <v>2</v>
      </c>
      <c r="G252" s="83" t="str">
        <f t="shared" si="20"/>
        <v>00060010</v>
      </c>
      <c r="H252" s="83" t="str">
        <f t="shared" si="21"/>
        <v>00100006</v>
      </c>
      <c r="I252" s="83">
        <f>IF($G252="",0,COUNTIF($G$7:$G252,$H252))</f>
        <v>1</v>
      </c>
      <c r="J252" s="83"/>
      <c r="K252" s="264" t="str">
        <f>Language!$E$85</f>
        <v>double</v>
      </c>
      <c r="L252" s="240" t="str">
        <f>IF(Calc!$F$26=0,"",IF(OR($M252&gt;Calc!$B$24,MOD($M252-1,Calc!$F$26)&gt;0),"",QUOTIENT($M252-1,Calc!$F$26)+1))</f>
        <v/>
      </c>
      <c r="M252" s="102">
        <v>246</v>
      </c>
      <c r="N252" s="302">
        <v>6</v>
      </c>
      <c r="O252" s="108" t="s">
        <v>4</v>
      </c>
      <c r="P252" s="304">
        <v>10</v>
      </c>
      <c r="Q252" s="109" t="str">
        <f t="shared" si="17"/>
        <v>Borussia Dortmund</v>
      </c>
      <c r="R252" s="110" t="s">
        <v>4</v>
      </c>
      <c r="S252" s="111" t="str">
        <f t="shared" si="18"/>
        <v>FC Bayern München</v>
      </c>
      <c r="T252" s="211">
        <v>46116</v>
      </c>
      <c r="U252" s="212">
        <v>0.64583333333333337</v>
      </c>
    </row>
    <row r="253" spans="6:21" ht="17.25" x14ac:dyDescent="0.2">
      <c r="F253" s="83">
        <f t="shared" si="19"/>
        <v>2</v>
      </c>
      <c r="G253" s="83" t="str">
        <f t="shared" si="20"/>
        <v>00110005</v>
      </c>
      <c r="H253" s="83" t="str">
        <f t="shared" si="21"/>
        <v>00050011</v>
      </c>
      <c r="I253" s="83">
        <f>IF($G253="",0,COUNTIF($G$7:$G253,$H253))</f>
        <v>1</v>
      </c>
      <c r="J253" s="83"/>
      <c r="K253" s="264" t="str">
        <f>Language!$E$85</f>
        <v>double</v>
      </c>
      <c r="L253" s="240" t="str">
        <f>IF(Calc!$F$26=0,"",IF(OR($M253&gt;Calc!$B$24,MOD($M253-1,Calc!$F$26)&gt;0),"",QUOTIENT($M253-1,Calc!$F$26)+1))</f>
        <v/>
      </c>
      <c r="M253" s="102">
        <v>247</v>
      </c>
      <c r="N253" s="302">
        <v>11</v>
      </c>
      <c r="O253" s="108" t="s">
        <v>4</v>
      </c>
      <c r="P253" s="304">
        <v>5</v>
      </c>
      <c r="Q253" s="109" t="str">
        <f t="shared" si="17"/>
        <v>FC St. Pauli</v>
      </c>
      <c r="R253" s="110" t="s">
        <v>4</v>
      </c>
      <c r="S253" s="111" t="str">
        <f t="shared" si="18"/>
        <v>Bayer 04 Leverkusen</v>
      </c>
      <c r="T253" s="211">
        <v>46116</v>
      </c>
      <c r="U253" s="212">
        <v>0.64583333333333337</v>
      </c>
    </row>
    <row r="254" spans="6:21" ht="17.25" x14ac:dyDescent="0.2">
      <c r="F254" s="83">
        <f t="shared" si="19"/>
        <v>2</v>
      </c>
      <c r="G254" s="83" t="str">
        <f t="shared" si="20"/>
        <v>00040012</v>
      </c>
      <c r="H254" s="83" t="str">
        <f t="shared" si="21"/>
        <v>00120004</v>
      </c>
      <c r="I254" s="83">
        <f>IF($G254="",0,COUNTIF($G$7:$G254,$H254))</f>
        <v>1</v>
      </c>
      <c r="J254" s="83"/>
      <c r="K254" s="264" t="str">
        <f>Language!$E$85</f>
        <v>double</v>
      </c>
      <c r="L254" s="240" t="str">
        <f>IF(Calc!$F$26=0,"",IF(OR($M254&gt;Calc!$B$24,MOD($M254-1,Calc!$F$26)&gt;0),"",QUOTIENT($M254-1,Calc!$F$26)+1))</f>
        <v/>
      </c>
      <c r="M254" s="102">
        <v>248</v>
      </c>
      <c r="N254" s="302">
        <v>4</v>
      </c>
      <c r="O254" s="108" t="s">
        <v>4</v>
      </c>
      <c r="P254" s="304">
        <v>12</v>
      </c>
      <c r="Q254" s="109" t="str">
        <f t="shared" si="17"/>
        <v>1. FSV Mainz 05</v>
      </c>
      <c r="R254" s="110" t="s">
        <v>4</v>
      </c>
      <c r="S254" s="111" t="str">
        <f t="shared" si="18"/>
        <v>Hamburger SV</v>
      </c>
      <c r="T254" s="211">
        <v>46116</v>
      </c>
      <c r="U254" s="212">
        <v>0.64583333333333337</v>
      </c>
    </row>
    <row r="255" spans="6:21" ht="17.25" x14ac:dyDescent="0.2">
      <c r="F255" s="83">
        <f t="shared" si="19"/>
        <v>2</v>
      </c>
      <c r="G255" s="83" t="str">
        <f t="shared" si="20"/>
        <v>00130003</v>
      </c>
      <c r="H255" s="83" t="str">
        <f t="shared" si="21"/>
        <v>00030013</v>
      </c>
      <c r="I255" s="83">
        <f>IF($G255="",0,COUNTIF($G$7:$G255,$H255))</f>
        <v>1</v>
      </c>
      <c r="J255" s="83"/>
      <c r="K255" s="264" t="str">
        <f>Language!$E$85</f>
        <v>double</v>
      </c>
      <c r="L255" s="240" t="str">
        <f>IF(Calc!$F$26=0,"",IF(OR($M255&gt;Calc!$B$24,MOD($M255-1,Calc!$F$26)&gt;0),"",QUOTIENT($M255-1,Calc!$F$26)+1))</f>
        <v/>
      </c>
      <c r="M255" s="102">
        <v>249</v>
      </c>
      <c r="N255" s="302">
        <v>13</v>
      </c>
      <c r="O255" s="108" t="s">
        <v>4</v>
      </c>
      <c r="P255" s="304">
        <v>3</v>
      </c>
      <c r="Q255" s="109" t="str">
        <f t="shared" si="17"/>
        <v>RB Leipzig</v>
      </c>
      <c r="R255" s="110" t="s">
        <v>4</v>
      </c>
      <c r="S255" s="111" t="str">
        <f t="shared" si="18"/>
        <v>1. FC Union Berlin</v>
      </c>
      <c r="T255" s="211">
        <v>46116</v>
      </c>
      <c r="U255" s="212">
        <v>0.64583333333333337</v>
      </c>
    </row>
    <row r="256" spans="6:21" ht="17.25" x14ac:dyDescent="0.2">
      <c r="F256" s="83">
        <f t="shared" si="19"/>
        <v>2</v>
      </c>
      <c r="G256" s="83" t="str">
        <f t="shared" si="20"/>
        <v>00020014</v>
      </c>
      <c r="H256" s="83" t="str">
        <f t="shared" si="21"/>
        <v>00140002</v>
      </c>
      <c r="I256" s="83">
        <f>IF($G256="",0,COUNTIF($G$7:$G256,$H256))</f>
        <v>1</v>
      </c>
      <c r="J256" s="83"/>
      <c r="K256" s="264" t="str">
        <f>Language!$E$85</f>
        <v>double</v>
      </c>
      <c r="L256" s="240" t="str">
        <f>IF(Calc!$F$26=0,"",IF(OR($M256&gt;Calc!$B$24,MOD($M256-1,Calc!$F$26)&gt;0),"",QUOTIENT($M256-1,Calc!$F$26)+1))</f>
        <v/>
      </c>
      <c r="M256" s="102">
        <v>250</v>
      </c>
      <c r="N256" s="302">
        <v>2</v>
      </c>
      <c r="O256" s="108" t="s">
        <v>4</v>
      </c>
      <c r="P256" s="304">
        <v>14</v>
      </c>
      <c r="Q256" s="109" t="str">
        <f t="shared" si="17"/>
        <v>1. FC Köln</v>
      </c>
      <c r="R256" s="110" t="s">
        <v>4</v>
      </c>
      <c r="S256" s="111" t="str">
        <f t="shared" si="18"/>
        <v>SC Freiburg</v>
      </c>
      <c r="T256" s="211">
        <v>46116</v>
      </c>
      <c r="U256" s="212">
        <v>0.64583333333333337</v>
      </c>
    </row>
    <row r="257" spans="6:21" ht="17.25" x14ac:dyDescent="0.2">
      <c r="F257" s="83">
        <f t="shared" si="19"/>
        <v>2</v>
      </c>
      <c r="G257" s="83" t="str">
        <f t="shared" si="20"/>
        <v>00150018</v>
      </c>
      <c r="H257" s="83" t="str">
        <f t="shared" si="21"/>
        <v>00180015</v>
      </c>
      <c r="I257" s="83">
        <f>IF($G257="",0,COUNTIF($G$7:$G257,$H257))</f>
        <v>1</v>
      </c>
      <c r="J257" s="83"/>
      <c r="K257" s="264" t="str">
        <f>Language!$E$85</f>
        <v>double</v>
      </c>
      <c r="L257" s="240" t="str">
        <f>IF(Calc!$F$26=0,"",IF(OR($M257&gt;Calc!$B$24,MOD($M257-1,Calc!$F$26)&gt;0),"",QUOTIENT($M257-1,Calc!$F$26)+1))</f>
        <v/>
      </c>
      <c r="M257" s="102">
        <v>251</v>
      </c>
      <c r="N257" s="302">
        <v>15</v>
      </c>
      <c r="O257" s="108" t="s">
        <v>4</v>
      </c>
      <c r="P257" s="304">
        <v>18</v>
      </c>
      <c r="Q257" s="109" t="str">
        <f t="shared" si="17"/>
        <v>SV Werder Bremen</v>
      </c>
      <c r="R257" s="110" t="s">
        <v>4</v>
      </c>
      <c r="S257" s="111" t="str">
        <f t="shared" si="18"/>
        <v>VfL Wolfsburg</v>
      </c>
      <c r="T257" s="211">
        <v>46116</v>
      </c>
      <c r="U257" s="212">
        <v>0.64583333333333337</v>
      </c>
    </row>
    <row r="258" spans="6:21" ht="17.25" x14ac:dyDescent="0.2">
      <c r="F258" s="83">
        <f t="shared" si="19"/>
        <v>2</v>
      </c>
      <c r="G258" s="83" t="str">
        <f t="shared" si="20"/>
        <v>00170016</v>
      </c>
      <c r="H258" s="83" t="str">
        <f t="shared" si="21"/>
        <v>00160017</v>
      </c>
      <c r="I258" s="83">
        <f>IF($G258="",0,COUNTIF($G$7:$G258,$H258))</f>
        <v>1</v>
      </c>
      <c r="J258" s="83"/>
      <c r="K258" s="264" t="str">
        <f>Language!$E$85</f>
        <v>double</v>
      </c>
      <c r="L258" s="240" t="str">
        <f>IF(Calc!$F$26=0,"",IF(OR($M258&gt;Calc!$B$24,MOD($M258-1,Calc!$F$26)&gt;0),"",QUOTIENT($M258-1,Calc!$F$26)+1))</f>
        <v/>
      </c>
      <c r="M258" s="102">
        <v>252</v>
      </c>
      <c r="N258" s="302">
        <v>17</v>
      </c>
      <c r="O258" s="108" t="s">
        <v>4</v>
      </c>
      <c r="P258" s="304">
        <v>16</v>
      </c>
      <c r="Q258" s="109" t="str">
        <f t="shared" si="17"/>
        <v>VfB Stuttgart</v>
      </c>
      <c r="R258" s="110" t="s">
        <v>4</v>
      </c>
      <c r="S258" s="111" t="str">
        <f t="shared" si="18"/>
        <v>TSG Hoffenheim</v>
      </c>
      <c r="T258" s="211">
        <v>46116</v>
      </c>
      <c r="U258" s="212">
        <v>0.64583333333333337</v>
      </c>
    </row>
    <row r="259" spans="6:21" ht="17.25" x14ac:dyDescent="0.2">
      <c r="F259" s="83">
        <f t="shared" si="19"/>
        <v>2</v>
      </c>
      <c r="G259" s="83" t="str">
        <f t="shared" si="20"/>
        <v>00010007</v>
      </c>
      <c r="H259" s="83" t="str">
        <f t="shared" si="21"/>
        <v>00070001</v>
      </c>
      <c r="I259" s="83">
        <f>IF($G259="",0,COUNTIF($G$7:$G259,$H259))</f>
        <v>1</v>
      </c>
      <c r="J259" s="83"/>
      <c r="K259" s="264" t="str">
        <f>Language!$E$85</f>
        <v>double</v>
      </c>
      <c r="L259" s="240">
        <f>IF(Calc!$F$26=0,"",IF(OR($M259&gt;Calc!$B$24,MOD($M259-1,Calc!$F$26)&gt;0),"",QUOTIENT($M259-1,Calc!$F$26)+1))</f>
        <v>29</v>
      </c>
      <c r="M259" s="102">
        <v>253</v>
      </c>
      <c r="N259" s="302">
        <v>1</v>
      </c>
      <c r="O259" s="108" t="s">
        <v>4</v>
      </c>
      <c r="P259" s="304">
        <v>7</v>
      </c>
      <c r="Q259" s="109" t="str">
        <f t="shared" si="17"/>
        <v>1. FC Heidenheim 1846</v>
      </c>
      <c r="R259" s="110" t="s">
        <v>4</v>
      </c>
      <c r="S259" s="111" t="str">
        <f t="shared" si="18"/>
        <v>Borussia Mönchengladbach</v>
      </c>
      <c r="T259" s="211">
        <v>46123</v>
      </c>
      <c r="U259" s="212">
        <v>0.64583333333333337</v>
      </c>
    </row>
    <row r="260" spans="6:21" ht="17.25" x14ac:dyDescent="0.2">
      <c r="F260" s="83">
        <f t="shared" si="19"/>
        <v>2</v>
      </c>
      <c r="G260" s="83" t="str">
        <f t="shared" si="20"/>
        <v>00080006</v>
      </c>
      <c r="H260" s="83" t="str">
        <f t="shared" si="21"/>
        <v>00060008</v>
      </c>
      <c r="I260" s="83">
        <f>IF($G260="",0,COUNTIF($G$7:$G260,$H260))</f>
        <v>1</v>
      </c>
      <c r="J260" s="83"/>
      <c r="K260" s="264" t="str">
        <f>Language!$E$85</f>
        <v>double</v>
      </c>
      <c r="L260" s="240" t="str">
        <f>IF(Calc!$F$26=0,"",IF(OR($M260&gt;Calc!$B$24,MOD($M260-1,Calc!$F$26)&gt;0),"",QUOTIENT($M260-1,Calc!$F$26)+1))</f>
        <v/>
      </c>
      <c r="M260" s="102">
        <v>254</v>
      </c>
      <c r="N260" s="302">
        <v>8</v>
      </c>
      <c r="O260" s="108" t="s">
        <v>4</v>
      </c>
      <c r="P260" s="304">
        <v>6</v>
      </c>
      <c r="Q260" s="109" t="str">
        <f t="shared" si="17"/>
        <v>Eintracht Frankfurt</v>
      </c>
      <c r="R260" s="110" t="s">
        <v>4</v>
      </c>
      <c r="S260" s="111" t="str">
        <f t="shared" si="18"/>
        <v>Borussia Dortmund</v>
      </c>
      <c r="T260" s="211">
        <v>46123</v>
      </c>
      <c r="U260" s="212">
        <v>0.64583333333333337</v>
      </c>
    </row>
    <row r="261" spans="6:21" ht="17.25" x14ac:dyDescent="0.2">
      <c r="F261" s="83">
        <f t="shared" si="19"/>
        <v>2</v>
      </c>
      <c r="G261" s="83" t="str">
        <f t="shared" si="20"/>
        <v>00050009</v>
      </c>
      <c r="H261" s="83" t="str">
        <f t="shared" si="21"/>
        <v>00090005</v>
      </c>
      <c r="I261" s="83">
        <f>IF($G261="",0,COUNTIF($G$7:$G261,$H261))</f>
        <v>1</v>
      </c>
      <c r="J261" s="83"/>
      <c r="K261" s="264" t="str">
        <f>Language!$E$85</f>
        <v>double</v>
      </c>
      <c r="L261" s="240" t="str">
        <f>IF(Calc!$F$26=0,"",IF(OR($M261&gt;Calc!$B$24,MOD($M261-1,Calc!$F$26)&gt;0),"",QUOTIENT($M261-1,Calc!$F$26)+1))</f>
        <v/>
      </c>
      <c r="M261" s="102">
        <v>255</v>
      </c>
      <c r="N261" s="302">
        <v>5</v>
      </c>
      <c r="O261" s="108" t="s">
        <v>4</v>
      </c>
      <c r="P261" s="304">
        <v>9</v>
      </c>
      <c r="Q261" s="109" t="str">
        <f t="shared" si="17"/>
        <v>Bayer 04 Leverkusen</v>
      </c>
      <c r="R261" s="110" t="s">
        <v>4</v>
      </c>
      <c r="S261" s="111" t="str">
        <f t="shared" si="18"/>
        <v>FC Augsburg</v>
      </c>
      <c r="T261" s="211">
        <v>46123</v>
      </c>
      <c r="U261" s="212">
        <v>0.64583333333333337</v>
      </c>
    </row>
    <row r="262" spans="6:21" ht="17.25" x14ac:dyDescent="0.2">
      <c r="F262" s="83">
        <f t="shared" si="19"/>
        <v>2</v>
      </c>
      <c r="G262" s="83" t="str">
        <f t="shared" si="20"/>
        <v>00100004</v>
      </c>
      <c r="H262" s="83" t="str">
        <f t="shared" si="21"/>
        <v>00040010</v>
      </c>
      <c r="I262" s="83">
        <f>IF($G262="",0,COUNTIF($G$7:$G262,$H262))</f>
        <v>1</v>
      </c>
      <c r="J262" s="83"/>
      <c r="K262" s="264" t="str">
        <f>Language!$E$85</f>
        <v>double</v>
      </c>
      <c r="L262" s="240" t="str">
        <f>IF(Calc!$F$26=0,"",IF(OR($M262&gt;Calc!$B$24,MOD($M262-1,Calc!$F$26)&gt;0),"",QUOTIENT($M262-1,Calc!$F$26)+1))</f>
        <v/>
      </c>
      <c r="M262" s="102">
        <v>256</v>
      </c>
      <c r="N262" s="302">
        <v>10</v>
      </c>
      <c r="O262" s="108" t="s">
        <v>4</v>
      </c>
      <c r="P262" s="304">
        <v>4</v>
      </c>
      <c r="Q262" s="109" t="str">
        <f t="shared" si="17"/>
        <v>FC Bayern München</v>
      </c>
      <c r="R262" s="110" t="s">
        <v>4</v>
      </c>
      <c r="S262" s="111" t="str">
        <f t="shared" si="18"/>
        <v>1. FSV Mainz 05</v>
      </c>
      <c r="T262" s="211">
        <v>46123</v>
      </c>
      <c r="U262" s="212">
        <v>0.64583333333333337</v>
      </c>
    </row>
    <row r="263" spans="6:21" ht="17.25" x14ac:dyDescent="0.2">
      <c r="F263" s="83">
        <f t="shared" si="19"/>
        <v>2</v>
      </c>
      <c r="G263" s="83" t="str">
        <f t="shared" si="20"/>
        <v>00030011</v>
      </c>
      <c r="H263" s="83" t="str">
        <f t="shared" si="21"/>
        <v>00110003</v>
      </c>
      <c r="I263" s="83">
        <f>IF($G263="",0,COUNTIF($G$7:$G263,$H263))</f>
        <v>1</v>
      </c>
      <c r="J263" s="83"/>
      <c r="K263" s="264" t="str">
        <f>Language!$E$85</f>
        <v>double</v>
      </c>
      <c r="L263" s="240" t="str">
        <f>IF(Calc!$F$26=0,"",IF(OR($M263&gt;Calc!$B$24,MOD($M263-1,Calc!$F$26)&gt;0),"",QUOTIENT($M263-1,Calc!$F$26)+1))</f>
        <v/>
      </c>
      <c r="M263" s="102">
        <v>257</v>
      </c>
      <c r="N263" s="302">
        <v>3</v>
      </c>
      <c r="O263" s="108" t="s">
        <v>4</v>
      </c>
      <c r="P263" s="304">
        <v>11</v>
      </c>
      <c r="Q263" s="109" t="str">
        <f t="shared" ref="Q263:Q326" si="22">IF(ISBLANK($N263),"",IF(ISBLANK(VLOOKUP($N263,$C$7:$D$26,2,0)),"",VLOOKUP($N263,$C$7:$D$26,2,0)))</f>
        <v>1. FC Union Berlin</v>
      </c>
      <c r="R263" s="110" t="s">
        <v>4</v>
      </c>
      <c r="S263" s="111" t="str">
        <f t="shared" ref="S263:S326" si="23">IF(ISBLANK($P263),"",IF(ISBLANK(VLOOKUP($P263,$C$7:$D$26,2,0)),"",VLOOKUP($P263,$C$7:$D$26,2,0)))</f>
        <v>FC St. Pauli</v>
      </c>
      <c r="T263" s="211">
        <v>46123</v>
      </c>
      <c r="U263" s="212">
        <v>0.64583333333333337</v>
      </c>
    </row>
    <row r="264" spans="6:21" ht="17.25" x14ac:dyDescent="0.2">
      <c r="F264" s="83">
        <f t="shared" ref="F264:F327" si="24">IF($G264="",0,IF(LEFT($G264,4)=RIGHT($G264,4),100,IF(COUNTIF($G$7:$G$386,$G264)&gt;1,101,COUNTIF($G$7:$G$386,$G264)+COUNTIF($H$7:$H$386,$G264))))</f>
        <v>2</v>
      </c>
      <c r="G264" s="83" t="str">
        <f t="shared" ref="G264:G327" si="25">IF(OR($N264="",$P264=""),"",TEXT($N264,"0000")&amp;TEXT($P264,"0000"))</f>
        <v>00120002</v>
      </c>
      <c r="H264" s="83" t="str">
        <f t="shared" ref="H264:H327" si="26">IF(OR($N264="",$P264=""),"",TEXT($P264,"0000")&amp;TEXT($N264,"0000"))</f>
        <v>00020012</v>
      </c>
      <c r="I264" s="83">
        <f>IF($G264="",0,COUNTIF($G$7:$G264,$H264))</f>
        <v>1</v>
      </c>
      <c r="J264" s="83"/>
      <c r="K264" s="264" t="str">
        <f>Language!$E$85</f>
        <v>double</v>
      </c>
      <c r="L264" s="240" t="str">
        <f>IF(Calc!$F$26=0,"",IF(OR($M264&gt;Calc!$B$24,MOD($M264-1,Calc!$F$26)&gt;0),"",QUOTIENT($M264-1,Calc!$F$26)+1))</f>
        <v/>
      </c>
      <c r="M264" s="102">
        <v>258</v>
      </c>
      <c r="N264" s="302">
        <v>12</v>
      </c>
      <c r="O264" s="108" t="s">
        <v>4</v>
      </c>
      <c r="P264" s="304">
        <v>2</v>
      </c>
      <c r="Q264" s="109" t="str">
        <f t="shared" si="22"/>
        <v>Hamburger SV</v>
      </c>
      <c r="R264" s="110" t="s">
        <v>4</v>
      </c>
      <c r="S264" s="111" t="str">
        <f t="shared" si="23"/>
        <v>1. FC Köln</v>
      </c>
      <c r="T264" s="211">
        <v>46123</v>
      </c>
      <c r="U264" s="212">
        <v>0.64583333333333337</v>
      </c>
    </row>
    <row r="265" spans="6:21" ht="17.25" x14ac:dyDescent="0.2">
      <c r="F265" s="83">
        <f t="shared" si="24"/>
        <v>2</v>
      </c>
      <c r="G265" s="83" t="str">
        <f t="shared" si="25"/>
        <v>00180013</v>
      </c>
      <c r="H265" s="83" t="str">
        <f t="shared" si="26"/>
        <v>00130018</v>
      </c>
      <c r="I265" s="83">
        <f>IF($G265="",0,COUNTIF($G$7:$G265,$H265))</f>
        <v>1</v>
      </c>
      <c r="J265" s="83"/>
      <c r="K265" s="264" t="str">
        <f>Language!$E$85</f>
        <v>double</v>
      </c>
      <c r="L265" s="240" t="str">
        <f>IF(Calc!$F$26=0,"",IF(OR($M265&gt;Calc!$B$24,MOD($M265-1,Calc!$F$26)&gt;0),"",QUOTIENT($M265-1,Calc!$F$26)+1))</f>
        <v/>
      </c>
      <c r="M265" s="102">
        <v>259</v>
      </c>
      <c r="N265" s="302">
        <v>18</v>
      </c>
      <c r="O265" s="108" t="s">
        <v>4</v>
      </c>
      <c r="P265" s="304">
        <v>13</v>
      </c>
      <c r="Q265" s="109" t="str">
        <f t="shared" si="22"/>
        <v>VfL Wolfsburg</v>
      </c>
      <c r="R265" s="110" t="s">
        <v>4</v>
      </c>
      <c r="S265" s="111" t="str">
        <f t="shared" si="23"/>
        <v>RB Leipzig</v>
      </c>
      <c r="T265" s="211">
        <v>46123</v>
      </c>
      <c r="U265" s="212">
        <v>0.64583333333333337</v>
      </c>
    </row>
    <row r="266" spans="6:21" ht="17.25" x14ac:dyDescent="0.2">
      <c r="F266" s="83">
        <f t="shared" si="24"/>
        <v>2</v>
      </c>
      <c r="G266" s="83" t="str">
        <f t="shared" si="25"/>
        <v>00140017</v>
      </c>
      <c r="H266" s="83" t="str">
        <f t="shared" si="26"/>
        <v>00170014</v>
      </c>
      <c r="I266" s="83">
        <f>IF($G266="",0,COUNTIF($G$7:$G266,$H266))</f>
        <v>1</v>
      </c>
      <c r="J266" s="83"/>
      <c r="K266" s="264" t="str">
        <f>Language!$E$85</f>
        <v>double</v>
      </c>
      <c r="L266" s="240" t="str">
        <f>IF(Calc!$F$26=0,"",IF(OR($M266&gt;Calc!$B$24,MOD($M266-1,Calc!$F$26)&gt;0),"",QUOTIENT($M266-1,Calc!$F$26)+1))</f>
        <v/>
      </c>
      <c r="M266" s="102">
        <v>260</v>
      </c>
      <c r="N266" s="302">
        <v>14</v>
      </c>
      <c r="O266" s="108" t="s">
        <v>4</v>
      </c>
      <c r="P266" s="304">
        <v>17</v>
      </c>
      <c r="Q266" s="109" t="str">
        <f t="shared" si="22"/>
        <v>SC Freiburg</v>
      </c>
      <c r="R266" s="110" t="s">
        <v>4</v>
      </c>
      <c r="S266" s="111" t="str">
        <f t="shared" si="23"/>
        <v>VfB Stuttgart</v>
      </c>
      <c r="T266" s="211">
        <v>46123</v>
      </c>
      <c r="U266" s="212">
        <v>0.64583333333333337</v>
      </c>
    </row>
    <row r="267" spans="6:21" ht="17.25" x14ac:dyDescent="0.2">
      <c r="F267" s="83">
        <f t="shared" si="24"/>
        <v>2</v>
      </c>
      <c r="G267" s="83" t="str">
        <f t="shared" si="25"/>
        <v>00160015</v>
      </c>
      <c r="H267" s="83" t="str">
        <f t="shared" si="26"/>
        <v>00150016</v>
      </c>
      <c r="I267" s="83">
        <f>IF($G267="",0,COUNTIF($G$7:$G267,$H267))</f>
        <v>1</v>
      </c>
      <c r="J267" s="83"/>
      <c r="K267" s="264" t="str">
        <f>Language!$E$85</f>
        <v>double</v>
      </c>
      <c r="L267" s="240" t="str">
        <f>IF(Calc!$F$26=0,"",IF(OR($M267&gt;Calc!$B$24,MOD($M267-1,Calc!$F$26)&gt;0),"",QUOTIENT($M267-1,Calc!$F$26)+1))</f>
        <v/>
      </c>
      <c r="M267" s="102">
        <v>261</v>
      </c>
      <c r="N267" s="302">
        <v>16</v>
      </c>
      <c r="O267" s="108" t="s">
        <v>4</v>
      </c>
      <c r="P267" s="304">
        <v>15</v>
      </c>
      <c r="Q267" s="109" t="str">
        <f t="shared" si="22"/>
        <v>TSG Hoffenheim</v>
      </c>
      <c r="R267" s="110" t="s">
        <v>4</v>
      </c>
      <c r="S267" s="111" t="str">
        <f t="shared" si="23"/>
        <v>SV Werder Bremen</v>
      </c>
      <c r="T267" s="211">
        <v>46123</v>
      </c>
      <c r="U267" s="212">
        <v>0.64583333333333337</v>
      </c>
    </row>
    <row r="268" spans="6:21" ht="17.25" x14ac:dyDescent="0.2">
      <c r="F268" s="83">
        <f t="shared" si="24"/>
        <v>2</v>
      </c>
      <c r="G268" s="83" t="str">
        <f t="shared" si="25"/>
        <v>00060001</v>
      </c>
      <c r="H268" s="83" t="str">
        <f t="shared" si="26"/>
        <v>00010006</v>
      </c>
      <c r="I268" s="83">
        <f>IF($G268="",0,COUNTIF($G$7:$G268,$H268))</f>
        <v>1</v>
      </c>
      <c r="J268" s="83"/>
      <c r="K268" s="264" t="str">
        <f>Language!$E$85</f>
        <v>double</v>
      </c>
      <c r="L268" s="240">
        <f>IF(Calc!$F$26=0,"",IF(OR($M268&gt;Calc!$B$24,MOD($M268-1,Calc!$F$26)&gt;0),"",QUOTIENT($M268-1,Calc!$F$26)+1))</f>
        <v>30</v>
      </c>
      <c r="M268" s="102">
        <v>262</v>
      </c>
      <c r="N268" s="302">
        <v>6</v>
      </c>
      <c r="O268" s="108" t="s">
        <v>4</v>
      </c>
      <c r="P268" s="304">
        <v>1</v>
      </c>
      <c r="Q268" s="109" t="str">
        <f t="shared" si="22"/>
        <v>Borussia Dortmund</v>
      </c>
      <c r="R268" s="110" t="s">
        <v>4</v>
      </c>
      <c r="S268" s="111" t="str">
        <f t="shared" si="23"/>
        <v>1. FC Heidenheim 1846</v>
      </c>
      <c r="T268" s="211">
        <v>46130</v>
      </c>
      <c r="U268" s="212">
        <v>0.64583333333333337</v>
      </c>
    </row>
    <row r="269" spans="6:21" ht="17.25" x14ac:dyDescent="0.2">
      <c r="F269" s="83">
        <f t="shared" si="24"/>
        <v>2</v>
      </c>
      <c r="G269" s="83" t="str">
        <f t="shared" si="25"/>
        <v>00070005</v>
      </c>
      <c r="H269" s="83" t="str">
        <f t="shared" si="26"/>
        <v>00050007</v>
      </c>
      <c r="I269" s="83">
        <f>IF($G269="",0,COUNTIF($G$7:$G269,$H269))</f>
        <v>1</v>
      </c>
      <c r="J269" s="83"/>
      <c r="K269" s="264" t="str">
        <f>Language!$E$85</f>
        <v>double</v>
      </c>
      <c r="L269" s="240" t="str">
        <f>IF(Calc!$F$26=0,"",IF(OR($M269&gt;Calc!$B$24,MOD($M269-1,Calc!$F$26)&gt;0),"",QUOTIENT($M269-1,Calc!$F$26)+1))</f>
        <v/>
      </c>
      <c r="M269" s="102">
        <v>263</v>
      </c>
      <c r="N269" s="302">
        <v>7</v>
      </c>
      <c r="O269" s="108" t="s">
        <v>4</v>
      </c>
      <c r="P269" s="304">
        <v>5</v>
      </c>
      <c r="Q269" s="109" t="str">
        <f t="shared" si="22"/>
        <v>Borussia Mönchengladbach</v>
      </c>
      <c r="R269" s="110" t="s">
        <v>4</v>
      </c>
      <c r="S269" s="111" t="str">
        <f t="shared" si="23"/>
        <v>Bayer 04 Leverkusen</v>
      </c>
      <c r="T269" s="211">
        <v>46130</v>
      </c>
      <c r="U269" s="212">
        <v>0.64583333333333337</v>
      </c>
    </row>
    <row r="270" spans="6:21" ht="17.25" x14ac:dyDescent="0.2">
      <c r="F270" s="83">
        <f t="shared" si="24"/>
        <v>2</v>
      </c>
      <c r="G270" s="83" t="str">
        <f t="shared" si="25"/>
        <v>00040008</v>
      </c>
      <c r="H270" s="83" t="str">
        <f t="shared" si="26"/>
        <v>00080004</v>
      </c>
      <c r="I270" s="83">
        <f>IF($G270="",0,COUNTIF($G$7:$G270,$H270))</f>
        <v>1</v>
      </c>
      <c r="J270" s="83"/>
      <c r="K270" s="264" t="str">
        <f>Language!$E$85</f>
        <v>double</v>
      </c>
      <c r="L270" s="240" t="str">
        <f>IF(Calc!$F$26=0,"",IF(OR($M270&gt;Calc!$B$24,MOD($M270-1,Calc!$F$26)&gt;0),"",QUOTIENT($M270-1,Calc!$F$26)+1))</f>
        <v/>
      </c>
      <c r="M270" s="102">
        <v>264</v>
      </c>
      <c r="N270" s="302">
        <v>4</v>
      </c>
      <c r="O270" s="108" t="s">
        <v>4</v>
      </c>
      <c r="P270" s="304">
        <v>8</v>
      </c>
      <c r="Q270" s="109" t="str">
        <f t="shared" si="22"/>
        <v>1. FSV Mainz 05</v>
      </c>
      <c r="R270" s="110" t="s">
        <v>4</v>
      </c>
      <c r="S270" s="111" t="str">
        <f t="shared" si="23"/>
        <v>Eintracht Frankfurt</v>
      </c>
      <c r="T270" s="211">
        <v>46130</v>
      </c>
      <c r="U270" s="212">
        <v>0.64583333333333337</v>
      </c>
    </row>
    <row r="271" spans="6:21" ht="17.25" x14ac:dyDescent="0.2">
      <c r="F271" s="83">
        <f t="shared" si="24"/>
        <v>2</v>
      </c>
      <c r="G271" s="83" t="str">
        <f t="shared" si="25"/>
        <v>00090003</v>
      </c>
      <c r="H271" s="83" t="str">
        <f t="shared" si="26"/>
        <v>00030009</v>
      </c>
      <c r="I271" s="83">
        <f>IF($G271="",0,COUNTIF($G$7:$G271,$H271))</f>
        <v>1</v>
      </c>
      <c r="J271" s="83"/>
      <c r="K271" s="264" t="str">
        <f>Language!$E$85</f>
        <v>double</v>
      </c>
      <c r="L271" s="240" t="str">
        <f>IF(Calc!$F$26=0,"",IF(OR($M271&gt;Calc!$B$24,MOD($M271-1,Calc!$F$26)&gt;0),"",QUOTIENT($M271-1,Calc!$F$26)+1))</f>
        <v/>
      </c>
      <c r="M271" s="102">
        <v>265</v>
      </c>
      <c r="N271" s="302">
        <v>9</v>
      </c>
      <c r="O271" s="108" t="s">
        <v>4</v>
      </c>
      <c r="P271" s="304">
        <v>3</v>
      </c>
      <c r="Q271" s="109" t="str">
        <f t="shared" si="22"/>
        <v>FC Augsburg</v>
      </c>
      <c r="R271" s="110" t="s">
        <v>4</v>
      </c>
      <c r="S271" s="111" t="str">
        <f t="shared" si="23"/>
        <v>1. FC Union Berlin</v>
      </c>
      <c r="T271" s="211">
        <v>46130</v>
      </c>
      <c r="U271" s="212">
        <v>0.64583333333333337</v>
      </c>
    </row>
    <row r="272" spans="6:21" ht="17.25" x14ac:dyDescent="0.2">
      <c r="F272" s="83">
        <f t="shared" si="24"/>
        <v>2</v>
      </c>
      <c r="G272" s="83" t="str">
        <f t="shared" si="25"/>
        <v>00020010</v>
      </c>
      <c r="H272" s="83" t="str">
        <f t="shared" si="26"/>
        <v>00100002</v>
      </c>
      <c r="I272" s="83">
        <f>IF($G272="",0,COUNTIF($G$7:$G272,$H272))</f>
        <v>1</v>
      </c>
      <c r="J272" s="83"/>
      <c r="K272" s="264" t="str">
        <f>Language!$E$85</f>
        <v>double</v>
      </c>
      <c r="L272" s="240" t="str">
        <f>IF(Calc!$F$26=0,"",IF(OR($M272&gt;Calc!$B$24,MOD($M272-1,Calc!$F$26)&gt;0),"",QUOTIENT($M272-1,Calc!$F$26)+1))</f>
        <v/>
      </c>
      <c r="M272" s="102">
        <v>266</v>
      </c>
      <c r="N272" s="302">
        <v>2</v>
      </c>
      <c r="O272" s="108" t="s">
        <v>4</v>
      </c>
      <c r="P272" s="304">
        <v>10</v>
      </c>
      <c r="Q272" s="109" t="str">
        <f t="shared" si="22"/>
        <v>1. FC Köln</v>
      </c>
      <c r="R272" s="110" t="s">
        <v>4</v>
      </c>
      <c r="S272" s="111" t="str">
        <f t="shared" si="23"/>
        <v>FC Bayern München</v>
      </c>
      <c r="T272" s="211">
        <v>46130</v>
      </c>
      <c r="U272" s="212">
        <v>0.64583333333333337</v>
      </c>
    </row>
    <row r="273" spans="6:21" ht="17.25" x14ac:dyDescent="0.2">
      <c r="F273" s="83">
        <f t="shared" si="24"/>
        <v>2</v>
      </c>
      <c r="G273" s="83" t="str">
        <f t="shared" si="25"/>
        <v>00110018</v>
      </c>
      <c r="H273" s="83" t="str">
        <f t="shared" si="26"/>
        <v>00180011</v>
      </c>
      <c r="I273" s="83">
        <f>IF($G273="",0,COUNTIF($G$7:$G273,$H273))</f>
        <v>1</v>
      </c>
      <c r="J273" s="83"/>
      <c r="K273" s="264" t="str">
        <f>Language!$E$85</f>
        <v>double</v>
      </c>
      <c r="L273" s="240" t="str">
        <f>IF(Calc!$F$26=0,"",IF(OR($M273&gt;Calc!$B$24,MOD($M273-1,Calc!$F$26)&gt;0),"",QUOTIENT($M273-1,Calc!$F$26)+1))</f>
        <v/>
      </c>
      <c r="M273" s="102">
        <v>267</v>
      </c>
      <c r="N273" s="302">
        <v>11</v>
      </c>
      <c r="O273" s="108" t="s">
        <v>4</v>
      </c>
      <c r="P273" s="304">
        <v>18</v>
      </c>
      <c r="Q273" s="109" t="str">
        <f t="shared" si="22"/>
        <v>FC St. Pauli</v>
      </c>
      <c r="R273" s="110" t="s">
        <v>4</v>
      </c>
      <c r="S273" s="111" t="str">
        <f t="shared" si="23"/>
        <v>VfL Wolfsburg</v>
      </c>
      <c r="T273" s="211">
        <v>46130</v>
      </c>
      <c r="U273" s="212">
        <v>0.64583333333333337</v>
      </c>
    </row>
    <row r="274" spans="6:21" ht="17.25" x14ac:dyDescent="0.2">
      <c r="F274" s="83">
        <f t="shared" si="24"/>
        <v>2</v>
      </c>
      <c r="G274" s="83" t="str">
        <f t="shared" si="25"/>
        <v>00170012</v>
      </c>
      <c r="H274" s="83" t="str">
        <f t="shared" si="26"/>
        <v>00120017</v>
      </c>
      <c r="I274" s="83">
        <f>IF($G274="",0,COUNTIF($G$7:$G274,$H274))</f>
        <v>1</v>
      </c>
      <c r="J274" s="83"/>
      <c r="K274" s="264" t="str">
        <f>Language!$E$85</f>
        <v>double</v>
      </c>
      <c r="L274" s="240" t="str">
        <f>IF(Calc!$F$26=0,"",IF(OR($M274&gt;Calc!$B$24,MOD($M274-1,Calc!$F$26)&gt;0),"",QUOTIENT($M274-1,Calc!$F$26)+1))</f>
        <v/>
      </c>
      <c r="M274" s="102">
        <v>268</v>
      </c>
      <c r="N274" s="302">
        <v>17</v>
      </c>
      <c r="O274" s="108" t="s">
        <v>4</v>
      </c>
      <c r="P274" s="304">
        <v>12</v>
      </c>
      <c r="Q274" s="109" t="str">
        <f t="shared" si="22"/>
        <v>VfB Stuttgart</v>
      </c>
      <c r="R274" s="110" t="s">
        <v>4</v>
      </c>
      <c r="S274" s="111" t="str">
        <f t="shared" si="23"/>
        <v>Hamburger SV</v>
      </c>
      <c r="T274" s="211">
        <v>46130</v>
      </c>
      <c r="U274" s="212">
        <v>0.64583333333333337</v>
      </c>
    </row>
    <row r="275" spans="6:21" ht="17.25" x14ac:dyDescent="0.2">
      <c r="F275" s="83">
        <f t="shared" si="24"/>
        <v>2</v>
      </c>
      <c r="G275" s="83" t="str">
        <f t="shared" si="25"/>
        <v>00130016</v>
      </c>
      <c r="H275" s="83" t="str">
        <f t="shared" si="26"/>
        <v>00160013</v>
      </c>
      <c r="I275" s="83">
        <f>IF($G275="",0,COUNTIF($G$7:$G275,$H275))</f>
        <v>1</v>
      </c>
      <c r="J275" s="83"/>
      <c r="K275" s="264" t="str">
        <f>Language!$E$85</f>
        <v>double</v>
      </c>
      <c r="L275" s="240" t="str">
        <f>IF(Calc!$F$26=0,"",IF(OR($M275&gt;Calc!$B$24,MOD($M275-1,Calc!$F$26)&gt;0),"",QUOTIENT($M275-1,Calc!$F$26)+1))</f>
        <v/>
      </c>
      <c r="M275" s="102">
        <v>269</v>
      </c>
      <c r="N275" s="302">
        <v>13</v>
      </c>
      <c r="O275" s="108" t="s">
        <v>4</v>
      </c>
      <c r="P275" s="304">
        <v>16</v>
      </c>
      <c r="Q275" s="109" t="str">
        <f t="shared" si="22"/>
        <v>RB Leipzig</v>
      </c>
      <c r="R275" s="110" t="s">
        <v>4</v>
      </c>
      <c r="S275" s="111" t="str">
        <f t="shared" si="23"/>
        <v>TSG Hoffenheim</v>
      </c>
      <c r="T275" s="211">
        <v>46130</v>
      </c>
      <c r="U275" s="212">
        <v>0.64583333333333337</v>
      </c>
    </row>
    <row r="276" spans="6:21" ht="17.25" x14ac:dyDescent="0.2">
      <c r="F276" s="83">
        <f t="shared" si="24"/>
        <v>2</v>
      </c>
      <c r="G276" s="83" t="str">
        <f t="shared" si="25"/>
        <v>00150014</v>
      </c>
      <c r="H276" s="83" t="str">
        <f t="shared" si="26"/>
        <v>00140015</v>
      </c>
      <c r="I276" s="83">
        <f>IF($G276="",0,COUNTIF($G$7:$G276,$H276))</f>
        <v>1</v>
      </c>
      <c r="J276" s="83"/>
      <c r="K276" s="264" t="str">
        <f>Language!$E$85</f>
        <v>double</v>
      </c>
      <c r="L276" s="240" t="str">
        <f>IF(Calc!$F$26=0,"",IF(OR($M276&gt;Calc!$B$24,MOD($M276-1,Calc!$F$26)&gt;0),"",QUOTIENT($M276-1,Calc!$F$26)+1))</f>
        <v/>
      </c>
      <c r="M276" s="102">
        <v>270</v>
      </c>
      <c r="N276" s="302">
        <v>15</v>
      </c>
      <c r="O276" s="108" t="s">
        <v>4</v>
      </c>
      <c r="P276" s="304">
        <v>14</v>
      </c>
      <c r="Q276" s="109" t="str">
        <f t="shared" si="22"/>
        <v>SV Werder Bremen</v>
      </c>
      <c r="R276" s="110" t="s">
        <v>4</v>
      </c>
      <c r="S276" s="111" t="str">
        <f t="shared" si="23"/>
        <v>SC Freiburg</v>
      </c>
      <c r="T276" s="211">
        <v>46130</v>
      </c>
      <c r="U276" s="212">
        <v>0.64583333333333337</v>
      </c>
    </row>
    <row r="277" spans="6:21" ht="17.25" x14ac:dyDescent="0.2">
      <c r="F277" s="83">
        <f t="shared" si="24"/>
        <v>2</v>
      </c>
      <c r="G277" s="83" t="str">
        <f t="shared" si="25"/>
        <v>00010005</v>
      </c>
      <c r="H277" s="83" t="str">
        <f t="shared" si="26"/>
        <v>00050001</v>
      </c>
      <c r="I277" s="83">
        <f>IF($G277="",0,COUNTIF($G$7:$G277,$H277))</f>
        <v>1</v>
      </c>
      <c r="J277" s="83"/>
      <c r="K277" s="264" t="str">
        <f>Language!$E$85</f>
        <v>double</v>
      </c>
      <c r="L277" s="240">
        <f>IF(Calc!$F$26=0,"",IF(OR($M277&gt;Calc!$B$24,MOD($M277-1,Calc!$F$26)&gt;0),"",QUOTIENT($M277-1,Calc!$F$26)+1))</f>
        <v>31</v>
      </c>
      <c r="M277" s="102">
        <v>271</v>
      </c>
      <c r="N277" s="302">
        <v>1</v>
      </c>
      <c r="O277" s="108" t="s">
        <v>4</v>
      </c>
      <c r="P277" s="304">
        <v>5</v>
      </c>
      <c r="Q277" s="109" t="str">
        <f t="shared" si="22"/>
        <v>1. FC Heidenheim 1846</v>
      </c>
      <c r="R277" s="110" t="s">
        <v>4</v>
      </c>
      <c r="S277" s="111" t="str">
        <f t="shared" si="23"/>
        <v>Bayer 04 Leverkusen</v>
      </c>
      <c r="T277" s="211">
        <v>46137</v>
      </c>
      <c r="U277" s="212">
        <v>0.64583333333333337</v>
      </c>
    </row>
    <row r="278" spans="6:21" ht="17.25" x14ac:dyDescent="0.2">
      <c r="F278" s="83">
        <f t="shared" si="24"/>
        <v>2</v>
      </c>
      <c r="G278" s="83" t="str">
        <f t="shared" si="25"/>
        <v>00060004</v>
      </c>
      <c r="H278" s="83" t="str">
        <f t="shared" si="26"/>
        <v>00040006</v>
      </c>
      <c r="I278" s="83">
        <f>IF($G278="",0,COUNTIF($G$7:$G278,$H278))</f>
        <v>1</v>
      </c>
      <c r="J278" s="83"/>
      <c r="K278" s="264" t="str">
        <f>Language!$E$85</f>
        <v>double</v>
      </c>
      <c r="L278" s="240" t="str">
        <f>IF(Calc!$F$26=0,"",IF(OR($M278&gt;Calc!$B$24,MOD($M278-1,Calc!$F$26)&gt;0),"",QUOTIENT($M278-1,Calc!$F$26)+1))</f>
        <v/>
      </c>
      <c r="M278" s="102">
        <v>272</v>
      </c>
      <c r="N278" s="302">
        <v>6</v>
      </c>
      <c r="O278" s="108" t="s">
        <v>4</v>
      </c>
      <c r="P278" s="304">
        <v>4</v>
      </c>
      <c r="Q278" s="109" t="str">
        <f t="shared" si="22"/>
        <v>Borussia Dortmund</v>
      </c>
      <c r="R278" s="110" t="s">
        <v>4</v>
      </c>
      <c r="S278" s="111" t="str">
        <f t="shared" si="23"/>
        <v>1. FSV Mainz 05</v>
      </c>
      <c r="T278" s="211">
        <v>46137</v>
      </c>
      <c r="U278" s="212">
        <v>0.64583333333333337</v>
      </c>
    </row>
    <row r="279" spans="6:21" ht="17.25" x14ac:dyDescent="0.2">
      <c r="F279" s="83">
        <f t="shared" si="24"/>
        <v>2</v>
      </c>
      <c r="G279" s="83" t="str">
        <f t="shared" si="25"/>
        <v>00030007</v>
      </c>
      <c r="H279" s="83" t="str">
        <f t="shared" si="26"/>
        <v>00070003</v>
      </c>
      <c r="I279" s="83">
        <f>IF($G279="",0,COUNTIF($G$7:$G279,$H279))</f>
        <v>1</v>
      </c>
      <c r="J279" s="83"/>
      <c r="K279" s="264" t="str">
        <f>Language!$E$85</f>
        <v>double</v>
      </c>
      <c r="L279" s="240" t="str">
        <f>IF(Calc!$F$26=0,"",IF(OR($M279&gt;Calc!$B$24,MOD($M279-1,Calc!$F$26)&gt;0),"",QUOTIENT($M279-1,Calc!$F$26)+1))</f>
        <v/>
      </c>
      <c r="M279" s="102">
        <v>273</v>
      </c>
      <c r="N279" s="302">
        <v>3</v>
      </c>
      <c r="O279" s="108" t="s">
        <v>4</v>
      </c>
      <c r="P279" s="304">
        <v>7</v>
      </c>
      <c r="Q279" s="109" t="str">
        <f t="shared" si="22"/>
        <v>1. FC Union Berlin</v>
      </c>
      <c r="R279" s="110" t="s">
        <v>4</v>
      </c>
      <c r="S279" s="111" t="str">
        <f t="shared" si="23"/>
        <v>Borussia Mönchengladbach</v>
      </c>
      <c r="T279" s="211">
        <v>46137</v>
      </c>
      <c r="U279" s="212">
        <v>0.64583333333333337</v>
      </c>
    </row>
    <row r="280" spans="6:21" ht="17.25" x14ac:dyDescent="0.2">
      <c r="F280" s="83">
        <f t="shared" si="24"/>
        <v>2</v>
      </c>
      <c r="G280" s="83" t="str">
        <f t="shared" si="25"/>
        <v>00080002</v>
      </c>
      <c r="H280" s="83" t="str">
        <f t="shared" si="26"/>
        <v>00020008</v>
      </c>
      <c r="I280" s="83">
        <f>IF($G280="",0,COUNTIF($G$7:$G280,$H280))</f>
        <v>1</v>
      </c>
      <c r="J280" s="83"/>
      <c r="K280" s="264" t="str">
        <f>Language!$E$85</f>
        <v>double</v>
      </c>
      <c r="L280" s="240" t="str">
        <f>IF(Calc!$F$26=0,"",IF(OR($M280&gt;Calc!$B$24,MOD($M280-1,Calc!$F$26)&gt;0),"",QUOTIENT($M280-1,Calc!$F$26)+1))</f>
        <v/>
      </c>
      <c r="M280" s="102">
        <v>274</v>
      </c>
      <c r="N280" s="302">
        <v>8</v>
      </c>
      <c r="O280" s="108" t="s">
        <v>4</v>
      </c>
      <c r="P280" s="304">
        <v>2</v>
      </c>
      <c r="Q280" s="109" t="str">
        <f t="shared" si="22"/>
        <v>Eintracht Frankfurt</v>
      </c>
      <c r="R280" s="110" t="s">
        <v>4</v>
      </c>
      <c r="S280" s="111" t="str">
        <f t="shared" si="23"/>
        <v>1. FC Köln</v>
      </c>
      <c r="T280" s="211">
        <v>46137</v>
      </c>
      <c r="U280" s="212">
        <v>0.64583333333333337</v>
      </c>
    </row>
    <row r="281" spans="6:21" ht="17.25" x14ac:dyDescent="0.2">
      <c r="F281" s="83">
        <f t="shared" si="24"/>
        <v>2</v>
      </c>
      <c r="G281" s="83" t="str">
        <f t="shared" si="25"/>
        <v>00180009</v>
      </c>
      <c r="H281" s="83" t="str">
        <f t="shared" si="26"/>
        <v>00090018</v>
      </c>
      <c r="I281" s="83">
        <f>IF($G281="",0,COUNTIF($G$7:$G281,$H281))</f>
        <v>1</v>
      </c>
      <c r="J281" s="83"/>
      <c r="K281" s="264" t="str">
        <f>Language!$E$85</f>
        <v>double</v>
      </c>
      <c r="L281" s="240" t="str">
        <f>IF(Calc!$F$26=0,"",IF(OR($M281&gt;Calc!$B$24,MOD($M281-1,Calc!$F$26)&gt;0),"",QUOTIENT($M281-1,Calc!$F$26)+1))</f>
        <v/>
      </c>
      <c r="M281" s="102">
        <v>275</v>
      </c>
      <c r="N281" s="302">
        <v>18</v>
      </c>
      <c r="O281" s="108" t="s">
        <v>4</v>
      </c>
      <c r="P281" s="304">
        <v>9</v>
      </c>
      <c r="Q281" s="109" t="str">
        <f t="shared" si="22"/>
        <v>VfL Wolfsburg</v>
      </c>
      <c r="R281" s="110" t="s">
        <v>4</v>
      </c>
      <c r="S281" s="111" t="str">
        <f t="shared" si="23"/>
        <v>FC Augsburg</v>
      </c>
      <c r="T281" s="211">
        <v>46137</v>
      </c>
      <c r="U281" s="212">
        <v>0.64583333333333337</v>
      </c>
    </row>
    <row r="282" spans="6:21" ht="17.25" x14ac:dyDescent="0.2">
      <c r="F282" s="83">
        <f t="shared" si="24"/>
        <v>2</v>
      </c>
      <c r="G282" s="83" t="str">
        <f t="shared" si="25"/>
        <v>00100017</v>
      </c>
      <c r="H282" s="83" t="str">
        <f t="shared" si="26"/>
        <v>00170010</v>
      </c>
      <c r="I282" s="83">
        <f>IF($G282="",0,COUNTIF($G$7:$G282,$H282))</f>
        <v>1</v>
      </c>
      <c r="J282" s="83"/>
      <c r="K282" s="264" t="str">
        <f>Language!$E$85</f>
        <v>double</v>
      </c>
      <c r="L282" s="240" t="str">
        <f>IF(Calc!$F$26=0,"",IF(OR($M282&gt;Calc!$B$24,MOD($M282-1,Calc!$F$26)&gt;0),"",QUOTIENT($M282-1,Calc!$F$26)+1))</f>
        <v/>
      </c>
      <c r="M282" s="102">
        <v>276</v>
      </c>
      <c r="N282" s="302">
        <v>10</v>
      </c>
      <c r="O282" s="108" t="s">
        <v>4</v>
      </c>
      <c r="P282" s="304">
        <v>17</v>
      </c>
      <c r="Q282" s="109" t="str">
        <f t="shared" si="22"/>
        <v>FC Bayern München</v>
      </c>
      <c r="R282" s="110" t="s">
        <v>4</v>
      </c>
      <c r="S282" s="111" t="str">
        <f t="shared" si="23"/>
        <v>VfB Stuttgart</v>
      </c>
      <c r="T282" s="211">
        <v>46137</v>
      </c>
      <c r="U282" s="212">
        <v>0.64583333333333337</v>
      </c>
    </row>
    <row r="283" spans="6:21" ht="17.25" x14ac:dyDescent="0.2">
      <c r="F283" s="83">
        <f t="shared" si="24"/>
        <v>2</v>
      </c>
      <c r="G283" s="83" t="str">
        <f t="shared" si="25"/>
        <v>00160011</v>
      </c>
      <c r="H283" s="83" t="str">
        <f t="shared" si="26"/>
        <v>00110016</v>
      </c>
      <c r="I283" s="83">
        <f>IF($G283="",0,COUNTIF($G$7:$G283,$H283))</f>
        <v>1</v>
      </c>
      <c r="J283" s="83"/>
      <c r="K283" s="264" t="str">
        <f>Language!$E$85</f>
        <v>double</v>
      </c>
      <c r="L283" s="240" t="str">
        <f>IF(Calc!$F$26=0,"",IF(OR($M283&gt;Calc!$B$24,MOD($M283-1,Calc!$F$26)&gt;0),"",QUOTIENT($M283-1,Calc!$F$26)+1))</f>
        <v/>
      </c>
      <c r="M283" s="102">
        <v>277</v>
      </c>
      <c r="N283" s="302">
        <v>16</v>
      </c>
      <c r="O283" s="108" t="s">
        <v>4</v>
      </c>
      <c r="P283" s="304">
        <v>11</v>
      </c>
      <c r="Q283" s="109" t="str">
        <f t="shared" si="22"/>
        <v>TSG Hoffenheim</v>
      </c>
      <c r="R283" s="110" t="s">
        <v>4</v>
      </c>
      <c r="S283" s="111" t="str">
        <f t="shared" si="23"/>
        <v>FC St. Pauli</v>
      </c>
      <c r="T283" s="211">
        <v>46137</v>
      </c>
      <c r="U283" s="212">
        <v>0.64583333333333337</v>
      </c>
    </row>
    <row r="284" spans="6:21" ht="17.25" x14ac:dyDescent="0.2">
      <c r="F284" s="83">
        <f t="shared" si="24"/>
        <v>2</v>
      </c>
      <c r="G284" s="83" t="str">
        <f t="shared" si="25"/>
        <v>00120015</v>
      </c>
      <c r="H284" s="83" t="str">
        <f t="shared" si="26"/>
        <v>00150012</v>
      </c>
      <c r="I284" s="83">
        <f>IF($G284="",0,COUNTIF($G$7:$G284,$H284))</f>
        <v>1</v>
      </c>
      <c r="J284" s="83"/>
      <c r="K284" s="264" t="str">
        <f>Language!$E$85</f>
        <v>double</v>
      </c>
      <c r="L284" s="240" t="str">
        <f>IF(Calc!$F$26=0,"",IF(OR($M284&gt;Calc!$B$24,MOD($M284-1,Calc!$F$26)&gt;0),"",QUOTIENT($M284-1,Calc!$F$26)+1))</f>
        <v/>
      </c>
      <c r="M284" s="102">
        <v>278</v>
      </c>
      <c r="N284" s="302">
        <v>12</v>
      </c>
      <c r="O284" s="108" t="s">
        <v>4</v>
      </c>
      <c r="P284" s="304">
        <v>15</v>
      </c>
      <c r="Q284" s="109" t="str">
        <f t="shared" si="22"/>
        <v>Hamburger SV</v>
      </c>
      <c r="R284" s="110" t="s">
        <v>4</v>
      </c>
      <c r="S284" s="111" t="str">
        <f t="shared" si="23"/>
        <v>SV Werder Bremen</v>
      </c>
      <c r="T284" s="211">
        <v>46137</v>
      </c>
      <c r="U284" s="212">
        <v>0.64583333333333337</v>
      </c>
    </row>
    <row r="285" spans="6:21" ht="17.25" x14ac:dyDescent="0.2">
      <c r="F285" s="83">
        <f t="shared" si="24"/>
        <v>2</v>
      </c>
      <c r="G285" s="83" t="str">
        <f t="shared" si="25"/>
        <v>00140013</v>
      </c>
      <c r="H285" s="83" t="str">
        <f t="shared" si="26"/>
        <v>00130014</v>
      </c>
      <c r="I285" s="83">
        <f>IF($G285="",0,COUNTIF($G$7:$G285,$H285))</f>
        <v>1</v>
      </c>
      <c r="J285" s="83"/>
      <c r="K285" s="264" t="str">
        <f>Language!$E$85</f>
        <v>double</v>
      </c>
      <c r="L285" s="240" t="str">
        <f>IF(Calc!$F$26=0,"",IF(OR($M285&gt;Calc!$B$24,MOD($M285-1,Calc!$F$26)&gt;0),"",QUOTIENT($M285-1,Calc!$F$26)+1))</f>
        <v/>
      </c>
      <c r="M285" s="102">
        <v>279</v>
      </c>
      <c r="N285" s="302">
        <v>14</v>
      </c>
      <c r="O285" s="108" t="s">
        <v>4</v>
      </c>
      <c r="P285" s="304">
        <v>13</v>
      </c>
      <c r="Q285" s="109" t="str">
        <f t="shared" si="22"/>
        <v>SC Freiburg</v>
      </c>
      <c r="R285" s="110" t="s">
        <v>4</v>
      </c>
      <c r="S285" s="111" t="str">
        <f t="shared" si="23"/>
        <v>RB Leipzig</v>
      </c>
      <c r="T285" s="211">
        <v>46137</v>
      </c>
      <c r="U285" s="212">
        <v>0.64583333333333337</v>
      </c>
    </row>
    <row r="286" spans="6:21" ht="17.25" x14ac:dyDescent="0.2">
      <c r="F286" s="83">
        <f t="shared" si="24"/>
        <v>2</v>
      </c>
      <c r="G286" s="83" t="str">
        <f t="shared" si="25"/>
        <v>00040001</v>
      </c>
      <c r="H286" s="83" t="str">
        <f t="shared" si="26"/>
        <v>00010004</v>
      </c>
      <c r="I286" s="83">
        <f>IF($G286="",0,COUNTIF($G$7:$G286,$H286))</f>
        <v>1</v>
      </c>
      <c r="J286" s="83"/>
      <c r="K286" s="264" t="str">
        <f>Language!$E$85</f>
        <v>double</v>
      </c>
      <c r="L286" s="240">
        <f>IF(Calc!$F$26=0,"",IF(OR($M286&gt;Calc!$B$24,MOD($M286-1,Calc!$F$26)&gt;0),"",QUOTIENT($M286-1,Calc!$F$26)+1))</f>
        <v>32</v>
      </c>
      <c r="M286" s="102">
        <v>280</v>
      </c>
      <c r="N286" s="302">
        <v>4</v>
      </c>
      <c r="O286" s="108" t="s">
        <v>4</v>
      </c>
      <c r="P286" s="304">
        <v>1</v>
      </c>
      <c r="Q286" s="109" t="str">
        <f t="shared" si="22"/>
        <v>1. FSV Mainz 05</v>
      </c>
      <c r="R286" s="110" t="s">
        <v>4</v>
      </c>
      <c r="S286" s="111" t="str">
        <f t="shared" si="23"/>
        <v>1. FC Heidenheim 1846</v>
      </c>
      <c r="T286" s="211">
        <v>46144</v>
      </c>
      <c r="U286" s="212">
        <v>0.64583333333333337</v>
      </c>
    </row>
    <row r="287" spans="6:21" ht="17.25" x14ac:dyDescent="0.2">
      <c r="F287" s="83">
        <f t="shared" si="24"/>
        <v>2</v>
      </c>
      <c r="G287" s="83" t="str">
        <f t="shared" si="25"/>
        <v>00050003</v>
      </c>
      <c r="H287" s="83" t="str">
        <f t="shared" si="26"/>
        <v>00030005</v>
      </c>
      <c r="I287" s="83">
        <f>IF($G287="",0,COUNTIF($G$7:$G287,$H287))</f>
        <v>1</v>
      </c>
      <c r="J287" s="83"/>
      <c r="K287" s="264" t="str">
        <f>Language!$E$85</f>
        <v>double</v>
      </c>
      <c r="L287" s="240" t="str">
        <f>IF(Calc!$F$26=0,"",IF(OR($M287&gt;Calc!$B$24,MOD($M287-1,Calc!$F$26)&gt;0),"",QUOTIENT($M287-1,Calc!$F$26)+1))</f>
        <v/>
      </c>
      <c r="M287" s="102">
        <v>281</v>
      </c>
      <c r="N287" s="302">
        <v>5</v>
      </c>
      <c r="O287" s="108" t="s">
        <v>4</v>
      </c>
      <c r="P287" s="304">
        <v>3</v>
      </c>
      <c r="Q287" s="109" t="str">
        <f t="shared" si="22"/>
        <v>Bayer 04 Leverkusen</v>
      </c>
      <c r="R287" s="110" t="s">
        <v>4</v>
      </c>
      <c r="S287" s="111" t="str">
        <f t="shared" si="23"/>
        <v>1. FC Union Berlin</v>
      </c>
      <c r="T287" s="211">
        <v>46144</v>
      </c>
      <c r="U287" s="212">
        <v>0.64583333333333337</v>
      </c>
    </row>
    <row r="288" spans="6:21" ht="17.25" x14ac:dyDescent="0.2">
      <c r="F288" s="83">
        <f t="shared" si="24"/>
        <v>2</v>
      </c>
      <c r="G288" s="83" t="str">
        <f t="shared" si="25"/>
        <v>00020006</v>
      </c>
      <c r="H288" s="83" t="str">
        <f t="shared" si="26"/>
        <v>00060002</v>
      </c>
      <c r="I288" s="83">
        <f>IF($G288="",0,COUNTIF($G$7:$G288,$H288))</f>
        <v>1</v>
      </c>
      <c r="J288" s="83"/>
      <c r="K288" s="264" t="str">
        <f>Language!$E$85</f>
        <v>double</v>
      </c>
      <c r="L288" s="240" t="str">
        <f>IF(Calc!$F$26=0,"",IF(OR($M288&gt;Calc!$B$24,MOD($M288-1,Calc!$F$26)&gt;0),"",QUOTIENT($M288-1,Calc!$F$26)+1))</f>
        <v/>
      </c>
      <c r="M288" s="102">
        <v>282</v>
      </c>
      <c r="N288" s="302">
        <v>2</v>
      </c>
      <c r="O288" s="108" t="s">
        <v>4</v>
      </c>
      <c r="P288" s="304">
        <v>6</v>
      </c>
      <c r="Q288" s="109" t="str">
        <f t="shared" si="22"/>
        <v>1. FC Köln</v>
      </c>
      <c r="R288" s="110" t="s">
        <v>4</v>
      </c>
      <c r="S288" s="111" t="str">
        <f t="shared" si="23"/>
        <v>Borussia Dortmund</v>
      </c>
      <c r="T288" s="211">
        <v>46144</v>
      </c>
      <c r="U288" s="212">
        <v>0.64583333333333337</v>
      </c>
    </row>
    <row r="289" spans="6:21" ht="17.25" x14ac:dyDescent="0.2">
      <c r="F289" s="83">
        <f t="shared" si="24"/>
        <v>2</v>
      </c>
      <c r="G289" s="83" t="str">
        <f t="shared" si="25"/>
        <v>00070018</v>
      </c>
      <c r="H289" s="83" t="str">
        <f t="shared" si="26"/>
        <v>00180007</v>
      </c>
      <c r="I289" s="83">
        <f>IF($G289="",0,COUNTIF($G$7:$G289,$H289))</f>
        <v>1</v>
      </c>
      <c r="J289" s="83"/>
      <c r="K289" s="264" t="str">
        <f>Language!$E$85</f>
        <v>double</v>
      </c>
      <c r="L289" s="240" t="str">
        <f>IF(Calc!$F$26=0,"",IF(OR($M289&gt;Calc!$B$24,MOD($M289-1,Calc!$F$26)&gt;0),"",QUOTIENT($M289-1,Calc!$F$26)+1))</f>
        <v/>
      </c>
      <c r="M289" s="102">
        <v>283</v>
      </c>
      <c r="N289" s="302">
        <v>7</v>
      </c>
      <c r="O289" s="108" t="s">
        <v>4</v>
      </c>
      <c r="P289" s="304">
        <v>18</v>
      </c>
      <c r="Q289" s="109" t="str">
        <f t="shared" si="22"/>
        <v>Borussia Mönchengladbach</v>
      </c>
      <c r="R289" s="110" t="s">
        <v>4</v>
      </c>
      <c r="S289" s="111" t="str">
        <f t="shared" si="23"/>
        <v>VfL Wolfsburg</v>
      </c>
      <c r="T289" s="211">
        <v>46144</v>
      </c>
      <c r="U289" s="212">
        <v>0.64583333333333337</v>
      </c>
    </row>
    <row r="290" spans="6:21" ht="17.25" x14ac:dyDescent="0.2">
      <c r="F290" s="83">
        <f t="shared" si="24"/>
        <v>2</v>
      </c>
      <c r="G290" s="83" t="str">
        <f t="shared" si="25"/>
        <v>00170008</v>
      </c>
      <c r="H290" s="83" t="str">
        <f t="shared" si="26"/>
        <v>00080017</v>
      </c>
      <c r="I290" s="83">
        <f>IF($G290="",0,COUNTIF($G$7:$G290,$H290))</f>
        <v>1</v>
      </c>
      <c r="J290" s="83"/>
      <c r="K290" s="264" t="str">
        <f>Language!$E$85</f>
        <v>double</v>
      </c>
      <c r="L290" s="240" t="str">
        <f>IF(Calc!$F$26=0,"",IF(OR($M290&gt;Calc!$B$24,MOD($M290-1,Calc!$F$26)&gt;0),"",QUOTIENT($M290-1,Calc!$F$26)+1))</f>
        <v/>
      </c>
      <c r="M290" s="102">
        <v>284</v>
      </c>
      <c r="N290" s="302">
        <v>17</v>
      </c>
      <c r="O290" s="108" t="s">
        <v>4</v>
      </c>
      <c r="P290" s="304">
        <v>8</v>
      </c>
      <c r="Q290" s="109" t="str">
        <f t="shared" si="22"/>
        <v>VfB Stuttgart</v>
      </c>
      <c r="R290" s="110" t="s">
        <v>4</v>
      </c>
      <c r="S290" s="111" t="str">
        <f t="shared" si="23"/>
        <v>Eintracht Frankfurt</v>
      </c>
      <c r="T290" s="211">
        <v>46144</v>
      </c>
      <c r="U290" s="212">
        <v>0.64583333333333337</v>
      </c>
    </row>
    <row r="291" spans="6:21" ht="17.25" x14ac:dyDescent="0.2">
      <c r="F291" s="83">
        <f t="shared" si="24"/>
        <v>2</v>
      </c>
      <c r="G291" s="83" t="str">
        <f t="shared" si="25"/>
        <v>00090016</v>
      </c>
      <c r="H291" s="83" t="str">
        <f t="shared" si="26"/>
        <v>00160009</v>
      </c>
      <c r="I291" s="83">
        <f>IF($G291="",0,COUNTIF($G$7:$G291,$H291))</f>
        <v>1</v>
      </c>
      <c r="J291" s="83"/>
      <c r="K291" s="264" t="str">
        <f>Language!$E$85</f>
        <v>double</v>
      </c>
      <c r="L291" s="240" t="str">
        <f>IF(Calc!$F$26=0,"",IF(OR($M291&gt;Calc!$B$24,MOD($M291-1,Calc!$F$26)&gt;0),"",QUOTIENT($M291-1,Calc!$F$26)+1))</f>
        <v/>
      </c>
      <c r="M291" s="102">
        <v>285</v>
      </c>
      <c r="N291" s="302">
        <v>9</v>
      </c>
      <c r="O291" s="108" t="s">
        <v>4</v>
      </c>
      <c r="P291" s="304">
        <v>16</v>
      </c>
      <c r="Q291" s="109" t="str">
        <f t="shared" si="22"/>
        <v>FC Augsburg</v>
      </c>
      <c r="R291" s="110" t="s">
        <v>4</v>
      </c>
      <c r="S291" s="111" t="str">
        <f t="shared" si="23"/>
        <v>TSG Hoffenheim</v>
      </c>
      <c r="T291" s="211">
        <v>46144</v>
      </c>
      <c r="U291" s="212">
        <v>0.64583333333333337</v>
      </c>
    </row>
    <row r="292" spans="6:21" ht="17.25" x14ac:dyDescent="0.2">
      <c r="F292" s="83">
        <f t="shared" si="24"/>
        <v>2</v>
      </c>
      <c r="G292" s="83" t="str">
        <f t="shared" si="25"/>
        <v>00150010</v>
      </c>
      <c r="H292" s="83" t="str">
        <f t="shared" si="26"/>
        <v>00100015</v>
      </c>
      <c r="I292" s="83">
        <f>IF($G292="",0,COUNTIF($G$7:$G292,$H292))</f>
        <v>1</v>
      </c>
      <c r="J292" s="83"/>
      <c r="K292" s="264" t="str">
        <f>Language!$E$85</f>
        <v>double</v>
      </c>
      <c r="L292" s="240" t="str">
        <f>IF(Calc!$F$26=0,"",IF(OR($M292&gt;Calc!$B$24,MOD($M292-1,Calc!$F$26)&gt;0),"",QUOTIENT($M292-1,Calc!$F$26)+1))</f>
        <v/>
      </c>
      <c r="M292" s="102">
        <v>286</v>
      </c>
      <c r="N292" s="302">
        <v>15</v>
      </c>
      <c r="O292" s="108" t="s">
        <v>4</v>
      </c>
      <c r="P292" s="304">
        <v>10</v>
      </c>
      <c r="Q292" s="109" t="str">
        <f t="shared" si="22"/>
        <v>SV Werder Bremen</v>
      </c>
      <c r="R292" s="110" t="s">
        <v>4</v>
      </c>
      <c r="S292" s="111" t="str">
        <f t="shared" si="23"/>
        <v>FC Bayern München</v>
      </c>
      <c r="T292" s="211">
        <v>46144</v>
      </c>
      <c r="U292" s="212">
        <v>0.64583333333333337</v>
      </c>
    </row>
    <row r="293" spans="6:21" ht="17.25" x14ac:dyDescent="0.2">
      <c r="F293" s="83">
        <f t="shared" si="24"/>
        <v>2</v>
      </c>
      <c r="G293" s="83" t="str">
        <f t="shared" si="25"/>
        <v>00110014</v>
      </c>
      <c r="H293" s="83" t="str">
        <f t="shared" si="26"/>
        <v>00140011</v>
      </c>
      <c r="I293" s="83">
        <f>IF($G293="",0,COUNTIF($G$7:$G293,$H293))</f>
        <v>1</v>
      </c>
      <c r="J293" s="83"/>
      <c r="K293" s="264" t="str">
        <f>Language!$E$85</f>
        <v>double</v>
      </c>
      <c r="L293" s="240" t="str">
        <f>IF(Calc!$F$26=0,"",IF(OR($M293&gt;Calc!$B$24,MOD($M293-1,Calc!$F$26)&gt;0),"",QUOTIENT($M293-1,Calc!$F$26)+1))</f>
        <v/>
      </c>
      <c r="M293" s="102">
        <v>287</v>
      </c>
      <c r="N293" s="302">
        <v>11</v>
      </c>
      <c r="O293" s="108" t="s">
        <v>4</v>
      </c>
      <c r="P293" s="304">
        <v>14</v>
      </c>
      <c r="Q293" s="109" t="str">
        <f t="shared" si="22"/>
        <v>FC St. Pauli</v>
      </c>
      <c r="R293" s="110" t="s">
        <v>4</v>
      </c>
      <c r="S293" s="111" t="str">
        <f t="shared" si="23"/>
        <v>SC Freiburg</v>
      </c>
      <c r="T293" s="211">
        <v>46144</v>
      </c>
      <c r="U293" s="212">
        <v>0.64583333333333337</v>
      </c>
    </row>
    <row r="294" spans="6:21" ht="17.25" x14ac:dyDescent="0.2">
      <c r="F294" s="83">
        <f t="shared" si="24"/>
        <v>2</v>
      </c>
      <c r="G294" s="83" t="str">
        <f t="shared" si="25"/>
        <v>00130012</v>
      </c>
      <c r="H294" s="83" t="str">
        <f t="shared" si="26"/>
        <v>00120013</v>
      </c>
      <c r="I294" s="83">
        <f>IF($G294="",0,COUNTIF($G$7:$G294,$H294))</f>
        <v>1</v>
      </c>
      <c r="J294" s="83"/>
      <c r="K294" s="264" t="str">
        <f>Language!$E$85</f>
        <v>double</v>
      </c>
      <c r="L294" s="240" t="str">
        <f>IF(Calc!$F$26=0,"",IF(OR($M294&gt;Calc!$B$24,MOD($M294-1,Calc!$F$26)&gt;0),"",QUOTIENT($M294-1,Calc!$F$26)+1))</f>
        <v/>
      </c>
      <c r="M294" s="102">
        <v>288</v>
      </c>
      <c r="N294" s="302">
        <v>13</v>
      </c>
      <c r="O294" s="108" t="s">
        <v>4</v>
      </c>
      <c r="P294" s="304">
        <v>12</v>
      </c>
      <c r="Q294" s="109" t="str">
        <f t="shared" si="22"/>
        <v>RB Leipzig</v>
      </c>
      <c r="R294" s="110" t="s">
        <v>4</v>
      </c>
      <c r="S294" s="111" t="str">
        <f t="shared" si="23"/>
        <v>Hamburger SV</v>
      </c>
      <c r="T294" s="211">
        <v>46144</v>
      </c>
      <c r="U294" s="212">
        <v>0.64583333333333337</v>
      </c>
    </row>
    <row r="295" spans="6:21" ht="17.25" x14ac:dyDescent="0.2">
      <c r="F295" s="83">
        <f t="shared" si="24"/>
        <v>2</v>
      </c>
      <c r="G295" s="83" t="str">
        <f t="shared" si="25"/>
        <v>00010003</v>
      </c>
      <c r="H295" s="83" t="str">
        <f t="shared" si="26"/>
        <v>00030001</v>
      </c>
      <c r="I295" s="83">
        <f>IF($G295="",0,COUNTIF($G$7:$G295,$H295))</f>
        <v>1</v>
      </c>
      <c r="J295" s="83"/>
      <c r="K295" s="264" t="str">
        <f>Language!$E$85</f>
        <v>double</v>
      </c>
      <c r="L295" s="240">
        <f>IF(Calc!$F$26=0,"",IF(OR($M295&gt;Calc!$B$24,MOD($M295-1,Calc!$F$26)&gt;0),"",QUOTIENT($M295-1,Calc!$F$26)+1))</f>
        <v>33</v>
      </c>
      <c r="M295" s="102">
        <v>289</v>
      </c>
      <c r="N295" s="302">
        <v>1</v>
      </c>
      <c r="O295" s="108" t="s">
        <v>4</v>
      </c>
      <c r="P295" s="304">
        <v>3</v>
      </c>
      <c r="Q295" s="109" t="str">
        <f t="shared" si="22"/>
        <v>1. FC Heidenheim 1846</v>
      </c>
      <c r="R295" s="110" t="s">
        <v>4</v>
      </c>
      <c r="S295" s="111" t="str">
        <f t="shared" si="23"/>
        <v>1. FC Union Berlin</v>
      </c>
      <c r="T295" s="211">
        <v>46151</v>
      </c>
      <c r="U295" s="212">
        <v>0.64583333333333337</v>
      </c>
    </row>
    <row r="296" spans="6:21" ht="17.25" x14ac:dyDescent="0.2">
      <c r="F296" s="83">
        <f t="shared" si="24"/>
        <v>2</v>
      </c>
      <c r="G296" s="83" t="str">
        <f t="shared" si="25"/>
        <v>00040002</v>
      </c>
      <c r="H296" s="83" t="str">
        <f t="shared" si="26"/>
        <v>00020004</v>
      </c>
      <c r="I296" s="83">
        <f>IF($G296="",0,COUNTIF($G$7:$G296,$H296))</f>
        <v>1</v>
      </c>
      <c r="J296" s="83"/>
      <c r="K296" s="264" t="str">
        <f>Language!$E$85</f>
        <v>double</v>
      </c>
      <c r="L296" s="240" t="str">
        <f>IF(Calc!$F$26=0,"",IF(OR($M296&gt;Calc!$B$24,MOD($M296-1,Calc!$F$26)&gt;0),"",QUOTIENT($M296-1,Calc!$F$26)+1))</f>
        <v/>
      </c>
      <c r="M296" s="102">
        <v>290</v>
      </c>
      <c r="N296" s="302">
        <v>4</v>
      </c>
      <c r="O296" s="108" t="s">
        <v>4</v>
      </c>
      <c r="P296" s="304">
        <v>2</v>
      </c>
      <c r="Q296" s="109" t="str">
        <f t="shared" si="22"/>
        <v>1. FSV Mainz 05</v>
      </c>
      <c r="R296" s="110" t="s">
        <v>4</v>
      </c>
      <c r="S296" s="111" t="str">
        <f t="shared" si="23"/>
        <v>1. FC Köln</v>
      </c>
      <c r="T296" s="211">
        <v>46151</v>
      </c>
      <c r="U296" s="212">
        <v>0.64583333333333337</v>
      </c>
    </row>
    <row r="297" spans="6:21" ht="17.25" x14ac:dyDescent="0.2">
      <c r="F297" s="83">
        <f t="shared" si="24"/>
        <v>2</v>
      </c>
      <c r="G297" s="83" t="str">
        <f t="shared" si="25"/>
        <v>00180005</v>
      </c>
      <c r="H297" s="83" t="str">
        <f t="shared" si="26"/>
        <v>00050018</v>
      </c>
      <c r="I297" s="83">
        <f>IF($G297="",0,COUNTIF($G$7:$G297,$H297))</f>
        <v>1</v>
      </c>
      <c r="J297" s="83"/>
      <c r="K297" s="264" t="str">
        <f>Language!$E$85</f>
        <v>double</v>
      </c>
      <c r="L297" s="240" t="str">
        <f>IF(Calc!$F$26=0,"",IF(OR($M297&gt;Calc!$B$24,MOD($M297-1,Calc!$F$26)&gt;0),"",QUOTIENT($M297-1,Calc!$F$26)+1))</f>
        <v/>
      </c>
      <c r="M297" s="102">
        <v>291</v>
      </c>
      <c r="N297" s="302">
        <v>18</v>
      </c>
      <c r="O297" s="108" t="s">
        <v>4</v>
      </c>
      <c r="P297" s="304">
        <v>5</v>
      </c>
      <c r="Q297" s="109" t="str">
        <f t="shared" si="22"/>
        <v>VfL Wolfsburg</v>
      </c>
      <c r="R297" s="110" t="s">
        <v>4</v>
      </c>
      <c r="S297" s="111" t="str">
        <f t="shared" si="23"/>
        <v>Bayer 04 Leverkusen</v>
      </c>
      <c r="T297" s="211">
        <v>46151</v>
      </c>
      <c r="U297" s="212">
        <v>0.64583333333333337</v>
      </c>
    </row>
    <row r="298" spans="6:21" ht="17.25" x14ac:dyDescent="0.2">
      <c r="F298" s="83">
        <f t="shared" si="24"/>
        <v>2</v>
      </c>
      <c r="G298" s="83" t="str">
        <f t="shared" si="25"/>
        <v>00060017</v>
      </c>
      <c r="H298" s="83" t="str">
        <f t="shared" si="26"/>
        <v>00170006</v>
      </c>
      <c r="I298" s="83">
        <f>IF($G298="",0,COUNTIF($G$7:$G298,$H298))</f>
        <v>1</v>
      </c>
      <c r="J298" s="83"/>
      <c r="K298" s="264" t="str">
        <f>Language!$E$85</f>
        <v>double</v>
      </c>
      <c r="L298" s="240" t="str">
        <f>IF(Calc!$F$26=0,"",IF(OR($M298&gt;Calc!$B$24,MOD($M298-1,Calc!$F$26)&gt;0),"",QUOTIENT($M298-1,Calc!$F$26)+1))</f>
        <v/>
      </c>
      <c r="M298" s="102">
        <v>292</v>
      </c>
      <c r="N298" s="302">
        <v>6</v>
      </c>
      <c r="O298" s="108" t="s">
        <v>4</v>
      </c>
      <c r="P298" s="304">
        <v>17</v>
      </c>
      <c r="Q298" s="109" t="str">
        <f t="shared" si="22"/>
        <v>Borussia Dortmund</v>
      </c>
      <c r="R298" s="110" t="s">
        <v>4</v>
      </c>
      <c r="S298" s="111" t="str">
        <f t="shared" si="23"/>
        <v>VfB Stuttgart</v>
      </c>
      <c r="T298" s="211">
        <v>46151</v>
      </c>
      <c r="U298" s="212">
        <v>0.64583333333333337</v>
      </c>
    </row>
    <row r="299" spans="6:21" ht="17.25" x14ac:dyDescent="0.2">
      <c r="F299" s="83">
        <f t="shared" si="24"/>
        <v>2</v>
      </c>
      <c r="G299" s="83" t="str">
        <f t="shared" si="25"/>
        <v>00160007</v>
      </c>
      <c r="H299" s="83" t="str">
        <f t="shared" si="26"/>
        <v>00070016</v>
      </c>
      <c r="I299" s="83">
        <f>IF($G299="",0,COUNTIF($G$7:$G299,$H299))</f>
        <v>1</v>
      </c>
      <c r="J299" s="83"/>
      <c r="K299" s="264" t="str">
        <f>Language!$E$85</f>
        <v>double</v>
      </c>
      <c r="L299" s="240" t="str">
        <f>IF(Calc!$F$26=0,"",IF(OR($M299&gt;Calc!$B$24,MOD($M299-1,Calc!$F$26)&gt;0),"",QUOTIENT($M299-1,Calc!$F$26)+1))</f>
        <v/>
      </c>
      <c r="M299" s="102">
        <v>293</v>
      </c>
      <c r="N299" s="302">
        <v>16</v>
      </c>
      <c r="O299" s="108" t="s">
        <v>4</v>
      </c>
      <c r="P299" s="304">
        <v>7</v>
      </c>
      <c r="Q299" s="109" t="str">
        <f t="shared" si="22"/>
        <v>TSG Hoffenheim</v>
      </c>
      <c r="R299" s="110" t="s">
        <v>4</v>
      </c>
      <c r="S299" s="111" t="str">
        <f t="shared" si="23"/>
        <v>Borussia Mönchengladbach</v>
      </c>
      <c r="T299" s="211">
        <v>46151</v>
      </c>
      <c r="U299" s="212">
        <v>0.64583333333333337</v>
      </c>
    </row>
    <row r="300" spans="6:21" ht="17.25" x14ac:dyDescent="0.2">
      <c r="F300" s="83">
        <f t="shared" si="24"/>
        <v>2</v>
      </c>
      <c r="G300" s="83" t="str">
        <f t="shared" si="25"/>
        <v>00080015</v>
      </c>
      <c r="H300" s="83" t="str">
        <f t="shared" si="26"/>
        <v>00150008</v>
      </c>
      <c r="I300" s="83">
        <f>IF($G300="",0,COUNTIF($G$7:$G300,$H300))</f>
        <v>1</v>
      </c>
      <c r="J300" s="83"/>
      <c r="K300" s="264" t="str">
        <f>Language!$E$85</f>
        <v>double</v>
      </c>
      <c r="L300" s="240" t="str">
        <f>IF(Calc!$F$26=0,"",IF(OR($M300&gt;Calc!$B$24,MOD($M300-1,Calc!$F$26)&gt;0),"",QUOTIENT($M300-1,Calc!$F$26)+1))</f>
        <v/>
      </c>
      <c r="M300" s="102">
        <v>294</v>
      </c>
      <c r="N300" s="302">
        <v>8</v>
      </c>
      <c r="O300" s="108" t="s">
        <v>4</v>
      </c>
      <c r="P300" s="304">
        <v>15</v>
      </c>
      <c r="Q300" s="109" t="str">
        <f t="shared" si="22"/>
        <v>Eintracht Frankfurt</v>
      </c>
      <c r="R300" s="110" t="s">
        <v>4</v>
      </c>
      <c r="S300" s="111" t="str">
        <f t="shared" si="23"/>
        <v>SV Werder Bremen</v>
      </c>
      <c r="T300" s="211">
        <v>46151</v>
      </c>
      <c r="U300" s="212">
        <v>0.64583333333333337</v>
      </c>
    </row>
    <row r="301" spans="6:21" ht="17.25" x14ac:dyDescent="0.2">
      <c r="F301" s="83">
        <f t="shared" si="24"/>
        <v>2</v>
      </c>
      <c r="G301" s="83" t="str">
        <f t="shared" si="25"/>
        <v>00140009</v>
      </c>
      <c r="H301" s="83" t="str">
        <f t="shared" si="26"/>
        <v>00090014</v>
      </c>
      <c r="I301" s="83">
        <f>IF($G301="",0,COUNTIF($G$7:$G301,$H301))</f>
        <v>1</v>
      </c>
      <c r="J301" s="83"/>
      <c r="K301" s="264" t="str">
        <f>Language!$E$85</f>
        <v>double</v>
      </c>
      <c r="L301" s="240" t="str">
        <f>IF(Calc!$F$26=0,"",IF(OR($M301&gt;Calc!$B$24,MOD($M301-1,Calc!$F$26)&gt;0),"",QUOTIENT($M301-1,Calc!$F$26)+1))</f>
        <v/>
      </c>
      <c r="M301" s="102">
        <v>295</v>
      </c>
      <c r="N301" s="302">
        <v>14</v>
      </c>
      <c r="O301" s="108" t="s">
        <v>4</v>
      </c>
      <c r="P301" s="304">
        <v>9</v>
      </c>
      <c r="Q301" s="109" t="str">
        <f t="shared" si="22"/>
        <v>SC Freiburg</v>
      </c>
      <c r="R301" s="110" t="s">
        <v>4</v>
      </c>
      <c r="S301" s="111" t="str">
        <f t="shared" si="23"/>
        <v>FC Augsburg</v>
      </c>
      <c r="T301" s="211">
        <v>46151</v>
      </c>
      <c r="U301" s="212">
        <v>0.64583333333333337</v>
      </c>
    </row>
    <row r="302" spans="6:21" ht="17.25" x14ac:dyDescent="0.2">
      <c r="F302" s="83">
        <f t="shared" si="24"/>
        <v>2</v>
      </c>
      <c r="G302" s="83" t="str">
        <f t="shared" si="25"/>
        <v>00100013</v>
      </c>
      <c r="H302" s="83" t="str">
        <f t="shared" si="26"/>
        <v>00130010</v>
      </c>
      <c r="I302" s="83">
        <f>IF($G302="",0,COUNTIF($G$7:$G302,$H302))</f>
        <v>1</v>
      </c>
      <c r="J302" s="83"/>
      <c r="K302" s="264" t="str">
        <f>Language!$E$85</f>
        <v>double</v>
      </c>
      <c r="L302" s="240" t="str">
        <f>IF(Calc!$F$26=0,"",IF(OR($M302&gt;Calc!$B$24,MOD($M302-1,Calc!$F$26)&gt;0),"",QUOTIENT($M302-1,Calc!$F$26)+1))</f>
        <v/>
      </c>
      <c r="M302" s="102">
        <v>296</v>
      </c>
      <c r="N302" s="302">
        <v>10</v>
      </c>
      <c r="O302" s="108" t="s">
        <v>4</v>
      </c>
      <c r="P302" s="304">
        <v>13</v>
      </c>
      <c r="Q302" s="109" t="str">
        <f t="shared" si="22"/>
        <v>FC Bayern München</v>
      </c>
      <c r="R302" s="110" t="s">
        <v>4</v>
      </c>
      <c r="S302" s="111" t="str">
        <f t="shared" si="23"/>
        <v>RB Leipzig</v>
      </c>
      <c r="T302" s="211">
        <v>46151</v>
      </c>
      <c r="U302" s="212">
        <v>0.64583333333333337</v>
      </c>
    </row>
    <row r="303" spans="6:21" ht="17.25" x14ac:dyDescent="0.2">
      <c r="F303" s="83">
        <f t="shared" si="24"/>
        <v>2</v>
      </c>
      <c r="G303" s="83" t="str">
        <f t="shared" si="25"/>
        <v>00120011</v>
      </c>
      <c r="H303" s="83" t="str">
        <f t="shared" si="26"/>
        <v>00110012</v>
      </c>
      <c r="I303" s="83">
        <f>IF($G303="",0,COUNTIF($G$7:$G303,$H303))</f>
        <v>1</v>
      </c>
      <c r="J303" s="83"/>
      <c r="K303" s="264" t="str">
        <f>Language!$E$85</f>
        <v>double</v>
      </c>
      <c r="L303" s="240" t="str">
        <f>IF(Calc!$F$26=0,"",IF(OR($M303&gt;Calc!$B$24,MOD($M303-1,Calc!$F$26)&gt;0),"",QUOTIENT($M303-1,Calc!$F$26)+1))</f>
        <v/>
      </c>
      <c r="M303" s="102">
        <v>297</v>
      </c>
      <c r="N303" s="302">
        <v>12</v>
      </c>
      <c r="O303" s="108" t="s">
        <v>4</v>
      </c>
      <c r="P303" s="304">
        <v>11</v>
      </c>
      <c r="Q303" s="109" t="str">
        <f t="shared" si="22"/>
        <v>Hamburger SV</v>
      </c>
      <c r="R303" s="110" t="s">
        <v>4</v>
      </c>
      <c r="S303" s="111" t="str">
        <f t="shared" si="23"/>
        <v>FC St. Pauli</v>
      </c>
      <c r="T303" s="211">
        <v>46151</v>
      </c>
      <c r="U303" s="212">
        <v>0.64583333333333337</v>
      </c>
    </row>
    <row r="304" spans="6:21" ht="17.25" x14ac:dyDescent="0.2">
      <c r="F304" s="83">
        <f t="shared" si="24"/>
        <v>2</v>
      </c>
      <c r="G304" s="83" t="str">
        <f t="shared" si="25"/>
        <v>00020001</v>
      </c>
      <c r="H304" s="83" t="str">
        <f t="shared" si="26"/>
        <v>00010002</v>
      </c>
      <c r="I304" s="83">
        <f>IF($G304="",0,COUNTIF($G$7:$G304,$H304))</f>
        <v>1</v>
      </c>
      <c r="J304" s="83"/>
      <c r="K304" s="264" t="str">
        <f>Language!$E$85</f>
        <v>double</v>
      </c>
      <c r="L304" s="240">
        <f>IF(Calc!$F$26=0,"",IF(OR($M304&gt;Calc!$B$24,MOD($M304-1,Calc!$F$26)&gt;0),"",QUOTIENT($M304-1,Calc!$F$26)+1))</f>
        <v>34</v>
      </c>
      <c r="M304" s="102">
        <v>298</v>
      </c>
      <c r="N304" s="302">
        <v>2</v>
      </c>
      <c r="O304" s="108" t="s">
        <v>4</v>
      </c>
      <c r="P304" s="304">
        <v>1</v>
      </c>
      <c r="Q304" s="109" t="str">
        <f t="shared" si="22"/>
        <v>1. FC Köln</v>
      </c>
      <c r="R304" s="110" t="s">
        <v>4</v>
      </c>
      <c r="S304" s="111" t="str">
        <f t="shared" si="23"/>
        <v>1. FC Heidenheim 1846</v>
      </c>
      <c r="T304" s="211">
        <v>46158</v>
      </c>
      <c r="U304" s="212">
        <v>0.64583333333333337</v>
      </c>
    </row>
    <row r="305" spans="6:21" ht="17.25" x14ac:dyDescent="0.2">
      <c r="F305" s="83">
        <f t="shared" si="24"/>
        <v>2</v>
      </c>
      <c r="G305" s="83" t="str">
        <f t="shared" si="25"/>
        <v>00030018</v>
      </c>
      <c r="H305" s="83" t="str">
        <f t="shared" si="26"/>
        <v>00180003</v>
      </c>
      <c r="I305" s="83">
        <f>IF($G305="",0,COUNTIF($G$7:$G305,$H305))</f>
        <v>1</v>
      </c>
      <c r="J305" s="83"/>
      <c r="K305" s="264" t="str">
        <f>Language!$E$85</f>
        <v>double</v>
      </c>
      <c r="L305" s="240" t="str">
        <f>IF(Calc!$F$26=0,"",IF(OR($M305&gt;Calc!$B$24,MOD($M305-1,Calc!$F$26)&gt;0),"",QUOTIENT($M305-1,Calc!$F$26)+1))</f>
        <v/>
      </c>
      <c r="M305" s="102">
        <v>299</v>
      </c>
      <c r="N305" s="302">
        <v>3</v>
      </c>
      <c r="O305" s="108" t="s">
        <v>4</v>
      </c>
      <c r="P305" s="304">
        <v>18</v>
      </c>
      <c r="Q305" s="109" t="str">
        <f t="shared" si="22"/>
        <v>1. FC Union Berlin</v>
      </c>
      <c r="R305" s="110" t="s">
        <v>4</v>
      </c>
      <c r="S305" s="111" t="str">
        <f t="shared" si="23"/>
        <v>VfL Wolfsburg</v>
      </c>
      <c r="T305" s="211">
        <v>46158</v>
      </c>
      <c r="U305" s="212">
        <v>0.64583333333333337</v>
      </c>
    </row>
    <row r="306" spans="6:21" ht="17.25" x14ac:dyDescent="0.2">
      <c r="F306" s="83">
        <f t="shared" si="24"/>
        <v>2</v>
      </c>
      <c r="G306" s="83" t="str">
        <f t="shared" si="25"/>
        <v>00170004</v>
      </c>
      <c r="H306" s="83" t="str">
        <f t="shared" si="26"/>
        <v>00040017</v>
      </c>
      <c r="I306" s="83">
        <f>IF($G306="",0,COUNTIF($G$7:$G306,$H306))</f>
        <v>1</v>
      </c>
      <c r="J306" s="83"/>
      <c r="K306" s="264" t="str">
        <f>Language!$E$85</f>
        <v>double</v>
      </c>
      <c r="L306" s="240" t="str">
        <f>IF(Calc!$F$26=0,"",IF(OR($M306&gt;Calc!$B$24,MOD($M306-1,Calc!$F$26)&gt;0),"",QUOTIENT($M306-1,Calc!$F$26)+1))</f>
        <v/>
      </c>
      <c r="M306" s="102">
        <v>300</v>
      </c>
      <c r="N306" s="302">
        <v>17</v>
      </c>
      <c r="O306" s="108" t="s">
        <v>4</v>
      </c>
      <c r="P306" s="304">
        <v>4</v>
      </c>
      <c r="Q306" s="109" t="str">
        <f t="shared" si="22"/>
        <v>VfB Stuttgart</v>
      </c>
      <c r="R306" s="110" t="s">
        <v>4</v>
      </c>
      <c r="S306" s="111" t="str">
        <f t="shared" si="23"/>
        <v>1. FSV Mainz 05</v>
      </c>
      <c r="T306" s="211">
        <v>46158</v>
      </c>
      <c r="U306" s="212">
        <v>0.64583333333333337</v>
      </c>
    </row>
    <row r="307" spans="6:21" ht="17.25" x14ac:dyDescent="0.2">
      <c r="F307" s="83">
        <f t="shared" si="24"/>
        <v>2</v>
      </c>
      <c r="G307" s="83" t="str">
        <f t="shared" si="25"/>
        <v>00050016</v>
      </c>
      <c r="H307" s="83" t="str">
        <f t="shared" si="26"/>
        <v>00160005</v>
      </c>
      <c r="I307" s="83">
        <f>IF($G307="",0,COUNTIF($G$7:$G307,$H307))</f>
        <v>1</v>
      </c>
      <c r="J307" s="83"/>
      <c r="K307" s="264" t="str">
        <f>Language!$E$85</f>
        <v>double</v>
      </c>
      <c r="L307" s="240" t="str">
        <f>IF(Calc!$F$26=0,"",IF(OR($M307&gt;Calc!$B$24,MOD($M307-1,Calc!$F$26)&gt;0),"",QUOTIENT($M307-1,Calc!$F$26)+1))</f>
        <v/>
      </c>
      <c r="M307" s="102">
        <v>301</v>
      </c>
      <c r="N307" s="302">
        <v>5</v>
      </c>
      <c r="O307" s="108" t="s">
        <v>4</v>
      </c>
      <c r="P307" s="304">
        <v>16</v>
      </c>
      <c r="Q307" s="109" t="str">
        <f t="shared" si="22"/>
        <v>Bayer 04 Leverkusen</v>
      </c>
      <c r="R307" s="110" t="s">
        <v>4</v>
      </c>
      <c r="S307" s="111" t="str">
        <f t="shared" si="23"/>
        <v>TSG Hoffenheim</v>
      </c>
      <c r="T307" s="211">
        <v>46158</v>
      </c>
      <c r="U307" s="212">
        <v>0.64583333333333337</v>
      </c>
    </row>
    <row r="308" spans="6:21" ht="17.25" x14ac:dyDescent="0.2">
      <c r="F308" s="83">
        <f t="shared" si="24"/>
        <v>2</v>
      </c>
      <c r="G308" s="83" t="str">
        <f t="shared" si="25"/>
        <v>00150006</v>
      </c>
      <c r="H308" s="83" t="str">
        <f t="shared" si="26"/>
        <v>00060015</v>
      </c>
      <c r="I308" s="83">
        <f>IF($G308="",0,COUNTIF($G$7:$G308,$H308))</f>
        <v>1</v>
      </c>
      <c r="J308" s="83"/>
      <c r="K308" s="264" t="str">
        <f>Language!$E$85</f>
        <v>double</v>
      </c>
      <c r="L308" s="240" t="str">
        <f>IF(Calc!$F$26=0,"",IF(OR($M308&gt;Calc!$B$24,MOD($M308-1,Calc!$F$26)&gt;0),"",QUOTIENT($M308-1,Calc!$F$26)+1))</f>
        <v/>
      </c>
      <c r="M308" s="102">
        <v>302</v>
      </c>
      <c r="N308" s="302">
        <v>15</v>
      </c>
      <c r="O308" s="108" t="s">
        <v>4</v>
      </c>
      <c r="P308" s="304">
        <v>6</v>
      </c>
      <c r="Q308" s="109" t="str">
        <f t="shared" si="22"/>
        <v>SV Werder Bremen</v>
      </c>
      <c r="R308" s="110" t="s">
        <v>4</v>
      </c>
      <c r="S308" s="111" t="str">
        <f t="shared" si="23"/>
        <v>Borussia Dortmund</v>
      </c>
      <c r="T308" s="211">
        <v>46158</v>
      </c>
      <c r="U308" s="212">
        <v>0.64583333333333337</v>
      </c>
    </row>
    <row r="309" spans="6:21" ht="17.25" x14ac:dyDescent="0.2">
      <c r="F309" s="83">
        <f t="shared" si="24"/>
        <v>2</v>
      </c>
      <c r="G309" s="83" t="str">
        <f t="shared" si="25"/>
        <v>00070014</v>
      </c>
      <c r="H309" s="83" t="str">
        <f t="shared" si="26"/>
        <v>00140007</v>
      </c>
      <c r="I309" s="83">
        <f>IF($G309="",0,COUNTIF($G$7:$G309,$H309))</f>
        <v>1</v>
      </c>
      <c r="J309" s="83"/>
      <c r="K309" s="264" t="str">
        <f>Language!$E$85</f>
        <v>double</v>
      </c>
      <c r="L309" s="240" t="str">
        <f>IF(Calc!$F$26=0,"",IF(OR($M309&gt;Calc!$B$24,MOD($M309-1,Calc!$F$26)&gt;0),"",QUOTIENT($M309-1,Calc!$F$26)+1))</f>
        <v/>
      </c>
      <c r="M309" s="102">
        <v>303</v>
      </c>
      <c r="N309" s="302">
        <v>7</v>
      </c>
      <c r="O309" s="108" t="s">
        <v>4</v>
      </c>
      <c r="P309" s="304">
        <v>14</v>
      </c>
      <c r="Q309" s="109" t="str">
        <f t="shared" si="22"/>
        <v>Borussia Mönchengladbach</v>
      </c>
      <c r="R309" s="110" t="s">
        <v>4</v>
      </c>
      <c r="S309" s="111" t="str">
        <f t="shared" si="23"/>
        <v>SC Freiburg</v>
      </c>
      <c r="T309" s="211">
        <v>46158</v>
      </c>
      <c r="U309" s="212">
        <v>0.64583333333333337</v>
      </c>
    </row>
    <row r="310" spans="6:21" ht="17.25" x14ac:dyDescent="0.2">
      <c r="F310" s="83">
        <f t="shared" si="24"/>
        <v>2</v>
      </c>
      <c r="G310" s="83" t="str">
        <f t="shared" si="25"/>
        <v>00130008</v>
      </c>
      <c r="H310" s="83" t="str">
        <f t="shared" si="26"/>
        <v>00080013</v>
      </c>
      <c r="I310" s="83">
        <f>IF($G310="",0,COUNTIF($G$7:$G310,$H310))</f>
        <v>1</v>
      </c>
      <c r="J310" s="83"/>
      <c r="K310" s="264" t="str">
        <f>Language!$E$85</f>
        <v>double</v>
      </c>
      <c r="L310" s="240" t="str">
        <f>IF(Calc!$F$26=0,"",IF(OR($M310&gt;Calc!$B$24,MOD($M310-1,Calc!$F$26)&gt;0),"",QUOTIENT($M310-1,Calc!$F$26)+1))</f>
        <v/>
      </c>
      <c r="M310" s="102">
        <v>304</v>
      </c>
      <c r="N310" s="302">
        <v>13</v>
      </c>
      <c r="O310" s="108" t="s">
        <v>4</v>
      </c>
      <c r="P310" s="304">
        <v>8</v>
      </c>
      <c r="Q310" s="109" t="str">
        <f t="shared" si="22"/>
        <v>RB Leipzig</v>
      </c>
      <c r="R310" s="110" t="s">
        <v>4</v>
      </c>
      <c r="S310" s="111" t="str">
        <f t="shared" si="23"/>
        <v>Eintracht Frankfurt</v>
      </c>
      <c r="T310" s="211">
        <v>46158</v>
      </c>
      <c r="U310" s="212">
        <v>0.64583333333333337</v>
      </c>
    </row>
    <row r="311" spans="6:21" ht="17.25" x14ac:dyDescent="0.2">
      <c r="F311" s="83">
        <f t="shared" si="24"/>
        <v>2</v>
      </c>
      <c r="G311" s="83" t="str">
        <f t="shared" si="25"/>
        <v>00090012</v>
      </c>
      <c r="H311" s="83" t="str">
        <f t="shared" si="26"/>
        <v>00120009</v>
      </c>
      <c r="I311" s="83">
        <f>IF($G311="",0,COUNTIF($G$7:$G311,$H311))</f>
        <v>1</v>
      </c>
      <c r="J311" s="83"/>
      <c r="K311" s="264" t="str">
        <f>Language!$E$85</f>
        <v>double</v>
      </c>
      <c r="L311" s="240" t="str">
        <f>IF(Calc!$F$26=0,"",IF(OR($M311&gt;Calc!$B$24,MOD($M311-1,Calc!$F$26)&gt;0),"",QUOTIENT($M311-1,Calc!$F$26)+1))</f>
        <v/>
      </c>
      <c r="M311" s="102">
        <v>305</v>
      </c>
      <c r="N311" s="302">
        <v>9</v>
      </c>
      <c r="O311" s="108" t="s">
        <v>4</v>
      </c>
      <c r="P311" s="304">
        <v>12</v>
      </c>
      <c r="Q311" s="109" t="str">
        <f t="shared" si="22"/>
        <v>FC Augsburg</v>
      </c>
      <c r="R311" s="110" t="s">
        <v>4</v>
      </c>
      <c r="S311" s="111" t="str">
        <f t="shared" si="23"/>
        <v>Hamburger SV</v>
      </c>
      <c r="T311" s="211">
        <v>46158</v>
      </c>
      <c r="U311" s="212">
        <v>0.64583333333333337</v>
      </c>
    </row>
    <row r="312" spans="6:21" ht="17.25" x14ac:dyDescent="0.2">
      <c r="F312" s="83">
        <f t="shared" si="24"/>
        <v>2</v>
      </c>
      <c r="G312" s="83" t="str">
        <f t="shared" si="25"/>
        <v>00110010</v>
      </c>
      <c r="H312" s="83" t="str">
        <f t="shared" si="26"/>
        <v>00100011</v>
      </c>
      <c r="I312" s="83">
        <f>IF($G312="",0,COUNTIF($G$7:$G312,$H312))</f>
        <v>1</v>
      </c>
      <c r="J312" s="83"/>
      <c r="K312" s="264" t="str">
        <f>Language!$E$85</f>
        <v>double</v>
      </c>
      <c r="L312" s="312" t="str">
        <f>IF(Calc!$F$26=0,"",IF(OR($M312&gt;Calc!$B$24,MOD($M312-1,Calc!$F$26)&gt;0),"",QUOTIENT($M312-1,Calc!$F$26)+1))</f>
        <v/>
      </c>
      <c r="M312" s="102">
        <v>306</v>
      </c>
      <c r="N312" s="306">
        <v>11</v>
      </c>
      <c r="O312" s="307" t="s">
        <v>4</v>
      </c>
      <c r="P312" s="308">
        <v>10</v>
      </c>
      <c r="Q312" s="309" t="str">
        <f t="shared" si="22"/>
        <v>FC St. Pauli</v>
      </c>
      <c r="R312" s="310" t="s">
        <v>4</v>
      </c>
      <c r="S312" s="311" t="str">
        <f t="shared" si="23"/>
        <v>FC Bayern München</v>
      </c>
      <c r="T312" s="211">
        <v>46158</v>
      </c>
      <c r="U312" s="212">
        <v>0.64583333333333337</v>
      </c>
    </row>
    <row r="313" spans="6:21" ht="17.25" x14ac:dyDescent="0.2">
      <c r="F313" s="83">
        <f t="shared" si="24"/>
        <v>0</v>
      </c>
      <c r="G313" s="83" t="str">
        <f t="shared" si="25"/>
        <v/>
      </c>
      <c r="H313" s="83" t="str">
        <f t="shared" si="26"/>
        <v/>
      </c>
      <c r="I313" s="83">
        <f>IF($G313="",0,COUNTIF($G$7:$G313,$H313))</f>
        <v>0</v>
      </c>
      <c r="J313" s="83"/>
      <c r="K313" s="264" t="str">
        <f>Language!$E$85</f>
        <v>double</v>
      </c>
      <c r="L313" s="313" t="str">
        <f>IF(Calc!$F$26=0,"",IF(OR($M313&gt;Calc!$B$24,MOD($M313-1,Calc!$F$26)&gt;0),"",QUOTIENT($M313-1,Calc!$F$26)+1))</f>
        <v/>
      </c>
      <c r="M313" s="102">
        <v>307</v>
      </c>
      <c r="N313" s="306"/>
      <c r="O313" s="307" t="s">
        <v>4</v>
      </c>
      <c r="P313" s="308"/>
      <c r="Q313" s="309" t="str">
        <f t="shared" si="22"/>
        <v/>
      </c>
      <c r="R313" s="310" t="s">
        <v>4</v>
      </c>
      <c r="S313" s="311" t="str">
        <f t="shared" si="23"/>
        <v/>
      </c>
      <c r="T313" s="211"/>
      <c r="U313" s="212"/>
    </row>
    <row r="314" spans="6:21" ht="17.25" x14ac:dyDescent="0.2">
      <c r="F314" s="83">
        <f t="shared" si="24"/>
        <v>0</v>
      </c>
      <c r="G314" s="83" t="str">
        <f t="shared" si="25"/>
        <v/>
      </c>
      <c r="H314" s="83" t="str">
        <f t="shared" si="26"/>
        <v/>
      </c>
      <c r="I314" s="83">
        <f>IF($G314="",0,COUNTIF($G$7:$G314,$H314))</f>
        <v>0</v>
      </c>
      <c r="J314" s="83"/>
      <c r="K314" s="264" t="str">
        <f>Language!$E$85</f>
        <v>double</v>
      </c>
      <c r="L314" s="240" t="str">
        <f>IF(Calc!$F$26=0,"",IF(OR($M314&gt;Calc!$B$24,MOD($M314-1,Calc!$F$26)&gt;0),"",QUOTIENT($M314-1,Calc!$F$26)+1))</f>
        <v/>
      </c>
      <c r="M314" s="102">
        <v>308</v>
      </c>
      <c r="N314" s="302"/>
      <c r="O314" s="108" t="s">
        <v>4</v>
      </c>
      <c r="P314" s="304"/>
      <c r="Q314" s="109" t="str">
        <f t="shared" si="22"/>
        <v/>
      </c>
      <c r="R314" s="110" t="s">
        <v>4</v>
      </c>
      <c r="S314" s="111" t="str">
        <f t="shared" si="23"/>
        <v/>
      </c>
      <c r="T314" s="211"/>
      <c r="U314" s="212"/>
    </row>
    <row r="315" spans="6:21" ht="17.25" x14ac:dyDescent="0.2">
      <c r="F315" s="83">
        <f t="shared" si="24"/>
        <v>0</v>
      </c>
      <c r="G315" s="83" t="str">
        <f t="shared" si="25"/>
        <v/>
      </c>
      <c r="H315" s="83" t="str">
        <f t="shared" si="26"/>
        <v/>
      </c>
      <c r="I315" s="83">
        <f>IF($G315="",0,COUNTIF($G$7:$G315,$H315))</f>
        <v>0</v>
      </c>
      <c r="J315" s="83"/>
      <c r="K315" s="264" t="str">
        <f>Language!$E$85</f>
        <v>double</v>
      </c>
      <c r="L315" s="240" t="str">
        <f>IF(Calc!$F$26=0,"",IF(OR($M315&gt;Calc!$B$24,MOD($M315-1,Calc!$F$26)&gt;0),"",QUOTIENT($M315-1,Calc!$F$26)+1))</f>
        <v/>
      </c>
      <c r="M315" s="102">
        <v>309</v>
      </c>
      <c r="N315" s="302"/>
      <c r="O315" s="108" t="s">
        <v>4</v>
      </c>
      <c r="P315" s="304"/>
      <c r="Q315" s="109" t="str">
        <f t="shared" si="22"/>
        <v/>
      </c>
      <c r="R315" s="110" t="s">
        <v>4</v>
      </c>
      <c r="S315" s="111" t="str">
        <f t="shared" si="23"/>
        <v/>
      </c>
      <c r="T315" s="211"/>
      <c r="U315" s="212"/>
    </row>
    <row r="316" spans="6:21" ht="17.25" x14ac:dyDescent="0.2">
      <c r="F316" s="83">
        <f t="shared" si="24"/>
        <v>0</v>
      </c>
      <c r="G316" s="83" t="str">
        <f t="shared" si="25"/>
        <v/>
      </c>
      <c r="H316" s="83" t="str">
        <f t="shared" si="26"/>
        <v/>
      </c>
      <c r="I316" s="83">
        <f>IF($G316="",0,COUNTIF($G$7:$G316,$H316))</f>
        <v>0</v>
      </c>
      <c r="J316" s="83"/>
      <c r="K316" s="264" t="str">
        <f>Language!$E$85</f>
        <v>double</v>
      </c>
      <c r="L316" s="240" t="str">
        <f>IF(Calc!$F$26=0,"",IF(OR($M316&gt;Calc!$B$24,MOD($M316-1,Calc!$F$26)&gt;0),"",QUOTIENT($M316-1,Calc!$F$26)+1))</f>
        <v/>
      </c>
      <c r="M316" s="102">
        <v>310</v>
      </c>
      <c r="N316" s="302"/>
      <c r="O316" s="108" t="s">
        <v>4</v>
      </c>
      <c r="P316" s="304"/>
      <c r="Q316" s="109" t="str">
        <f t="shared" si="22"/>
        <v/>
      </c>
      <c r="R316" s="110" t="s">
        <v>4</v>
      </c>
      <c r="S316" s="111" t="str">
        <f t="shared" si="23"/>
        <v/>
      </c>
      <c r="T316" s="211"/>
      <c r="U316" s="212"/>
    </row>
    <row r="317" spans="6:21" ht="17.25" x14ac:dyDescent="0.2">
      <c r="F317" s="83">
        <f t="shared" si="24"/>
        <v>0</v>
      </c>
      <c r="G317" s="83" t="str">
        <f t="shared" si="25"/>
        <v/>
      </c>
      <c r="H317" s="83" t="str">
        <f t="shared" si="26"/>
        <v/>
      </c>
      <c r="I317" s="83">
        <f>IF($G317="",0,COUNTIF($G$7:$G317,$H317))</f>
        <v>0</v>
      </c>
      <c r="J317" s="83"/>
      <c r="K317" s="264" t="str">
        <f>Language!$E$85</f>
        <v>double</v>
      </c>
      <c r="L317" s="240" t="str">
        <f>IF(Calc!$F$26=0,"",IF(OR($M317&gt;Calc!$B$24,MOD($M317-1,Calc!$F$26)&gt;0),"",QUOTIENT($M317-1,Calc!$F$26)+1))</f>
        <v/>
      </c>
      <c r="M317" s="102">
        <v>311</v>
      </c>
      <c r="N317" s="302"/>
      <c r="O317" s="108" t="s">
        <v>4</v>
      </c>
      <c r="P317" s="304"/>
      <c r="Q317" s="109" t="str">
        <f t="shared" si="22"/>
        <v/>
      </c>
      <c r="R317" s="110" t="s">
        <v>4</v>
      </c>
      <c r="S317" s="111" t="str">
        <f t="shared" si="23"/>
        <v/>
      </c>
      <c r="T317" s="211"/>
      <c r="U317" s="212"/>
    </row>
    <row r="318" spans="6:21" ht="17.25" x14ac:dyDescent="0.2">
      <c r="F318" s="83">
        <f t="shared" si="24"/>
        <v>0</v>
      </c>
      <c r="G318" s="83" t="str">
        <f t="shared" si="25"/>
        <v/>
      </c>
      <c r="H318" s="83" t="str">
        <f t="shared" si="26"/>
        <v/>
      </c>
      <c r="I318" s="83">
        <f>IF($G318="",0,COUNTIF($G$7:$G318,$H318))</f>
        <v>0</v>
      </c>
      <c r="J318" s="83"/>
      <c r="K318" s="264" t="str">
        <f>Language!$E$85</f>
        <v>double</v>
      </c>
      <c r="L318" s="240" t="str">
        <f>IF(Calc!$F$26=0,"",IF(OR($M318&gt;Calc!$B$24,MOD($M318-1,Calc!$F$26)&gt;0),"",QUOTIENT($M318-1,Calc!$F$26)+1))</f>
        <v/>
      </c>
      <c r="M318" s="102">
        <v>312</v>
      </c>
      <c r="N318" s="302"/>
      <c r="O318" s="108" t="s">
        <v>4</v>
      </c>
      <c r="P318" s="304"/>
      <c r="Q318" s="109" t="str">
        <f t="shared" si="22"/>
        <v/>
      </c>
      <c r="R318" s="110" t="s">
        <v>4</v>
      </c>
      <c r="S318" s="111" t="str">
        <f t="shared" si="23"/>
        <v/>
      </c>
      <c r="T318" s="211"/>
      <c r="U318" s="212"/>
    </row>
    <row r="319" spans="6:21" ht="17.25" x14ac:dyDescent="0.2">
      <c r="F319" s="83">
        <f t="shared" si="24"/>
        <v>0</v>
      </c>
      <c r="G319" s="83" t="str">
        <f t="shared" si="25"/>
        <v/>
      </c>
      <c r="H319" s="83" t="str">
        <f t="shared" si="26"/>
        <v/>
      </c>
      <c r="I319" s="83">
        <f>IF($G319="",0,COUNTIF($G$7:$G319,$H319))</f>
        <v>0</v>
      </c>
      <c r="J319" s="83"/>
      <c r="K319" s="264" t="str">
        <f>Language!$E$85</f>
        <v>double</v>
      </c>
      <c r="L319" s="240" t="str">
        <f>IF(Calc!$F$26=0,"",IF(OR($M319&gt;Calc!$B$24,MOD($M319-1,Calc!$F$26)&gt;0),"",QUOTIENT($M319-1,Calc!$F$26)+1))</f>
        <v/>
      </c>
      <c r="M319" s="102">
        <v>313</v>
      </c>
      <c r="N319" s="302"/>
      <c r="O319" s="108" t="s">
        <v>4</v>
      </c>
      <c r="P319" s="304"/>
      <c r="Q319" s="109" t="str">
        <f t="shared" si="22"/>
        <v/>
      </c>
      <c r="R319" s="110" t="s">
        <v>4</v>
      </c>
      <c r="S319" s="111" t="str">
        <f t="shared" si="23"/>
        <v/>
      </c>
      <c r="T319" s="211"/>
      <c r="U319" s="212"/>
    </row>
    <row r="320" spans="6:21" ht="17.25" x14ac:dyDescent="0.2">
      <c r="F320" s="83">
        <f t="shared" si="24"/>
        <v>0</v>
      </c>
      <c r="G320" s="83" t="str">
        <f t="shared" si="25"/>
        <v/>
      </c>
      <c r="H320" s="83" t="str">
        <f t="shared" si="26"/>
        <v/>
      </c>
      <c r="I320" s="83">
        <f>IF($G320="",0,COUNTIF($G$7:$G320,$H320))</f>
        <v>0</v>
      </c>
      <c r="J320" s="83"/>
      <c r="K320" s="264" t="str">
        <f>Language!$E$85</f>
        <v>double</v>
      </c>
      <c r="L320" s="240" t="str">
        <f>IF(Calc!$F$26=0,"",IF(OR($M320&gt;Calc!$B$24,MOD($M320-1,Calc!$F$26)&gt;0),"",QUOTIENT($M320-1,Calc!$F$26)+1))</f>
        <v/>
      </c>
      <c r="M320" s="102">
        <v>314</v>
      </c>
      <c r="N320" s="302"/>
      <c r="O320" s="108" t="s">
        <v>4</v>
      </c>
      <c r="P320" s="304"/>
      <c r="Q320" s="109" t="str">
        <f t="shared" si="22"/>
        <v/>
      </c>
      <c r="R320" s="110" t="s">
        <v>4</v>
      </c>
      <c r="S320" s="111" t="str">
        <f t="shared" si="23"/>
        <v/>
      </c>
      <c r="T320" s="211"/>
      <c r="U320" s="212"/>
    </row>
    <row r="321" spans="6:21" ht="17.25" x14ac:dyDescent="0.2">
      <c r="F321" s="83">
        <f t="shared" si="24"/>
        <v>0</v>
      </c>
      <c r="G321" s="83" t="str">
        <f t="shared" si="25"/>
        <v/>
      </c>
      <c r="H321" s="83" t="str">
        <f t="shared" si="26"/>
        <v/>
      </c>
      <c r="I321" s="83">
        <f>IF($G321="",0,COUNTIF($G$7:$G321,$H321))</f>
        <v>0</v>
      </c>
      <c r="J321" s="83"/>
      <c r="K321" s="264" t="str">
        <f>Language!$E$85</f>
        <v>double</v>
      </c>
      <c r="L321" s="240" t="str">
        <f>IF(Calc!$F$26=0,"",IF(OR($M321&gt;Calc!$B$24,MOD($M321-1,Calc!$F$26)&gt;0),"",QUOTIENT($M321-1,Calc!$F$26)+1))</f>
        <v/>
      </c>
      <c r="M321" s="102">
        <v>315</v>
      </c>
      <c r="N321" s="302"/>
      <c r="O321" s="108" t="s">
        <v>4</v>
      </c>
      <c r="P321" s="304"/>
      <c r="Q321" s="109" t="str">
        <f t="shared" si="22"/>
        <v/>
      </c>
      <c r="R321" s="110" t="s">
        <v>4</v>
      </c>
      <c r="S321" s="111" t="str">
        <f t="shared" si="23"/>
        <v/>
      </c>
      <c r="T321" s="211"/>
      <c r="U321" s="212"/>
    </row>
    <row r="322" spans="6:21" ht="17.25" x14ac:dyDescent="0.2">
      <c r="F322" s="83">
        <f t="shared" si="24"/>
        <v>0</v>
      </c>
      <c r="G322" s="83" t="str">
        <f t="shared" si="25"/>
        <v/>
      </c>
      <c r="H322" s="83" t="str">
        <f t="shared" si="26"/>
        <v/>
      </c>
      <c r="I322" s="83">
        <f>IF($G322="",0,COUNTIF($G$7:$G322,$H322))</f>
        <v>0</v>
      </c>
      <c r="J322" s="83"/>
      <c r="K322" s="264" t="str">
        <f>Language!$E$85</f>
        <v>double</v>
      </c>
      <c r="L322" s="240" t="str">
        <f>IF(Calc!$F$26=0,"",IF(OR($M322&gt;Calc!$B$24,MOD($M322-1,Calc!$F$26)&gt;0),"",QUOTIENT($M322-1,Calc!$F$26)+1))</f>
        <v/>
      </c>
      <c r="M322" s="102">
        <v>316</v>
      </c>
      <c r="N322" s="302"/>
      <c r="O322" s="108" t="s">
        <v>4</v>
      </c>
      <c r="P322" s="304"/>
      <c r="Q322" s="109" t="str">
        <f t="shared" si="22"/>
        <v/>
      </c>
      <c r="R322" s="110" t="s">
        <v>4</v>
      </c>
      <c r="S322" s="111" t="str">
        <f t="shared" si="23"/>
        <v/>
      </c>
      <c r="T322" s="211"/>
      <c r="U322" s="212"/>
    </row>
    <row r="323" spans="6:21" ht="17.25" x14ac:dyDescent="0.2">
      <c r="F323" s="83">
        <f t="shared" si="24"/>
        <v>0</v>
      </c>
      <c r="G323" s="83" t="str">
        <f t="shared" si="25"/>
        <v/>
      </c>
      <c r="H323" s="83" t="str">
        <f t="shared" si="26"/>
        <v/>
      </c>
      <c r="I323" s="83">
        <f>IF($G323="",0,COUNTIF($G$7:$G323,$H323))</f>
        <v>0</v>
      </c>
      <c r="J323" s="83"/>
      <c r="K323" s="264" t="str">
        <f>Language!$E$85</f>
        <v>double</v>
      </c>
      <c r="L323" s="240" t="str">
        <f>IF(Calc!$F$26=0,"",IF(OR($M323&gt;Calc!$B$24,MOD($M323-1,Calc!$F$26)&gt;0),"",QUOTIENT($M323-1,Calc!$F$26)+1))</f>
        <v/>
      </c>
      <c r="M323" s="102">
        <v>317</v>
      </c>
      <c r="N323" s="302"/>
      <c r="O323" s="108" t="s">
        <v>4</v>
      </c>
      <c r="P323" s="304"/>
      <c r="Q323" s="109" t="str">
        <f t="shared" si="22"/>
        <v/>
      </c>
      <c r="R323" s="110" t="s">
        <v>4</v>
      </c>
      <c r="S323" s="111" t="str">
        <f t="shared" si="23"/>
        <v/>
      </c>
      <c r="T323" s="211"/>
      <c r="U323" s="212"/>
    </row>
    <row r="324" spans="6:21" ht="17.25" x14ac:dyDescent="0.2">
      <c r="F324" s="83">
        <f t="shared" si="24"/>
        <v>0</v>
      </c>
      <c r="G324" s="83" t="str">
        <f t="shared" si="25"/>
        <v/>
      </c>
      <c r="H324" s="83" t="str">
        <f t="shared" si="26"/>
        <v/>
      </c>
      <c r="I324" s="83">
        <f>IF($G324="",0,COUNTIF($G$7:$G324,$H324))</f>
        <v>0</v>
      </c>
      <c r="J324" s="83"/>
      <c r="K324" s="264" t="str">
        <f>Language!$E$85</f>
        <v>double</v>
      </c>
      <c r="L324" s="240" t="str">
        <f>IF(Calc!$F$26=0,"",IF(OR($M324&gt;Calc!$B$24,MOD($M324-1,Calc!$F$26)&gt;0),"",QUOTIENT($M324-1,Calc!$F$26)+1))</f>
        <v/>
      </c>
      <c r="M324" s="102">
        <v>318</v>
      </c>
      <c r="N324" s="302"/>
      <c r="O324" s="108" t="s">
        <v>4</v>
      </c>
      <c r="P324" s="304"/>
      <c r="Q324" s="109" t="str">
        <f t="shared" si="22"/>
        <v/>
      </c>
      <c r="R324" s="110" t="s">
        <v>4</v>
      </c>
      <c r="S324" s="111" t="str">
        <f t="shared" si="23"/>
        <v/>
      </c>
      <c r="T324" s="211"/>
      <c r="U324" s="212"/>
    </row>
    <row r="325" spans="6:21" ht="17.25" x14ac:dyDescent="0.2">
      <c r="F325" s="83">
        <f t="shared" si="24"/>
        <v>0</v>
      </c>
      <c r="G325" s="83" t="str">
        <f t="shared" si="25"/>
        <v/>
      </c>
      <c r="H325" s="83" t="str">
        <f t="shared" si="26"/>
        <v/>
      </c>
      <c r="I325" s="83">
        <f>IF($G325="",0,COUNTIF($G$7:$G325,$H325))</f>
        <v>0</v>
      </c>
      <c r="J325" s="83"/>
      <c r="K325" s="264" t="str">
        <f>Language!$E$85</f>
        <v>double</v>
      </c>
      <c r="L325" s="240" t="str">
        <f>IF(Calc!$F$26=0,"",IF(OR($M325&gt;Calc!$B$24,MOD($M325-1,Calc!$F$26)&gt;0),"",QUOTIENT($M325-1,Calc!$F$26)+1))</f>
        <v/>
      </c>
      <c r="M325" s="102">
        <v>319</v>
      </c>
      <c r="N325" s="302"/>
      <c r="O325" s="108" t="s">
        <v>4</v>
      </c>
      <c r="P325" s="304"/>
      <c r="Q325" s="109" t="str">
        <f t="shared" si="22"/>
        <v/>
      </c>
      <c r="R325" s="110" t="s">
        <v>4</v>
      </c>
      <c r="S325" s="111" t="str">
        <f t="shared" si="23"/>
        <v/>
      </c>
      <c r="T325" s="211"/>
      <c r="U325" s="212"/>
    </row>
    <row r="326" spans="6:21" ht="17.25" x14ac:dyDescent="0.2">
      <c r="F326" s="83">
        <f t="shared" si="24"/>
        <v>0</v>
      </c>
      <c r="G326" s="83" t="str">
        <f t="shared" si="25"/>
        <v/>
      </c>
      <c r="H326" s="83" t="str">
        <f t="shared" si="26"/>
        <v/>
      </c>
      <c r="I326" s="83">
        <f>IF($G326="",0,COUNTIF($G$7:$G326,$H326))</f>
        <v>0</v>
      </c>
      <c r="J326" s="83"/>
      <c r="K326" s="264" t="str">
        <f>Language!$E$85</f>
        <v>double</v>
      </c>
      <c r="L326" s="240" t="str">
        <f>IF(Calc!$F$26=0,"",IF(OR($M326&gt;Calc!$B$24,MOD($M326-1,Calc!$F$26)&gt;0),"",QUOTIENT($M326-1,Calc!$F$26)+1))</f>
        <v/>
      </c>
      <c r="M326" s="102">
        <v>320</v>
      </c>
      <c r="N326" s="302"/>
      <c r="O326" s="108" t="s">
        <v>4</v>
      </c>
      <c r="P326" s="304"/>
      <c r="Q326" s="109" t="str">
        <f t="shared" si="22"/>
        <v/>
      </c>
      <c r="R326" s="110" t="s">
        <v>4</v>
      </c>
      <c r="S326" s="111" t="str">
        <f t="shared" si="23"/>
        <v/>
      </c>
      <c r="T326" s="211"/>
      <c r="U326" s="212"/>
    </row>
    <row r="327" spans="6:21" ht="17.25" x14ac:dyDescent="0.2">
      <c r="F327" s="83">
        <f t="shared" si="24"/>
        <v>0</v>
      </c>
      <c r="G327" s="83" t="str">
        <f t="shared" si="25"/>
        <v/>
      </c>
      <c r="H327" s="83" t="str">
        <f t="shared" si="26"/>
        <v/>
      </c>
      <c r="I327" s="83">
        <f>IF($G327="",0,COUNTIF($G$7:$G327,$H327))</f>
        <v>0</v>
      </c>
      <c r="J327" s="83"/>
      <c r="K327" s="264" t="str">
        <f>Language!$E$85</f>
        <v>double</v>
      </c>
      <c r="L327" s="240" t="str">
        <f>IF(Calc!$F$26=0,"",IF(OR($M327&gt;Calc!$B$24,MOD($M327-1,Calc!$F$26)&gt;0),"",QUOTIENT($M327-1,Calc!$F$26)+1))</f>
        <v/>
      </c>
      <c r="M327" s="102">
        <v>321</v>
      </c>
      <c r="N327" s="302"/>
      <c r="O327" s="108" t="s">
        <v>4</v>
      </c>
      <c r="P327" s="304"/>
      <c r="Q327" s="109" t="str">
        <f t="shared" ref="Q327:Q386" si="27">IF(ISBLANK($N327),"",IF(ISBLANK(VLOOKUP($N327,$C$7:$D$26,2,0)),"",VLOOKUP($N327,$C$7:$D$26,2,0)))</f>
        <v/>
      </c>
      <c r="R327" s="110" t="s">
        <v>4</v>
      </c>
      <c r="S327" s="111" t="str">
        <f t="shared" ref="S327:S386" si="28">IF(ISBLANK($P327),"",IF(ISBLANK(VLOOKUP($P327,$C$7:$D$26,2,0)),"",VLOOKUP($P327,$C$7:$D$26,2,0)))</f>
        <v/>
      </c>
      <c r="T327" s="211"/>
      <c r="U327" s="212"/>
    </row>
    <row r="328" spans="6:21" ht="17.25" x14ac:dyDescent="0.2">
      <c r="F328" s="83">
        <f t="shared" ref="F328:F386" si="29">IF($G328="",0,IF(LEFT($G328,4)=RIGHT($G328,4),100,IF(COUNTIF($G$7:$G$386,$G328)&gt;1,101,COUNTIF($G$7:$G$386,$G328)+COUNTIF($H$7:$H$386,$G328))))</f>
        <v>0</v>
      </c>
      <c r="G328" s="83" t="str">
        <f t="shared" ref="G328:G386" si="30">IF(OR($N328="",$P328=""),"",TEXT($N328,"0000")&amp;TEXT($P328,"0000"))</f>
        <v/>
      </c>
      <c r="H328" s="83" t="str">
        <f t="shared" ref="H328:H386" si="31">IF(OR($N328="",$P328=""),"",TEXT($P328,"0000")&amp;TEXT($N328,"0000"))</f>
        <v/>
      </c>
      <c r="I328" s="83">
        <f>IF($G328="",0,COUNTIF($G$7:$G328,$H328))</f>
        <v>0</v>
      </c>
      <c r="J328" s="83"/>
      <c r="K328" s="264" t="str">
        <f>Language!$E$85</f>
        <v>double</v>
      </c>
      <c r="L328" s="240" t="str">
        <f>IF(Calc!$F$26=0,"",IF(OR($M328&gt;Calc!$B$24,MOD($M328-1,Calc!$F$26)&gt;0),"",QUOTIENT($M328-1,Calc!$F$26)+1))</f>
        <v/>
      </c>
      <c r="M328" s="102">
        <v>322</v>
      </c>
      <c r="N328" s="302"/>
      <c r="O328" s="108" t="s">
        <v>4</v>
      </c>
      <c r="P328" s="304"/>
      <c r="Q328" s="109" t="str">
        <f t="shared" si="27"/>
        <v/>
      </c>
      <c r="R328" s="110" t="s">
        <v>4</v>
      </c>
      <c r="S328" s="111" t="str">
        <f t="shared" si="28"/>
        <v/>
      </c>
      <c r="T328" s="211"/>
      <c r="U328" s="212"/>
    </row>
    <row r="329" spans="6:21" ht="17.25" x14ac:dyDescent="0.2">
      <c r="F329" s="83">
        <f t="shared" si="29"/>
        <v>0</v>
      </c>
      <c r="G329" s="83" t="str">
        <f t="shared" si="30"/>
        <v/>
      </c>
      <c r="H329" s="83" t="str">
        <f t="shared" si="31"/>
        <v/>
      </c>
      <c r="I329" s="83">
        <f>IF($G329="",0,COUNTIF($G$7:$G329,$H329))</f>
        <v>0</v>
      </c>
      <c r="J329" s="83"/>
      <c r="K329" s="264" t="str">
        <f>Language!$E$85</f>
        <v>double</v>
      </c>
      <c r="L329" s="240" t="str">
        <f>IF(Calc!$F$26=0,"",IF(OR($M329&gt;Calc!$B$24,MOD($M329-1,Calc!$F$26)&gt;0),"",QUOTIENT($M329-1,Calc!$F$26)+1))</f>
        <v/>
      </c>
      <c r="M329" s="102">
        <v>323</v>
      </c>
      <c r="N329" s="302"/>
      <c r="O329" s="108" t="s">
        <v>4</v>
      </c>
      <c r="P329" s="304"/>
      <c r="Q329" s="109" t="str">
        <f t="shared" si="27"/>
        <v/>
      </c>
      <c r="R329" s="110" t="s">
        <v>4</v>
      </c>
      <c r="S329" s="111" t="str">
        <f t="shared" si="28"/>
        <v/>
      </c>
      <c r="T329" s="211"/>
      <c r="U329" s="212"/>
    </row>
    <row r="330" spans="6:21" ht="17.25" x14ac:dyDescent="0.2">
      <c r="F330" s="83">
        <f t="shared" si="29"/>
        <v>0</v>
      </c>
      <c r="G330" s="83" t="str">
        <f t="shared" si="30"/>
        <v/>
      </c>
      <c r="H330" s="83" t="str">
        <f t="shared" si="31"/>
        <v/>
      </c>
      <c r="I330" s="83">
        <f>IF($G330="",0,COUNTIF($G$7:$G330,$H330))</f>
        <v>0</v>
      </c>
      <c r="J330" s="83"/>
      <c r="K330" s="264" t="str">
        <f>Language!$E$85</f>
        <v>double</v>
      </c>
      <c r="L330" s="240" t="str">
        <f>IF(Calc!$F$26=0,"",IF(OR($M330&gt;Calc!$B$24,MOD($M330-1,Calc!$F$26)&gt;0),"",QUOTIENT($M330-1,Calc!$F$26)+1))</f>
        <v/>
      </c>
      <c r="M330" s="102">
        <v>324</v>
      </c>
      <c r="N330" s="302"/>
      <c r="O330" s="108" t="s">
        <v>4</v>
      </c>
      <c r="P330" s="304"/>
      <c r="Q330" s="109" t="str">
        <f t="shared" si="27"/>
        <v/>
      </c>
      <c r="R330" s="110" t="s">
        <v>4</v>
      </c>
      <c r="S330" s="111" t="str">
        <f t="shared" si="28"/>
        <v/>
      </c>
      <c r="T330" s="211"/>
      <c r="U330" s="212"/>
    </row>
    <row r="331" spans="6:21" ht="17.25" x14ac:dyDescent="0.2">
      <c r="F331" s="83">
        <f t="shared" si="29"/>
        <v>0</v>
      </c>
      <c r="G331" s="83" t="str">
        <f t="shared" si="30"/>
        <v/>
      </c>
      <c r="H331" s="83" t="str">
        <f t="shared" si="31"/>
        <v/>
      </c>
      <c r="I331" s="83">
        <f>IF($G331="",0,COUNTIF($G$7:$G331,$H331))</f>
        <v>0</v>
      </c>
      <c r="J331" s="83"/>
      <c r="K331" s="264" t="str">
        <f>Language!$E$85</f>
        <v>double</v>
      </c>
      <c r="L331" s="240" t="str">
        <f>IF(Calc!$F$26=0,"",IF(OR($M331&gt;Calc!$B$24,MOD($M331-1,Calc!$F$26)&gt;0),"",QUOTIENT($M331-1,Calc!$F$26)+1))</f>
        <v/>
      </c>
      <c r="M331" s="102">
        <v>325</v>
      </c>
      <c r="N331" s="302"/>
      <c r="O331" s="108" t="s">
        <v>4</v>
      </c>
      <c r="P331" s="304"/>
      <c r="Q331" s="109" t="str">
        <f t="shared" si="27"/>
        <v/>
      </c>
      <c r="R331" s="110" t="s">
        <v>4</v>
      </c>
      <c r="S331" s="111" t="str">
        <f t="shared" si="28"/>
        <v/>
      </c>
      <c r="T331" s="211"/>
      <c r="U331" s="212"/>
    </row>
    <row r="332" spans="6:21" ht="17.25" x14ac:dyDescent="0.2">
      <c r="F332" s="83">
        <f t="shared" si="29"/>
        <v>0</v>
      </c>
      <c r="G332" s="83" t="str">
        <f t="shared" si="30"/>
        <v/>
      </c>
      <c r="H332" s="83" t="str">
        <f t="shared" si="31"/>
        <v/>
      </c>
      <c r="I332" s="83">
        <f>IF($G332="",0,COUNTIF($G$7:$G332,$H332))</f>
        <v>0</v>
      </c>
      <c r="J332" s="83"/>
      <c r="K332" s="264" t="str">
        <f>Language!$E$85</f>
        <v>double</v>
      </c>
      <c r="L332" s="240" t="str">
        <f>IF(Calc!$F$26=0,"",IF(OR($M332&gt;Calc!$B$24,MOD($M332-1,Calc!$F$26)&gt;0),"",QUOTIENT($M332-1,Calc!$F$26)+1))</f>
        <v/>
      </c>
      <c r="M332" s="102">
        <v>326</v>
      </c>
      <c r="N332" s="302"/>
      <c r="O332" s="108" t="s">
        <v>4</v>
      </c>
      <c r="P332" s="304"/>
      <c r="Q332" s="109" t="str">
        <f t="shared" si="27"/>
        <v/>
      </c>
      <c r="R332" s="110" t="s">
        <v>4</v>
      </c>
      <c r="S332" s="111" t="str">
        <f t="shared" si="28"/>
        <v/>
      </c>
      <c r="T332" s="211"/>
      <c r="U332" s="212"/>
    </row>
    <row r="333" spans="6:21" ht="17.25" x14ac:dyDescent="0.2">
      <c r="F333" s="83">
        <f t="shared" si="29"/>
        <v>0</v>
      </c>
      <c r="G333" s="83" t="str">
        <f t="shared" si="30"/>
        <v/>
      </c>
      <c r="H333" s="83" t="str">
        <f t="shared" si="31"/>
        <v/>
      </c>
      <c r="I333" s="83">
        <f>IF($G333="",0,COUNTIF($G$7:$G333,$H333))</f>
        <v>0</v>
      </c>
      <c r="J333" s="83"/>
      <c r="K333" s="264" t="str">
        <f>Language!$E$85</f>
        <v>double</v>
      </c>
      <c r="L333" s="240" t="str">
        <f>IF(Calc!$F$26=0,"",IF(OR($M333&gt;Calc!$B$24,MOD($M333-1,Calc!$F$26)&gt;0),"",QUOTIENT($M333-1,Calc!$F$26)+1))</f>
        <v/>
      </c>
      <c r="M333" s="102">
        <v>327</v>
      </c>
      <c r="N333" s="302"/>
      <c r="O333" s="108" t="s">
        <v>4</v>
      </c>
      <c r="P333" s="304"/>
      <c r="Q333" s="109" t="str">
        <f t="shared" si="27"/>
        <v/>
      </c>
      <c r="R333" s="110" t="s">
        <v>4</v>
      </c>
      <c r="S333" s="111" t="str">
        <f t="shared" si="28"/>
        <v/>
      </c>
      <c r="T333" s="211"/>
      <c r="U333" s="212"/>
    </row>
    <row r="334" spans="6:21" ht="17.25" x14ac:dyDescent="0.2">
      <c r="F334" s="83">
        <f t="shared" si="29"/>
        <v>0</v>
      </c>
      <c r="G334" s="83" t="str">
        <f t="shared" si="30"/>
        <v/>
      </c>
      <c r="H334" s="83" t="str">
        <f t="shared" si="31"/>
        <v/>
      </c>
      <c r="I334" s="83">
        <f>IF($G334="",0,COUNTIF($G$7:$G334,$H334))</f>
        <v>0</v>
      </c>
      <c r="J334" s="83"/>
      <c r="K334" s="264" t="str">
        <f>Language!$E$85</f>
        <v>double</v>
      </c>
      <c r="L334" s="240" t="str">
        <f>IF(Calc!$F$26=0,"",IF(OR($M334&gt;Calc!$B$24,MOD($M334-1,Calc!$F$26)&gt;0),"",QUOTIENT($M334-1,Calc!$F$26)+1))</f>
        <v/>
      </c>
      <c r="M334" s="102">
        <v>328</v>
      </c>
      <c r="N334" s="302"/>
      <c r="O334" s="108" t="s">
        <v>4</v>
      </c>
      <c r="P334" s="304"/>
      <c r="Q334" s="109" t="str">
        <f t="shared" si="27"/>
        <v/>
      </c>
      <c r="R334" s="110" t="s">
        <v>4</v>
      </c>
      <c r="S334" s="111" t="str">
        <f t="shared" si="28"/>
        <v/>
      </c>
      <c r="T334" s="211"/>
      <c r="U334" s="212"/>
    </row>
    <row r="335" spans="6:21" ht="17.25" x14ac:dyDescent="0.2">
      <c r="F335" s="83">
        <f t="shared" si="29"/>
        <v>0</v>
      </c>
      <c r="G335" s="83" t="str">
        <f t="shared" si="30"/>
        <v/>
      </c>
      <c r="H335" s="83" t="str">
        <f t="shared" si="31"/>
        <v/>
      </c>
      <c r="I335" s="83">
        <f>IF($G335="",0,COUNTIF($G$7:$G335,$H335))</f>
        <v>0</v>
      </c>
      <c r="J335" s="83"/>
      <c r="K335" s="264" t="str">
        <f>Language!$E$85</f>
        <v>double</v>
      </c>
      <c r="L335" s="240" t="str">
        <f>IF(Calc!$F$26=0,"",IF(OR($M335&gt;Calc!$B$24,MOD($M335-1,Calc!$F$26)&gt;0),"",QUOTIENT($M335-1,Calc!$F$26)+1))</f>
        <v/>
      </c>
      <c r="M335" s="102">
        <v>329</v>
      </c>
      <c r="N335" s="302"/>
      <c r="O335" s="108" t="s">
        <v>4</v>
      </c>
      <c r="P335" s="304"/>
      <c r="Q335" s="109" t="str">
        <f t="shared" si="27"/>
        <v/>
      </c>
      <c r="R335" s="110" t="s">
        <v>4</v>
      </c>
      <c r="S335" s="111" t="str">
        <f t="shared" si="28"/>
        <v/>
      </c>
      <c r="T335" s="211"/>
      <c r="U335" s="212"/>
    </row>
    <row r="336" spans="6:21" ht="17.25" x14ac:dyDescent="0.2">
      <c r="F336" s="83">
        <f t="shared" si="29"/>
        <v>0</v>
      </c>
      <c r="G336" s="83" t="str">
        <f t="shared" si="30"/>
        <v/>
      </c>
      <c r="H336" s="83" t="str">
        <f t="shared" si="31"/>
        <v/>
      </c>
      <c r="I336" s="83">
        <f>IF($G336="",0,COUNTIF($G$7:$G336,$H336))</f>
        <v>0</v>
      </c>
      <c r="J336" s="83"/>
      <c r="K336" s="264" t="str">
        <f>Language!$E$85</f>
        <v>double</v>
      </c>
      <c r="L336" s="240" t="str">
        <f>IF(Calc!$F$26=0,"",IF(OR($M336&gt;Calc!$B$24,MOD($M336-1,Calc!$F$26)&gt;0),"",QUOTIENT($M336-1,Calc!$F$26)+1))</f>
        <v/>
      </c>
      <c r="M336" s="102">
        <v>330</v>
      </c>
      <c r="N336" s="302"/>
      <c r="O336" s="108" t="s">
        <v>4</v>
      </c>
      <c r="P336" s="304"/>
      <c r="Q336" s="109" t="str">
        <f t="shared" si="27"/>
        <v/>
      </c>
      <c r="R336" s="110" t="s">
        <v>4</v>
      </c>
      <c r="S336" s="111" t="str">
        <f t="shared" si="28"/>
        <v/>
      </c>
      <c r="T336" s="211"/>
      <c r="U336" s="212"/>
    </row>
    <row r="337" spans="6:21" ht="17.25" x14ac:dyDescent="0.2">
      <c r="F337" s="83">
        <f t="shared" si="29"/>
        <v>0</v>
      </c>
      <c r="G337" s="83" t="str">
        <f t="shared" si="30"/>
        <v/>
      </c>
      <c r="H337" s="83" t="str">
        <f t="shared" si="31"/>
        <v/>
      </c>
      <c r="I337" s="83">
        <f>IF($G337="",0,COUNTIF($G$7:$G337,$H337))</f>
        <v>0</v>
      </c>
      <c r="J337" s="83"/>
      <c r="K337" s="264" t="str">
        <f>Language!$E$85</f>
        <v>double</v>
      </c>
      <c r="L337" s="240" t="str">
        <f>IF(Calc!$F$26=0,"",IF(OR($M337&gt;Calc!$B$24,MOD($M337-1,Calc!$F$26)&gt;0),"",QUOTIENT($M337-1,Calc!$F$26)+1))</f>
        <v/>
      </c>
      <c r="M337" s="102">
        <v>331</v>
      </c>
      <c r="N337" s="302"/>
      <c r="O337" s="108" t="s">
        <v>4</v>
      </c>
      <c r="P337" s="304"/>
      <c r="Q337" s="109" t="str">
        <f t="shared" si="27"/>
        <v/>
      </c>
      <c r="R337" s="110" t="s">
        <v>4</v>
      </c>
      <c r="S337" s="111" t="str">
        <f t="shared" si="28"/>
        <v/>
      </c>
      <c r="T337" s="211"/>
      <c r="U337" s="212"/>
    </row>
    <row r="338" spans="6:21" ht="17.25" x14ac:dyDescent="0.2">
      <c r="F338" s="83">
        <f t="shared" si="29"/>
        <v>0</v>
      </c>
      <c r="G338" s="83" t="str">
        <f t="shared" si="30"/>
        <v/>
      </c>
      <c r="H338" s="83" t="str">
        <f t="shared" si="31"/>
        <v/>
      </c>
      <c r="I338" s="83">
        <f>IF($G338="",0,COUNTIF($G$7:$G338,$H338))</f>
        <v>0</v>
      </c>
      <c r="J338" s="83"/>
      <c r="K338" s="264" t="str">
        <f>Language!$E$85</f>
        <v>double</v>
      </c>
      <c r="L338" s="240" t="str">
        <f>IF(Calc!$F$26=0,"",IF(OR($M338&gt;Calc!$B$24,MOD($M338-1,Calc!$F$26)&gt;0),"",QUOTIENT($M338-1,Calc!$F$26)+1))</f>
        <v/>
      </c>
      <c r="M338" s="102">
        <v>332</v>
      </c>
      <c r="N338" s="302"/>
      <c r="O338" s="108" t="s">
        <v>4</v>
      </c>
      <c r="P338" s="304"/>
      <c r="Q338" s="109" t="str">
        <f t="shared" si="27"/>
        <v/>
      </c>
      <c r="R338" s="110" t="s">
        <v>4</v>
      </c>
      <c r="S338" s="111" t="str">
        <f t="shared" si="28"/>
        <v/>
      </c>
      <c r="T338" s="211"/>
      <c r="U338" s="212"/>
    </row>
    <row r="339" spans="6:21" ht="17.25" x14ac:dyDescent="0.2">
      <c r="F339" s="83">
        <f t="shared" si="29"/>
        <v>0</v>
      </c>
      <c r="G339" s="83" t="str">
        <f t="shared" si="30"/>
        <v/>
      </c>
      <c r="H339" s="83" t="str">
        <f t="shared" si="31"/>
        <v/>
      </c>
      <c r="I339" s="83">
        <f>IF($G339="",0,COUNTIF($G$7:$G339,$H339))</f>
        <v>0</v>
      </c>
      <c r="J339" s="83"/>
      <c r="K339" s="264" t="str">
        <f>Language!$E$85</f>
        <v>double</v>
      </c>
      <c r="L339" s="240" t="str">
        <f>IF(Calc!$F$26=0,"",IF(OR($M339&gt;Calc!$B$24,MOD($M339-1,Calc!$F$26)&gt;0),"",QUOTIENT($M339-1,Calc!$F$26)+1))</f>
        <v/>
      </c>
      <c r="M339" s="102">
        <v>333</v>
      </c>
      <c r="N339" s="302"/>
      <c r="O339" s="108" t="s">
        <v>4</v>
      </c>
      <c r="P339" s="304"/>
      <c r="Q339" s="109" t="str">
        <f t="shared" si="27"/>
        <v/>
      </c>
      <c r="R339" s="110" t="s">
        <v>4</v>
      </c>
      <c r="S339" s="111" t="str">
        <f t="shared" si="28"/>
        <v/>
      </c>
      <c r="T339" s="211"/>
      <c r="U339" s="212"/>
    </row>
    <row r="340" spans="6:21" ht="17.25" x14ac:dyDescent="0.2">
      <c r="F340" s="83">
        <f t="shared" si="29"/>
        <v>0</v>
      </c>
      <c r="G340" s="83" t="str">
        <f t="shared" si="30"/>
        <v/>
      </c>
      <c r="H340" s="83" t="str">
        <f t="shared" si="31"/>
        <v/>
      </c>
      <c r="I340" s="83">
        <f>IF($G340="",0,COUNTIF($G$7:$G340,$H340))</f>
        <v>0</v>
      </c>
      <c r="J340" s="83"/>
      <c r="K340" s="264" t="str">
        <f>Language!$E$85</f>
        <v>double</v>
      </c>
      <c r="L340" s="240" t="str">
        <f>IF(Calc!$F$26=0,"",IF(OR($M340&gt;Calc!$B$24,MOD($M340-1,Calc!$F$26)&gt;0),"",QUOTIENT($M340-1,Calc!$F$26)+1))</f>
        <v/>
      </c>
      <c r="M340" s="102">
        <v>334</v>
      </c>
      <c r="N340" s="302"/>
      <c r="O340" s="108" t="s">
        <v>4</v>
      </c>
      <c r="P340" s="304"/>
      <c r="Q340" s="109" t="str">
        <f t="shared" si="27"/>
        <v/>
      </c>
      <c r="R340" s="110" t="s">
        <v>4</v>
      </c>
      <c r="S340" s="111" t="str">
        <f t="shared" si="28"/>
        <v/>
      </c>
      <c r="T340" s="211"/>
      <c r="U340" s="212"/>
    </row>
    <row r="341" spans="6:21" ht="17.25" x14ac:dyDescent="0.2">
      <c r="F341" s="83">
        <f t="shared" si="29"/>
        <v>0</v>
      </c>
      <c r="G341" s="83" t="str">
        <f t="shared" si="30"/>
        <v/>
      </c>
      <c r="H341" s="83" t="str">
        <f t="shared" si="31"/>
        <v/>
      </c>
      <c r="I341" s="83">
        <f>IF($G341="",0,COUNTIF($G$7:$G341,$H341))</f>
        <v>0</v>
      </c>
      <c r="J341" s="83"/>
      <c r="K341" s="264" t="str">
        <f>Language!$E$85</f>
        <v>double</v>
      </c>
      <c r="L341" s="240" t="str">
        <f>IF(Calc!$F$26=0,"",IF(OR($M341&gt;Calc!$B$24,MOD($M341-1,Calc!$F$26)&gt;0),"",QUOTIENT($M341-1,Calc!$F$26)+1))</f>
        <v/>
      </c>
      <c r="M341" s="102">
        <v>335</v>
      </c>
      <c r="N341" s="302"/>
      <c r="O341" s="108" t="s">
        <v>4</v>
      </c>
      <c r="P341" s="304"/>
      <c r="Q341" s="109" t="str">
        <f t="shared" si="27"/>
        <v/>
      </c>
      <c r="R341" s="110" t="s">
        <v>4</v>
      </c>
      <c r="S341" s="111" t="str">
        <f t="shared" si="28"/>
        <v/>
      </c>
      <c r="T341" s="211"/>
      <c r="U341" s="212"/>
    </row>
    <row r="342" spans="6:21" ht="17.25" x14ac:dyDescent="0.2">
      <c r="F342" s="83">
        <f t="shared" si="29"/>
        <v>0</v>
      </c>
      <c r="G342" s="83" t="str">
        <f t="shared" si="30"/>
        <v/>
      </c>
      <c r="H342" s="83" t="str">
        <f t="shared" si="31"/>
        <v/>
      </c>
      <c r="I342" s="83">
        <f>IF($G342="",0,COUNTIF($G$7:$G342,$H342))</f>
        <v>0</v>
      </c>
      <c r="J342" s="83"/>
      <c r="K342" s="264" t="str">
        <f>Language!$E$85</f>
        <v>double</v>
      </c>
      <c r="L342" s="240" t="str">
        <f>IF(Calc!$F$26=0,"",IF(OR($M342&gt;Calc!$B$24,MOD($M342-1,Calc!$F$26)&gt;0),"",QUOTIENT($M342-1,Calc!$F$26)+1))</f>
        <v/>
      </c>
      <c r="M342" s="102">
        <v>336</v>
      </c>
      <c r="N342" s="302"/>
      <c r="O342" s="108" t="s">
        <v>4</v>
      </c>
      <c r="P342" s="304"/>
      <c r="Q342" s="109" t="str">
        <f t="shared" si="27"/>
        <v/>
      </c>
      <c r="R342" s="110" t="s">
        <v>4</v>
      </c>
      <c r="S342" s="111" t="str">
        <f t="shared" si="28"/>
        <v/>
      </c>
      <c r="T342" s="211"/>
      <c r="U342" s="212"/>
    </row>
    <row r="343" spans="6:21" ht="17.25" x14ac:dyDescent="0.2">
      <c r="F343" s="83">
        <f t="shared" si="29"/>
        <v>0</v>
      </c>
      <c r="G343" s="83" t="str">
        <f t="shared" si="30"/>
        <v/>
      </c>
      <c r="H343" s="83" t="str">
        <f t="shared" si="31"/>
        <v/>
      </c>
      <c r="I343" s="83">
        <f>IF($G343="",0,COUNTIF($G$7:$G343,$H343))</f>
        <v>0</v>
      </c>
      <c r="J343" s="83"/>
      <c r="K343" s="264" t="str">
        <f>Language!$E$85</f>
        <v>double</v>
      </c>
      <c r="L343" s="240" t="str">
        <f>IF(Calc!$F$26=0,"",IF(OR($M343&gt;Calc!$B$24,MOD($M343-1,Calc!$F$26)&gt;0),"",QUOTIENT($M343-1,Calc!$F$26)+1))</f>
        <v/>
      </c>
      <c r="M343" s="102">
        <v>337</v>
      </c>
      <c r="N343" s="302"/>
      <c r="O343" s="108" t="s">
        <v>4</v>
      </c>
      <c r="P343" s="304"/>
      <c r="Q343" s="109" t="str">
        <f t="shared" si="27"/>
        <v/>
      </c>
      <c r="R343" s="110" t="s">
        <v>4</v>
      </c>
      <c r="S343" s="111" t="str">
        <f t="shared" si="28"/>
        <v/>
      </c>
      <c r="T343" s="211"/>
      <c r="U343" s="212"/>
    </row>
    <row r="344" spans="6:21" ht="17.25" x14ac:dyDescent="0.2">
      <c r="F344" s="83">
        <f t="shared" si="29"/>
        <v>0</v>
      </c>
      <c r="G344" s="83" t="str">
        <f t="shared" si="30"/>
        <v/>
      </c>
      <c r="H344" s="83" t="str">
        <f t="shared" si="31"/>
        <v/>
      </c>
      <c r="I344" s="83">
        <f>IF($G344="",0,COUNTIF($G$7:$G344,$H344))</f>
        <v>0</v>
      </c>
      <c r="J344" s="83"/>
      <c r="K344" s="264" t="str">
        <f>Language!$E$85</f>
        <v>double</v>
      </c>
      <c r="L344" s="240" t="str">
        <f>IF(Calc!$F$26=0,"",IF(OR($M344&gt;Calc!$B$24,MOD($M344-1,Calc!$F$26)&gt;0),"",QUOTIENT($M344-1,Calc!$F$26)+1))</f>
        <v/>
      </c>
      <c r="M344" s="102">
        <v>338</v>
      </c>
      <c r="N344" s="302"/>
      <c r="O344" s="108" t="s">
        <v>4</v>
      </c>
      <c r="P344" s="304"/>
      <c r="Q344" s="109" t="str">
        <f t="shared" si="27"/>
        <v/>
      </c>
      <c r="R344" s="110" t="s">
        <v>4</v>
      </c>
      <c r="S344" s="111" t="str">
        <f t="shared" si="28"/>
        <v/>
      </c>
      <c r="T344" s="211"/>
      <c r="U344" s="212"/>
    </row>
    <row r="345" spans="6:21" ht="17.25" x14ac:dyDescent="0.2">
      <c r="F345" s="83">
        <f t="shared" si="29"/>
        <v>0</v>
      </c>
      <c r="G345" s="83" t="str">
        <f t="shared" si="30"/>
        <v/>
      </c>
      <c r="H345" s="83" t="str">
        <f t="shared" si="31"/>
        <v/>
      </c>
      <c r="I345" s="83">
        <f>IF($G345="",0,COUNTIF($G$7:$G345,$H345))</f>
        <v>0</v>
      </c>
      <c r="J345" s="83"/>
      <c r="K345" s="264" t="str">
        <f>Language!$E$85</f>
        <v>double</v>
      </c>
      <c r="L345" s="240" t="str">
        <f>IF(Calc!$F$26=0,"",IF(OR($M345&gt;Calc!$B$24,MOD($M345-1,Calc!$F$26)&gt;0),"",QUOTIENT($M345-1,Calc!$F$26)+1))</f>
        <v/>
      </c>
      <c r="M345" s="102">
        <v>339</v>
      </c>
      <c r="N345" s="302"/>
      <c r="O345" s="108" t="s">
        <v>4</v>
      </c>
      <c r="P345" s="304"/>
      <c r="Q345" s="109" t="str">
        <f t="shared" si="27"/>
        <v/>
      </c>
      <c r="R345" s="110" t="s">
        <v>4</v>
      </c>
      <c r="S345" s="111" t="str">
        <f t="shared" si="28"/>
        <v/>
      </c>
      <c r="T345" s="211"/>
      <c r="U345" s="212"/>
    </row>
    <row r="346" spans="6:21" ht="17.25" x14ac:dyDescent="0.2">
      <c r="F346" s="83">
        <f t="shared" si="29"/>
        <v>0</v>
      </c>
      <c r="G346" s="83" t="str">
        <f t="shared" si="30"/>
        <v/>
      </c>
      <c r="H346" s="83" t="str">
        <f t="shared" si="31"/>
        <v/>
      </c>
      <c r="I346" s="83">
        <f>IF($G346="",0,COUNTIF($G$7:$G346,$H346))</f>
        <v>0</v>
      </c>
      <c r="J346" s="83"/>
      <c r="K346" s="264" t="str">
        <f>Language!$E$85</f>
        <v>double</v>
      </c>
      <c r="L346" s="240" t="str">
        <f>IF(Calc!$F$26=0,"",IF(OR($M346&gt;Calc!$B$24,MOD($M346-1,Calc!$F$26)&gt;0),"",QUOTIENT($M346-1,Calc!$F$26)+1))</f>
        <v/>
      </c>
      <c r="M346" s="102">
        <v>340</v>
      </c>
      <c r="N346" s="302"/>
      <c r="O346" s="108" t="s">
        <v>4</v>
      </c>
      <c r="P346" s="304"/>
      <c r="Q346" s="109" t="str">
        <f t="shared" si="27"/>
        <v/>
      </c>
      <c r="R346" s="110" t="s">
        <v>4</v>
      </c>
      <c r="S346" s="111" t="str">
        <f t="shared" si="28"/>
        <v/>
      </c>
      <c r="T346" s="211"/>
      <c r="U346" s="212"/>
    </row>
    <row r="347" spans="6:21" ht="17.25" x14ac:dyDescent="0.2">
      <c r="F347" s="83">
        <f t="shared" si="29"/>
        <v>0</v>
      </c>
      <c r="G347" s="83" t="str">
        <f t="shared" si="30"/>
        <v/>
      </c>
      <c r="H347" s="83" t="str">
        <f t="shared" si="31"/>
        <v/>
      </c>
      <c r="I347" s="83">
        <f>IF($G347="",0,COUNTIF($G$7:$G347,$H347))</f>
        <v>0</v>
      </c>
      <c r="J347" s="83"/>
      <c r="K347" s="264" t="str">
        <f>Language!$E$85</f>
        <v>double</v>
      </c>
      <c r="L347" s="240" t="str">
        <f>IF(Calc!$F$26=0,"",IF(OR($M347&gt;Calc!$B$24,MOD($M347-1,Calc!$F$26)&gt;0),"",QUOTIENT($M347-1,Calc!$F$26)+1))</f>
        <v/>
      </c>
      <c r="M347" s="102">
        <v>341</v>
      </c>
      <c r="N347" s="302"/>
      <c r="O347" s="108" t="s">
        <v>4</v>
      </c>
      <c r="P347" s="304"/>
      <c r="Q347" s="109" t="str">
        <f t="shared" si="27"/>
        <v/>
      </c>
      <c r="R347" s="110" t="s">
        <v>4</v>
      </c>
      <c r="S347" s="111" t="str">
        <f t="shared" si="28"/>
        <v/>
      </c>
      <c r="T347" s="211"/>
      <c r="U347" s="212"/>
    </row>
    <row r="348" spans="6:21" ht="17.25" x14ac:dyDescent="0.2">
      <c r="F348" s="83">
        <f t="shared" si="29"/>
        <v>0</v>
      </c>
      <c r="G348" s="83" t="str">
        <f t="shared" si="30"/>
        <v/>
      </c>
      <c r="H348" s="83" t="str">
        <f t="shared" si="31"/>
        <v/>
      </c>
      <c r="I348" s="83">
        <f>IF($G348="",0,COUNTIF($G$7:$G348,$H348))</f>
        <v>0</v>
      </c>
      <c r="J348" s="83"/>
      <c r="K348" s="264" t="str">
        <f>Language!$E$85</f>
        <v>double</v>
      </c>
      <c r="L348" s="240" t="str">
        <f>IF(Calc!$F$26=0,"",IF(OR($M348&gt;Calc!$B$24,MOD($M348-1,Calc!$F$26)&gt;0),"",QUOTIENT($M348-1,Calc!$F$26)+1))</f>
        <v/>
      </c>
      <c r="M348" s="102">
        <v>342</v>
      </c>
      <c r="N348" s="302"/>
      <c r="O348" s="108" t="s">
        <v>4</v>
      </c>
      <c r="P348" s="304"/>
      <c r="Q348" s="109" t="str">
        <f t="shared" si="27"/>
        <v/>
      </c>
      <c r="R348" s="110" t="s">
        <v>4</v>
      </c>
      <c r="S348" s="111" t="str">
        <f t="shared" si="28"/>
        <v/>
      </c>
      <c r="T348" s="211"/>
      <c r="U348" s="212"/>
    </row>
    <row r="349" spans="6:21" ht="17.25" x14ac:dyDescent="0.2">
      <c r="F349" s="83">
        <f t="shared" si="29"/>
        <v>0</v>
      </c>
      <c r="G349" s="83" t="str">
        <f t="shared" si="30"/>
        <v/>
      </c>
      <c r="H349" s="83" t="str">
        <f t="shared" si="31"/>
        <v/>
      </c>
      <c r="I349" s="83">
        <f>IF($G349="",0,COUNTIF($G$7:$G349,$H349))</f>
        <v>0</v>
      </c>
      <c r="J349" s="83"/>
      <c r="K349" s="264" t="str">
        <f>Language!$E$85</f>
        <v>double</v>
      </c>
      <c r="L349" s="240" t="str">
        <f>IF(Calc!$F$26=0,"",IF(OR($M349&gt;Calc!$B$24,MOD($M349-1,Calc!$F$26)&gt;0),"",QUOTIENT($M349-1,Calc!$F$26)+1))</f>
        <v/>
      </c>
      <c r="M349" s="102">
        <v>343</v>
      </c>
      <c r="N349" s="302"/>
      <c r="O349" s="108" t="s">
        <v>4</v>
      </c>
      <c r="P349" s="304"/>
      <c r="Q349" s="109" t="str">
        <f t="shared" si="27"/>
        <v/>
      </c>
      <c r="R349" s="110" t="s">
        <v>4</v>
      </c>
      <c r="S349" s="111" t="str">
        <f t="shared" si="28"/>
        <v/>
      </c>
      <c r="T349" s="211"/>
      <c r="U349" s="212"/>
    </row>
    <row r="350" spans="6:21" ht="17.25" x14ac:dyDescent="0.2">
      <c r="F350" s="83">
        <f t="shared" si="29"/>
        <v>0</v>
      </c>
      <c r="G350" s="83" t="str">
        <f t="shared" si="30"/>
        <v/>
      </c>
      <c r="H350" s="83" t="str">
        <f t="shared" si="31"/>
        <v/>
      </c>
      <c r="I350" s="83">
        <f>IF($G350="",0,COUNTIF($G$7:$G350,$H350))</f>
        <v>0</v>
      </c>
      <c r="J350" s="83"/>
      <c r="K350" s="264" t="str">
        <f>Language!$E$85</f>
        <v>double</v>
      </c>
      <c r="L350" s="240" t="str">
        <f>IF(Calc!$F$26=0,"",IF(OR($M350&gt;Calc!$B$24,MOD($M350-1,Calc!$F$26)&gt;0),"",QUOTIENT($M350-1,Calc!$F$26)+1))</f>
        <v/>
      </c>
      <c r="M350" s="102">
        <v>344</v>
      </c>
      <c r="N350" s="302"/>
      <c r="O350" s="108" t="s">
        <v>4</v>
      </c>
      <c r="P350" s="304"/>
      <c r="Q350" s="109" t="str">
        <f t="shared" si="27"/>
        <v/>
      </c>
      <c r="R350" s="110" t="s">
        <v>4</v>
      </c>
      <c r="S350" s="111" t="str">
        <f t="shared" si="28"/>
        <v/>
      </c>
      <c r="T350" s="211"/>
      <c r="U350" s="212"/>
    </row>
    <row r="351" spans="6:21" ht="17.25" x14ac:dyDescent="0.2">
      <c r="F351" s="83">
        <f t="shared" si="29"/>
        <v>0</v>
      </c>
      <c r="G351" s="83" t="str">
        <f t="shared" si="30"/>
        <v/>
      </c>
      <c r="H351" s="83" t="str">
        <f t="shared" si="31"/>
        <v/>
      </c>
      <c r="I351" s="83">
        <f>IF($G351="",0,COUNTIF($G$7:$G351,$H351))</f>
        <v>0</v>
      </c>
      <c r="J351" s="83"/>
      <c r="K351" s="264" t="str">
        <f>Language!$E$85</f>
        <v>double</v>
      </c>
      <c r="L351" s="240" t="str">
        <f>IF(Calc!$F$26=0,"",IF(OR($M351&gt;Calc!$B$24,MOD($M351-1,Calc!$F$26)&gt;0),"",QUOTIENT($M351-1,Calc!$F$26)+1))</f>
        <v/>
      </c>
      <c r="M351" s="102">
        <v>345</v>
      </c>
      <c r="N351" s="302"/>
      <c r="O351" s="108" t="s">
        <v>4</v>
      </c>
      <c r="P351" s="304"/>
      <c r="Q351" s="109" t="str">
        <f t="shared" si="27"/>
        <v/>
      </c>
      <c r="R351" s="110" t="s">
        <v>4</v>
      </c>
      <c r="S351" s="111" t="str">
        <f t="shared" si="28"/>
        <v/>
      </c>
      <c r="T351" s="211"/>
      <c r="U351" s="212"/>
    </row>
    <row r="352" spans="6:21" ht="17.25" x14ac:dyDescent="0.2">
      <c r="F352" s="83">
        <f t="shared" si="29"/>
        <v>0</v>
      </c>
      <c r="G352" s="83" t="str">
        <f t="shared" si="30"/>
        <v/>
      </c>
      <c r="H352" s="83" t="str">
        <f t="shared" si="31"/>
        <v/>
      </c>
      <c r="I352" s="83">
        <f>IF($G352="",0,COUNTIF($G$7:$G352,$H352))</f>
        <v>0</v>
      </c>
      <c r="J352" s="83"/>
      <c r="K352" s="264" t="str">
        <f>Language!$E$85</f>
        <v>double</v>
      </c>
      <c r="L352" s="240" t="str">
        <f>IF(Calc!$F$26=0,"",IF(OR($M352&gt;Calc!$B$24,MOD($M352-1,Calc!$F$26)&gt;0),"",QUOTIENT($M352-1,Calc!$F$26)+1))</f>
        <v/>
      </c>
      <c r="M352" s="102">
        <v>346</v>
      </c>
      <c r="N352" s="302"/>
      <c r="O352" s="108" t="s">
        <v>4</v>
      </c>
      <c r="P352" s="304"/>
      <c r="Q352" s="109" t="str">
        <f t="shared" si="27"/>
        <v/>
      </c>
      <c r="R352" s="110" t="s">
        <v>4</v>
      </c>
      <c r="S352" s="111" t="str">
        <f t="shared" si="28"/>
        <v/>
      </c>
      <c r="T352" s="211"/>
      <c r="U352" s="212"/>
    </row>
    <row r="353" spans="6:21" ht="17.25" x14ac:dyDescent="0.2">
      <c r="F353" s="83">
        <f t="shared" si="29"/>
        <v>0</v>
      </c>
      <c r="G353" s="83" t="str">
        <f t="shared" si="30"/>
        <v/>
      </c>
      <c r="H353" s="83" t="str">
        <f t="shared" si="31"/>
        <v/>
      </c>
      <c r="I353" s="83">
        <f>IF($G353="",0,COUNTIF($G$7:$G353,$H353))</f>
        <v>0</v>
      </c>
      <c r="J353" s="83"/>
      <c r="K353" s="264" t="str">
        <f>Language!$E$85</f>
        <v>double</v>
      </c>
      <c r="L353" s="240" t="str">
        <f>IF(Calc!$F$26=0,"",IF(OR($M353&gt;Calc!$B$24,MOD($M353-1,Calc!$F$26)&gt;0),"",QUOTIENT($M353-1,Calc!$F$26)+1))</f>
        <v/>
      </c>
      <c r="M353" s="102">
        <v>347</v>
      </c>
      <c r="N353" s="302"/>
      <c r="O353" s="108" t="s">
        <v>4</v>
      </c>
      <c r="P353" s="304"/>
      <c r="Q353" s="109" t="str">
        <f t="shared" si="27"/>
        <v/>
      </c>
      <c r="R353" s="110" t="s">
        <v>4</v>
      </c>
      <c r="S353" s="111" t="str">
        <f t="shared" si="28"/>
        <v/>
      </c>
      <c r="T353" s="211"/>
      <c r="U353" s="212"/>
    </row>
    <row r="354" spans="6:21" ht="17.25" x14ac:dyDescent="0.2">
      <c r="F354" s="83">
        <f t="shared" si="29"/>
        <v>0</v>
      </c>
      <c r="G354" s="83" t="str">
        <f t="shared" si="30"/>
        <v/>
      </c>
      <c r="H354" s="83" t="str">
        <f t="shared" si="31"/>
        <v/>
      </c>
      <c r="I354" s="83">
        <f>IF($G354="",0,COUNTIF($G$7:$G354,$H354))</f>
        <v>0</v>
      </c>
      <c r="J354" s="83"/>
      <c r="K354" s="264" t="str">
        <f>Language!$E$85</f>
        <v>double</v>
      </c>
      <c r="L354" s="240" t="str">
        <f>IF(Calc!$F$26=0,"",IF(OR($M354&gt;Calc!$B$24,MOD($M354-1,Calc!$F$26)&gt;0),"",QUOTIENT($M354-1,Calc!$F$26)+1))</f>
        <v/>
      </c>
      <c r="M354" s="102">
        <v>348</v>
      </c>
      <c r="N354" s="302"/>
      <c r="O354" s="108" t="s">
        <v>4</v>
      </c>
      <c r="P354" s="304"/>
      <c r="Q354" s="109" t="str">
        <f t="shared" si="27"/>
        <v/>
      </c>
      <c r="R354" s="110" t="s">
        <v>4</v>
      </c>
      <c r="S354" s="111" t="str">
        <f t="shared" si="28"/>
        <v/>
      </c>
      <c r="T354" s="211"/>
      <c r="U354" s="212"/>
    </row>
    <row r="355" spans="6:21" ht="17.25" x14ac:dyDescent="0.2">
      <c r="F355" s="83">
        <f t="shared" si="29"/>
        <v>0</v>
      </c>
      <c r="G355" s="83" t="str">
        <f t="shared" si="30"/>
        <v/>
      </c>
      <c r="H355" s="83" t="str">
        <f t="shared" si="31"/>
        <v/>
      </c>
      <c r="I355" s="83">
        <f>IF($G355="",0,COUNTIF($G$7:$G355,$H355))</f>
        <v>0</v>
      </c>
      <c r="J355" s="83"/>
      <c r="K355" s="264" t="str">
        <f>Language!$E$85</f>
        <v>double</v>
      </c>
      <c r="L355" s="240" t="str">
        <f>IF(Calc!$F$26=0,"",IF(OR($M355&gt;Calc!$B$24,MOD($M355-1,Calc!$F$26)&gt;0),"",QUOTIENT($M355-1,Calc!$F$26)+1))</f>
        <v/>
      </c>
      <c r="M355" s="102">
        <v>349</v>
      </c>
      <c r="N355" s="302"/>
      <c r="O355" s="108" t="s">
        <v>4</v>
      </c>
      <c r="P355" s="304"/>
      <c r="Q355" s="109" t="str">
        <f t="shared" si="27"/>
        <v/>
      </c>
      <c r="R355" s="110" t="s">
        <v>4</v>
      </c>
      <c r="S355" s="111" t="str">
        <f t="shared" si="28"/>
        <v/>
      </c>
      <c r="T355" s="211"/>
      <c r="U355" s="212"/>
    </row>
    <row r="356" spans="6:21" ht="17.25" x14ac:dyDescent="0.2">
      <c r="F356" s="83">
        <f t="shared" si="29"/>
        <v>0</v>
      </c>
      <c r="G356" s="83" t="str">
        <f t="shared" si="30"/>
        <v/>
      </c>
      <c r="H356" s="83" t="str">
        <f t="shared" si="31"/>
        <v/>
      </c>
      <c r="I356" s="83">
        <f>IF($G356="",0,COUNTIF($G$7:$G356,$H356))</f>
        <v>0</v>
      </c>
      <c r="J356" s="83"/>
      <c r="K356" s="264" t="str">
        <f>Language!$E$85</f>
        <v>double</v>
      </c>
      <c r="L356" s="240" t="str">
        <f>IF(Calc!$F$26=0,"",IF(OR($M356&gt;Calc!$B$24,MOD($M356-1,Calc!$F$26)&gt;0),"",QUOTIENT($M356-1,Calc!$F$26)+1))</f>
        <v/>
      </c>
      <c r="M356" s="102">
        <v>350</v>
      </c>
      <c r="N356" s="302"/>
      <c r="O356" s="108" t="s">
        <v>4</v>
      </c>
      <c r="P356" s="304"/>
      <c r="Q356" s="109" t="str">
        <f t="shared" si="27"/>
        <v/>
      </c>
      <c r="R356" s="110" t="s">
        <v>4</v>
      </c>
      <c r="S356" s="111" t="str">
        <f t="shared" si="28"/>
        <v/>
      </c>
      <c r="T356" s="211"/>
      <c r="U356" s="212"/>
    </row>
    <row r="357" spans="6:21" ht="17.25" x14ac:dyDescent="0.2">
      <c r="F357" s="83">
        <f t="shared" si="29"/>
        <v>0</v>
      </c>
      <c r="G357" s="83" t="str">
        <f t="shared" si="30"/>
        <v/>
      </c>
      <c r="H357" s="83" t="str">
        <f t="shared" si="31"/>
        <v/>
      </c>
      <c r="I357" s="83">
        <f>IF($G357="",0,COUNTIF($G$7:$G357,$H357))</f>
        <v>0</v>
      </c>
      <c r="J357" s="83"/>
      <c r="K357" s="264" t="str">
        <f>Language!$E$85</f>
        <v>double</v>
      </c>
      <c r="L357" s="240" t="str">
        <f>IF(Calc!$F$26=0,"",IF(OR($M357&gt;Calc!$B$24,MOD($M357-1,Calc!$F$26)&gt;0),"",QUOTIENT($M357-1,Calc!$F$26)+1))</f>
        <v/>
      </c>
      <c r="M357" s="102">
        <v>351</v>
      </c>
      <c r="N357" s="302"/>
      <c r="O357" s="108" t="s">
        <v>4</v>
      </c>
      <c r="P357" s="304"/>
      <c r="Q357" s="109" t="str">
        <f t="shared" si="27"/>
        <v/>
      </c>
      <c r="R357" s="110" t="s">
        <v>4</v>
      </c>
      <c r="S357" s="111" t="str">
        <f t="shared" si="28"/>
        <v/>
      </c>
      <c r="T357" s="211"/>
      <c r="U357" s="212"/>
    </row>
    <row r="358" spans="6:21" ht="17.25" x14ac:dyDescent="0.2">
      <c r="F358" s="83">
        <f t="shared" si="29"/>
        <v>0</v>
      </c>
      <c r="G358" s="83" t="str">
        <f t="shared" si="30"/>
        <v/>
      </c>
      <c r="H358" s="83" t="str">
        <f t="shared" si="31"/>
        <v/>
      </c>
      <c r="I358" s="83">
        <f>IF($G358="",0,COUNTIF($G$7:$G358,$H358))</f>
        <v>0</v>
      </c>
      <c r="J358" s="83"/>
      <c r="K358" s="264" t="str">
        <f>Language!$E$85</f>
        <v>double</v>
      </c>
      <c r="L358" s="240" t="str">
        <f>IF(Calc!$F$26=0,"",IF(OR($M358&gt;Calc!$B$24,MOD($M358-1,Calc!$F$26)&gt;0),"",QUOTIENT($M358-1,Calc!$F$26)+1))</f>
        <v/>
      </c>
      <c r="M358" s="102">
        <v>352</v>
      </c>
      <c r="N358" s="302"/>
      <c r="O358" s="108" t="s">
        <v>4</v>
      </c>
      <c r="P358" s="304"/>
      <c r="Q358" s="109" t="str">
        <f t="shared" si="27"/>
        <v/>
      </c>
      <c r="R358" s="110" t="s">
        <v>4</v>
      </c>
      <c r="S358" s="111" t="str">
        <f t="shared" si="28"/>
        <v/>
      </c>
      <c r="T358" s="211"/>
      <c r="U358" s="212"/>
    </row>
    <row r="359" spans="6:21" ht="17.25" x14ac:dyDescent="0.2">
      <c r="F359" s="83">
        <f t="shared" si="29"/>
        <v>0</v>
      </c>
      <c r="G359" s="83" t="str">
        <f t="shared" si="30"/>
        <v/>
      </c>
      <c r="H359" s="83" t="str">
        <f t="shared" si="31"/>
        <v/>
      </c>
      <c r="I359" s="83">
        <f>IF($G359="",0,COUNTIF($G$7:$G359,$H359))</f>
        <v>0</v>
      </c>
      <c r="J359" s="83"/>
      <c r="K359" s="264" t="str">
        <f>Language!$E$85</f>
        <v>double</v>
      </c>
      <c r="L359" s="240" t="str">
        <f>IF(Calc!$F$26=0,"",IF(OR($M359&gt;Calc!$B$24,MOD($M359-1,Calc!$F$26)&gt;0),"",QUOTIENT($M359-1,Calc!$F$26)+1))</f>
        <v/>
      </c>
      <c r="M359" s="102">
        <v>353</v>
      </c>
      <c r="N359" s="302"/>
      <c r="O359" s="108" t="s">
        <v>4</v>
      </c>
      <c r="P359" s="304"/>
      <c r="Q359" s="109" t="str">
        <f t="shared" si="27"/>
        <v/>
      </c>
      <c r="R359" s="110" t="s">
        <v>4</v>
      </c>
      <c r="S359" s="111" t="str">
        <f t="shared" si="28"/>
        <v/>
      </c>
      <c r="T359" s="211"/>
      <c r="U359" s="212"/>
    </row>
    <row r="360" spans="6:21" ht="17.25" x14ac:dyDescent="0.2">
      <c r="F360" s="83">
        <f t="shared" si="29"/>
        <v>0</v>
      </c>
      <c r="G360" s="83" t="str">
        <f t="shared" si="30"/>
        <v/>
      </c>
      <c r="H360" s="83" t="str">
        <f t="shared" si="31"/>
        <v/>
      </c>
      <c r="I360" s="83">
        <f>IF($G360="",0,COUNTIF($G$7:$G360,$H360))</f>
        <v>0</v>
      </c>
      <c r="J360" s="83"/>
      <c r="K360" s="264" t="str">
        <f>Language!$E$85</f>
        <v>double</v>
      </c>
      <c r="L360" s="240" t="str">
        <f>IF(Calc!$F$26=0,"",IF(OR($M360&gt;Calc!$B$24,MOD($M360-1,Calc!$F$26)&gt;0),"",QUOTIENT($M360-1,Calc!$F$26)+1))</f>
        <v/>
      </c>
      <c r="M360" s="102">
        <v>354</v>
      </c>
      <c r="N360" s="302"/>
      <c r="O360" s="108" t="s">
        <v>4</v>
      </c>
      <c r="P360" s="304"/>
      <c r="Q360" s="109" t="str">
        <f t="shared" si="27"/>
        <v/>
      </c>
      <c r="R360" s="110" t="s">
        <v>4</v>
      </c>
      <c r="S360" s="111" t="str">
        <f t="shared" si="28"/>
        <v/>
      </c>
      <c r="T360" s="211"/>
      <c r="U360" s="212"/>
    </row>
    <row r="361" spans="6:21" ht="17.25" x14ac:dyDescent="0.2">
      <c r="F361" s="83">
        <f t="shared" si="29"/>
        <v>0</v>
      </c>
      <c r="G361" s="83" t="str">
        <f t="shared" si="30"/>
        <v/>
      </c>
      <c r="H361" s="83" t="str">
        <f t="shared" si="31"/>
        <v/>
      </c>
      <c r="I361" s="83">
        <f>IF($G361="",0,COUNTIF($G$7:$G361,$H361))</f>
        <v>0</v>
      </c>
      <c r="J361" s="83"/>
      <c r="K361" s="264" t="str">
        <f>Language!$E$85</f>
        <v>double</v>
      </c>
      <c r="L361" s="240" t="str">
        <f>IF(Calc!$F$26=0,"",IF(OR($M361&gt;Calc!$B$24,MOD($M361-1,Calc!$F$26)&gt;0),"",QUOTIENT($M361-1,Calc!$F$26)+1))</f>
        <v/>
      </c>
      <c r="M361" s="102">
        <v>355</v>
      </c>
      <c r="N361" s="302"/>
      <c r="O361" s="108" t="s">
        <v>4</v>
      </c>
      <c r="P361" s="304"/>
      <c r="Q361" s="109" t="str">
        <f t="shared" si="27"/>
        <v/>
      </c>
      <c r="R361" s="110" t="s">
        <v>4</v>
      </c>
      <c r="S361" s="111" t="str">
        <f t="shared" si="28"/>
        <v/>
      </c>
      <c r="T361" s="211"/>
      <c r="U361" s="212"/>
    </row>
    <row r="362" spans="6:21" ht="17.25" x14ac:dyDescent="0.2">
      <c r="F362" s="83">
        <f t="shared" si="29"/>
        <v>0</v>
      </c>
      <c r="G362" s="83" t="str">
        <f t="shared" si="30"/>
        <v/>
      </c>
      <c r="H362" s="83" t="str">
        <f t="shared" si="31"/>
        <v/>
      </c>
      <c r="I362" s="83">
        <f>IF($G362="",0,COUNTIF($G$7:$G362,$H362))</f>
        <v>0</v>
      </c>
      <c r="J362" s="83"/>
      <c r="K362" s="264" t="str">
        <f>Language!$E$85</f>
        <v>double</v>
      </c>
      <c r="L362" s="240" t="str">
        <f>IF(Calc!$F$26=0,"",IF(OR($M362&gt;Calc!$B$24,MOD($M362-1,Calc!$F$26)&gt;0),"",QUOTIENT($M362-1,Calc!$F$26)+1))</f>
        <v/>
      </c>
      <c r="M362" s="102">
        <v>356</v>
      </c>
      <c r="N362" s="302"/>
      <c r="O362" s="108" t="s">
        <v>4</v>
      </c>
      <c r="P362" s="304"/>
      <c r="Q362" s="109" t="str">
        <f t="shared" si="27"/>
        <v/>
      </c>
      <c r="R362" s="110" t="s">
        <v>4</v>
      </c>
      <c r="S362" s="111" t="str">
        <f t="shared" si="28"/>
        <v/>
      </c>
      <c r="T362" s="211"/>
      <c r="U362" s="212"/>
    </row>
    <row r="363" spans="6:21" ht="17.25" x14ac:dyDescent="0.2">
      <c r="F363" s="83">
        <f t="shared" si="29"/>
        <v>0</v>
      </c>
      <c r="G363" s="83" t="str">
        <f t="shared" si="30"/>
        <v/>
      </c>
      <c r="H363" s="83" t="str">
        <f t="shared" si="31"/>
        <v/>
      </c>
      <c r="I363" s="83">
        <f>IF($G363="",0,COUNTIF($G$7:$G363,$H363))</f>
        <v>0</v>
      </c>
      <c r="J363" s="83"/>
      <c r="K363" s="264" t="str">
        <f>Language!$E$85</f>
        <v>double</v>
      </c>
      <c r="L363" s="240" t="str">
        <f>IF(Calc!$F$26=0,"",IF(OR($M363&gt;Calc!$B$24,MOD($M363-1,Calc!$F$26)&gt;0),"",QUOTIENT($M363-1,Calc!$F$26)+1))</f>
        <v/>
      </c>
      <c r="M363" s="102">
        <v>357</v>
      </c>
      <c r="N363" s="302"/>
      <c r="O363" s="108" t="s">
        <v>4</v>
      </c>
      <c r="P363" s="304"/>
      <c r="Q363" s="109" t="str">
        <f t="shared" si="27"/>
        <v/>
      </c>
      <c r="R363" s="110" t="s">
        <v>4</v>
      </c>
      <c r="S363" s="111" t="str">
        <f t="shared" si="28"/>
        <v/>
      </c>
      <c r="T363" s="211"/>
      <c r="U363" s="212"/>
    </row>
    <row r="364" spans="6:21" ht="17.25" x14ac:dyDescent="0.2">
      <c r="F364" s="83">
        <f t="shared" si="29"/>
        <v>0</v>
      </c>
      <c r="G364" s="83" t="str">
        <f t="shared" si="30"/>
        <v/>
      </c>
      <c r="H364" s="83" t="str">
        <f t="shared" si="31"/>
        <v/>
      </c>
      <c r="I364" s="83">
        <f>IF($G364="",0,COUNTIF($G$7:$G364,$H364))</f>
        <v>0</v>
      </c>
      <c r="J364" s="83"/>
      <c r="K364" s="264" t="str">
        <f>Language!$E$85</f>
        <v>double</v>
      </c>
      <c r="L364" s="240" t="str">
        <f>IF(Calc!$F$26=0,"",IF(OR($M364&gt;Calc!$B$24,MOD($M364-1,Calc!$F$26)&gt;0),"",QUOTIENT($M364-1,Calc!$F$26)+1))</f>
        <v/>
      </c>
      <c r="M364" s="102">
        <v>358</v>
      </c>
      <c r="N364" s="302"/>
      <c r="O364" s="108" t="s">
        <v>4</v>
      </c>
      <c r="P364" s="304"/>
      <c r="Q364" s="109" t="str">
        <f t="shared" si="27"/>
        <v/>
      </c>
      <c r="R364" s="110" t="s">
        <v>4</v>
      </c>
      <c r="S364" s="111" t="str">
        <f t="shared" si="28"/>
        <v/>
      </c>
      <c r="T364" s="211"/>
      <c r="U364" s="212"/>
    </row>
    <row r="365" spans="6:21" ht="17.25" x14ac:dyDescent="0.2">
      <c r="F365" s="83">
        <f t="shared" si="29"/>
        <v>0</v>
      </c>
      <c r="G365" s="83" t="str">
        <f t="shared" si="30"/>
        <v/>
      </c>
      <c r="H365" s="83" t="str">
        <f t="shared" si="31"/>
        <v/>
      </c>
      <c r="I365" s="83">
        <f>IF($G365="",0,COUNTIF($G$7:$G365,$H365))</f>
        <v>0</v>
      </c>
      <c r="J365" s="83"/>
      <c r="K365" s="264" t="str">
        <f>Language!$E$85</f>
        <v>double</v>
      </c>
      <c r="L365" s="240" t="str">
        <f>IF(Calc!$F$26=0,"",IF(OR($M365&gt;Calc!$B$24,MOD($M365-1,Calc!$F$26)&gt;0),"",QUOTIENT($M365-1,Calc!$F$26)+1))</f>
        <v/>
      </c>
      <c r="M365" s="102">
        <v>359</v>
      </c>
      <c r="N365" s="302"/>
      <c r="O365" s="108" t="s">
        <v>4</v>
      </c>
      <c r="P365" s="304"/>
      <c r="Q365" s="109" t="str">
        <f t="shared" si="27"/>
        <v/>
      </c>
      <c r="R365" s="110" t="s">
        <v>4</v>
      </c>
      <c r="S365" s="111" t="str">
        <f t="shared" si="28"/>
        <v/>
      </c>
      <c r="T365" s="211"/>
      <c r="U365" s="212"/>
    </row>
    <row r="366" spans="6:21" ht="17.25" x14ac:dyDescent="0.2">
      <c r="F366" s="83">
        <f t="shared" si="29"/>
        <v>0</v>
      </c>
      <c r="G366" s="83" t="str">
        <f t="shared" si="30"/>
        <v/>
      </c>
      <c r="H366" s="83" t="str">
        <f t="shared" si="31"/>
        <v/>
      </c>
      <c r="I366" s="83">
        <f>IF($G366="",0,COUNTIF($G$7:$G366,$H366))</f>
        <v>0</v>
      </c>
      <c r="J366" s="83"/>
      <c r="K366" s="264" t="str">
        <f>Language!$E$85</f>
        <v>double</v>
      </c>
      <c r="L366" s="240" t="str">
        <f>IF(Calc!$F$26=0,"",IF(OR($M366&gt;Calc!$B$24,MOD($M366-1,Calc!$F$26)&gt;0),"",QUOTIENT($M366-1,Calc!$F$26)+1))</f>
        <v/>
      </c>
      <c r="M366" s="102">
        <v>360</v>
      </c>
      <c r="N366" s="302"/>
      <c r="O366" s="108" t="s">
        <v>4</v>
      </c>
      <c r="P366" s="304"/>
      <c r="Q366" s="109" t="str">
        <f t="shared" si="27"/>
        <v/>
      </c>
      <c r="R366" s="110" t="s">
        <v>4</v>
      </c>
      <c r="S366" s="111" t="str">
        <f t="shared" si="28"/>
        <v/>
      </c>
      <c r="T366" s="211"/>
      <c r="U366" s="212"/>
    </row>
    <row r="367" spans="6:21" ht="17.25" x14ac:dyDescent="0.2">
      <c r="F367" s="83">
        <f t="shared" si="29"/>
        <v>0</v>
      </c>
      <c r="G367" s="83" t="str">
        <f t="shared" si="30"/>
        <v/>
      </c>
      <c r="H367" s="83" t="str">
        <f t="shared" si="31"/>
        <v/>
      </c>
      <c r="I367" s="83">
        <f>IF($G367="",0,COUNTIF($G$7:$G367,$H367))</f>
        <v>0</v>
      </c>
      <c r="J367" s="83"/>
      <c r="K367" s="264" t="str">
        <f>Language!$E$85</f>
        <v>double</v>
      </c>
      <c r="L367" s="240" t="str">
        <f>IF(Calc!$F$26=0,"",IF(OR($M367&gt;Calc!$B$24,MOD($M367-1,Calc!$F$26)&gt;0),"",QUOTIENT($M367-1,Calc!$F$26)+1))</f>
        <v/>
      </c>
      <c r="M367" s="102">
        <v>361</v>
      </c>
      <c r="N367" s="302"/>
      <c r="O367" s="108" t="s">
        <v>4</v>
      </c>
      <c r="P367" s="304"/>
      <c r="Q367" s="109" t="str">
        <f t="shared" si="27"/>
        <v/>
      </c>
      <c r="R367" s="110" t="s">
        <v>4</v>
      </c>
      <c r="S367" s="111" t="str">
        <f t="shared" si="28"/>
        <v/>
      </c>
      <c r="T367" s="211"/>
      <c r="U367" s="212"/>
    </row>
    <row r="368" spans="6:21" ht="17.25" x14ac:dyDescent="0.2">
      <c r="F368" s="83">
        <f t="shared" si="29"/>
        <v>0</v>
      </c>
      <c r="G368" s="83" t="str">
        <f t="shared" si="30"/>
        <v/>
      </c>
      <c r="H368" s="83" t="str">
        <f t="shared" si="31"/>
        <v/>
      </c>
      <c r="I368" s="83">
        <f>IF($G368="",0,COUNTIF($G$7:$G368,$H368))</f>
        <v>0</v>
      </c>
      <c r="J368" s="83"/>
      <c r="K368" s="264" t="str">
        <f>Language!$E$85</f>
        <v>double</v>
      </c>
      <c r="L368" s="240" t="str">
        <f>IF(Calc!$F$26=0,"",IF(OR($M368&gt;Calc!$B$24,MOD($M368-1,Calc!$F$26)&gt;0),"",QUOTIENT($M368-1,Calc!$F$26)+1))</f>
        <v/>
      </c>
      <c r="M368" s="102">
        <v>362</v>
      </c>
      <c r="N368" s="302"/>
      <c r="O368" s="108" t="s">
        <v>4</v>
      </c>
      <c r="P368" s="304"/>
      <c r="Q368" s="109" t="str">
        <f t="shared" si="27"/>
        <v/>
      </c>
      <c r="R368" s="110" t="s">
        <v>4</v>
      </c>
      <c r="S368" s="111" t="str">
        <f t="shared" si="28"/>
        <v/>
      </c>
      <c r="T368" s="211"/>
      <c r="U368" s="212"/>
    </row>
    <row r="369" spans="6:21" ht="17.25" x14ac:dyDescent="0.2">
      <c r="F369" s="83">
        <f t="shared" si="29"/>
        <v>0</v>
      </c>
      <c r="G369" s="83" t="str">
        <f t="shared" si="30"/>
        <v/>
      </c>
      <c r="H369" s="83" t="str">
        <f t="shared" si="31"/>
        <v/>
      </c>
      <c r="I369" s="83">
        <f>IF($G369="",0,COUNTIF($G$7:$G369,$H369))</f>
        <v>0</v>
      </c>
      <c r="J369" s="83"/>
      <c r="K369" s="264" t="str">
        <f>Language!$E$85</f>
        <v>double</v>
      </c>
      <c r="L369" s="240" t="str">
        <f>IF(Calc!$F$26=0,"",IF(OR($M369&gt;Calc!$B$24,MOD($M369-1,Calc!$F$26)&gt;0),"",QUOTIENT($M369-1,Calc!$F$26)+1))</f>
        <v/>
      </c>
      <c r="M369" s="102">
        <v>363</v>
      </c>
      <c r="N369" s="302"/>
      <c r="O369" s="108" t="s">
        <v>4</v>
      </c>
      <c r="P369" s="304"/>
      <c r="Q369" s="109" t="str">
        <f t="shared" si="27"/>
        <v/>
      </c>
      <c r="R369" s="110" t="s">
        <v>4</v>
      </c>
      <c r="S369" s="111" t="str">
        <f t="shared" si="28"/>
        <v/>
      </c>
      <c r="T369" s="211"/>
      <c r="U369" s="212"/>
    </row>
    <row r="370" spans="6:21" ht="17.25" x14ac:dyDescent="0.2">
      <c r="F370" s="83">
        <f t="shared" si="29"/>
        <v>0</v>
      </c>
      <c r="G370" s="83" t="str">
        <f t="shared" si="30"/>
        <v/>
      </c>
      <c r="H370" s="83" t="str">
        <f t="shared" si="31"/>
        <v/>
      </c>
      <c r="I370" s="83">
        <f>IF($G370="",0,COUNTIF($G$7:$G370,$H370))</f>
        <v>0</v>
      </c>
      <c r="J370" s="83"/>
      <c r="K370" s="264" t="str">
        <f>Language!$E$85</f>
        <v>double</v>
      </c>
      <c r="L370" s="240" t="str">
        <f>IF(Calc!$F$26=0,"",IF(OR($M370&gt;Calc!$B$24,MOD($M370-1,Calc!$F$26)&gt;0),"",QUOTIENT($M370-1,Calc!$F$26)+1))</f>
        <v/>
      </c>
      <c r="M370" s="102">
        <v>364</v>
      </c>
      <c r="N370" s="302"/>
      <c r="O370" s="108" t="s">
        <v>4</v>
      </c>
      <c r="P370" s="304"/>
      <c r="Q370" s="109" t="str">
        <f t="shared" si="27"/>
        <v/>
      </c>
      <c r="R370" s="110" t="s">
        <v>4</v>
      </c>
      <c r="S370" s="111" t="str">
        <f t="shared" si="28"/>
        <v/>
      </c>
      <c r="T370" s="211"/>
      <c r="U370" s="212"/>
    </row>
    <row r="371" spans="6:21" ht="17.25" x14ac:dyDescent="0.2">
      <c r="F371" s="83">
        <f t="shared" si="29"/>
        <v>0</v>
      </c>
      <c r="G371" s="83" t="str">
        <f t="shared" si="30"/>
        <v/>
      </c>
      <c r="H371" s="83" t="str">
        <f t="shared" si="31"/>
        <v/>
      </c>
      <c r="I371" s="83">
        <f>IF($G371="",0,COUNTIF($G$7:$G371,$H371))</f>
        <v>0</v>
      </c>
      <c r="J371" s="83"/>
      <c r="K371" s="264" t="str">
        <f>Language!$E$85</f>
        <v>double</v>
      </c>
      <c r="L371" s="240" t="str">
        <f>IF(Calc!$F$26=0,"",IF(OR($M371&gt;Calc!$B$24,MOD($M371-1,Calc!$F$26)&gt;0),"",QUOTIENT($M371-1,Calc!$F$26)+1))</f>
        <v/>
      </c>
      <c r="M371" s="102">
        <v>365</v>
      </c>
      <c r="N371" s="302"/>
      <c r="O371" s="108" t="s">
        <v>4</v>
      </c>
      <c r="P371" s="304"/>
      <c r="Q371" s="109" t="str">
        <f t="shared" si="27"/>
        <v/>
      </c>
      <c r="R371" s="110" t="s">
        <v>4</v>
      </c>
      <c r="S371" s="111" t="str">
        <f t="shared" si="28"/>
        <v/>
      </c>
      <c r="T371" s="211"/>
      <c r="U371" s="212"/>
    </row>
    <row r="372" spans="6:21" ht="17.25" x14ac:dyDescent="0.2">
      <c r="F372" s="83">
        <f t="shared" si="29"/>
        <v>0</v>
      </c>
      <c r="G372" s="83" t="str">
        <f t="shared" si="30"/>
        <v/>
      </c>
      <c r="H372" s="83" t="str">
        <f t="shared" si="31"/>
        <v/>
      </c>
      <c r="I372" s="83">
        <f>IF($G372="",0,COUNTIF($G$7:$G372,$H372))</f>
        <v>0</v>
      </c>
      <c r="J372" s="83"/>
      <c r="K372" s="264" t="str">
        <f>Language!$E$85</f>
        <v>double</v>
      </c>
      <c r="L372" s="240" t="str">
        <f>IF(Calc!$F$26=0,"",IF(OR($M372&gt;Calc!$B$24,MOD($M372-1,Calc!$F$26)&gt;0),"",QUOTIENT($M372-1,Calc!$F$26)+1))</f>
        <v/>
      </c>
      <c r="M372" s="102">
        <v>366</v>
      </c>
      <c r="N372" s="302"/>
      <c r="O372" s="108" t="s">
        <v>4</v>
      </c>
      <c r="P372" s="304"/>
      <c r="Q372" s="109" t="str">
        <f t="shared" si="27"/>
        <v/>
      </c>
      <c r="R372" s="110" t="s">
        <v>4</v>
      </c>
      <c r="S372" s="111" t="str">
        <f t="shared" si="28"/>
        <v/>
      </c>
      <c r="T372" s="211"/>
      <c r="U372" s="212"/>
    </row>
    <row r="373" spans="6:21" ht="17.25" x14ac:dyDescent="0.2">
      <c r="F373" s="83">
        <f t="shared" si="29"/>
        <v>0</v>
      </c>
      <c r="G373" s="83" t="str">
        <f t="shared" si="30"/>
        <v/>
      </c>
      <c r="H373" s="83" t="str">
        <f t="shared" si="31"/>
        <v/>
      </c>
      <c r="I373" s="83">
        <f>IF($G373="",0,COUNTIF($G$7:$G373,$H373))</f>
        <v>0</v>
      </c>
      <c r="J373" s="83"/>
      <c r="K373" s="264" t="str">
        <f>Language!$E$85</f>
        <v>double</v>
      </c>
      <c r="L373" s="240" t="str">
        <f>IF(Calc!$F$26=0,"",IF(OR($M373&gt;Calc!$B$24,MOD($M373-1,Calc!$F$26)&gt;0),"",QUOTIENT($M373-1,Calc!$F$26)+1))</f>
        <v/>
      </c>
      <c r="M373" s="102">
        <v>367</v>
      </c>
      <c r="N373" s="302"/>
      <c r="O373" s="108" t="s">
        <v>4</v>
      </c>
      <c r="P373" s="304"/>
      <c r="Q373" s="109" t="str">
        <f t="shared" si="27"/>
        <v/>
      </c>
      <c r="R373" s="110" t="s">
        <v>4</v>
      </c>
      <c r="S373" s="111" t="str">
        <f t="shared" si="28"/>
        <v/>
      </c>
      <c r="T373" s="211"/>
      <c r="U373" s="212"/>
    </row>
    <row r="374" spans="6:21" ht="17.25" x14ac:dyDescent="0.2">
      <c r="F374" s="83">
        <f t="shared" si="29"/>
        <v>0</v>
      </c>
      <c r="G374" s="83" t="str">
        <f t="shared" si="30"/>
        <v/>
      </c>
      <c r="H374" s="83" t="str">
        <f t="shared" si="31"/>
        <v/>
      </c>
      <c r="I374" s="83">
        <f>IF($G374="",0,COUNTIF($G$7:$G374,$H374))</f>
        <v>0</v>
      </c>
      <c r="J374" s="83"/>
      <c r="K374" s="264" t="str">
        <f>Language!$E$85</f>
        <v>double</v>
      </c>
      <c r="L374" s="240" t="str">
        <f>IF(Calc!$F$26=0,"",IF(OR($M374&gt;Calc!$B$24,MOD($M374-1,Calc!$F$26)&gt;0),"",QUOTIENT($M374-1,Calc!$F$26)+1))</f>
        <v/>
      </c>
      <c r="M374" s="102">
        <v>368</v>
      </c>
      <c r="N374" s="302"/>
      <c r="O374" s="108" t="s">
        <v>4</v>
      </c>
      <c r="P374" s="304"/>
      <c r="Q374" s="109" t="str">
        <f t="shared" si="27"/>
        <v/>
      </c>
      <c r="R374" s="110" t="s">
        <v>4</v>
      </c>
      <c r="S374" s="111" t="str">
        <f t="shared" si="28"/>
        <v/>
      </c>
      <c r="T374" s="211"/>
      <c r="U374" s="212"/>
    </row>
    <row r="375" spans="6:21" ht="17.25" x14ac:dyDescent="0.2">
      <c r="F375" s="83">
        <f t="shared" si="29"/>
        <v>0</v>
      </c>
      <c r="G375" s="83" t="str">
        <f t="shared" si="30"/>
        <v/>
      </c>
      <c r="H375" s="83" t="str">
        <f t="shared" si="31"/>
        <v/>
      </c>
      <c r="I375" s="83">
        <f>IF($G375="",0,COUNTIF($G$7:$G375,$H375))</f>
        <v>0</v>
      </c>
      <c r="J375" s="83"/>
      <c r="K375" s="264" t="str">
        <f>Language!$E$85</f>
        <v>double</v>
      </c>
      <c r="L375" s="240" t="str">
        <f>IF(Calc!$F$26=0,"",IF(OR($M375&gt;Calc!$B$24,MOD($M375-1,Calc!$F$26)&gt;0),"",QUOTIENT($M375-1,Calc!$F$26)+1))</f>
        <v/>
      </c>
      <c r="M375" s="102">
        <v>369</v>
      </c>
      <c r="N375" s="302"/>
      <c r="O375" s="108" t="s">
        <v>4</v>
      </c>
      <c r="P375" s="304"/>
      <c r="Q375" s="109" t="str">
        <f t="shared" si="27"/>
        <v/>
      </c>
      <c r="R375" s="110" t="s">
        <v>4</v>
      </c>
      <c r="S375" s="111" t="str">
        <f t="shared" si="28"/>
        <v/>
      </c>
      <c r="T375" s="211"/>
      <c r="U375" s="212"/>
    </row>
    <row r="376" spans="6:21" ht="17.25" x14ac:dyDescent="0.2">
      <c r="F376" s="83">
        <f t="shared" si="29"/>
        <v>0</v>
      </c>
      <c r="G376" s="83" t="str">
        <f t="shared" si="30"/>
        <v/>
      </c>
      <c r="H376" s="83" t="str">
        <f t="shared" si="31"/>
        <v/>
      </c>
      <c r="I376" s="83">
        <f>IF($G376="",0,COUNTIF($G$7:$G376,$H376))</f>
        <v>0</v>
      </c>
      <c r="J376" s="83"/>
      <c r="K376" s="264" t="str">
        <f>Language!$E$85</f>
        <v>double</v>
      </c>
      <c r="L376" s="240" t="str">
        <f>IF(Calc!$F$26=0,"",IF(OR($M376&gt;Calc!$B$24,MOD($M376-1,Calc!$F$26)&gt;0),"",QUOTIENT($M376-1,Calc!$F$26)+1))</f>
        <v/>
      </c>
      <c r="M376" s="102">
        <v>370</v>
      </c>
      <c r="N376" s="302"/>
      <c r="O376" s="108" t="s">
        <v>4</v>
      </c>
      <c r="P376" s="304"/>
      <c r="Q376" s="109" t="str">
        <f t="shared" si="27"/>
        <v/>
      </c>
      <c r="R376" s="110" t="s">
        <v>4</v>
      </c>
      <c r="S376" s="111" t="str">
        <f t="shared" si="28"/>
        <v/>
      </c>
      <c r="T376" s="211"/>
      <c r="U376" s="212"/>
    </row>
    <row r="377" spans="6:21" ht="17.25" x14ac:dyDescent="0.2">
      <c r="F377" s="83">
        <f t="shared" si="29"/>
        <v>0</v>
      </c>
      <c r="G377" s="83" t="str">
        <f t="shared" si="30"/>
        <v/>
      </c>
      <c r="H377" s="83" t="str">
        <f t="shared" si="31"/>
        <v/>
      </c>
      <c r="I377" s="83">
        <f>IF($G377="",0,COUNTIF($G$7:$G377,$H377))</f>
        <v>0</v>
      </c>
      <c r="J377" s="83"/>
      <c r="K377" s="264" t="str">
        <f>Language!$E$85</f>
        <v>double</v>
      </c>
      <c r="L377" s="240" t="str">
        <f>IF(Calc!$F$26=0,"",IF(OR($M377&gt;Calc!$B$24,MOD($M377-1,Calc!$F$26)&gt;0),"",QUOTIENT($M377-1,Calc!$F$26)+1))</f>
        <v/>
      </c>
      <c r="M377" s="102">
        <v>371</v>
      </c>
      <c r="N377" s="302"/>
      <c r="O377" s="108" t="s">
        <v>4</v>
      </c>
      <c r="P377" s="304"/>
      <c r="Q377" s="109" t="str">
        <f t="shared" si="27"/>
        <v/>
      </c>
      <c r="R377" s="110" t="s">
        <v>4</v>
      </c>
      <c r="S377" s="111" t="str">
        <f t="shared" si="28"/>
        <v/>
      </c>
      <c r="T377" s="211"/>
      <c r="U377" s="212"/>
    </row>
    <row r="378" spans="6:21" ht="17.25" x14ac:dyDescent="0.2">
      <c r="F378" s="83">
        <f t="shared" si="29"/>
        <v>0</v>
      </c>
      <c r="G378" s="83" t="str">
        <f t="shared" si="30"/>
        <v/>
      </c>
      <c r="H378" s="83" t="str">
        <f t="shared" si="31"/>
        <v/>
      </c>
      <c r="I378" s="83">
        <f>IF($G378="",0,COUNTIF($G$7:$G378,$H378))</f>
        <v>0</v>
      </c>
      <c r="J378" s="83"/>
      <c r="K378" s="264" t="str">
        <f>Language!$E$85</f>
        <v>double</v>
      </c>
      <c r="L378" s="240" t="str">
        <f>IF(Calc!$F$26=0,"",IF(OR($M378&gt;Calc!$B$24,MOD($M378-1,Calc!$F$26)&gt;0),"",QUOTIENT($M378-1,Calc!$F$26)+1))</f>
        <v/>
      </c>
      <c r="M378" s="102">
        <v>372</v>
      </c>
      <c r="N378" s="302"/>
      <c r="O378" s="108" t="s">
        <v>4</v>
      </c>
      <c r="P378" s="304"/>
      <c r="Q378" s="109" t="str">
        <f t="shared" si="27"/>
        <v/>
      </c>
      <c r="R378" s="110" t="s">
        <v>4</v>
      </c>
      <c r="S378" s="111" t="str">
        <f t="shared" si="28"/>
        <v/>
      </c>
      <c r="T378" s="211"/>
      <c r="U378" s="212"/>
    </row>
    <row r="379" spans="6:21" ht="17.25" x14ac:dyDescent="0.2">
      <c r="F379" s="83">
        <f t="shared" si="29"/>
        <v>0</v>
      </c>
      <c r="G379" s="83" t="str">
        <f t="shared" si="30"/>
        <v/>
      </c>
      <c r="H379" s="83" t="str">
        <f t="shared" si="31"/>
        <v/>
      </c>
      <c r="I379" s="83">
        <f>IF($G379="",0,COUNTIF($G$7:$G379,$H379))</f>
        <v>0</v>
      </c>
      <c r="J379" s="83"/>
      <c r="K379" s="264" t="str">
        <f>Language!$E$85</f>
        <v>double</v>
      </c>
      <c r="L379" s="240" t="str">
        <f>IF(Calc!$F$26=0,"",IF(OR($M379&gt;Calc!$B$24,MOD($M379-1,Calc!$F$26)&gt;0),"",QUOTIENT($M379-1,Calc!$F$26)+1))</f>
        <v/>
      </c>
      <c r="M379" s="102">
        <v>373</v>
      </c>
      <c r="N379" s="302"/>
      <c r="O379" s="108" t="s">
        <v>4</v>
      </c>
      <c r="P379" s="304"/>
      <c r="Q379" s="109" t="str">
        <f t="shared" si="27"/>
        <v/>
      </c>
      <c r="R379" s="110" t="s">
        <v>4</v>
      </c>
      <c r="S379" s="111" t="str">
        <f t="shared" si="28"/>
        <v/>
      </c>
      <c r="T379" s="211"/>
      <c r="U379" s="212"/>
    </row>
    <row r="380" spans="6:21" ht="17.25" x14ac:dyDescent="0.2">
      <c r="F380" s="83">
        <f t="shared" si="29"/>
        <v>0</v>
      </c>
      <c r="G380" s="83" t="str">
        <f t="shared" si="30"/>
        <v/>
      </c>
      <c r="H380" s="83" t="str">
        <f t="shared" si="31"/>
        <v/>
      </c>
      <c r="I380" s="83">
        <f>IF($G380="",0,COUNTIF($G$7:$G380,$H380))</f>
        <v>0</v>
      </c>
      <c r="J380" s="83"/>
      <c r="K380" s="264" t="str">
        <f>Language!$E$85</f>
        <v>double</v>
      </c>
      <c r="L380" s="240" t="str">
        <f>IF(Calc!$F$26=0,"",IF(OR($M380&gt;Calc!$B$24,MOD($M380-1,Calc!$F$26)&gt;0),"",QUOTIENT($M380-1,Calc!$F$26)+1))</f>
        <v/>
      </c>
      <c r="M380" s="102">
        <v>374</v>
      </c>
      <c r="N380" s="302"/>
      <c r="O380" s="108" t="s">
        <v>4</v>
      </c>
      <c r="P380" s="304"/>
      <c r="Q380" s="109" t="str">
        <f t="shared" si="27"/>
        <v/>
      </c>
      <c r="R380" s="110" t="s">
        <v>4</v>
      </c>
      <c r="S380" s="111" t="str">
        <f t="shared" si="28"/>
        <v/>
      </c>
      <c r="T380" s="211"/>
      <c r="U380" s="212"/>
    </row>
    <row r="381" spans="6:21" ht="17.25" x14ac:dyDescent="0.2">
      <c r="F381" s="83">
        <f t="shared" si="29"/>
        <v>0</v>
      </c>
      <c r="G381" s="83" t="str">
        <f t="shared" si="30"/>
        <v/>
      </c>
      <c r="H381" s="83" t="str">
        <f t="shared" si="31"/>
        <v/>
      </c>
      <c r="I381" s="83">
        <f>IF($G381="",0,COUNTIF($G$7:$G381,$H381))</f>
        <v>0</v>
      </c>
      <c r="J381" s="83"/>
      <c r="K381" s="264" t="str">
        <f>Language!$E$85</f>
        <v>double</v>
      </c>
      <c r="L381" s="240" t="str">
        <f>IF(Calc!$F$26=0,"",IF(OR($M381&gt;Calc!$B$24,MOD($M381-1,Calc!$F$26)&gt;0),"",QUOTIENT($M381-1,Calc!$F$26)+1))</f>
        <v/>
      </c>
      <c r="M381" s="102">
        <v>375</v>
      </c>
      <c r="N381" s="302"/>
      <c r="O381" s="108" t="s">
        <v>4</v>
      </c>
      <c r="P381" s="304"/>
      <c r="Q381" s="109" t="str">
        <f t="shared" si="27"/>
        <v/>
      </c>
      <c r="R381" s="110" t="s">
        <v>4</v>
      </c>
      <c r="S381" s="111" t="str">
        <f t="shared" si="28"/>
        <v/>
      </c>
      <c r="T381" s="211"/>
      <c r="U381" s="212"/>
    </row>
    <row r="382" spans="6:21" ht="17.25" x14ac:dyDescent="0.2">
      <c r="F382" s="83">
        <f t="shared" si="29"/>
        <v>0</v>
      </c>
      <c r="G382" s="83" t="str">
        <f t="shared" si="30"/>
        <v/>
      </c>
      <c r="H382" s="83" t="str">
        <f t="shared" si="31"/>
        <v/>
      </c>
      <c r="I382" s="83">
        <f>IF($G382="",0,COUNTIF($G$7:$G382,$H382))</f>
        <v>0</v>
      </c>
      <c r="J382" s="83"/>
      <c r="K382" s="264" t="str">
        <f>Language!$E$85</f>
        <v>double</v>
      </c>
      <c r="L382" s="240" t="str">
        <f>IF(Calc!$F$26=0,"",IF(OR($M382&gt;Calc!$B$24,MOD($M382-1,Calc!$F$26)&gt;0),"",QUOTIENT($M382-1,Calc!$F$26)+1))</f>
        <v/>
      </c>
      <c r="M382" s="102">
        <v>376</v>
      </c>
      <c r="N382" s="302"/>
      <c r="O382" s="108" t="s">
        <v>4</v>
      </c>
      <c r="P382" s="304"/>
      <c r="Q382" s="109" t="str">
        <f t="shared" si="27"/>
        <v/>
      </c>
      <c r="R382" s="110" t="s">
        <v>4</v>
      </c>
      <c r="S382" s="111" t="str">
        <f t="shared" si="28"/>
        <v/>
      </c>
      <c r="T382" s="211"/>
      <c r="U382" s="212"/>
    </row>
    <row r="383" spans="6:21" ht="17.25" x14ac:dyDescent="0.2">
      <c r="F383" s="83">
        <f t="shared" si="29"/>
        <v>0</v>
      </c>
      <c r="G383" s="83" t="str">
        <f t="shared" si="30"/>
        <v/>
      </c>
      <c r="H383" s="83" t="str">
        <f t="shared" si="31"/>
        <v/>
      </c>
      <c r="I383" s="83">
        <f>IF($G383="",0,COUNTIF($G$7:$G383,$H383))</f>
        <v>0</v>
      </c>
      <c r="J383" s="83"/>
      <c r="K383" s="264" t="str">
        <f>Language!$E$85</f>
        <v>double</v>
      </c>
      <c r="L383" s="240" t="str">
        <f>IF(Calc!$F$26=0,"",IF(OR($M383&gt;Calc!$B$24,MOD($M383-1,Calc!$F$26)&gt;0),"",QUOTIENT($M383-1,Calc!$F$26)+1))</f>
        <v/>
      </c>
      <c r="M383" s="102">
        <v>377</v>
      </c>
      <c r="N383" s="302"/>
      <c r="O383" s="108" t="s">
        <v>4</v>
      </c>
      <c r="P383" s="304"/>
      <c r="Q383" s="109" t="str">
        <f t="shared" si="27"/>
        <v/>
      </c>
      <c r="R383" s="110" t="s">
        <v>4</v>
      </c>
      <c r="S383" s="111" t="str">
        <f t="shared" si="28"/>
        <v/>
      </c>
      <c r="T383" s="211"/>
      <c r="U383" s="212"/>
    </row>
    <row r="384" spans="6:21" ht="17.25" x14ac:dyDescent="0.2">
      <c r="F384" s="83">
        <f t="shared" si="29"/>
        <v>0</v>
      </c>
      <c r="G384" s="83" t="str">
        <f t="shared" si="30"/>
        <v/>
      </c>
      <c r="H384" s="83" t="str">
        <f t="shared" si="31"/>
        <v/>
      </c>
      <c r="I384" s="83">
        <f>IF($G384="",0,COUNTIF($G$7:$G384,$H384))</f>
        <v>0</v>
      </c>
      <c r="J384" s="83"/>
      <c r="K384" s="264" t="str">
        <f>Language!$E$85</f>
        <v>double</v>
      </c>
      <c r="L384" s="240" t="str">
        <f>IF(Calc!$F$26=0,"",IF(OR($M384&gt;Calc!$B$24,MOD($M384-1,Calc!$F$26)&gt;0),"",QUOTIENT($M384-1,Calc!$F$26)+1))</f>
        <v/>
      </c>
      <c r="M384" s="102">
        <v>378</v>
      </c>
      <c r="N384" s="302"/>
      <c r="O384" s="108" t="s">
        <v>4</v>
      </c>
      <c r="P384" s="304"/>
      <c r="Q384" s="109" t="str">
        <f t="shared" si="27"/>
        <v/>
      </c>
      <c r="R384" s="110" t="s">
        <v>4</v>
      </c>
      <c r="S384" s="111" t="str">
        <f t="shared" si="28"/>
        <v/>
      </c>
      <c r="T384" s="211"/>
      <c r="U384" s="212"/>
    </row>
    <row r="385" spans="6:21" ht="17.25" x14ac:dyDescent="0.2">
      <c r="F385" s="83">
        <f t="shared" si="29"/>
        <v>0</v>
      </c>
      <c r="G385" s="83" t="str">
        <f t="shared" si="30"/>
        <v/>
      </c>
      <c r="H385" s="83" t="str">
        <f t="shared" si="31"/>
        <v/>
      </c>
      <c r="I385" s="83">
        <f>IF($G385="",0,COUNTIF($G$7:$G385,$H385))</f>
        <v>0</v>
      </c>
      <c r="J385" s="83"/>
      <c r="K385" s="264" t="str">
        <f>Language!$E$85</f>
        <v>double</v>
      </c>
      <c r="L385" s="240" t="str">
        <f>IF(Calc!$F$26=0,"",IF(OR($M385&gt;Calc!$B$24,MOD($M385-1,Calc!$F$26)&gt;0),"",QUOTIENT($M385-1,Calc!$F$26)+1))</f>
        <v/>
      </c>
      <c r="M385" s="102">
        <v>379</v>
      </c>
      <c r="N385" s="302"/>
      <c r="O385" s="108" t="s">
        <v>4</v>
      </c>
      <c r="P385" s="304"/>
      <c r="Q385" s="109" t="str">
        <f t="shared" si="27"/>
        <v/>
      </c>
      <c r="R385" s="110" t="s">
        <v>4</v>
      </c>
      <c r="S385" s="111" t="str">
        <f t="shared" si="28"/>
        <v/>
      </c>
      <c r="T385" s="211"/>
      <c r="U385" s="212"/>
    </row>
    <row r="386" spans="6:21" ht="18" thickBot="1" x14ac:dyDescent="0.25">
      <c r="F386" s="83">
        <f t="shared" si="29"/>
        <v>0</v>
      </c>
      <c r="G386" s="83" t="str">
        <f t="shared" si="30"/>
        <v/>
      </c>
      <c r="H386" s="83" t="str">
        <f t="shared" si="31"/>
        <v/>
      </c>
      <c r="I386" s="83">
        <f>IF($G386="",0,COUNTIF($G$7:$G386,$H386))</f>
        <v>0</v>
      </c>
      <c r="J386" s="83"/>
      <c r="K386" s="264" t="str">
        <f>Language!$E$85</f>
        <v>double</v>
      </c>
      <c r="L386" s="241"/>
      <c r="M386" s="103">
        <v>380</v>
      </c>
      <c r="N386" s="303"/>
      <c r="O386" s="223" t="s">
        <v>4</v>
      </c>
      <c r="P386" s="305"/>
      <c r="Q386" s="139" t="str">
        <f t="shared" si="27"/>
        <v/>
      </c>
      <c r="R386" s="140" t="s">
        <v>4</v>
      </c>
      <c r="S386" s="141" t="str">
        <f t="shared" si="28"/>
        <v/>
      </c>
      <c r="T386" s="213"/>
      <c r="U386" s="214"/>
    </row>
    <row r="387" spans="6:21" x14ac:dyDescent="0.25"/>
    <row r="388" spans="6:21" x14ac:dyDescent="0.25"/>
    <row r="389" spans="6:21" x14ac:dyDescent="0.25"/>
    <row r="390" spans="6:21" x14ac:dyDescent="0.25"/>
  </sheetData>
  <sheetProtection sheet="1" selectLockedCells="1"/>
  <mergeCells count="4">
    <mergeCell ref="C5:D5"/>
    <mergeCell ref="N6:P6"/>
    <mergeCell ref="Q6:S6"/>
    <mergeCell ref="Q2:T2"/>
  </mergeCells>
  <phoneticPr fontId="50" type="noConversion"/>
  <conditionalFormatting sqref="Q2 U2:W2">
    <cfRule type="expression" dxfId="55" priority="64">
      <formula>$F$6&gt;2</formula>
    </cfRule>
  </conditionalFormatting>
  <conditionalFormatting sqref="Q4:S4">
    <cfRule type="expression" dxfId="54" priority="63">
      <formula>$F$6=2</formula>
    </cfRule>
  </conditionalFormatting>
  <conditionalFormatting sqref="C5:E5">
    <cfRule type="expression" dxfId="53" priority="31">
      <formula>$B$6&gt;1</formula>
    </cfRule>
  </conditionalFormatting>
  <conditionalFormatting sqref="D7 D26">
    <cfRule type="expression" dxfId="52" priority="30">
      <formula>$B7&gt;1</formula>
    </cfRule>
  </conditionalFormatting>
  <conditionalFormatting sqref="D8 D10 D12 D14 D16 D18 D20 D22 D24">
    <cfRule type="expression" dxfId="51" priority="29">
      <formula>$B8&gt;1</formula>
    </cfRule>
  </conditionalFormatting>
  <conditionalFormatting sqref="D9 D11 D13 D15 D17 D19 D21 D23 D25">
    <cfRule type="expression" dxfId="50" priority="28">
      <formula>$B9&gt;1</formula>
    </cfRule>
  </conditionalFormatting>
  <conditionalFormatting sqref="N7:P386">
    <cfRule type="expression" dxfId="49" priority="11">
      <formula>$F7&gt;=100</formula>
    </cfRule>
  </conditionalFormatting>
  <conditionalFormatting sqref="N8:N158">
    <cfRule type="expression" dxfId="48" priority="8">
      <formula>$F8=100</formula>
    </cfRule>
  </conditionalFormatting>
  <conditionalFormatting sqref="E7 E26">
    <cfRule type="expression" dxfId="47" priority="6">
      <formula>$B7&gt;1</formula>
    </cfRule>
  </conditionalFormatting>
  <conditionalFormatting sqref="E8 E10 E12 E14 E16 E18 E20 E22 E24">
    <cfRule type="expression" dxfId="46" priority="5">
      <formula>$B8&gt;1</formula>
    </cfRule>
  </conditionalFormatting>
  <conditionalFormatting sqref="E9 E11 E13 E15 E17 E19 E21 E23 E25">
    <cfRule type="expression" dxfId="45" priority="4">
      <formula>$B9&gt;1</formula>
    </cfRule>
  </conditionalFormatting>
  <conditionalFormatting sqref="K7:K386">
    <cfRule type="expression" dxfId="44" priority="1">
      <formula>$F7=101</formula>
    </cfRule>
  </conditionalFormatting>
  <dataValidations count="1">
    <dataValidation type="whole" allowBlank="1" showInputMessage="1" showErrorMessage="1" sqref="N7:P386" xr:uid="{152523AC-22D4-44F7-B6F4-056F2CC1194A}">
      <formula1>1</formula1>
      <formula2>20</formula2>
    </dataValidation>
  </dataValidations>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2" id="{BE9EC470-2BC5-4260-9D0B-81220DA61778}">
            <xm:f>$M7=Calc!$B$24/2</xm:f>
            <x14:dxf>
              <border>
                <bottom style="dashDot">
                  <color rgb="FFDA0000"/>
                </bottom>
                <vertical/>
                <horizontal/>
              </border>
            </x14:dxf>
          </x14:cfRule>
          <x14:cfRule type="expression" priority="3" id="{7EA3DAB8-C222-4F9E-BA83-856D448698AD}">
            <xm:f>$M7=Calc!$B$24</xm:f>
            <x14:dxf>
              <border>
                <bottom style="thin">
                  <color rgb="FFDA0000"/>
                </bottom>
                <vertical/>
                <horizontal/>
              </border>
            </x14:dxf>
          </x14:cfRule>
          <x14:cfRule type="expression" priority="7" id="{A6BA3912-6F87-4B3F-B780-0E0B19604F8F}">
            <xm:f>AND($M7&lt;Calc!$B$24,Calc!$F$24&gt;1,MOD($M7,Calc!$F$26)=0,$M7&lt;&gt;Calc!$B$24/2)</xm:f>
            <x14:dxf>
              <border>
                <bottom style="thin">
                  <color theme="4"/>
                </bottom>
                <vertical/>
                <horizontal/>
              </border>
            </x14:dxf>
          </x14:cfRule>
          <xm:sqref>L7:U385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1664-B8BD-4046-90C9-57BD56E2F6FD}">
  <sheetPr codeName="Tabelle5"/>
  <dimension ref="A1:BS392"/>
  <sheetViews>
    <sheetView showGridLines="0" showRowColHeaders="0" tabSelected="1" zoomScaleNormal="100" workbookViewId="0">
      <selection activeCell="Z6" sqref="Z6"/>
    </sheetView>
  </sheetViews>
  <sheetFormatPr baseColWidth="10" defaultColWidth="0" defaultRowHeight="12.75" zeroHeight="1" x14ac:dyDescent="0.2"/>
  <cols>
    <col min="1" max="1" width="3.28515625" style="19" customWidth="1"/>
    <col min="2" max="2" width="7.42578125" style="242" customWidth="1"/>
    <col min="3" max="3" width="6.7109375" style="19" customWidth="1"/>
    <col min="4" max="4" width="11.85546875" style="19" customWidth="1"/>
    <col min="5" max="5" width="6.5703125" style="19" customWidth="1"/>
    <col min="6" max="6" width="26.7109375" style="19" customWidth="1"/>
    <col min="7" max="7" width="3" style="19" customWidth="1"/>
    <col min="8" max="8" width="26.7109375" style="19" customWidth="1"/>
    <col min="9" max="9" width="4.7109375" style="19" customWidth="1"/>
    <col min="10" max="10" width="1.85546875" style="19" customWidth="1"/>
    <col min="11" max="12" width="4.7109375" style="19" customWidth="1"/>
    <col min="13" max="13" width="1.85546875" style="19" customWidth="1"/>
    <col min="14" max="15" width="4.7109375" style="19" customWidth="1"/>
    <col min="16" max="16" width="1.85546875" style="19" customWidth="1"/>
    <col min="17" max="18" width="4.7109375" style="19" customWidth="1"/>
    <col min="19" max="19" width="1.85546875" style="19" customWidth="1"/>
    <col min="20" max="22" width="4.7109375" style="19" customWidth="1"/>
    <col min="23" max="23" width="2.85546875" style="19" customWidth="1"/>
    <col min="24" max="24" width="7.42578125" style="19" customWidth="1"/>
    <col min="25" max="25" width="26.7109375" style="19" customWidth="1"/>
    <col min="26" max="29" width="6.7109375" style="19" customWidth="1"/>
    <col min="30" max="30" width="4.7109375" style="19" customWidth="1"/>
    <col min="31" max="31" width="2.140625" style="19" customWidth="1"/>
    <col min="32" max="32" width="4.7109375" style="19" customWidth="1"/>
    <col min="33" max="34" width="6.7109375" style="19" customWidth="1"/>
    <col min="35" max="35" width="2.140625" style="19" customWidth="1"/>
    <col min="36" max="37" width="6.7109375" style="19" customWidth="1"/>
    <col min="38" max="38" width="8.28515625" style="19" customWidth="1"/>
    <col min="39" max="39" width="7.7109375" style="19" customWidth="1"/>
    <col min="40" max="40" width="8.140625" style="19" hidden="1" customWidth="1"/>
    <col min="41" max="41" width="2" style="19" customWidth="1"/>
    <col min="42" max="42" width="6.85546875" style="19" customWidth="1"/>
    <col min="43" max="43" width="23.7109375" style="19" customWidth="1"/>
    <col min="44" max="64" width="7.85546875" style="19" customWidth="1"/>
    <col min="65" max="65" width="14.28515625" style="19" hidden="1" customWidth="1"/>
    <col min="66" max="71" width="0" style="19" hidden="1" customWidth="1"/>
    <col min="72" max="16384" width="11.42578125" style="19" hidden="1"/>
  </cols>
  <sheetData>
    <row r="1" spans="1:71" x14ac:dyDescent="0.2">
      <c r="C1" s="230"/>
      <c r="AL1" s="468" t="s">
        <v>559</v>
      </c>
      <c r="AM1" s="468"/>
    </row>
    <row r="2" spans="1:71" x14ac:dyDescent="0.2">
      <c r="C2" s="231"/>
      <c r="E2" s="229"/>
      <c r="F2" s="229"/>
      <c r="G2" s="229"/>
      <c r="H2" s="229"/>
      <c r="I2" s="229"/>
      <c r="J2" s="229"/>
      <c r="K2" s="229"/>
      <c r="L2" s="229"/>
      <c r="M2" s="229"/>
      <c r="N2" s="229"/>
      <c r="O2" s="229"/>
      <c r="P2" s="229"/>
      <c r="Q2" s="229"/>
      <c r="R2" s="229"/>
      <c r="S2" s="229"/>
      <c r="T2" s="229"/>
      <c r="U2" s="229"/>
      <c r="V2" s="229"/>
      <c r="X2" s="123"/>
      <c r="Y2" s="123"/>
      <c r="AL2" s="469">
        <v>45899</v>
      </c>
      <c r="AM2" s="469"/>
    </row>
    <row r="3" spans="1:71" ht="36" x14ac:dyDescent="0.2">
      <c r="G3" s="445" t="s">
        <v>644</v>
      </c>
      <c r="H3" s="446"/>
      <c r="I3" s="446"/>
      <c r="J3" s="446"/>
      <c r="K3" s="446"/>
      <c r="L3" s="446"/>
      <c r="M3" s="446"/>
      <c r="N3" s="446"/>
      <c r="O3" s="446"/>
      <c r="P3" s="446"/>
      <c r="Q3" s="446"/>
      <c r="R3" s="446"/>
      <c r="S3" s="446"/>
      <c r="T3" s="446"/>
      <c r="U3" s="446"/>
      <c r="V3" s="446"/>
      <c r="W3" s="446"/>
      <c r="X3" s="446"/>
      <c r="Y3" s="446"/>
      <c r="Z3" s="447"/>
      <c r="AR3" s="24"/>
      <c r="AS3" s="33"/>
      <c r="AT3" s="33"/>
      <c r="AU3" s="33"/>
      <c r="AV3" s="33"/>
      <c r="AW3" s="33"/>
      <c r="AX3" s="33"/>
      <c r="AY3" s="33"/>
      <c r="AZ3" s="33"/>
      <c r="BA3" s="33"/>
      <c r="BB3" s="33"/>
      <c r="BC3" s="33"/>
      <c r="BD3" s="33"/>
      <c r="BE3" s="33"/>
      <c r="BF3" s="33"/>
      <c r="BG3" s="33"/>
      <c r="BH3" s="33"/>
      <c r="BI3" s="33"/>
      <c r="BJ3" s="33"/>
      <c r="BK3" s="33"/>
      <c r="BL3" s="33"/>
    </row>
    <row r="4" spans="1:71" ht="30.75" customHeight="1" x14ac:dyDescent="0.4">
      <c r="G4" s="448" t="s">
        <v>645</v>
      </c>
      <c r="H4" s="449"/>
      <c r="I4" s="449"/>
      <c r="J4" s="449"/>
      <c r="K4" s="449"/>
      <c r="L4" s="449"/>
      <c r="M4" s="449"/>
      <c r="N4" s="449"/>
      <c r="O4" s="449"/>
      <c r="P4" s="449"/>
      <c r="Q4" s="449"/>
      <c r="R4" s="449"/>
      <c r="S4" s="449"/>
      <c r="T4" s="449"/>
      <c r="U4" s="449"/>
      <c r="V4" s="449"/>
      <c r="W4" s="449"/>
      <c r="X4" s="449"/>
      <c r="Y4" s="449"/>
      <c r="Z4" s="450"/>
      <c r="AN4" s="179"/>
      <c r="AO4" s="227"/>
      <c r="AP4" s="178"/>
      <c r="AQ4" s="179"/>
    </row>
    <row r="5" spans="1:71" x14ac:dyDescent="0.2"/>
    <row r="6" spans="1:71" ht="29.25" customHeight="1" thickBot="1" x14ac:dyDescent="0.45">
      <c r="B6" s="228" t="str">
        <f>Language!$E$11</f>
        <v>Results</v>
      </c>
      <c r="D6" s="228"/>
      <c r="E6" s="228"/>
      <c r="F6" s="228"/>
      <c r="G6" s="228"/>
      <c r="I6" s="228"/>
      <c r="J6" s="228"/>
      <c r="K6" s="228"/>
      <c r="L6" s="228"/>
      <c r="M6" s="228"/>
      <c r="N6" s="228"/>
      <c r="O6" s="228"/>
      <c r="P6" s="228"/>
      <c r="Q6" s="228"/>
      <c r="R6" s="228"/>
      <c r="S6" s="228"/>
      <c r="T6" s="228"/>
      <c r="U6" s="228"/>
      <c r="V6" s="228"/>
      <c r="X6" s="444" t="str">
        <f>Language!$E$61</f>
        <v>Matchweek</v>
      </c>
      <c r="Y6" s="444"/>
      <c r="Z6" s="268"/>
      <c r="AA6" s="451" t="str">
        <f>Language!$E$29</f>
        <v>INVALID TABLE</v>
      </c>
      <c r="AB6" s="451"/>
      <c r="AC6" s="451"/>
      <c r="AD6" s="451"/>
      <c r="AE6" s="451"/>
      <c r="AF6" s="451"/>
      <c r="AG6" s="451"/>
      <c r="AH6" s="451"/>
      <c r="AI6" s="451"/>
      <c r="AJ6" s="451"/>
      <c r="AK6" s="451"/>
      <c r="AL6" s="451"/>
      <c r="AM6" s="282"/>
      <c r="AR6" s="443" t="str">
        <f>Language!$E$18</f>
        <v>First legs</v>
      </c>
      <c r="AS6" s="443"/>
      <c r="AT6" s="443"/>
      <c r="AU6" s="443"/>
      <c r="AV6" s="443"/>
      <c r="AW6" s="443"/>
      <c r="AX6" s="443"/>
      <c r="AY6" s="443"/>
      <c r="AZ6" s="443"/>
      <c r="BA6" s="443"/>
      <c r="BB6" s="443"/>
      <c r="BC6" s="443"/>
      <c r="BD6" s="443"/>
      <c r="BE6" s="443"/>
      <c r="BF6" s="443"/>
      <c r="BG6" s="443"/>
      <c r="BH6" s="443"/>
      <c r="BI6" s="443"/>
      <c r="BJ6" s="443"/>
      <c r="BK6" s="443"/>
      <c r="BL6" s="314"/>
      <c r="BM6" s="125"/>
    </row>
    <row r="7" spans="1:71" ht="15.75" customHeight="1" thickBot="1" x14ac:dyDescent="0.3">
      <c r="A7" s="222"/>
      <c r="B7" s="222"/>
      <c r="C7" s="457"/>
      <c r="D7" s="457"/>
      <c r="E7" s="457"/>
      <c r="F7" s="457"/>
      <c r="G7" s="457"/>
      <c r="H7" s="457"/>
      <c r="I7" s="457"/>
      <c r="J7" s="457"/>
      <c r="K7" s="457"/>
      <c r="L7" s="284"/>
      <c r="M7" s="284"/>
      <c r="N7" s="284"/>
      <c r="O7" s="284"/>
      <c r="P7" s="284"/>
      <c r="Q7" s="284"/>
      <c r="R7" s="284"/>
      <c r="S7" s="284"/>
      <c r="T7" s="284"/>
      <c r="U7" s="284"/>
      <c r="V7" s="284"/>
      <c r="X7" s="117"/>
      <c r="Y7" s="117"/>
      <c r="Z7" s="117"/>
      <c r="AA7" s="117"/>
      <c r="AB7" s="117"/>
      <c r="AC7" s="117"/>
      <c r="AD7" s="117"/>
      <c r="AE7" s="117"/>
      <c r="AF7" s="117"/>
      <c r="AG7" s="117"/>
      <c r="AH7" s="117"/>
      <c r="AI7" s="117"/>
      <c r="AJ7" s="117"/>
      <c r="AK7" s="117"/>
      <c r="AL7" s="117"/>
      <c r="AM7" s="117"/>
      <c r="AN7" s="117"/>
      <c r="AO7" s="117"/>
      <c r="AP7" s="117"/>
      <c r="AQ7" s="117"/>
      <c r="AR7" s="184" t="str">
        <f>AN9</f>
        <v>St. Pauli</v>
      </c>
      <c r="AS7" s="185" t="str">
        <f>AN10</f>
        <v>Leipzig</v>
      </c>
      <c r="AT7" s="185" t="str">
        <f>AN11</f>
        <v>HSV</v>
      </c>
      <c r="AU7" s="185" t="str">
        <f>AN12</f>
        <v>Frankfurt</v>
      </c>
      <c r="AV7" s="185" t="str">
        <f>AN13</f>
        <v>Bayern</v>
      </c>
      <c r="AW7" s="185" t="str">
        <f>AN14</f>
        <v>Augsburg</v>
      </c>
      <c r="AX7" s="185" t="str">
        <f>AN15</f>
        <v>Mainz</v>
      </c>
      <c r="AY7" s="185" t="str">
        <f>AN16</f>
        <v>Stuttgart</v>
      </c>
      <c r="AZ7" s="185" t="str">
        <f>AN17</f>
        <v>Leverkuse</v>
      </c>
      <c r="BA7" s="185" t="str">
        <f>AN18</f>
        <v>Heidenhei</v>
      </c>
      <c r="BB7" s="185" t="str">
        <f>AN19</f>
        <v>Union Ber</v>
      </c>
      <c r="BC7" s="185" t="str">
        <f>AN20</f>
        <v>Wolfsburg</v>
      </c>
      <c r="BD7" s="185" t="str">
        <f>AN21</f>
        <v>Köln</v>
      </c>
      <c r="BE7" s="185" t="str">
        <f>AN22</f>
        <v>Dortmund</v>
      </c>
      <c r="BF7" s="185" t="str">
        <f>AN23</f>
        <v>Hoffenhei</v>
      </c>
      <c r="BG7" s="185" t="str">
        <f>AN24</f>
        <v>Bremen</v>
      </c>
      <c r="BH7" s="185" t="str">
        <f>AN25</f>
        <v>Freiburg</v>
      </c>
      <c r="BI7" s="185" t="str">
        <f>AN26</f>
        <v>Gladbach</v>
      </c>
      <c r="BJ7" s="185" t="str">
        <f>AN27</f>
        <v/>
      </c>
      <c r="BK7" s="186" t="str">
        <f>AN28</f>
        <v/>
      </c>
      <c r="BL7" s="352"/>
      <c r="BM7" s="128"/>
    </row>
    <row r="8" spans="1:71" ht="30.75" customHeight="1" thickTop="1" thickBot="1" x14ac:dyDescent="0.3">
      <c r="B8" s="401" t="str">
        <f>Language!$E$17</f>
        <v>Match-week</v>
      </c>
      <c r="C8" s="247" t="str">
        <f>Language!$E$9</f>
        <v>No.</v>
      </c>
      <c r="D8" s="250" t="str">
        <f>Language!$E$45</f>
        <v>Date</v>
      </c>
      <c r="E8" s="250" t="str">
        <f>Language!$E$48</f>
        <v>Time</v>
      </c>
      <c r="F8" s="453" t="str">
        <f>Language!$E$14</f>
        <v>Matchup</v>
      </c>
      <c r="G8" s="454"/>
      <c r="H8" s="455"/>
      <c r="I8" s="456" t="str">
        <f>Language!$E$54</f>
        <v>1st set</v>
      </c>
      <c r="J8" s="456"/>
      <c r="K8" s="456"/>
      <c r="L8" s="456" t="str">
        <f>Language!$E$55</f>
        <v>2nd set</v>
      </c>
      <c r="M8" s="456"/>
      <c r="N8" s="456"/>
      <c r="O8" s="456" t="str">
        <f>Language!$E$56</f>
        <v>3rd set</v>
      </c>
      <c r="P8" s="456"/>
      <c r="Q8" s="456"/>
      <c r="R8" s="465" t="str">
        <f>Language!$E$53</f>
        <v>Sets</v>
      </c>
      <c r="S8" s="454"/>
      <c r="T8" s="466"/>
      <c r="U8" s="463" t="str">
        <f>Language!$E$51</f>
        <v>Penalty points</v>
      </c>
      <c r="V8" s="464"/>
      <c r="W8" s="251"/>
      <c r="X8" s="461"/>
      <c r="Y8" s="462"/>
      <c r="Z8" s="252" t="str">
        <f>Language!$E$21</f>
        <v>Pl</v>
      </c>
      <c r="AA8" s="253" t="str">
        <f>Language!$E$22</f>
        <v>W</v>
      </c>
      <c r="AB8" s="253" t="str">
        <f>Language!$E$23</f>
        <v>D</v>
      </c>
      <c r="AC8" s="254" t="str">
        <f>Language!$E$24</f>
        <v>L</v>
      </c>
      <c r="AD8" s="458" t="str">
        <f>Language!$E$53</f>
        <v>Sets</v>
      </c>
      <c r="AE8" s="459"/>
      <c r="AF8" s="460"/>
      <c r="AG8" s="253" t="str">
        <f>Language!$E$26</f>
        <v>Diff.</v>
      </c>
      <c r="AH8" s="458" t="str">
        <f>Language!$E$57</f>
        <v>balls</v>
      </c>
      <c r="AI8" s="459"/>
      <c r="AJ8" s="460"/>
      <c r="AK8" s="253" t="str">
        <f>IF(Settings!$G$24,Language!$E$26,Language!$E$59)</f>
        <v>Diff.</v>
      </c>
      <c r="AL8" s="255" t="str">
        <f>IF(Settings!$G$9,Language!$E$27,Language!$E$71)</f>
        <v>Setpts.</v>
      </c>
      <c r="AM8" s="287" t="str">
        <f>Language!$E$52</f>
        <v>PenPts</v>
      </c>
      <c r="AN8" s="180"/>
      <c r="AO8" s="129"/>
      <c r="AP8" s="129"/>
      <c r="AQ8" s="180"/>
      <c r="AR8" s="187" t="str">
        <f>Y9</f>
        <v>FC St. Pauli</v>
      </c>
      <c r="AS8" s="188" t="str">
        <f>Y10</f>
        <v>RB Leipzig</v>
      </c>
      <c r="AT8" s="188" t="str">
        <f>Y11</f>
        <v>Hamburger SV</v>
      </c>
      <c r="AU8" s="188" t="str">
        <f>Y12</f>
        <v>Eintracht Frankfurt</v>
      </c>
      <c r="AV8" s="188" t="str">
        <f>Y13</f>
        <v>FC Bayern München</v>
      </c>
      <c r="AW8" s="188" t="str">
        <f>Y14</f>
        <v>FC Augsburg</v>
      </c>
      <c r="AX8" s="188" t="str">
        <f>Y15</f>
        <v>1. FSV Mainz 05</v>
      </c>
      <c r="AY8" s="188" t="str">
        <f>Y16</f>
        <v>VfB Stuttgart</v>
      </c>
      <c r="AZ8" s="188" t="str">
        <f>Y17</f>
        <v>Bayer 04 Leverkusen</v>
      </c>
      <c r="BA8" s="188" t="str">
        <f>Y18</f>
        <v>1. FC Heidenheim 1846</v>
      </c>
      <c r="BB8" s="188" t="str">
        <f>Y19</f>
        <v>1. FC Union Berlin</v>
      </c>
      <c r="BC8" s="188" t="str">
        <f>Y20</f>
        <v>VfL Wolfsburg</v>
      </c>
      <c r="BD8" s="188" t="str">
        <f>Y21</f>
        <v>1. FC Köln</v>
      </c>
      <c r="BE8" s="188" t="str">
        <f>Y22</f>
        <v>Borussia Dortmund</v>
      </c>
      <c r="BF8" s="188" t="str">
        <f>Y23</f>
        <v>TSG Hoffenheim</v>
      </c>
      <c r="BG8" s="188" t="str">
        <f>Y24</f>
        <v>SV Werder Bremen</v>
      </c>
      <c r="BH8" s="188" t="str">
        <f>Y25</f>
        <v>SC Freiburg</v>
      </c>
      <c r="BI8" s="188" t="str">
        <f>Y26</f>
        <v>Borussia Mönchengladbach</v>
      </c>
      <c r="BJ8" s="188" t="str">
        <f>Y27</f>
        <v/>
      </c>
      <c r="BK8" s="189" t="str">
        <f>Y28</f>
        <v/>
      </c>
      <c r="BL8" s="130"/>
      <c r="BM8" s="128"/>
    </row>
    <row r="9" spans="1:71" ht="15.95" customHeight="1" thickTop="1" x14ac:dyDescent="0.2">
      <c r="B9" s="248">
        <f>IF(Calc!$F$26=0,"",IF(OR($C9&gt;Calc!$B$24,MOD($C9-1,Calc!$F$26)&gt;0),"",QUOTIENT($C9-1,Calc!$F$26)+1))</f>
        <v>1</v>
      </c>
      <c r="C9" s="244">
        <v>1</v>
      </c>
      <c r="D9" s="142">
        <f>IF(Planning!$T7="","",Planning!$T7)</f>
        <v>45891</v>
      </c>
      <c r="E9" s="143">
        <f>IF(Planning!$U7="","",Planning!$U7)</f>
        <v>0.64583333333333337</v>
      </c>
      <c r="F9" s="161" t="str">
        <f>Planning!$Q7</f>
        <v>1. FC Heidenheim 1846</v>
      </c>
      <c r="G9" s="162" t="s">
        <v>4</v>
      </c>
      <c r="H9" s="161" t="str">
        <f>Planning!$S7</f>
        <v>VfL Wolfsburg</v>
      </c>
      <c r="I9" s="163">
        <v>25</v>
      </c>
      <c r="J9" s="315" t="str">
        <f>Language!$E$90</f>
        <v xml:space="preserve"> - </v>
      </c>
      <c r="K9" s="318">
        <v>18</v>
      </c>
      <c r="L9" s="163">
        <v>17</v>
      </c>
      <c r="M9" s="360" t="str">
        <f>Language!$E$90</f>
        <v xml:space="preserve"> - </v>
      </c>
      <c r="N9" s="318">
        <v>25</v>
      </c>
      <c r="O9" s="163">
        <v>11</v>
      </c>
      <c r="P9" s="360" t="str">
        <f>Language!$E$90</f>
        <v xml:space="preserve"> - </v>
      </c>
      <c r="Q9" s="318">
        <v>15</v>
      </c>
      <c r="R9" s="354">
        <f>IF(BM9,"",(I9&lt;&gt;"")*(K9&lt;&gt;"")*NOT(BN9)*(I9&gt;K9)+(L9&lt;&gt;"")*(N9&lt;&gt;"")*NOT(BO9)*(L9&gt;N9)+(O9&lt;&gt;"")*(Q9&lt;&gt;"")*NOT(BP9)*(O9&gt;Q9))</f>
        <v>1</v>
      </c>
      <c r="S9" s="357" t="str">
        <f>Language!$E$90</f>
        <v xml:space="preserve"> - </v>
      </c>
      <c r="T9" s="321">
        <f>IF(BM9,"",(I9&lt;&gt;"")*(K9&lt;&gt;"")*NOT(BN9)*(I9&lt;K9)+(L9&lt;&gt;"")*(N9&lt;&gt;"")*NOT(BO9)*(L9&lt;N9)+(O9&lt;&gt;"")*(Q9&lt;&gt;"")*NOT(BP9)*(O9&lt;Q9))</f>
        <v>2</v>
      </c>
      <c r="U9" s="294"/>
      <c r="V9" s="295"/>
      <c r="W9" s="269"/>
      <c r="X9" s="325">
        <f>IF(Calc!$K$24=0,"",1)</f>
        <v>1</v>
      </c>
      <c r="Y9" s="326" t="str">
        <f>IF(Calc!$K$24=0,Calc2!$C4,VLOOKUP(Calc!B4,Calc!$C$4:$N$23,4,0))</f>
        <v>FC St. Pauli</v>
      </c>
      <c r="Z9" s="327">
        <f>IF(Calc!$K$24=0,"",VLOOKUP(Calc!B4,Calc!$C$4:$N$23,9,0))</f>
        <v>5</v>
      </c>
      <c r="AA9" s="328">
        <f>IF(Calc!$K$24=0,"",IF($Z9=0,"",VLOOKUP(Calc!B4,Calc!$C$4:$N$23,10,0)))</f>
        <v>4</v>
      </c>
      <c r="AB9" s="328">
        <f>IF(Calc!$K$24=0,"",IF($Z9=0,"",VLOOKUP(Calc!B4,Calc!$C$4:$N$23,11,0)))</f>
        <v>0</v>
      </c>
      <c r="AC9" s="329">
        <f>IF(Calc!$K$24=0,"",IF($Z9=0,"",VLOOKUP(Calc!B4,Calc!$C$4:$N$23,12,0)))</f>
        <v>1</v>
      </c>
      <c r="AD9" s="330">
        <f>IF(Calc!$K$24=0,"",IF($Z9=0,"",VLOOKUP(Calc!B4,Calc!$C$4:$Y$23,20,0)))</f>
        <v>8</v>
      </c>
      <c r="AE9" s="394" t="str">
        <f>Language!$E$90</f>
        <v xml:space="preserve"> - </v>
      </c>
      <c r="AF9" s="420">
        <f>IF(Calc!$K$24=0,"",IF($Z9=0,"",VLOOKUP(Calc!B4,Calc!$C$4:$Y$23,21,0)))</f>
        <v>3</v>
      </c>
      <c r="AG9" s="329" t="str">
        <f>IF(Calc!$K$24=0,"",IF($Z9=0,"",IF(AD9-AF9&gt;0,"+"&amp;AD9-AF9,AD9-AF9)))</f>
        <v>+5</v>
      </c>
      <c r="AH9" s="330">
        <f>IF(Calc!$K$24=0,"",IF($Z9=0,"",VLOOKUP(Calc!B4,Calc!$C$4:$N$23,5,0)))</f>
        <v>248</v>
      </c>
      <c r="AI9" s="390" t="str">
        <f>Language!$E$90</f>
        <v xml:space="preserve"> - </v>
      </c>
      <c r="AJ9" s="331">
        <f>IF(Calc!$K$24=0,"",IF($Z9=0,"",VLOOKUP(Calc!B4,Calc!$C$4:$N$23,6,0)))</f>
        <v>212</v>
      </c>
      <c r="AK9" s="428" t="str">
        <f>IF(Calc!$K$24=0,"",IF($Z9=0,"",VLOOKUP(Calc!B4,Calc!$C$4:$Y$23,23,0)))</f>
        <v>+36</v>
      </c>
      <c r="AL9" s="332">
        <f>IF(Calc!$K$24=0,"",IF($Z9=0,"",VLOOKUP(Calc!B4,Calc!$C$4:$Y$23,19,0)))</f>
        <v>8</v>
      </c>
      <c r="AM9" s="298" t="str">
        <f>IF(VLOOKUP(Calc!B4,Calc!$C$4:$O$23,13,0)=0,"",VLOOKUP(Calc!B4,Calc!$C$4:$O$23,13,0))</f>
        <v/>
      </c>
      <c r="AN9" s="286" t="str">
        <f>IF(IFERROR(VLOOKUP($Y9,Planning!$D$7:$E$26,2,0),0)=0,IF(LEN(Y9)&gt;Settings!$C$33,LEFT(Y9,Settings!$C$33)&amp;".",Y9),VLOOKUP($Y9,Planning!$D$7:$E$26,2,0))</f>
        <v>St. Pauli</v>
      </c>
      <c r="AO9" s="233"/>
      <c r="AP9" s="195">
        <f>X9</f>
        <v>1</v>
      </c>
      <c r="AQ9" s="196" t="str">
        <f>Y9</f>
        <v>FC St. Pauli</v>
      </c>
      <c r="AR9" s="181"/>
      <c r="AS9" s="182" t="str">
        <f>IFERROR(VLOOKUP($Y9&amp;AS$8,Calc2!$N$4:$S$763,Settings!$G$29,0),"")</f>
        <v/>
      </c>
      <c r="AT9" s="182" t="str">
        <f>IFERROR(VLOOKUP($Y9&amp;AT$8,Calc2!$N$4:$S$763,Settings!$G$29,0),"")</f>
        <v/>
      </c>
      <c r="AU9" s="182" t="str">
        <f>IFERROR(VLOOKUP($Y9&amp;AU$8,Calc2!$N$4:$S$763,Settings!$G$29,0),"")</f>
        <v>59 - 53</v>
      </c>
      <c r="AV9" s="182" t="str">
        <f>IFERROR(VLOOKUP($Y9&amp;AV$8,Calc2!$N$4:$S$763,Settings!$G$29,0),"")</f>
        <v/>
      </c>
      <c r="AW9" s="182" t="str">
        <f>IFERROR(VLOOKUP($Y9&amp;AW$8,Calc2!$N$4:$S$763,Settings!$G$29,0),"")</f>
        <v/>
      </c>
      <c r="AX9" s="182" t="str">
        <f>IFERROR(VLOOKUP($Y9&amp;AX$8,Calc2!$N$4:$S$763,Settings!$G$29,0),"")</f>
        <v>50 - 39</v>
      </c>
      <c r="AY9" s="182" t="str">
        <f>IFERROR(VLOOKUP($Y9&amp;AY$8,Calc2!$N$4:$S$763,Settings!$G$29,0),"")</f>
        <v>39 - 50</v>
      </c>
      <c r="AZ9" s="182" t="str">
        <f>IFERROR(VLOOKUP($Y9&amp;AZ$8,Calc2!$N$4:$S$763,Settings!$G$29,0),"")</f>
        <v/>
      </c>
      <c r="BA9" s="182" t="str">
        <f>IFERROR(VLOOKUP($Y9&amp;BA$8,Calc2!$N$4:$S$763,Settings!$G$29,0),"")</f>
        <v/>
      </c>
      <c r="BB9" s="182" t="str">
        <f>IFERROR(VLOOKUP($Y9&amp;BB$8,Calc2!$N$4:$S$763,Settings!$G$29,0),"")</f>
        <v/>
      </c>
      <c r="BC9" s="182" t="str">
        <f>IFERROR(VLOOKUP($Y9&amp;BC$8,Calc2!$N$4:$S$763,Settings!$G$29,0),"")</f>
        <v/>
      </c>
      <c r="BD9" s="182" t="str">
        <f>IFERROR(VLOOKUP($Y9&amp;BD$8,Calc2!$N$4:$S$763,Settings!$G$29,0),"")</f>
        <v>50 - 29</v>
      </c>
      <c r="BE9" s="182" t="str">
        <f>IFERROR(VLOOKUP($Y9&amp;BE$8,Calc2!$N$4:$S$763,Settings!$G$29,0),"")</f>
        <v>50 - 41</v>
      </c>
      <c r="BF9" s="182" t="str">
        <f>IFERROR(VLOOKUP($Y9&amp;BF$8,Calc2!$N$4:$S$763,Settings!$G$29,0),"")</f>
        <v/>
      </c>
      <c r="BG9" s="182" t="str">
        <f>IFERROR(VLOOKUP($Y9&amp;BG$8,Calc2!$N$4:$S$763,Settings!$G$29,0),"")</f>
        <v/>
      </c>
      <c r="BH9" s="182" t="str">
        <f>IFERROR(VLOOKUP($Y9&amp;BH$8,Calc2!$N$4:$S$763,Settings!$G$29,0),"")</f>
        <v/>
      </c>
      <c r="BI9" s="182" t="str">
        <f>IFERROR(VLOOKUP($Y9&amp;BI$8,Calc2!$N$4:$S$763,Settings!$G$29,0),"")</f>
        <v/>
      </c>
      <c r="BJ9" s="182" t="str">
        <f>IFERROR(VLOOKUP($Y9&amp;BJ$8,Calc2!$N$4:$S$763,Settings!$G$29,0),"")</f>
        <v/>
      </c>
      <c r="BK9" s="183" t="str">
        <f>IFERROR(VLOOKUP($Y9&amp;BK$8,Calc2!$N$4:$S$763,Settings!$G$29,0),"")</f>
        <v/>
      </c>
      <c r="BL9" s="180"/>
      <c r="BM9" s="193" t="b">
        <f t="shared" ref="BM9" si="0">OR(F9="",H9="",AND(OR(I9="",K9="",BN9),OR(L9="",N9="",BO9),OR(O9="",Q9="",BP9)))</f>
        <v>0</v>
      </c>
      <c r="BN9" s="19" t="b">
        <f t="shared" ref="BN9" si="1">ABS(I9-K9)&lt;2</f>
        <v>0</v>
      </c>
      <c r="BO9" s="19" t="b">
        <f t="shared" ref="BO9" si="2">ABS(L9-N9)&lt;2</f>
        <v>0</v>
      </c>
      <c r="BP9" s="19" t="b">
        <f t="shared" ref="BP9" si="3">ABS(O9-Q9)&lt;2</f>
        <v>0</v>
      </c>
      <c r="BQ9" s="19" t="b">
        <f t="shared" ref="BQ9" si="4">AND(BN9,I9&lt;&gt;"",K9&lt;&gt;"")</f>
        <v>0</v>
      </c>
      <c r="BR9" s="19" t="b">
        <f t="shared" ref="BR9" si="5">AND(BO9,L9&lt;&gt;"",N9&lt;&gt;"")</f>
        <v>0</v>
      </c>
      <c r="BS9" s="19" t="b">
        <f t="shared" ref="BS9" si="6">AND(BP9,O9&lt;&gt;"",Q9&lt;&gt;"")</f>
        <v>0</v>
      </c>
    </row>
    <row r="10" spans="1:71" ht="15.95" customHeight="1" x14ac:dyDescent="0.2">
      <c r="B10" s="248" t="str">
        <f>IF(Calc!$F$26=0,"",IF(OR($C10&gt;Calc!$B$24,MOD($C10-1,Calc!$F$26)&gt;0),"",QUOTIENT($C10-1,Calc!$F$26)+1))</f>
        <v/>
      </c>
      <c r="C10" s="244">
        <v>2</v>
      </c>
      <c r="D10" s="142">
        <f>IF(Planning!$T8="","",Planning!$T8)</f>
        <v>45892</v>
      </c>
      <c r="E10" s="143">
        <f>IF(Planning!$U8="","",Planning!$U8)</f>
        <v>0.64583333333333337</v>
      </c>
      <c r="F10" s="161" t="str">
        <f>Planning!$Q8</f>
        <v>VfB Stuttgart</v>
      </c>
      <c r="G10" s="162" t="s">
        <v>4</v>
      </c>
      <c r="H10" s="161" t="str">
        <f>Planning!$S8</f>
        <v>1. FC Köln</v>
      </c>
      <c r="I10" s="163">
        <v>25</v>
      </c>
      <c r="J10" s="315" t="str">
        <f>Language!$E$90</f>
        <v xml:space="preserve"> - </v>
      </c>
      <c r="K10" s="318">
        <v>20</v>
      </c>
      <c r="L10" s="163">
        <v>25</v>
      </c>
      <c r="M10" s="360" t="str">
        <f>Language!$E$90</f>
        <v xml:space="preserve"> - </v>
      </c>
      <c r="N10" s="318">
        <v>22</v>
      </c>
      <c r="O10" s="163"/>
      <c r="P10" s="360" t="str">
        <f>Language!$E$90</f>
        <v xml:space="preserve"> - </v>
      </c>
      <c r="Q10" s="318"/>
      <c r="R10" s="354">
        <f>IF(BM10,"",(I10&lt;&gt;"")*(K10&lt;&gt;"")*NOT(BN10)*(I10&gt;K10)+(L10&lt;&gt;"")*(N10&lt;&gt;"")*NOT(BO10)*(L10&gt;N10)+(O10&lt;&gt;"")*(Q10&lt;&gt;"")*NOT(BP10)*(O10&gt;Q10))</f>
        <v>2</v>
      </c>
      <c r="S10" s="357" t="str">
        <f>Language!$E$90</f>
        <v xml:space="preserve"> - </v>
      </c>
      <c r="T10" s="321">
        <f>IF(BM10,"",(I10&lt;&gt;"")*(K10&lt;&gt;"")*NOT(BN10)*(I10&lt;K10)+(L10&lt;&gt;"")*(N10&lt;&gt;"")*NOT(BO10)*(L10&lt;N10)+(O10&lt;&gt;"")*(Q10&lt;&gt;"")*NOT(BP10)*(O10&lt;Q10))</f>
        <v>0</v>
      </c>
      <c r="U10" s="294"/>
      <c r="V10" s="295"/>
      <c r="W10" s="269"/>
      <c r="X10" s="333">
        <f>IF(Calc!$K$24=0,"",IF(VLOOKUP(Calc!B5,Calc!$C$4:$E$23,3,0)=MAX(X$9:X9),VLOOKUP(Calc!B5,Calc!$C$4:$E$23,3,0),Calc!B5))</f>
        <v>2</v>
      </c>
      <c r="Y10" s="334" t="str">
        <f>IF(Calc!$K$24=0,Calc2!$C5,VLOOKUP(Calc!B5,Calc!$C$4:$N$23,4,0))</f>
        <v>RB Leipzig</v>
      </c>
      <c r="Z10" s="335">
        <f>IF(Calc!$K$24=0,"",VLOOKUP(Calc!B5,Calc!$C$4:$N$23,9,0))</f>
        <v>5</v>
      </c>
      <c r="AA10" s="336">
        <f>IF(Calc!$K$24=0,"",IF($Z10=0,"",VLOOKUP(Calc!B5,Calc!$C$4:$N$23,10,0)))</f>
        <v>4</v>
      </c>
      <c r="AB10" s="336">
        <f>IF(Calc!$K$24=0,"",IF($Z10=0,"",VLOOKUP(Calc!B5,Calc!$C$4:$N$23,11,0)))</f>
        <v>0</v>
      </c>
      <c r="AC10" s="337">
        <f>IF(Calc!$K$24=0,"",IF($Z10=0,"",VLOOKUP(Calc!B5,Calc!$C$4:$N$23,12,0)))</f>
        <v>1</v>
      </c>
      <c r="AD10" s="338">
        <f>IF(Calc!$K$24=0,"",IF($Z10=0,"",VLOOKUP(Calc!B5,Calc!$C$4:$Y$23,20,0)))</f>
        <v>8</v>
      </c>
      <c r="AE10" s="391" t="str">
        <f>Language!$E$90</f>
        <v xml:space="preserve"> - </v>
      </c>
      <c r="AF10" s="421">
        <f>IF(Calc!$K$24=0,"",IF($Z10=0,"",VLOOKUP(Calc!B5,Calc!$C$4:$Y$23,21,0)))</f>
        <v>3</v>
      </c>
      <c r="AG10" s="337" t="str">
        <f>IF(Calc!$K$24=0,"",IF($Z10=0,"",IF(AD10-AF10&gt;0,"+"&amp;AD10-AF10,AD10-AF10)))</f>
        <v>+5</v>
      </c>
      <c r="AH10" s="338">
        <f>IF(Calc!$K$24=0,"",IF($Z10=0,"",VLOOKUP(Calc!B5,Calc!$C$4:$N$23,5,0)))</f>
        <v>252</v>
      </c>
      <c r="AI10" s="391" t="str">
        <f>Language!$E$90</f>
        <v xml:space="preserve"> - </v>
      </c>
      <c r="AJ10" s="339">
        <f>IF(Calc!$K$24=0,"",IF($Z10=0,"",VLOOKUP(Calc!B5,Calc!$C$4:$N$23,6,0)))</f>
        <v>220</v>
      </c>
      <c r="AK10" s="429" t="str">
        <f>IF(Calc!$K$24=0,"",IF($Z10=0,"",VLOOKUP(Calc!B5,Calc!$C$4:$Y$23,23,0)))</f>
        <v>+32</v>
      </c>
      <c r="AL10" s="340">
        <f>IF(Calc!$K$24=0,"",IF($Z10=0,"",VLOOKUP(Calc!B5,Calc!$C$4:$Y$23,19,0)))</f>
        <v>8</v>
      </c>
      <c r="AM10" s="299" t="str">
        <f>IF(VLOOKUP(Calc!B5,Calc!$C$4:$O$23,13,0)=0,"",VLOOKUP(Calc!B5,Calc!$C$4:$O$23,13,0))</f>
        <v/>
      </c>
      <c r="AN10" s="286" t="str">
        <f>IF(IFERROR(VLOOKUP($Y10,Planning!$D$7:$E$26,2,0),0)=0,IF(LEN(Y10)&gt;Settings!$C$33,LEFT(Y10,Settings!$C$33)&amp;".",Y10),VLOOKUP($Y10,Planning!$D$7:$E$26,2,0))</f>
        <v>Leipzig</v>
      </c>
      <c r="AO10" s="233"/>
      <c r="AP10" s="197">
        <f t="shared" ref="AP10:AP28" si="7">X10</f>
        <v>2</v>
      </c>
      <c r="AQ10" s="198" t="str">
        <f t="shared" ref="AQ10:AQ28" si="8">Y10</f>
        <v>RB Leipzig</v>
      </c>
      <c r="AR10" s="151" t="str">
        <f>IFERROR(VLOOKUP($Y10&amp;AR$8,Calc2!$N$4:$S$763,Settings!$G$29,0),"")</f>
        <v/>
      </c>
      <c r="AS10" s="152"/>
      <c r="AT10" s="146" t="str">
        <f>IFERROR(VLOOKUP($Y10&amp;AT$8,Calc2!$N$4:$S$763,Settings!$G$29,0),"")</f>
        <v/>
      </c>
      <c r="AU10" s="146" t="str">
        <f>IFERROR(VLOOKUP($Y10&amp;AU$8,Calc2!$N$4:$S$763,Settings!$G$29,0),"")</f>
        <v/>
      </c>
      <c r="AV10" s="146" t="str">
        <f>IFERROR(VLOOKUP($Y10&amp;AV$8,Calc2!$N$4:$S$763,Settings!$G$29,0),"")</f>
        <v/>
      </c>
      <c r="AW10" s="146" t="str">
        <f>IFERROR(VLOOKUP($Y10&amp;AW$8,Calc2!$N$4:$S$763,Settings!$G$29,0),"")</f>
        <v/>
      </c>
      <c r="AX10" s="146" t="str">
        <f>IFERROR(VLOOKUP($Y10&amp;AX$8,Calc2!$N$4:$S$763,Settings!$G$29,0),"")</f>
        <v>42 - 50</v>
      </c>
      <c r="AY10" s="146" t="str">
        <f>IFERROR(VLOOKUP($Y10&amp;AY$8,Calc2!$N$4:$S$763,Settings!$G$29,0),"")</f>
        <v>50 - 36</v>
      </c>
      <c r="AZ10" s="146" t="str">
        <f>IFERROR(VLOOKUP($Y10&amp;AZ$8,Calc2!$N$4:$S$763,Settings!$G$29,0),"")</f>
        <v/>
      </c>
      <c r="BA10" s="146" t="str">
        <f>IFERROR(VLOOKUP($Y10&amp;BA$8,Calc2!$N$4:$S$763,Settings!$G$29,0),"")</f>
        <v/>
      </c>
      <c r="BB10" s="146" t="str">
        <f>IFERROR(VLOOKUP($Y10&amp;BB$8,Calc2!$N$4:$S$763,Settings!$G$29,0),"")</f>
        <v/>
      </c>
      <c r="BC10" s="146" t="str">
        <f>IFERROR(VLOOKUP($Y10&amp;BC$8,Calc2!$N$4:$S$763,Settings!$G$29,0),"")</f>
        <v/>
      </c>
      <c r="BD10" s="146" t="str">
        <f>IFERROR(VLOOKUP($Y10&amp;BD$8,Calc2!$N$4:$S$763,Settings!$G$29,0),"")</f>
        <v>60 - 58</v>
      </c>
      <c r="BE10" s="146" t="str">
        <f>IFERROR(VLOOKUP($Y10&amp;BE$8,Calc2!$N$4:$S$763,Settings!$G$29,0),"")</f>
        <v>50 - 39</v>
      </c>
      <c r="BF10" s="146" t="str">
        <f>IFERROR(VLOOKUP($Y10&amp;BF$8,Calc2!$N$4:$S$763,Settings!$G$29,0),"")</f>
        <v/>
      </c>
      <c r="BG10" s="146" t="str">
        <f>IFERROR(VLOOKUP($Y10&amp;BG$8,Calc2!$N$4:$S$763,Settings!$G$29,0),"")</f>
        <v>50 - 37</v>
      </c>
      <c r="BH10" s="146" t="str">
        <f>IFERROR(VLOOKUP($Y10&amp;BH$8,Calc2!$N$4:$S$763,Settings!$G$29,0),"")</f>
        <v/>
      </c>
      <c r="BI10" s="146" t="str">
        <f>IFERROR(VLOOKUP($Y10&amp;BI$8,Calc2!$N$4:$S$763,Settings!$G$29,0),"")</f>
        <v/>
      </c>
      <c r="BJ10" s="146" t="str">
        <f>IFERROR(VLOOKUP($Y10&amp;BJ$8,Calc2!$N$4:$S$763,Settings!$G$29,0),"")</f>
        <v/>
      </c>
      <c r="BK10" s="153" t="str">
        <f>IFERROR(VLOOKUP($Y10&amp;BK$8,Calc2!$N$4:$S$763,Settings!$G$29,0),"")</f>
        <v/>
      </c>
      <c r="BL10" s="180"/>
      <c r="BM10" s="193" t="b">
        <f t="shared" ref="BM10" si="9">OR(F10="",H10="",AND(OR(I10="",K10="",BN10),OR(L10="",N10="",BO10),OR(O10="",Q10="",BP10)))</f>
        <v>0</v>
      </c>
      <c r="BN10" s="19" t="b">
        <f t="shared" ref="BN10" si="10">ABS(I10-K10)&lt;2</f>
        <v>0</v>
      </c>
      <c r="BO10" s="19" t="b">
        <f t="shared" ref="BO10" si="11">ABS(L10-N10)&lt;2</f>
        <v>0</v>
      </c>
      <c r="BP10" s="19" t="b">
        <f t="shared" ref="BP10" si="12">ABS(O10-Q10)&lt;2</f>
        <v>1</v>
      </c>
      <c r="BQ10" s="19" t="b">
        <f t="shared" ref="BQ10" si="13">AND(BN10,I10&lt;&gt;"",K10&lt;&gt;"")</f>
        <v>0</v>
      </c>
      <c r="BR10" s="19" t="b">
        <f t="shared" ref="BR10" si="14">AND(BO10,L10&lt;&gt;"",N10&lt;&gt;"")</f>
        <v>0</v>
      </c>
      <c r="BS10" s="19" t="b">
        <f t="shared" ref="BS10" si="15">AND(BP10,O10&lt;&gt;"",Q10&lt;&gt;"")</f>
        <v>0</v>
      </c>
    </row>
    <row r="11" spans="1:71" ht="15.95" customHeight="1" x14ac:dyDescent="0.2">
      <c r="B11" s="248" t="str">
        <f>IF(Calc!$F$26=0,"",IF(OR($C11&gt;Calc!$B$24,MOD($C11-1,Calc!$F$26)&gt;0),"",QUOTIENT($C11-1,Calc!$F$26)+1))</f>
        <v/>
      </c>
      <c r="C11" s="244">
        <v>3</v>
      </c>
      <c r="D11" s="142">
        <f>IF(Planning!$T9="","",Planning!$T9)</f>
        <v>45892</v>
      </c>
      <c r="E11" s="143">
        <f>IF(Planning!$U9="","",Planning!$U9)</f>
        <v>0.64583333333333337</v>
      </c>
      <c r="F11" s="161" t="str">
        <f>Planning!$Q9</f>
        <v>1. FC Union Berlin</v>
      </c>
      <c r="G11" s="162" t="s">
        <v>4</v>
      </c>
      <c r="H11" s="161" t="str">
        <f>Planning!$S9</f>
        <v>TSG Hoffenheim</v>
      </c>
      <c r="I11" s="163">
        <v>25</v>
      </c>
      <c r="J11" s="315" t="str">
        <f>Language!$E$90</f>
        <v xml:space="preserve"> - </v>
      </c>
      <c r="K11" s="318">
        <v>19</v>
      </c>
      <c r="L11" s="163">
        <v>25</v>
      </c>
      <c r="M11" s="360" t="str">
        <f>Language!$E$90</f>
        <v xml:space="preserve"> - </v>
      </c>
      <c r="N11" s="318">
        <v>21</v>
      </c>
      <c r="O11" s="163"/>
      <c r="P11" s="360" t="str">
        <f>Language!$E$90</f>
        <v xml:space="preserve"> - </v>
      </c>
      <c r="Q11" s="318"/>
      <c r="R11" s="354">
        <f t="shared" ref="R11:R74" si="16">IF(BM11,"",(I11&lt;&gt;"")*(K11&lt;&gt;"")*NOT(BN11)*(I11&gt;K11)+(L11&lt;&gt;"")*(N11&lt;&gt;"")*NOT(BO11)*(L11&gt;N11)+(O11&lt;&gt;"")*(Q11&lt;&gt;"")*NOT(BP11)*(O11&gt;Q11))</f>
        <v>2</v>
      </c>
      <c r="S11" s="357" t="str">
        <f>Language!$E$90</f>
        <v xml:space="preserve"> - </v>
      </c>
      <c r="T11" s="321">
        <f t="shared" ref="T11:T74" si="17">IF(BM11,"",(I11&lt;&gt;"")*(K11&lt;&gt;"")*NOT(BN11)*(I11&lt;K11)+(L11&lt;&gt;"")*(N11&lt;&gt;"")*NOT(BO11)*(L11&lt;N11)+(O11&lt;&gt;"")*(Q11&lt;&gt;"")*NOT(BP11)*(O11&lt;Q11))</f>
        <v>0</v>
      </c>
      <c r="U11" s="294"/>
      <c r="V11" s="295"/>
      <c r="W11" s="269"/>
      <c r="X11" s="333">
        <f>IF(Calc!$K$24=0,"",IF(VLOOKUP(Calc!B6,Calc!$C$4:$E$23,3,0)=MAX(X$9:X10),VLOOKUP(Calc!B6,Calc!$C$4:$E$23,3,0),Calc!B6))</f>
        <v>3</v>
      </c>
      <c r="Y11" s="334" t="str">
        <f>IF(Calc!$K$24=0,Calc2!$C6,VLOOKUP(Calc!B6,Calc!$C$4:$N$23,4,0))</f>
        <v>Hamburger SV</v>
      </c>
      <c r="Z11" s="335">
        <f>IF(Calc!$K$24=0,"",VLOOKUP(Calc!B6,Calc!$C$4:$N$23,9,0))</f>
        <v>5</v>
      </c>
      <c r="AA11" s="336">
        <f>IF(Calc!$K$24=0,"",IF($Z11=0,"",VLOOKUP(Calc!B6,Calc!$C$4:$N$23,10,0)))</f>
        <v>4</v>
      </c>
      <c r="AB11" s="336">
        <f>IF(Calc!$K$24=0,"",IF($Z11=0,"",VLOOKUP(Calc!B6,Calc!$C$4:$N$23,11,0)))</f>
        <v>0</v>
      </c>
      <c r="AC11" s="337">
        <f>IF(Calc!$K$24=0,"",IF($Z11=0,"",VLOOKUP(Calc!B6,Calc!$C$4:$N$23,12,0)))</f>
        <v>1</v>
      </c>
      <c r="AD11" s="338">
        <f>IF(Calc!$K$24=0,"",IF($Z11=0,"",VLOOKUP(Calc!B6,Calc!$C$4:$Y$23,20,0)))</f>
        <v>8</v>
      </c>
      <c r="AE11" s="391" t="str">
        <f>Language!$E$90</f>
        <v xml:space="preserve"> - </v>
      </c>
      <c r="AF11" s="421">
        <f>IF(Calc!$K$24=0,"",IF($Z11=0,"",VLOOKUP(Calc!B6,Calc!$C$4:$Y$23,21,0)))</f>
        <v>3</v>
      </c>
      <c r="AG11" s="337" t="str">
        <f>IF(Calc!$K$24=0,"",IF($Z11=0,"",IF(AD11-AF11&gt;0,"+"&amp;AD11-AF11,AD11-AF11)))</f>
        <v>+5</v>
      </c>
      <c r="AH11" s="338">
        <f>IF(Calc!$K$24=0,"",IF($Z11=0,"",VLOOKUP(Calc!B6,Calc!$C$4:$N$23,5,0)))</f>
        <v>257</v>
      </c>
      <c r="AI11" s="391" t="str">
        <f>Language!$E$90</f>
        <v xml:space="preserve"> - </v>
      </c>
      <c r="AJ11" s="339">
        <f>IF(Calc!$K$24=0,"",IF($Z11=0,"",VLOOKUP(Calc!B6,Calc!$C$4:$N$23,6,0)))</f>
        <v>243</v>
      </c>
      <c r="AK11" s="429" t="str">
        <f>IF(Calc!$K$24=0,"",IF($Z11=0,"",VLOOKUP(Calc!B6,Calc!$C$4:$Y$23,23,0)))</f>
        <v>+14</v>
      </c>
      <c r="AL11" s="340">
        <f>IF(Calc!$K$24=0,"",IF($Z11=0,"",VLOOKUP(Calc!B6,Calc!$C$4:$Y$23,19,0)))</f>
        <v>8</v>
      </c>
      <c r="AM11" s="299" t="str">
        <f>IF(VLOOKUP(Calc!B6,Calc!$C$4:$O$23,13,0)=0,"",VLOOKUP(Calc!B6,Calc!$C$4:$O$23,13,0))</f>
        <v/>
      </c>
      <c r="AN11" s="286" t="str">
        <f>IF(IFERROR(VLOOKUP($Y11,Planning!$D$7:$E$26,2,0),0)=0,IF(LEN(Y11)&gt;Settings!$C$33,LEFT(Y11,Settings!$C$33)&amp;".",Y11),VLOOKUP($Y11,Planning!$D$7:$E$26,2,0))</f>
        <v>HSV</v>
      </c>
      <c r="AO11" s="233"/>
      <c r="AP11" s="197">
        <f t="shared" si="7"/>
        <v>3</v>
      </c>
      <c r="AQ11" s="198" t="str">
        <f t="shared" si="8"/>
        <v>Hamburger SV</v>
      </c>
      <c r="AR11" s="151" t="str">
        <f>IFERROR(VLOOKUP($Y11&amp;AR$8,Calc2!$N$4:$S$763,Settings!$G$29,0),"")</f>
        <v/>
      </c>
      <c r="AS11" s="146" t="str">
        <f>IFERROR(VLOOKUP($Y11&amp;AS$8,Calc2!$N$4:$S$763,Settings!$G$29,0),"")</f>
        <v/>
      </c>
      <c r="AT11" s="152"/>
      <c r="AU11" s="146" t="str">
        <f>IFERROR(VLOOKUP($Y11&amp;AU$8,Calc2!$N$4:$S$763,Settings!$G$29,0),"")</f>
        <v/>
      </c>
      <c r="AV11" s="146" t="str">
        <f>IFERROR(VLOOKUP($Y11&amp;AV$8,Calc2!$N$4:$S$763,Settings!$G$29,0),"")</f>
        <v/>
      </c>
      <c r="AW11" s="146" t="str">
        <f>IFERROR(VLOOKUP($Y11&amp;AW$8,Calc2!$N$4:$S$763,Settings!$G$29,0),"")</f>
        <v/>
      </c>
      <c r="AX11" s="146" t="str">
        <f>IFERROR(VLOOKUP($Y11&amp;AX$8,Calc2!$N$4:$S$763,Settings!$G$29,0),"")</f>
        <v/>
      </c>
      <c r="AY11" s="146" t="str">
        <f>IFERROR(VLOOKUP($Y11&amp;AY$8,Calc2!$N$4:$S$763,Settings!$G$29,0),"")</f>
        <v/>
      </c>
      <c r="AZ11" s="146" t="str">
        <f>IFERROR(VLOOKUP($Y11&amp;AZ$8,Calc2!$N$4:$S$763,Settings!$G$29,0),"")</f>
        <v>52 - 48</v>
      </c>
      <c r="BA11" s="146" t="str">
        <f>IFERROR(VLOOKUP($Y11&amp;BA$8,Calc2!$N$4:$S$763,Settings!$G$29,0),"")</f>
        <v/>
      </c>
      <c r="BB11" s="146" t="str">
        <f>IFERROR(VLOOKUP($Y11&amp;BB$8,Calc2!$N$4:$S$763,Settings!$G$29,0),"")</f>
        <v>50 - 40</v>
      </c>
      <c r="BC11" s="146" t="str">
        <f>IFERROR(VLOOKUP($Y11&amp;BC$8,Calc2!$N$4:$S$763,Settings!$G$29,0),"")</f>
        <v>50 - 43</v>
      </c>
      <c r="BD11" s="146" t="str">
        <f>IFERROR(VLOOKUP($Y11&amp;BD$8,Calc2!$N$4:$S$763,Settings!$G$29,0),"")</f>
        <v/>
      </c>
      <c r="BE11" s="146" t="str">
        <f>IFERROR(VLOOKUP($Y11&amp;BE$8,Calc2!$N$4:$S$763,Settings!$G$29,0),"")</f>
        <v/>
      </c>
      <c r="BF11" s="146" t="str">
        <f>IFERROR(VLOOKUP($Y11&amp;BF$8,Calc2!$N$4:$S$763,Settings!$G$29,0),"")</f>
        <v>41 - 50</v>
      </c>
      <c r="BG11" s="146" t="str">
        <f>IFERROR(VLOOKUP($Y11&amp;BG$8,Calc2!$N$4:$S$763,Settings!$G$29,0),"")</f>
        <v/>
      </c>
      <c r="BH11" s="146" t="str">
        <f>IFERROR(VLOOKUP($Y11&amp;BH$8,Calc2!$N$4:$S$763,Settings!$G$29,0),"")</f>
        <v/>
      </c>
      <c r="BI11" s="146" t="str">
        <f>IFERROR(VLOOKUP($Y11&amp;BI$8,Calc2!$N$4:$S$763,Settings!$G$29,0),"")</f>
        <v>64 - 62</v>
      </c>
      <c r="BJ11" s="146" t="str">
        <f>IFERROR(VLOOKUP($Y11&amp;BJ$8,Calc2!$N$4:$S$763,Settings!$G$29,0),"")</f>
        <v/>
      </c>
      <c r="BK11" s="153" t="str">
        <f>IFERROR(VLOOKUP($Y11&amp;BK$8,Calc2!$N$4:$S$763,Settings!$G$29,0),"")</f>
        <v/>
      </c>
      <c r="BL11" s="180"/>
      <c r="BM11" s="193" t="b">
        <f t="shared" ref="BM11:BM74" si="18">OR(F11="",H11="",AND(OR(I11="",K11="",BN11),OR(L11="",N11="",BO11),OR(O11="",Q11="",BP11)))</f>
        <v>0</v>
      </c>
      <c r="BN11" s="19" t="b">
        <f t="shared" ref="BN11:BN74" si="19">ABS(I11-K11)&lt;2</f>
        <v>0</v>
      </c>
      <c r="BO11" s="19" t="b">
        <f t="shared" ref="BO11:BO74" si="20">ABS(L11-N11)&lt;2</f>
        <v>0</v>
      </c>
      <c r="BP11" s="19" t="b">
        <f t="shared" ref="BP11:BP74" si="21">ABS(O11-Q11)&lt;2</f>
        <v>1</v>
      </c>
      <c r="BQ11" s="19" t="b">
        <f t="shared" ref="BQ11:BQ74" si="22">AND(BN11,I11&lt;&gt;"",K11&lt;&gt;"")</f>
        <v>0</v>
      </c>
      <c r="BR11" s="19" t="b">
        <f t="shared" ref="BR11:BR74" si="23">AND(BO11,L11&lt;&gt;"",N11&lt;&gt;"")</f>
        <v>0</v>
      </c>
      <c r="BS11" s="19" t="b">
        <f t="shared" ref="BS11:BS74" si="24">AND(BP11,O11&lt;&gt;"",Q11&lt;&gt;"")</f>
        <v>0</v>
      </c>
    </row>
    <row r="12" spans="1:71" ht="15.95" customHeight="1" x14ac:dyDescent="0.2">
      <c r="B12" s="248" t="str">
        <f>IF(Calc!$F$26=0,"",IF(OR($C12&gt;Calc!$B$24,MOD($C12-1,Calc!$F$26)&gt;0),"",QUOTIENT($C12-1,Calc!$F$26)+1))</f>
        <v/>
      </c>
      <c r="C12" s="244">
        <v>4</v>
      </c>
      <c r="D12" s="142">
        <f>IF(Planning!$T10="","",Planning!$T10)</f>
        <v>45892</v>
      </c>
      <c r="E12" s="143">
        <f>IF(Planning!$U10="","",Planning!$U10)</f>
        <v>0.64583333333333337</v>
      </c>
      <c r="F12" s="161" t="str">
        <f>Planning!$Q10</f>
        <v>SV Werder Bremen</v>
      </c>
      <c r="G12" s="162" t="s">
        <v>4</v>
      </c>
      <c r="H12" s="161" t="str">
        <f>Planning!$S10</f>
        <v>1. FSV Mainz 05</v>
      </c>
      <c r="I12" s="163">
        <v>15</v>
      </c>
      <c r="J12" s="315" t="str">
        <f>Language!$E$90</f>
        <v xml:space="preserve"> - </v>
      </c>
      <c r="K12" s="318">
        <v>25</v>
      </c>
      <c r="L12" s="163">
        <v>16</v>
      </c>
      <c r="M12" s="360" t="str">
        <f>Language!$E$90</f>
        <v xml:space="preserve"> - </v>
      </c>
      <c r="N12" s="318">
        <v>25</v>
      </c>
      <c r="O12" s="163"/>
      <c r="P12" s="360" t="str">
        <f>Language!$E$90</f>
        <v xml:space="preserve"> - </v>
      </c>
      <c r="Q12" s="318"/>
      <c r="R12" s="354">
        <f t="shared" si="16"/>
        <v>0</v>
      </c>
      <c r="S12" s="357" t="str">
        <f>Language!$E$90</f>
        <v xml:space="preserve"> - </v>
      </c>
      <c r="T12" s="321">
        <f t="shared" si="17"/>
        <v>2</v>
      </c>
      <c r="U12" s="294"/>
      <c r="V12" s="295"/>
      <c r="W12" s="269"/>
      <c r="X12" s="333">
        <f>IF(Calc!$K$24=0,"",IF(VLOOKUP(Calc!B7,Calc!$C$4:$E$23,3,0)=MAX(X$9:X11),VLOOKUP(Calc!B7,Calc!$C$4:$E$23,3,0),Calc!B7))</f>
        <v>4</v>
      </c>
      <c r="Y12" s="334" t="str">
        <f>IF(Calc!$K$24=0,Calc2!$C7,VLOOKUP(Calc!B7,Calc!$C$4:$N$23,4,0))</f>
        <v>Eintracht Frankfurt</v>
      </c>
      <c r="Z12" s="335">
        <f>IF(Calc!$K$24=0,"",VLOOKUP(Calc!B7,Calc!$C$4:$N$23,9,0))</f>
        <v>5</v>
      </c>
      <c r="AA12" s="336">
        <f>IF(Calc!$K$24=0,"",IF($Z12=0,"",VLOOKUP(Calc!B7,Calc!$C$4:$N$23,10,0)))</f>
        <v>3</v>
      </c>
      <c r="AB12" s="336">
        <f>IF(Calc!$K$24=0,"",IF($Z12=0,"",VLOOKUP(Calc!B7,Calc!$C$4:$N$23,11,0)))</f>
        <v>0</v>
      </c>
      <c r="AC12" s="337">
        <f>IF(Calc!$K$24=0,"",IF($Z12=0,"",VLOOKUP(Calc!B7,Calc!$C$4:$N$23,12,0)))</f>
        <v>2</v>
      </c>
      <c r="AD12" s="338">
        <f>IF(Calc!$K$24=0,"",IF($Z12=0,"",VLOOKUP(Calc!B7,Calc!$C$4:$Y$23,20,0)))</f>
        <v>7</v>
      </c>
      <c r="AE12" s="391" t="str">
        <f>Language!$E$90</f>
        <v xml:space="preserve"> - </v>
      </c>
      <c r="AF12" s="421">
        <f>IF(Calc!$K$24=0,"",IF($Z12=0,"",VLOOKUP(Calc!B7,Calc!$C$4:$Y$23,21,0)))</f>
        <v>4</v>
      </c>
      <c r="AG12" s="337" t="str">
        <f>IF(Calc!$K$24=0,"",IF($Z12=0,"",IF(AD12-AF12&gt;0,"+"&amp;AD12-AF12,AD12-AF12)))</f>
        <v>+3</v>
      </c>
      <c r="AH12" s="338">
        <f>IF(Calc!$K$24=0,"",IF($Z12=0,"",VLOOKUP(Calc!B7,Calc!$C$4:$N$23,5,0)))</f>
        <v>244</v>
      </c>
      <c r="AI12" s="391" t="str">
        <f>Language!$E$90</f>
        <v xml:space="preserve"> - </v>
      </c>
      <c r="AJ12" s="339">
        <f>IF(Calc!$K$24=0,"",IF($Z12=0,"",VLOOKUP(Calc!B7,Calc!$C$4:$N$23,6,0)))</f>
        <v>227</v>
      </c>
      <c r="AK12" s="429" t="str">
        <f>IF(Calc!$K$24=0,"",IF($Z12=0,"",VLOOKUP(Calc!B7,Calc!$C$4:$Y$23,23,0)))</f>
        <v>+17</v>
      </c>
      <c r="AL12" s="340">
        <f>IF(Calc!$K$24=0,"",IF($Z12=0,"",VLOOKUP(Calc!B7,Calc!$C$4:$Y$23,19,0)))</f>
        <v>7</v>
      </c>
      <c r="AM12" s="299" t="str">
        <f>IF(VLOOKUP(Calc!B7,Calc!$C$4:$O$23,13,0)=0,"",VLOOKUP(Calc!B7,Calc!$C$4:$O$23,13,0))</f>
        <v/>
      </c>
      <c r="AN12" s="286" t="str">
        <f>IF(IFERROR(VLOOKUP($Y12,Planning!$D$7:$E$26,2,0),0)=0,IF(LEN(Y12)&gt;Settings!$C$33,LEFT(Y12,Settings!$C$33)&amp;".",Y12),VLOOKUP($Y12,Planning!$D$7:$E$26,2,0))</f>
        <v>Frankfurt</v>
      </c>
      <c r="AO12" s="233"/>
      <c r="AP12" s="197">
        <f t="shared" si="7"/>
        <v>4</v>
      </c>
      <c r="AQ12" s="198" t="str">
        <f t="shared" si="8"/>
        <v>Eintracht Frankfurt</v>
      </c>
      <c r="AR12" s="151" t="str">
        <f>IFERROR(VLOOKUP($Y12&amp;AR$8,Calc2!$N$4:$S$763,Settings!$G$29,0),"")</f>
        <v>53 - 59</v>
      </c>
      <c r="AS12" s="146" t="str">
        <f>IFERROR(VLOOKUP($Y12&amp;AS$8,Calc2!$N$4:$S$763,Settings!$G$29,0),"")</f>
        <v/>
      </c>
      <c r="AT12" s="146" t="str">
        <f>IFERROR(VLOOKUP($Y12&amp;AT$8,Calc2!$N$4:$S$763,Settings!$G$29,0),"")</f>
        <v/>
      </c>
      <c r="AU12" s="152"/>
      <c r="AV12" s="146" t="str">
        <f>IFERROR(VLOOKUP($Y12&amp;AV$8,Calc2!$N$4:$S$763,Settings!$G$29,0),"")</f>
        <v/>
      </c>
      <c r="AW12" s="146" t="str">
        <f>IFERROR(VLOOKUP($Y12&amp;AW$8,Calc2!$N$4:$S$763,Settings!$G$29,0),"")</f>
        <v>50 - 32</v>
      </c>
      <c r="AX12" s="146" t="str">
        <f>IFERROR(VLOOKUP($Y12&amp;AX$8,Calc2!$N$4:$S$763,Settings!$G$29,0),"")</f>
        <v/>
      </c>
      <c r="AY12" s="146" t="str">
        <f>IFERROR(VLOOKUP($Y12&amp;AY$8,Calc2!$N$4:$S$763,Settings!$G$29,0),"")</f>
        <v/>
      </c>
      <c r="AZ12" s="146" t="str">
        <f>IFERROR(VLOOKUP($Y12&amp;AZ$8,Calc2!$N$4:$S$763,Settings!$G$29,0),"")</f>
        <v>40 - 50</v>
      </c>
      <c r="BA12" s="146" t="str">
        <f>IFERROR(VLOOKUP($Y12&amp;BA$8,Calc2!$N$4:$S$763,Settings!$G$29,0),"")</f>
        <v/>
      </c>
      <c r="BB12" s="146" t="str">
        <f>IFERROR(VLOOKUP($Y12&amp;BB$8,Calc2!$N$4:$S$763,Settings!$G$29,0),"")</f>
        <v>50 - 40</v>
      </c>
      <c r="BC12" s="146" t="str">
        <f>IFERROR(VLOOKUP($Y12&amp;BC$8,Calc2!$N$4:$S$763,Settings!$G$29,0),"")</f>
        <v/>
      </c>
      <c r="BD12" s="146" t="str">
        <f>IFERROR(VLOOKUP($Y12&amp;BD$8,Calc2!$N$4:$S$763,Settings!$G$29,0),"")</f>
        <v/>
      </c>
      <c r="BE12" s="146" t="str">
        <f>IFERROR(VLOOKUP($Y12&amp;BE$8,Calc2!$N$4:$S$763,Settings!$G$29,0),"")</f>
        <v/>
      </c>
      <c r="BF12" s="146" t="str">
        <f>IFERROR(VLOOKUP($Y12&amp;BF$8,Calc2!$N$4:$S$763,Settings!$G$29,0),"")</f>
        <v/>
      </c>
      <c r="BG12" s="146" t="str">
        <f>IFERROR(VLOOKUP($Y12&amp;BG$8,Calc2!$N$4:$S$763,Settings!$G$29,0),"")</f>
        <v/>
      </c>
      <c r="BH12" s="146" t="str">
        <f>IFERROR(VLOOKUP($Y12&amp;BH$8,Calc2!$N$4:$S$763,Settings!$G$29,0),"")</f>
        <v/>
      </c>
      <c r="BI12" s="146" t="str">
        <f>IFERROR(VLOOKUP($Y12&amp;BI$8,Calc2!$N$4:$S$763,Settings!$G$29,0),"")</f>
        <v>51 - 46</v>
      </c>
      <c r="BJ12" s="146" t="str">
        <f>IFERROR(VLOOKUP($Y12&amp;BJ$8,Calc2!$N$4:$S$763,Settings!$G$29,0),"")</f>
        <v/>
      </c>
      <c r="BK12" s="153" t="str">
        <f>IFERROR(VLOOKUP($Y12&amp;BK$8,Calc2!$N$4:$S$763,Settings!$G$29,0),"")</f>
        <v/>
      </c>
      <c r="BL12" s="180"/>
      <c r="BM12" s="193" t="b">
        <f t="shared" si="18"/>
        <v>0</v>
      </c>
      <c r="BN12" s="19" t="b">
        <f t="shared" si="19"/>
        <v>0</v>
      </c>
      <c r="BO12" s="19" t="b">
        <f t="shared" si="20"/>
        <v>0</v>
      </c>
      <c r="BP12" s="19" t="b">
        <f t="shared" si="21"/>
        <v>1</v>
      </c>
      <c r="BQ12" s="19" t="b">
        <f t="shared" si="22"/>
        <v>0</v>
      </c>
      <c r="BR12" s="19" t="b">
        <f t="shared" si="23"/>
        <v>0</v>
      </c>
      <c r="BS12" s="19" t="b">
        <f t="shared" si="24"/>
        <v>0</v>
      </c>
    </row>
    <row r="13" spans="1:71" ht="15.95" customHeight="1" x14ac:dyDescent="0.2">
      <c r="B13" s="248" t="str">
        <f>IF(Calc!$F$26=0,"",IF(OR($C13&gt;Calc!$B$24,MOD($C13-1,Calc!$F$26)&gt;0),"",QUOTIENT($C13-1,Calc!$F$26)+1))</f>
        <v/>
      </c>
      <c r="C13" s="244">
        <v>5</v>
      </c>
      <c r="D13" s="142">
        <f>IF(Planning!$T11="","",Planning!$T11)</f>
        <v>45892</v>
      </c>
      <c r="E13" s="143">
        <f>IF(Planning!$U11="","",Planning!$U11)</f>
        <v>0.64583333333333337</v>
      </c>
      <c r="F13" s="161" t="str">
        <f>Planning!$Q11</f>
        <v>Bayer 04 Leverkusen</v>
      </c>
      <c r="G13" s="162" t="s">
        <v>4</v>
      </c>
      <c r="H13" s="161" t="str">
        <f>Planning!$S11</f>
        <v>SC Freiburg</v>
      </c>
      <c r="I13" s="163">
        <v>25</v>
      </c>
      <c r="J13" s="315" t="str">
        <f>Language!$E$90</f>
        <v xml:space="preserve"> - </v>
      </c>
      <c r="K13" s="318">
        <v>23</v>
      </c>
      <c r="L13" s="163">
        <v>25</v>
      </c>
      <c r="M13" s="360" t="str">
        <f>Language!$E$90</f>
        <v xml:space="preserve"> - </v>
      </c>
      <c r="N13" s="318">
        <v>23</v>
      </c>
      <c r="O13" s="163"/>
      <c r="P13" s="360" t="str">
        <f>Language!$E$90</f>
        <v xml:space="preserve"> - </v>
      </c>
      <c r="Q13" s="318"/>
      <c r="R13" s="354">
        <f t="shared" si="16"/>
        <v>2</v>
      </c>
      <c r="S13" s="357" t="str">
        <f>Language!$E$90</f>
        <v xml:space="preserve"> - </v>
      </c>
      <c r="T13" s="321">
        <f t="shared" si="17"/>
        <v>0</v>
      </c>
      <c r="U13" s="294"/>
      <c r="V13" s="295"/>
      <c r="W13" s="269"/>
      <c r="X13" s="333">
        <f>IF(Calc!$K$24=0,"",IF(VLOOKUP(Calc!B8,Calc!$C$4:$E$23,3,0)=MAX(X$9:X12),VLOOKUP(Calc!B8,Calc!$C$4:$E$23,3,0),Calc!B8))</f>
        <v>5</v>
      </c>
      <c r="Y13" s="334" t="str">
        <f>IF(Calc!$K$24=0,Calc2!$C8,VLOOKUP(Calc!B8,Calc!$C$4:$N$23,4,0))</f>
        <v>FC Bayern München</v>
      </c>
      <c r="Z13" s="335">
        <f>IF(Calc!$K$24=0,"",VLOOKUP(Calc!B8,Calc!$C$4:$N$23,9,0))</f>
        <v>5</v>
      </c>
      <c r="AA13" s="336">
        <f>IF(Calc!$K$24=0,"",IF($Z13=0,"",VLOOKUP(Calc!B8,Calc!$C$4:$N$23,10,0)))</f>
        <v>3</v>
      </c>
      <c r="AB13" s="336">
        <f>IF(Calc!$K$24=0,"",IF($Z13=0,"",VLOOKUP(Calc!B8,Calc!$C$4:$N$23,11,0)))</f>
        <v>0</v>
      </c>
      <c r="AC13" s="337">
        <f>IF(Calc!$K$24=0,"",IF($Z13=0,"",VLOOKUP(Calc!B8,Calc!$C$4:$N$23,12,0)))</f>
        <v>2</v>
      </c>
      <c r="AD13" s="338">
        <f>IF(Calc!$K$24=0,"",IF($Z13=0,"",VLOOKUP(Calc!B8,Calc!$C$4:$Y$23,20,0)))</f>
        <v>7</v>
      </c>
      <c r="AE13" s="391" t="str">
        <f>Language!$E$90</f>
        <v xml:space="preserve"> - </v>
      </c>
      <c r="AF13" s="421">
        <f>IF(Calc!$K$24=0,"",IF($Z13=0,"",VLOOKUP(Calc!B8,Calc!$C$4:$Y$23,21,0)))</f>
        <v>5</v>
      </c>
      <c r="AG13" s="337" t="str">
        <f>IF(Calc!$K$24=0,"",IF($Z13=0,"",IF(AD13-AF13&gt;0,"+"&amp;AD13-AF13,AD13-AF13)))</f>
        <v>+2</v>
      </c>
      <c r="AH13" s="338">
        <f>IF(Calc!$K$24=0,"",IF($Z13=0,"",VLOOKUP(Calc!B8,Calc!$C$4:$N$23,5,0)))</f>
        <v>255</v>
      </c>
      <c r="AI13" s="391" t="str">
        <f>Language!$E$90</f>
        <v xml:space="preserve"> - </v>
      </c>
      <c r="AJ13" s="339">
        <f>IF(Calc!$K$24=0,"",IF($Z13=0,"",VLOOKUP(Calc!B8,Calc!$C$4:$N$23,6,0)))</f>
        <v>246</v>
      </c>
      <c r="AK13" s="429" t="str">
        <f>IF(Calc!$K$24=0,"",IF($Z13=0,"",VLOOKUP(Calc!B8,Calc!$C$4:$Y$23,23,0)))</f>
        <v>+9</v>
      </c>
      <c r="AL13" s="340">
        <f>IF(Calc!$K$24=0,"",IF($Z13=0,"",VLOOKUP(Calc!B8,Calc!$C$4:$Y$23,19,0)))</f>
        <v>7</v>
      </c>
      <c r="AM13" s="299" t="str">
        <f>IF(VLOOKUP(Calc!B8,Calc!$C$4:$O$23,13,0)=0,"",VLOOKUP(Calc!B8,Calc!$C$4:$O$23,13,0))</f>
        <v/>
      </c>
      <c r="AN13" s="286" t="str">
        <f>IF(IFERROR(VLOOKUP($Y13,Planning!$D$7:$E$26,2,0),0)=0,IF(LEN(Y13)&gt;Settings!$C$33,LEFT(Y13,Settings!$C$33)&amp;".",Y13),VLOOKUP($Y13,Planning!$D$7:$E$26,2,0))</f>
        <v>Bayern</v>
      </c>
      <c r="AO13" s="233"/>
      <c r="AP13" s="197">
        <f t="shared" si="7"/>
        <v>5</v>
      </c>
      <c r="AQ13" s="198" t="str">
        <f t="shared" si="8"/>
        <v>FC Bayern München</v>
      </c>
      <c r="AR13" s="151" t="str">
        <f>IFERROR(VLOOKUP($Y13&amp;AR$8,Calc2!$N$4:$S$763,Settings!$G$29,0),"")</f>
        <v/>
      </c>
      <c r="AS13" s="146" t="str">
        <f>IFERROR(VLOOKUP($Y13&amp;AS$8,Calc2!$N$4:$S$763,Settings!$G$29,0),"")</f>
        <v/>
      </c>
      <c r="AT13" s="146" t="str">
        <f>IFERROR(VLOOKUP($Y13&amp;AT$8,Calc2!$N$4:$S$763,Settings!$G$29,0),"")</f>
        <v/>
      </c>
      <c r="AU13" s="146" t="str">
        <f>IFERROR(VLOOKUP($Y13&amp;AU$8,Calc2!$N$4:$S$763,Settings!$G$29,0),"")</f>
        <v/>
      </c>
      <c r="AV13" s="152"/>
      <c r="AW13" s="146" t="str">
        <f>IFERROR(VLOOKUP($Y13&amp;AW$8,Calc2!$N$4:$S$763,Settings!$G$29,0),"")</f>
        <v>54 - 58</v>
      </c>
      <c r="AX13" s="146" t="str">
        <f>IFERROR(VLOOKUP($Y13&amp;AX$8,Calc2!$N$4:$S$763,Settings!$G$29,0),"")</f>
        <v/>
      </c>
      <c r="AY13" s="146" t="str">
        <f>IFERROR(VLOOKUP($Y13&amp;AY$8,Calc2!$N$4:$S$763,Settings!$G$29,0),"")</f>
        <v/>
      </c>
      <c r="AZ13" s="146" t="str">
        <f>IFERROR(VLOOKUP($Y13&amp;AZ$8,Calc2!$N$4:$S$763,Settings!$G$29,0),"")</f>
        <v>40 - 50</v>
      </c>
      <c r="BA13" s="146" t="str">
        <f>IFERROR(VLOOKUP($Y13&amp;BA$8,Calc2!$N$4:$S$763,Settings!$G$29,0),"")</f>
        <v/>
      </c>
      <c r="BB13" s="146" t="str">
        <f>IFERROR(VLOOKUP($Y13&amp;BB$8,Calc2!$N$4:$S$763,Settings!$G$29,0),"")</f>
        <v>61 - 60</v>
      </c>
      <c r="BC13" s="146" t="str">
        <f>IFERROR(VLOOKUP($Y13&amp;BC$8,Calc2!$N$4:$S$763,Settings!$G$29,0),"")</f>
        <v>50 - 39</v>
      </c>
      <c r="BD13" s="146" t="str">
        <f>IFERROR(VLOOKUP($Y13&amp;BD$8,Calc2!$N$4:$S$763,Settings!$G$29,0),"")</f>
        <v/>
      </c>
      <c r="BE13" s="146" t="str">
        <f>IFERROR(VLOOKUP($Y13&amp;BE$8,Calc2!$N$4:$S$763,Settings!$G$29,0),"")</f>
        <v/>
      </c>
      <c r="BF13" s="146" t="str">
        <f>IFERROR(VLOOKUP($Y13&amp;BF$8,Calc2!$N$4:$S$763,Settings!$G$29,0),"")</f>
        <v/>
      </c>
      <c r="BG13" s="146" t="str">
        <f>IFERROR(VLOOKUP($Y13&amp;BG$8,Calc2!$N$4:$S$763,Settings!$G$29,0),"")</f>
        <v/>
      </c>
      <c r="BH13" s="146" t="str">
        <f>IFERROR(VLOOKUP($Y13&amp;BH$8,Calc2!$N$4:$S$763,Settings!$G$29,0),"")</f>
        <v/>
      </c>
      <c r="BI13" s="146" t="str">
        <f>IFERROR(VLOOKUP($Y13&amp;BI$8,Calc2!$N$4:$S$763,Settings!$G$29,0),"")</f>
        <v>50 - 39</v>
      </c>
      <c r="BJ13" s="146" t="str">
        <f>IFERROR(VLOOKUP($Y13&amp;BJ$8,Calc2!$N$4:$S$763,Settings!$G$29,0),"")</f>
        <v/>
      </c>
      <c r="BK13" s="153" t="str">
        <f>IFERROR(VLOOKUP($Y13&amp;BK$8,Calc2!$N$4:$S$763,Settings!$G$29,0),"")</f>
        <v/>
      </c>
      <c r="BL13" s="180"/>
      <c r="BM13" s="193" t="b">
        <f t="shared" si="18"/>
        <v>0</v>
      </c>
      <c r="BN13" s="19" t="b">
        <f t="shared" si="19"/>
        <v>0</v>
      </c>
      <c r="BO13" s="19" t="b">
        <f t="shared" si="20"/>
        <v>0</v>
      </c>
      <c r="BP13" s="19" t="b">
        <f t="shared" si="21"/>
        <v>1</v>
      </c>
      <c r="BQ13" s="19" t="b">
        <f t="shared" si="22"/>
        <v>0</v>
      </c>
      <c r="BR13" s="19" t="b">
        <f t="shared" si="23"/>
        <v>0</v>
      </c>
      <c r="BS13" s="19" t="b">
        <f t="shared" si="24"/>
        <v>0</v>
      </c>
    </row>
    <row r="14" spans="1:71" ht="15.95" customHeight="1" x14ac:dyDescent="0.2">
      <c r="B14" s="248" t="str">
        <f>IF(Calc!$F$26=0,"",IF(OR($C14&gt;Calc!$B$24,MOD($C14-1,Calc!$F$26)&gt;0),"",QUOTIENT($C14-1,Calc!$F$26)+1))</f>
        <v/>
      </c>
      <c r="C14" s="244">
        <v>6</v>
      </c>
      <c r="D14" s="142">
        <f>IF(Planning!$T12="","",Planning!$T12)</f>
        <v>45892</v>
      </c>
      <c r="E14" s="143">
        <f>IF(Planning!$U12="","",Planning!$U12)</f>
        <v>0.64583333333333337</v>
      </c>
      <c r="F14" s="161" t="str">
        <f>Planning!$Q12</f>
        <v>RB Leipzig</v>
      </c>
      <c r="G14" s="162" t="s">
        <v>4</v>
      </c>
      <c r="H14" s="161" t="str">
        <f>Planning!$S12</f>
        <v>Borussia Dortmund</v>
      </c>
      <c r="I14" s="163">
        <v>25</v>
      </c>
      <c r="J14" s="315" t="str">
        <f>Language!$E$90</f>
        <v xml:space="preserve"> - </v>
      </c>
      <c r="K14" s="318">
        <v>17</v>
      </c>
      <c r="L14" s="163">
        <v>25</v>
      </c>
      <c r="M14" s="360" t="str">
        <f>Language!$E$90</f>
        <v xml:space="preserve"> - </v>
      </c>
      <c r="N14" s="318">
        <v>22</v>
      </c>
      <c r="O14" s="163"/>
      <c r="P14" s="360" t="str">
        <f>Language!$E$90</f>
        <v xml:space="preserve"> - </v>
      </c>
      <c r="Q14" s="318"/>
      <c r="R14" s="354">
        <f t="shared" si="16"/>
        <v>2</v>
      </c>
      <c r="S14" s="357" t="str">
        <f>Language!$E$90</f>
        <v xml:space="preserve"> - </v>
      </c>
      <c r="T14" s="321">
        <f t="shared" si="17"/>
        <v>0</v>
      </c>
      <c r="U14" s="294"/>
      <c r="V14" s="295"/>
      <c r="W14" s="269"/>
      <c r="X14" s="333">
        <f>IF(Calc!$K$24=0,"",IF(VLOOKUP(Calc!B9,Calc!$C$4:$E$23,3,0)=MAX(X$9:X13),VLOOKUP(Calc!B9,Calc!$C$4:$E$23,3,0),Calc!B9))</f>
        <v>6</v>
      </c>
      <c r="Y14" s="334" t="str">
        <f>IF(Calc!$K$24=0,Calc2!$C9,VLOOKUP(Calc!B9,Calc!$C$4:$N$23,4,0))</f>
        <v>FC Augsburg</v>
      </c>
      <c r="Z14" s="335">
        <f>IF(Calc!$K$24=0,"",VLOOKUP(Calc!B9,Calc!$C$4:$N$23,9,0))</f>
        <v>5</v>
      </c>
      <c r="AA14" s="336">
        <f>IF(Calc!$K$24=0,"",IF($Z14=0,"",VLOOKUP(Calc!B9,Calc!$C$4:$N$23,10,0)))</f>
        <v>3</v>
      </c>
      <c r="AB14" s="336">
        <f>IF(Calc!$K$24=0,"",IF($Z14=0,"",VLOOKUP(Calc!B9,Calc!$C$4:$N$23,11,0)))</f>
        <v>0</v>
      </c>
      <c r="AC14" s="337">
        <f>IF(Calc!$K$24=0,"",IF($Z14=0,"",VLOOKUP(Calc!B9,Calc!$C$4:$N$23,12,0)))</f>
        <v>2</v>
      </c>
      <c r="AD14" s="338">
        <f>IF(Calc!$K$24=0,"",IF($Z14=0,"",VLOOKUP(Calc!B9,Calc!$C$4:$Y$23,20,0)))</f>
        <v>7</v>
      </c>
      <c r="AE14" s="391" t="str">
        <f>Language!$E$90</f>
        <v xml:space="preserve"> - </v>
      </c>
      <c r="AF14" s="421">
        <f>IF(Calc!$K$24=0,"",IF($Z14=0,"",VLOOKUP(Calc!B9,Calc!$C$4:$Y$23,21,0)))</f>
        <v>5</v>
      </c>
      <c r="AG14" s="337" t="str">
        <f>IF(Calc!$K$24=0,"",IF($Z14=0,"",IF(AD14-AF14&gt;0,"+"&amp;AD14-AF14,AD14-AF14)))</f>
        <v>+2</v>
      </c>
      <c r="AH14" s="338">
        <f>IF(Calc!$K$24=0,"",IF($Z14=0,"",VLOOKUP(Calc!B9,Calc!$C$4:$N$23,5,0)))</f>
        <v>245</v>
      </c>
      <c r="AI14" s="391" t="str">
        <f>Language!$E$90</f>
        <v xml:space="preserve"> - </v>
      </c>
      <c r="AJ14" s="339">
        <f>IF(Calc!$K$24=0,"",IF($Z14=0,"",VLOOKUP(Calc!B9,Calc!$C$4:$N$23,6,0)))</f>
        <v>250</v>
      </c>
      <c r="AK14" s="429">
        <f>IF(Calc!$K$24=0,"",IF($Z14=0,"",VLOOKUP(Calc!B9,Calc!$C$4:$Y$23,23,0)))</f>
        <v>-5</v>
      </c>
      <c r="AL14" s="340">
        <f>IF(Calc!$K$24=0,"",IF($Z14=0,"",VLOOKUP(Calc!B9,Calc!$C$4:$Y$23,19,0)))</f>
        <v>7</v>
      </c>
      <c r="AM14" s="299" t="str">
        <f>IF(VLOOKUP(Calc!B9,Calc!$C$4:$O$23,13,0)=0,"",VLOOKUP(Calc!B9,Calc!$C$4:$O$23,13,0))</f>
        <v/>
      </c>
      <c r="AN14" s="286" t="str">
        <f>IF(IFERROR(VLOOKUP($Y14,Planning!$D$7:$E$26,2,0),0)=0,IF(LEN(Y14)&gt;Settings!$C$33,LEFT(Y14,Settings!$C$33)&amp;".",Y14),VLOOKUP($Y14,Planning!$D$7:$E$26,2,0))</f>
        <v>Augsburg</v>
      </c>
      <c r="AO14" s="233"/>
      <c r="AP14" s="197">
        <f t="shared" si="7"/>
        <v>6</v>
      </c>
      <c r="AQ14" s="198" t="str">
        <f t="shared" si="8"/>
        <v>FC Augsburg</v>
      </c>
      <c r="AR14" s="151" t="str">
        <f>IFERROR(VLOOKUP($Y14&amp;AR$8,Calc2!$N$4:$S$763,Settings!$G$29,0),"")</f>
        <v/>
      </c>
      <c r="AS14" s="146" t="str">
        <f>IFERROR(VLOOKUP($Y14&amp;AS$8,Calc2!$N$4:$S$763,Settings!$G$29,0),"")</f>
        <v/>
      </c>
      <c r="AT14" s="146" t="str">
        <f>IFERROR(VLOOKUP($Y14&amp;AT$8,Calc2!$N$4:$S$763,Settings!$G$29,0),"")</f>
        <v/>
      </c>
      <c r="AU14" s="146" t="str">
        <f>IFERROR(VLOOKUP($Y14&amp;AU$8,Calc2!$N$4:$S$763,Settings!$G$29,0),"")</f>
        <v>32 - 50</v>
      </c>
      <c r="AV14" s="146" t="str">
        <f>IFERROR(VLOOKUP($Y14&amp;AV$8,Calc2!$N$4:$S$763,Settings!$G$29,0),"")</f>
        <v>58 - 54</v>
      </c>
      <c r="AW14" s="152"/>
      <c r="AX14" s="146" t="str">
        <f>IFERROR(VLOOKUP($Y14&amp;AX$8,Calc2!$N$4:$S$763,Settings!$G$29,0),"")</f>
        <v>50 - 45</v>
      </c>
      <c r="AY14" s="146" t="str">
        <f>IFERROR(VLOOKUP($Y14&amp;AY$8,Calc2!$N$4:$S$763,Settings!$G$29,0),"")</f>
        <v/>
      </c>
      <c r="AZ14" s="146" t="str">
        <f>IFERROR(VLOOKUP($Y14&amp;AZ$8,Calc2!$N$4:$S$763,Settings!$G$29,0),"")</f>
        <v/>
      </c>
      <c r="BA14" s="146" t="str">
        <f>IFERROR(VLOOKUP($Y14&amp;BA$8,Calc2!$N$4:$S$763,Settings!$G$29,0),"")</f>
        <v/>
      </c>
      <c r="BB14" s="146" t="str">
        <f>IFERROR(VLOOKUP($Y14&amp;BB$8,Calc2!$N$4:$S$763,Settings!$G$29,0),"")</f>
        <v/>
      </c>
      <c r="BC14" s="146" t="str">
        <f>IFERROR(VLOOKUP($Y14&amp;BC$8,Calc2!$N$4:$S$763,Settings!$G$29,0),"")</f>
        <v/>
      </c>
      <c r="BD14" s="146" t="str">
        <f>IFERROR(VLOOKUP($Y14&amp;BD$8,Calc2!$N$4:$S$763,Settings!$G$29,0),"")</f>
        <v>55 - 61</v>
      </c>
      <c r="BE14" s="146" t="str">
        <f>IFERROR(VLOOKUP($Y14&amp;BE$8,Calc2!$N$4:$S$763,Settings!$G$29,0),"")</f>
        <v>50 - 40</v>
      </c>
      <c r="BF14" s="146" t="str">
        <f>IFERROR(VLOOKUP($Y14&amp;BF$8,Calc2!$N$4:$S$763,Settings!$G$29,0),"")</f>
        <v/>
      </c>
      <c r="BG14" s="146" t="str">
        <f>IFERROR(VLOOKUP($Y14&amp;BG$8,Calc2!$N$4:$S$763,Settings!$G$29,0),"")</f>
        <v/>
      </c>
      <c r="BH14" s="146" t="str">
        <f>IFERROR(VLOOKUP($Y14&amp;BH$8,Calc2!$N$4:$S$763,Settings!$G$29,0),"")</f>
        <v/>
      </c>
      <c r="BI14" s="146" t="str">
        <f>IFERROR(VLOOKUP($Y14&amp;BI$8,Calc2!$N$4:$S$763,Settings!$G$29,0),"")</f>
        <v/>
      </c>
      <c r="BJ14" s="146" t="str">
        <f>IFERROR(VLOOKUP($Y14&amp;BJ$8,Calc2!$N$4:$S$763,Settings!$G$29,0),"")</f>
        <v/>
      </c>
      <c r="BK14" s="153" t="str">
        <f>IFERROR(VLOOKUP($Y14&amp;BK$8,Calc2!$N$4:$S$763,Settings!$G$29,0),"")</f>
        <v/>
      </c>
      <c r="BL14" s="180"/>
      <c r="BM14" s="193" t="b">
        <f t="shared" si="18"/>
        <v>0</v>
      </c>
      <c r="BN14" s="19" t="b">
        <f t="shared" si="19"/>
        <v>0</v>
      </c>
      <c r="BO14" s="19" t="b">
        <f t="shared" si="20"/>
        <v>0</v>
      </c>
      <c r="BP14" s="19" t="b">
        <f t="shared" si="21"/>
        <v>1</v>
      </c>
      <c r="BQ14" s="19" t="b">
        <f t="shared" si="22"/>
        <v>0</v>
      </c>
      <c r="BR14" s="19" t="b">
        <f t="shared" si="23"/>
        <v>0</v>
      </c>
      <c r="BS14" s="19" t="b">
        <f t="shared" si="24"/>
        <v>0</v>
      </c>
    </row>
    <row r="15" spans="1:71" ht="15.95" customHeight="1" x14ac:dyDescent="0.2">
      <c r="B15" s="248" t="str">
        <f>IF(Calc!$F$26=0,"",IF(OR($C15&gt;Calc!$B$24,MOD($C15-1,Calc!$F$26)&gt;0),"",QUOTIENT($C15-1,Calc!$F$26)+1))</f>
        <v/>
      </c>
      <c r="C15" s="244">
        <v>7</v>
      </c>
      <c r="D15" s="142">
        <f>IF(Planning!$T13="","",Planning!$T13)</f>
        <v>45892</v>
      </c>
      <c r="E15" s="143">
        <f>IF(Planning!$U13="","",Planning!$U13)</f>
        <v>0.64583333333333337</v>
      </c>
      <c r="F15" s="161" t="str">
        <f>Planning!$Q13</f>
        <v>Borussia Mönchengladbach</v>
      </c>
      <c r="G15" s="162" t="s">
        <v>4</v>
      </c>
      <c r="H15" s="161" t="str">
        <f>Planning!$S13</f>
        <v>Hamburger SV</v>
      </c>
      <c r="I15" s="163">
        <v>23</v>
      </c>
      <c r="J15" s="315" t="str">
        <f>Language!$E$90</f>
        <v xml:space="preserve"> - </v>
      </c>
      <c r="K15" s="318">
        <v>25</v>
      </c>
      <c r="L15" s="163">
        <v>25</v>
      </c>
      <c r="M15" s="360" t="str">
        <f>Language!$E$90</f>
        <v xml:space="preserve"> - </v>
      </c>
      <c r="N15" s="318">
        <v>23</v>
      </c>
      <c r="O15" s="163">
        <v>14</v>
      </c>
      <c r="P15" s="360" t="str">
        <f>Language!$E$90</f>
        <v xml:space="preserve"> - </v>
      </c>
      <c r="Q15" s="318">
        <v>16</v>
      </c>
      <c r="R15" s="354">
        <f t="shared" si="16"/>
        <v>1</v>
      </c>
      <c r="S15" s="357" t="str">
        <f>Language!$E$90</f>
        <v xml:space="preserve"> - </v>
      </c>
      <c r="T15" s="321">
        <f t="shared" si="17"/>
        <v>2</v>
      </c>
      <c r="U15" s="294"/>
      <c r="V15" s="295"/>
      <c r="W15" s="269"/>
      <c r="X15" s="333">
        <f>IF(Calc!$K$24=0,"",IF(VLOOKUP(Calc!B10,Calc!$C$4:$E$23,3,0)=MAX(X$9:X14),VLOOKUP(Calc!B10,Calc!$C$4:$E$23,3,0),Calc!B10))</f>
        <v>7</v>
      </c>
      <c r="Y15" s="334" t="str">
        <f>IF(Calc!$K$24=0,Calc2!$C10,VLOOKUP(Calc!B10,Calc!$C$4:$N$23,4,0))</f>
        <v>1. FSV Mainz 05</v>
      </c>
      <c r="Z15" s="335">
        <f>IF(Calc!$K$24=0,"",VLOOKUP(Calc!B10,Calc!$C$4:$N$23,9,0))</f>
        <v>5</v>
      </c>
      <c r="AA15" s="336">
        <f>IF(Calc!$K$24=0,"",IF($Z15=0,"",VLOOKUP(Calc!B10,Calc!$C$4:$N$23,10,0)))</f>
        <v>3</v>
      </c>
      <c r="AB15" s="336">
        <f>IF(Calc!$K$24=0,"",IF($Z15=0,"",VLOOKUP(Calc!B10,Calc!$C$4:$N$23,11,0)))</f>
        <v>0</v>
      </c>
      <c r="AC15" s="337">
        <f>IF(Calc!$K$24=0,"",IF($Z15=0,"",VLOOKUP(Calc!B10,Calc!$C$4:$N$23,12,0)))</f>
        <v>2</v>
      </c>
      <c r="AD15" s="338">
        <f>IF(Calc!$K$24=0,"",IF($Z15=0,"",VLOOKUP(Calc!B10,Calc!$C$4:$Y$23,20,0)))</f>
        <v>6</v>
      </c>
      <c r="AE15" s="391" t="str">
        <f>Language!$E$90</f>
        <v xml:space="preserve"> - </v>
      </c>
      <c r="AF15" s="421">
        <f>IF(Calc!$K$24=0,"",IF($Z15=0,"",VLOOKUP(Calc!B10,Calc!$C$4:$Y$23,21,0)))</f>
        <v>4</v>
      </c>
      <c r="AG15" s="337" t="str">
        <f>IF(Calc!$K$24=0,"",IF($Z15=0,"",IF(AD15-AF15&gt;0,"+"&amp;AD15-AF15,AD15-AF15)))</f>
        <v>+2</v>
      </c>
      <c r="AH15" s="338">
        <f>IF(Calc!$K$24=0,"",IF($Z15=0,"",VLOOKUP(Calc!B10,Calc!$C$4:$N$23,5,0)))</f>
        <v>234</v>
      </c>
      <c r="AI15" s="391" t="str">
        <f>Language!$E$90</f>
        <v xml:space="preserve"> - </v>
      </c>
      <c r="AJ15" s="339">
        <f>IF(Calc!$K$24=0,"",IF($Z15=0,"",VLOOKUP(Calc!B10,Calc!$C$4:$N$23,6,0)))</f>
        <v>212</v>
      </c>
      <c r="AK15" s="429" t="str">
        <f>IF(Calc!$K$24=0,"",IF($Z15=0,"",VLOOKUP(Calc!B10,Calc!$C$4:$Y$23,23,0)))</f>
        <v>+22</v>
      </c>
      <c r="AL15" s="340">
        <f>IF(Calc!$K$24=0,"",IF($Z15=0,"",VLOOKUP(Calc!B10,Calc!$C$4:$Y$23,19,0)))</f>
        <v>6</v>
      </c>
      <c r="AM15" s="299" t="str">
        <f>IF(VLOOKUP(Calc!B10,Calc!$C$4:$O$23,13,0)=0,"",VLOOKUP(Calc!B10,Calc!$C$4:$O$23,13,0))</f>
        <v/>
      </c>
      <c r="AN15" s="286" t="str">
        <f>IF(IFERROR(VLOOKUP($Y15,Planning!$D$7:$E$26,2,0),0)=0,IF(LEN(Y15)&gt;Settings!$C$33,LEFT(Y15,Settings!$C$33)&amp;".",Y15),VLOOKUP($Y15,Planning!$D$7:$E$26,2,0))</f>
        <v>Mainz</v>
      </c>
      <c r="AO15" s="233"/>
      <c r="AP15" s="197">
        <f t="shared" si="7"/>
        <v>7</v>
      </c>
      <c r="AQ15" s="198" t="str">
        <f t="shared" si="8"/>
        <v>1. FSV Mainz 05</v>
      </c>
      <c r="AR15" s="151" t="str">
        <f>IFERROR(VLOOKUP($Y15&amp;AR$8,Calc2!$N$4:$S$763,Settings!$G$29,0),"")</f>
        <v>39 - 50</v>
      </c>
      <c r="AS15" s="146" t="str">
        <f>IFERROR(VLOOKUP($Y15&amp;AS$8,Calc2!$N$4:$S$763,Settings!$G$29,0),"")</f>
        <v>50 - 42</v>
      </c>
      <c r="AT15" s="146" t="str">
        <f>IFERROR(VLOOKUP($Y15&amp;AT$8,Calc2!$N$4:$S$763,Settings!$G$29,0),"")</f>
        <v/>
      </c>
      <c r="AU15" s="146" t="str">
        <f>IFERROR(VLOOKUP($Y15&amp;AU$8,Calc2!$N$4:$S$763,Settings!$G$29,0),"")</f>
        <v/>
      </c>
      <c r="AV15" s="146" t="str">
        <f>IFERROR(VLOOKUP($Y15&amp;AV$8,Calc2!$N$4:$S$763,Settings!$G$29,0),"")</f>
        <v/>
      </c>
      <c r="AW15" s="146" t="str">
        <f>IFERROR(VLOOKUP($Y15&amp;AW$8,Calc2!$N$4:$S$763,Settings!$G$29,0),"")</f>
        <v>45 - 50</v>
      </c>
      <c r="AX15" s="152"/>
      <c r="AY15" s="146" t="str">
        <f>IFERROR(VLOOKUP($Y15&amp;AY$8,Calc2!$N$4:$S$763,Settings!$G$29,0),"")</f>
        <v/>
      </c>
      <c r="AZ15" s="146" t="str">
        <f>IFERROR(VLOOKUP($Y15&amp;AZ$8,Calc2!$N$4:$S$763,Settings!$G$29,0),"")</f>
        <v/>
      </c>
      <c r="BA15" s="146" t="str">
        <f>IFERROR(VLOOKUP($Y15&amp;BA$8,Calc2!$N$4:$S$763,Settings!$G$29,0),"")</f>
        <v/>
      </c>
      <c r="BB15" s="146" t="str">
        <f>IFERROR(VLOOKUP($Y15&amp;BB$8,Calc2!$N$4:$S$763,Settings!$G$29,0),"")</f>
        <v/>
      </c>
      <c r="BC15" s="146" t="str">
        <f>IFERROR(VLOOKUP($Y15&amp;BC$8,Calc2!$N$4:$S$763,Settings!$G$29,0),"")</f>
        <v/>
      </c>
      <c r="BD15" s="146" t="str">
        <f>IFERROR(VLOOKUP($Y15&amp;BD$8,Calc2!$N$4:$S$763,Settings!$G$29,0),"")</f>
        <v/>
      </c>
      <c r="BE15" s="146" t="str">
        <f>IFERROR(VLOOKUP($Y15&amp;BE$8,Calc2!$N$4:$S$763,Settings!$G$29,0),"")</f>
        <v/>
      </c>
      <c r="BF15" s="146" t="str">
        <f>IFERROR(VLOOKUP($Y15&amp;BF$8,Calc2!$N$4:$S$763,Settings!$G$29,0),"")</f>
        <v/>
      </c>
      <c r="BG15" s="146" t="str">
        <f>IFERROR(VLOOKUP($Y15&amp;BG$8,Calc2!$N$4:$S$763,Settings!$G$29,0),"")</f>
        <v>50 - 31</v>
      </c>
      <c r="BH15" s="146" t="str">
        <f>IFERROR(VLOOKUP($Y15&amp;BH$8,Calc2!$N$4:$S$763,Settings!$G$29,0),"")</f>
        <v/>
      </c>
      <c r="BI15" s="146" t="str">
        <f>IFERROR(VLOOKUP($Y15&amp;BI$8,Calc2!$N$4:$S$763,Settings!$G$29,0),"")</f>
        <v>50 - 39</v>
      </c>
      <c r="BJ15" s="146" t="str">
        <f>IFERROR(VLOOKUP($Y15&amp;BJ$8,Calc2!$N$4:$S$763,Settings!$G$29,0),"")</f>
        <v/>
      </c>
      <c r="BK15" s="153" t="str">
        <f>IFERROR(VLOOKUP($Y15&amp;BK$8,Calc2!$N$4:$S$763,Settings!$G$29,0),"")</f>
        <v/>
      </c>
      <c r="BL15" s="180"/>
      <c r="BM15" s="193" t="b">
        <f t="shared" si="18"/>
        <v>0</v>
      </c>
      <c r="BN15" s="19" t="b">
        <f t="shared" si="19"/>
        <v>0</v>
      </c>
      <c r="BO15" s="19" t="b">
        <f t="shared" si="20"/>
        <v>0</v>
      </c>
      <c r="BP15" s="19" t="b">
        <f t="shared" si="21"/>
        <v>0</v>
      </c>
      <c r="BQ15" s="19" t="b">
        <f t="shared" si="22"/>
        <v>0</v>
      </c>
      <c r="BR15" s="19" t="b">
        <f t="shared" si="23"/>
        <v>0</v>
      </c>
      <c r="BS15" s="19" t="b">
        <f t="shared" si="24"/>
        <v>0</v>
      </c>
    </row>
    <row r="16" spans="1:71" ht="15.95" customHeight="1" x14ac:dyDescent="0.2">
      <c r="B16" s="248" t="str">
        <f>IF(Calc!$F$26=0,"",IF(OR($C16&gt;Calc!$B$24,MOD($C16-1,Calc!$F$26)&gt;0),"",QUOTIENT($C16-1,Calc!$F$26)+1))</f>
        <v/>
      </c>
      <c r="C16" s="244">
        <v>8</v>
      </c>
      <c r="D16" s="142">
        <f>IF(Planning!$T14="","",Planning!$T14)</f>
        <v>45892</v>
      </c>
      <c r="E16" s="143">
        <f>IF(Planning!$U14="","",Planning!$U14)</f>
        <v>0.64583333333333337</v>
      </c>
      <c r="F16" s="161" t="str">
        <f>Planning!$Q14</f>
        <v>FC St. Pauli</v>
      </c>
      <c r="G16" s="162" t="s">
        <v>4</v>
      </c>
      <c r="H16" s="161" t="str">
        <f>Planning!$S14</f>
        <v>Eintracht Frankfurt</v>
      </c>
      <c r="I16" s="163">
        <v>19</v>
      </c>
      <c r="J16" s="315" t="str">
        <f>Language!$E$90</f>
        <v xml:space="preserve"> - </v>
      </c>
      <c r="K16" s="318">
        <v>25</v>
      </c>
      <c r="L16" s="163">
        <v>25</v>
      </c>
      <c r="M16" s="360" t="str">
        <f>Language!$E$90</f>
        <v xml:space="preserve"> - </v>
      </c>
      <c r="N16" s="318">
        <v>17</v>
      </c>
      <c r="O16" s="163">
        <v>15</v>
      </c>
      <c r="P16" s="360" t="str">
        <f>Language!$E$90</f>
        <v xml:space="preserve"> - </v>
      </c>
      <c r="Q16" s="318">
        <v>11</v>
      </c>
      <c r="R16" s="354">
        <f t="shared" si="16"/>
        <v>2</v>
      </c>
      <c r="S16" s="357" t="str">
        <f>Language!$E$90</f>
        <v xml:space="preserve"> - </v>
      </c>
      <c r="T16" s="321">
        <f t="shared" si="17"/>
        <v>1</v>
      </c>
      <c r="U16" s="294"/>
      <c r="V16" s="295"/>
      <c r="W16" s="269"/>
      <c r="X16" s="333">
        <f>IF(Calc!$K$24=0,"",IF(VLOOKUP(Calc!B11,Calc!$C$4:$E$23,3,0)=MAX(X$9:X15),VLOOKUP(Calc!B11,Calc!$C$4:$E$23,3,0),Calc!B11))</f>
        <v>8</v>
      </c>
      <c r="Y16" s="334" t="str">
        <f>IF(Calc!$K$24=0,Calc2!$C11,VLOOKUP(Calc!B11,Calc!$C$4:$N$23,4,0))</f>
        <v>VfB Stuttgart</v>
      </c>
      <c r="Z16" s="335">
        <f>IF(Calc!$K$24=0,"",VLOOKUP(Calc!B11,Calc!$C$4:$N$23,9,0))</f>
        <v>5</v>
      </c>
      <c r="AA16" s="336">
        <f>IF(Calc!$K$24=0,"",IF($Z16=0,"",VLOOKUP(Calc!B11,Calc!$C$4:$N$23,10,0)))</f>
        <v>3</v>
      </c>
      <c r="AB16" s="336">
        <f>IF(Calc!$K$24=0,"",IF($Z16=0,"",VLOOKUP(Calc!B11,Calc!$C$4:$N$23,11,0)))</f>
        <v>0</v>
      </c>
      <c r="AC16" s="337">
        <f>IF(Calc!$K$24=0,"",IF($Z16=0,"",VLOOKUP(Calc!B11,Calc!$C$4:$N$23,12,0)))</f>
        <v>2</v>
      </c>
      <c r="AD16" s="338">
        <f>IF(Calc!$K$24=0,"",IF($Z16=0,"",VLOOKUP(Calc!B11,Calc!$C$4:$Y$23,20,0)))</f>
        <v>6</v>
      </c>
      <c r="AE16" s="391" t="str">
        <f>Language!$E$90</f>
        <v xml:space="preserve"> - </v>
      </c>
      <c r="AF16" s="421">
        <f>IF(Calc!$K$24=0,"",IF($Z16=0,"",VLOOKUP(Calc!B11,Calc!$C$4:$Y$23,21,0)))</f>
        <v>4</v>
      </c>
      <c r="AG16" s="337" t="str">
        <f>IF(Calc!$K$24=0,"",IF($Z16=0,"",IF(AD16-AF16&gt;0,"+"&amp;AD16-AF16,AD16-AF16)))</f>
        <v>+2</v>
      </c>
      <c r="AH16" s="338">
        <f>IF(Calc!$K$24=0,"",IF($Z16=0,"",VLOOKUP(Calc!B11,Calc!$C$4:$N$23,5,0)))</f>
        <v>231</v>
      </c>
      <c r="AI16" s="391" t="str">
        <f>Language!$E$90</f>
        <v xml:space="preserve"> - </v>
      </c>
      <c r="AJ16" s="339">
        <f>IF(Calc!$K$24=0,"",IF($Z16=0,"",VLOOKUP(Calc!B11,Calc!$C$4:$N$23,6,0)))</f>
        <v>222</v>
      </c>
      <c r="AK16" s="429" t="str">
        <f>IF(Calc!$K$24=0,"",IF($Z16=0,"",VLOOKUP(Calc!B11,Calc!$C$4:$Y$23,23,0)))</f>
        <v>+9</v>
      </c>
      <c r="AL16" s="340">
        <f>IF(Calc!$K$24=0,"",IF($Z16=0,"",VLOOKUP(Calc!B11,Calc!$C$4:$Y$23,19,0)))</f>
        <v>6</v>
      </c>
      <c r="AM16" s="299" t="str">
        <f>IF(VLOOKUP(Calc!B11,Calc!$C$4:$O$23,13,0)=0,"",VLOOKUP(Calc!B11,Calc!$C$4:$O$23,13,0))</f>
        <v/>
      </c>
      <c r="AN16" s="286" t="str">
        <f>IF(IFERROR(VLOOKUP($Y16,Planning!$D$7:$E$26,2,0),0)=0,IF(LEN(Y16)&gt;Settings!$C$33,LEFT(Y16,Settings!$C$33)&amp;".",Y16),VLOOKUP($Y16,Planning!$D$7:$E$26,2,0))</f>
        <v>Stuttgart</v>
      </c>
      <c r="AO16" s="233"/>
      <c r="AP16" s="197">
        <f t="shared" si="7"/>
        <v>8</v>
      </c>
      <c r="AQ16" s="198" t="str">
        <f t="shared" si="8"/>
        <v>VfB Stuttgart</v>
      </c>
      <c r="AR16" s="151" t="str">
        <f>IFERROR(VLOOKUP($Y16&amp;AR$8,Calc2!$N$4:$S$763,Settings!$G$29,0),"")</f>
        <v>50 - 39</v>
      </c>
      <c r="AS16" s="146" t="str">
        <f>IFERROR(VLOOKUP($Y16&amp;AS$8,Calc2!$N$4:$S$763,Settings!$G$29,0),"")</f>
        <v>36 - 50</v>
      </c>
      <c r="AT16" s="146" t="str">
        <f>IFERROR(VLOOKUP($Y16&amp;AT$8,Calc2!$N$4:$S$763,Settings!$G$29,0),"")</f>
        <v/>
      </c>
      <c r="AU16" s="146" t="str">
        <f>IFERROR(VLOOKUP($Y16&amp;AU$8,Calc2!$N$4:$S$763,Settings!$G$29,0),"")</f>
        <v/>
      </c>
      <c r="AV16" s="146" t="str">
        <f>IFERROR(VLOOKUP($Y16&amp;AV$8,Calc2!$N$4:$S$763,Settings!$G$29,0),"")</f>
        <v/>
      </c>
      <c r="AW16" s="146" t="str">
        <f>IFERROR(VLOOKUP($Y16&amp;AW$8,Calc2!$N$4:$S$763,Settings!$G$29,0),"")</f>
        <v/>
      </c>
      <c r="AX16" s="146" t="str">
        <f>IFERROR(VLOOKUP($Y16&amp;AX$8,Calc2!$N$4:$S$763,Settings!$G$29,0),"")</f>
        <v/>
      </c>
      <c r="AY16" s="152"/>
      <c r="AZ16" s="146" t="str">
        <f>IFERROR(VLOOKUP($Y16&amp;AZ$8,Calc2!$N$4:$S$763,Settings!$G$29,0),"")</f>
        <v/>
      </c>
      <c r="BA16" s="146" t="str">
        <f>IFERROR(VLOOKUP($Y16&amp;BA$8,Calc2!$N$4:$S$763,Settings!$G$29,0),"")</f>
        <v>50 - 41</v>
      </c>
      <c r="BB16" s="146" t="str">
        <f>IFERROR(VLOOKUP($Y16&amp;BB$8,Calc2!$N$4:$S$763,Settings!$G$29,0),"")</f>
        <v/>
      </c>
      <c r="BC16" s="146" t="str">
        <f>IFERROR(VLOOKUP($Y16&amp;BC$8,Calc2!$N$4:$S$763,Settings!$G$29,0),"")</f>
        <v/>
      </c>
      <c r="BD16" s="146" t="str">
        <f>IFERROR(VLOOKUP($Y16&amp;BD$8,Calc2!$N$4:$S$763,Settings!$G$29,0),"")</f>
        <v>50 - 42</v>
      </c>
      <c r="BE16" s="146" t="str">
        <f>IFERROR(VLOOKUP($Y16&amp;BE$8,Calc2!$N$4:$S$763,Settings!$G$29,0),"")</f>
        <v/>
      </c>
      <c r="BF16" s="146" t="str">
        <f>IFERROR(VLOOKUP($Y16&amp;BF$8,Calc2!$N$4:$S$763,Settings!$G$29,0),"")</f>
        <v/>
      </c>
      <c r="BG16" s="146" t="str">
        <f>IFERROR(VLOOKUP($Y16&amp;BG$8,Calc2!$N$4:$S$763,Settings!$G$29,0),"")</f>
        <v>45 - 50</v>
      </c>
      <c r="BH16" s="146" t="str">
        <f>IFERROR(VLOOKUP($Y16&amp;BH$8,Calc2!$N$4:$S$763,Settings!$G$29,0),"")</f>
        <v/>
      </c>
      <c r="BI16" s="146" t="str">
        <f>IFERROR(VLOOKUP($Y16&amp;BI$8,Calc2!$N$4:$S$763,Settings!$G$29,0),"")</f>
        <v/>
      </c>
      <c r="BJ16" s="146" t="str">
        <f>IFERROR(VLOOKUP($Y16&amp;BJ$8,Calc2!$N$4:$S$763,Settings!$G$29,0),"")</f>
        <v/>
      </c>
      <c r="BK16" s="153" t="str">
        <f>IFERROR(VLOOKUP($Y16&amp;BK$8,Calc2!$N$4:$S$763,Settings!$G$29,0),"")</f>
        <v/>
      </c>
      <c r="BL16" s="180"/>
      <c r="BM16" s="193" t="b">
        <f t="shared" si="18"/>
        <v>0</v>
      </c>
      <c r="BN16" s="19" t="b">
        <f t="shared" si="19"/>
        <v>0</v>
      </c>
      <c r="BO16" s="19" t="b">
        <f t="shared" si="20"/>
        <v>0</v>
      </c>
      <c r="BP16" s="19" t="b">
        <f t="shared" si="21"/>
        <v>0</v>
      </c>
      <c r="BQ16" s="19" t="b">
        <f t="shared" si="22"/>
        <v>0</v>
      </c>
      <c r="BR16" s="19" t="b">
        <f t="shared" si="23"/>
        <v>0</v>
      </c>
      <c r="BS16" s="19" t="b">
        <f t="shared" si="24"/>
        <v>0</v>
      </c>
    </row>
    <row r="17" spans="2:71" ht="15.95" customHeight="1" x14ac:dyDescent="0.2">
      <c r="B17" s="248" t="str">
        <f>IF(Calc!$F$26=0,"",IF(OR($C17&gt;Calc!$B$24,MOD($C17-1,Calc!$F$26)&gt;0),"",QUOTIENT($C17-1,Calc!$F$26)+1))</f>
        <v/>
      </c>
      <c r="C17" s="244">
        <v>9</v>
      </c>
      <c r="D17" s="142">
        <f>IF(Planning!$T15="","",Planning!$T15)</f>
        <v>45892</v>
      </c>
      <c r="E17" s="143">
        <f>IF(Planning!$U15="","",Planning!$U15)</f>
        <v>0.64583333333333337</v>
      </c>
      <c r="F17" s="161" t="str">
        <f>Planning!$Q15</f>
        <v>FC Augsburg</v>
      </c>
      <c r="G17" s="162" t="s">
        <v>4</v>
      </c>
      <c r="H17" s="161" t="str">
        <f>Planning!$S15</f>
        <v>FC Bayern München</v>
      </c>
      <c r="I17" s="163">
        <v>16</v>
      </c>
      <c r="J17" s="315" t="str">
        <f>Language!$E$90</f>
        <v xml:space="preserve"> - </v>
      </c>
      <c r="K17" s="318">
        <v>25</v>
      </c>
      <c r="L17" s="163">
        <v>25</v>
      </c>
      <c r="M17" s="360" t="str">
        <f>Language!$E$90</f>
        <v xml:space="preserve"> - </v>
      </c>
      <c r="N17" s="318">
        <v>14</v>
      </c>
      <c r="O17" s="163">
        <v>17</v>
      </c>
      <c r="P17" s="360" t="str">
        <f>Language!$E$90</f>
        <v xml:space="preserve"> - </v>
      </c>
      <c r="Q17" s="318">
        <v>15</v>
      </c>
      <c r="R17" s="354">
        <f t="shared" si="16"/>
        <v>2</v>
      </c>
      <c r="S17" s="357" t="str">
        <f>Language!$E$90</f>
        <v xml:space="preserve"> - </v>
      </c>
      <c r="T17" s="321">
        <f t="shared" si="17"/>
        <v>1</v>
      </c>
      <c r="U17" s="294"/>
      <c r="V17" s="295"/>
      <c r="W17" s="269"/>
      <c r="X17" s="333">
        <f>IF(Calc!$K$24=0,"",IF(VLOOKUP(Calc!B12,Calc!$C$4:$E$23,3,0)=MAX(X$9:X16),VLOOKUP(Calc!B12,Calc!$C$4:$E$23,3,0),Calc!B12))</f>
        <v>9</v>
      </c>
      <c r="Y17" s="334" t="str">
        <f>IF(Calc!$K$24=0,Calc2!$C12,VLOOKUP(Calc!B12,Calc!$C$4:$N$23,4,0))</f>
        <v>Bayer 04 Leverkusen</v>
      </c>
      <c r="Z17" s="335">
        <f>IF(Calc!$K$24=0,"",VLOOKUP(Calc!B12,Calc!$C$4:$N$23,9,0))</f>
        <v>5</v>
      </c>
      <c r="AA17" s="336">
        <f>IF(Calc!$K$24=0,"",IF($Z17=0,"",VLOOKUP(Calc!B12,Calc!$C$4:$N$23,10,0)))</f>
        <v>3</v>
      </c>
      <c r="AB17" s="336">
        <f>IF(Calc!$K$24=0,"",IF($Z17=0,"",VLOOKUP(Calc!B12,Calc!$C$4:$N$23,11,0)))</f>
        <v>0</v>
      </c>
      <c r="AC17" s="337">
        <f>IF(Calc!$K$24=0,"",IF($Z17=0,"",VLOOKUP(Calc!B12,Calc!$C$4:$N$23,12,0)))</f>
        <v>2</v>
      </c>
      <c r="AD17" s="338">
        <f>IF(Calc!$K$24=0,"",IF($Z17=0,"",VLOOKUP(Calc!B12,Calc!$C$4:$Y$23,20,0)))</f>
        <v>6</v>
      </c>
      <c r="AE17" s="391" t="str">
        <f>Language!$E$90</f>
        <v xml:space="preserve"> - </v>
      </c>
      <c r="AF17" s="421">
        <f>IF(Calc!$K$24=0,"",IF($Z17=0,"",VLOOKUP(Calc!B12,Calc!$C$4:$Y$23,21,0)))</f>
        <v>4</v>
      </c>
      <c r="AG17" s="337" t="str">
        <f>IF(Calc!$K$24=0,"",IF($Z17=0,"",IF(AD17-AF17&gt;0,"+"&amp;AD17-AF17,AD17-AF17)))</f>
        <v>+2</v>
      </c>
      <c r="AH17" s="338">
        <f>IF(Calc!$K$24=0,"",IF($Z17=0,"",VLOOKUP(Calc!B12,Calc!$C$4:$N$23,5,0)))</f>
        <v>224</v>
      </c>
      <c r="AI17" s="391" t="str">
        <f>Language!$E$90</f>
        <v xml:space="preserve"> - </v>
      </c>
      <c r="AJ17" s="339">
        <f>IF(Calc!$K$24=0,"",IF($Z17=0,"",VLOOKUP(Calc!B12,Calc!$C$4:$N$23,6,0)))</f>
        <v>228</v>
      </c>
      <c r="AK17" s="429">
        <f>IF(Calc!$K$24=0,"",IF($Z17=0,"",VLOOKUP(Calc!B12,Calc!$C$4:$Y$23,23,0)))</f>
        <v>-4</v>
      </c>
      <c r="AL17" s="340">
        <f>IF(Calc!$K$24=0,"",IF($Z17=0,"",VLOOKUP(Calc!B12,Calc!$C$4:$Y$23,19,0)))</f>
        <v>6</v>
      </c>
      <c r="AM17" s="299" t="str">
        <f>IF(VLOOKUP(Calc!B12,Calc!$C$4:$O$23,13,0)=0,"",VLOOKUP(Calc!B12,Calc!$C$4:$O$23,13,0))</f>
        <v/>
      </c>
      <c r="AN17" s="286" t="str">
        <f>IF(IFERROR(VLOOKUP($Y17,Planning!$D$7:$E$26,2,0),0)=0,IF(LEN(Y17)&gt;Settings!$C$33,LEFT(Y17,Settings!$C$33)&amp;".",Y17),VLOOKUP($Y17,Planning!$D$7:$E$26,2,0))</f>
        <v>Leverkuse</v>
      </c>
      <c r="AO17" s="233"/>
      <c r="AP17" s="197">
        <f t="shared" si="7"/>
        <v>9</v>
      </c>
      <c r="AQ17" s="198" t="str">
        <f t="shared" si="8"/>
        <v>Bayer 04 Leverkusen</v>
      </c>
      <c r="AR17" s="151" t="str">
        <f>IFERROR(VLOOKUP($Y17&amp;AR$8,Calc2!$N$4:$S$763,Settings!$G$29,0),"")</f>
        <v/>
      </c>
      <c r="AS17" s="146" t="str">
        <f>IFERROR(VLOOKUP($Y17&amp;AS$8,Calc2!$N$4:$S$763,Settings!$G$29,0),"")</f>
        <v/>
      </c>
      <c r="AT17" s="146" t="str">
        <f>IFERROR(VLOOKUP($Y17&amp;AT$8,Calc2!$N$4:$S$763,Settings!$G$29,0),"")</f>
        <v>48 - 52</v>
      </c>
      <c r="AU17" s="146" t="str">
        <f>IFERROR(VLOOKUP($Y17&amp;AU$8,Calc2!$N$4:$S$763,Settings!$G$29,0),"")</f>
        <v>50 - 40</v>
      </c>
      <c r="AV17" s="146" t="str">
        <f>IFERROR(VLOOKUP($Y17&amp;AV$8,Calc2!$N$4:$S$763,Settings!$G$29,0),"")</f>
        <v>50 - 40</v>
      </c>
      <c r="AW17" s="146" t="str">
        <f>IFERROR(VLOOKUP($Y17&amp;AW$8,Calc2!$N$4:$S$763,Settings!$G$29,0),"")</f>
        <v/>
      </c>
      <c r="AX17" s="146" t="str">
        <f>IFERROR(VLOOKUP($Y17&amp;AX$8,Calc2!$N$4:$S$763,Settings!$G$29,0),"")</f>
        <v/>
      </c>
      <c r="AY17" s="146" t="str">
        <f>IFERROR(VLOOKUP($Y17&amp;AY$8,Calc2!$N$4:$S$763,Settings!$G$29,0),"")</f>
        <v/>
      </c>
      <c r="AZ17" s="152"/>
      <c r="BA17" s="146" t="str">
        <f>IFERROR(VLOOKUP($Y17&amp;BA$8,Calc2!$N$4:$S$763,Settings!$G$29,0),"")</f>
        <v/>
      </c>
      <c r="BB17" s="146" t="str">
        <f>IFERROR(VLOOKUP($Y17&amp;BB$8,Calc2!$N$4:$S$763,Settings!$G$29,0),"")</f>
        <v/>
      </c>
      <c r="BC17" s="146" t="str">
        <f>IFERROR(VLOOKUP($Y17&amp;BC$8,Calc2!$N$4:$S$763,Settings!$G$29,0),"")</f>
        <v/>
      </c>
      <c r="BD17" s="146" t="str">
        <f>IFERROR(VLOOKUP($Y17&amp;BD$8,Calc2!$N$4:$S$763,Settings!$G$29,0),"")</f>
        <v/>
      </c>
      <c r="BE17" s="146" t="str">
        <f>IFERROR(VLOOKUP($Y17&amp;BE$8,Calc2!$N$4:$S$763,Settings!$G$29,0),"")</f>
        <v>26 - 50</v>
      </c>
      <c r="BF17" s="146" t="str">
        <f>IFERROR(VLOOKUP($Y17&amp;BF$8,Calc2!$N$4:$S$763,Settings!$G$29,0),"")</f>
        <v/>
      </c>
      <c r="BG17" s="146" t="str">
        <f>IFERROR(VLOOKUP($Y17&amp;BG$8,Calc2!$N$4:$S$763,Settings!$G$29,0),"")</f>
        <v/>
      </c>
      <c r="BH17" s="146" t="str">
        <f>IFERROR(VLOOKUP($Y17&amp;BH$8,Calc2!$N$4:$S$763,Settings!$G$29,0),"")</f>
        <v>50 - 46</v>
      </c>
      <c r="BI17" s="146" t="str">
        <f>IFERROR(VLOOKUP($Y17&amp;BI$8,Calc2!$N$4:$S$763,Settings!$G$29,0),"")</f>
        <v/>
      </c>
      <c r="BJ17" s="146" t="str">
        <f>IFERROR(VLOOKUP($Y17&amp;BJ$8,Calc2!$N$4:$S$763,Settings!$G$29,0),"")</f>
        <v/>
      </c>
      <c r="BK17" s="153" t="str">
        <f>IFERROR(VLOOKUP($Y17&amp;BK$8,Calc2!$N$4:$S$763,Settings!$G$29,0),"")</f>
        <v/>
      </c>
      <c r="BL17" s="180"/>
      <c r="BM17" s="193" t="b">
        <f t="shared" si="18"/>
        <v>0</v>
      </c>
      <c r="BN17" s="19" t="b">
        <f t="shared" si="19"/>
        <v>0</v>
      </c>
      <c r="BO17" s="19" t="b">
        <f t="shared" si="20"/>
        <v>0</v>
      </c>
      <c r="BP17" s="19" t="b">
        <f t="shared" si="21"/>
        <v>0</v>
      </c>
      <c r="BQ17" s="19" t="b">
        <f t="shared" si="22"/>
        <v>0</v>
      </c>
      <c r="BR17" s="19" t="b">
        <f t="shared" si="23"/>
        <v>0</v>
      </c>
      <c r="BS17" s="19" t="b">
        <f t="shared" si="24"/>
        <v>0</v>
      </c>
    </row>
    <row r="18" spans="2:71" ht="15.95" customHeight="1" x14ac:dyDescent="0.2">
      <c r="B18" s="248">
        <f>IF(Calc!$F$26=0,"",IF(OR($C18&gt;Calc!$B$24,MOD($C18-1,Calc!$F$26)&gt;0),"",QUOTIENT($C18-1,Calc!$F$26)+1))</f>
        <v>2</v>
      </c>
      <c r="C18" s="244">
        <v>10</v>
      </c>
      <c r="D18" s="142">
        <f>IF(Planning!$T16="","",Planning!$T16)</f>
        <v>45899</v>
      </c>
      <c r="E18" s="143">
        <f>IF(Planning!$U16="","",Planning!$U16)</f>
        <v>0.64583333333333337</v>
      </c>
      <c r="F18" s="161" t="str">
        <f>Planning!$Q16</f>
        <v>VfB Stuttgart</v>
      </c>
      <c r="G18" s="162" t="s">
        <v>4</v>
      </c>
      <c r="H18" s="161" t="str">
        <f>Planning!$S16</f>
        <v>1. FC Heidenheim 1846</v>
      </c>
      <c r="I18" s="163">
        <v>25</v>
      </c>
      <c r="J18" s="315" t="str">
        <f>Language!$E$90</f>
        <v xml:space="preserve"> - </v>
      </c>
      <c r="K18" s="318">
        <v>22</v>
      </c>
      <c r="L18" s="163">
        <v>25</v>
      </c>
      <c r="M18" s="360" t="str">
        <f>Language!$E$90</f>
        <v xml:space="preserve"> - </v>
      </c>
      <c r="N18" s="318">
        <v>19</v>
      </c>
      <c r="O18" s="163"/>
      <c r="P18" s="360" t="str">
        <f>Language!$E$90</f>
        <v xml:space="preserve"> - </v>
      </c>
      <c r="Q18" s="318"/>
      <c r="R18" s="354">
        <f t="shared" si="16"/>
        <v>2</v>
      </c>
      <c r="S18" s="357" t="str">
        <f>Language!$E$90</f>
        <v xml:space="preserve"> - </v>
      </c>
      <c r="T18" s="321">
        <f t="shared" si="17"/>
        <v>0</v>
      </c>
      <c r="U18" s="294"/>
      <c r="V18" s="295"/>
      <c r="W18" s="269"/>
      <c r="X18" s="333">
        <f>IF(Calc!$K$24=0,"",IF(VLOOKUP(Calc!B13,Calc!$C$4:$E$23,3,0)=MAX(X$9:X17),VLOOKUP(Calc!B13,Calc!$C$4:$E$23,3,0),Calc!B13))</f>
        <v>10</v>
      </c>
      <c r="Y18" s="334" t="str">
        <f>IF(Calc!$K$24=0,Calc2!$C13,VLOOKUP(Calc!B13,Calc!$C$4:$N$23,4,0))</f>
        <v>1. FC Heidenheim 1846</v>
      </c>
      <c r="Z18" s="335">
        <f>IF(Calc!$K$24=0,"",VLOOKUP(Calc!B13,Calc!$C$4:$N$23,9,0))</f>
        <v>5</v>
      </c>
      <c r="AA18" s="336">
        <f>IF(Calc!$K$24=0,"",IF($Z18=0,"",VLOOKUP(Calc!B13,Calc!$C$4:$N$23,10,0)))</f>
        <v>2</v>
      </c>
      <c r="AB18" s="336">
        <f>IF(Calc!$K$24=0,"",IF($Z18=0,"",VLOOKUP(Calc!B13,Calc!$C$4:$N$23,11,0)))</f>
        <v>0</v>
      </c>
      <c r="AC18" s="337">
        <f>IF(Calc!$K$24=0,"",IF($Z18=0,"",VLOOKUP(Calc!B13,Calc!$C$4:$N$23,12,0)))</f>
        <v>3</v>
      </c>
      <c r="AD18" s="338">
        <f>IF(Calc!$K$24=0,"",IF($Z18=0,"",VLOOKUP(Calc!B13,Calc!$C$4:$Y$23,20,0)))</f>
        <v>6</v>
      </c>
      <c r="AE18" s="391" t="str">
        <f>Language!$E$90</f>
        <v xml:space="preserve"> - </v>
      </c>
      <c r="AF18" s="421">
        <f>IF(Calc!$K$24=0,"",IF($Z18=0,"",VLOOKUP(Calc!B13,Calc!$C$4:$Y$23,21,0)))</f>
        <v>6</v>
      </c>
      <c r="AG18" s="337">
        <f>IF(Calc!$K$24=0,"",IF($Z18=0,"",IF(AD18-AF18&gt;0,"+"&amp;AD18-AF18,AD18-AF18)))</f>
        <v>0</v>
      </c>
      <c r="AH18" s="338">
        <f>IF(Calc!$K$24=0,"",IF($Z18=0,"",VLOOKUP(Calc!B13,Calc!$C$4:$N$23,5,0)))</f>
        <v>254</v>
      </c>
      <c r="AI18" s="391" t="str">
        <f>Language!$E$90</f>
        <v xml:space="preserve"> - </v>
      </c>
      <c r="AJ18" s="339">
        <f>IF(Calc!$K$24=0,"",IF($Z18=0,"",VLOOKUP(Calc!B13,Calc!$C$4:$N$23,6,0)))</f>
        <v>254</v>
      </c>
      <c r="AK18" s="429">
        <f>IF(Calc!$K$24=0,"",IF($Z18=0,"",VLOOKUP(Calc!B13,Calc!$C$4:$Y$23,23,0)))</f>
        <v>0</v>
      </c>
      <c r="AL18" s="340">
        <f>IF(Calc!$K$24=0,"",IF($Z18=0,"",VLOOKUP(Calc!B13,Calc!$C$4:$Y$23,19,0)))</f>
        <v>6</v>
      </c>
      <c r="AM18" s="299" t="str">
        <f>IF(VLOOKUP(Calc!B13,Calc!$C$4:$O$23,13,0)=0,"",VLOOKUP(Calc!B13,Calc!$C$4:$O$23,13,0))</f>
        <v/>
      </c>
      <c r="AN18" s="286" t="str">
        <f>IF(IFERROR(VLOOKUP($Y18,Planning!$D$7:$E$26,2,0),0)=0,IF(LEN(Y18)&gt;Settings!$C$33,LEFT(Y18,Settings!$C$33)&amp;".",Y18),VLOOKUP($Y18,Planning!$D$7:$E$26,2,0))</f>
        <v>Heidenhei</v>
      </c>
      <c r="AO18" s="233"/>
      <c r="AP18" s="197">
        <f t="shared" si="7"/>
        <v>10</v>
      </c>
      <c r="AQ18" s="198" t="str">
        <f t="shared" si="8"/>
        <v>1. FC Heidenheim 1846</v>
      </c>
      <c r="AR18" s="151" t="str">
        <f>IFERROR(VLOOKUP($Y18&amp;AR$8,Calc2!$N$4:$S$763,Settings!$G$29,0),"")</f>
        <v/>
      </c>
      <c r="AS18" s="146" t="str">
        <f>IFERROR(VLOOKUP($Y18&amp;AS$8,Calc2!$N$4:$S$763,Settings!$G$29,0),"")</f>
        <v/>
      </c>
      <c r="AT18" s="146" t="str">
        <f>IFERROR(VLOOKUP($Y18&amp;AT$8,Calc2!$N$4:$S$763,Settings!$G$29,0),"")</f>
        <v/>
      </c>
      <c r="AU18" s="146" t="str">
        <f>IFERROR(VLOOKUP($Y18&amp;AU$8,Calc2!$N$4:$S$763,Settings!$G$29,0),"")</f>
        <v/>
      </c>
      <c r="AV18" s="146" t="str">
        <f>IFERROR(VLOOKUP($Y18&amp;AV$8,Calc2!$N$4:$S$763,Settings!$G$29,0),"")</f>
        <v/>
      </c>
      <c r="AW18" s="146" t="str">
        <f>IFERROR(VLOOKUP($Y18&amp;AW$8,Calc2!$N$4:$S$763,Settings!$G$29,0),"")</f>
        <v/>
      </c>
      <c r="AX18" s="146" t="str">
        <f>IFERROR(VLOOKUP($Y18&amp;AX$8,Calc2!$N$4:$S$763,Settings!$G$29,0),"")</f>
        <v/>
      </c>
      <c r="AY18" s="146" t="str">
        <f>IFERROR(VLOOKUP($Y18&amp;AY$8,Calc2!$N$4:$S$763,Settings!$G$29,0),"")</f>
        <v>41 - 50</v>
      </c>
      <c r="AZ18" s="146" t="str">
        <f>IFERROR(VLOOKUP($Y18&amp;AZ$8,Calc2!$N$4:$S$763,Settings!$G$29,0),"")</f>
        <v/>
      </c>
      <c r="BA18" s="152"/>
      <c r="BB18" s="146" t="str">
        <f>IFERROR(VLOOKUP($Y18&amp;BB$8,Calc2!$N$4:$S$763,Settings!$G$29,0),"")</f>
        <v/>
      </c>
      <c r="BC18" s="146" t="str">
        <f>IFERROR(VLOOKUP($Y18&amp;BC$8,Calc2!$N$4:$S$763,Settings!$G$29,0),"")</f>
        <v>53 - 58</v>
      </c>
      <c r="BD18" s="146" t="str">
        <f>IFERROR(VLOOKUP($Y18&amp;BD$8,Calc2!$N$4:$S$763,Settings!$G$29,0),"")</f>
        <v/>
      </c>
      <c r="BE18" s="146" t="str">
        <f>IFERROR(VLOOKUP($Y18&amp;BE$8,Calc2!$N$4:$S$763,Settings!$G$29,0),"")</f>
        <v/>
      </c>
      <c r="BF18" s="146" t="str">
        <f>IFERROR(VLOOKUP($Y18&amp;BF$8,Calc2!$N$4:$S$763,Settings!$G$29,0),"")</f>
        <v>50 - 41</v>
      </c>
      <c r="BG18" s="146" t="str">
        <f>IFERROR(VLOOKUP($Y18&amp;BG$8,Calc2!$N$4:$S$763,Settings!$G$29,0),"")</f>
        <v>60 - 59</v>
      </c>
      <c r="BH18" s="146" t="str">
        <f>IFERROR(VLOOKUP($Y18&amp;BH$8,Calc2!$N$4:$S$763,Settings!$G$29,0),"")</f>
        <v>50 - 46</v>
      </c>
      <c r="BI18" s="146" t="str">
        <f>IFERROR(VLOOKUP($Y18&amp;BI$8,Calc2!$N$4:$S$763,Settings!$G$29,0),"")</f>
        <v/>
      </c>
      <c r="BJ18" s="146" t="str">
        <f>IFERROR(VLOOKUP($Y18&amp;BJ$8,Calc2!$N$4:$S$763,Settings!$G$29,0),"")</f>
        <v/>
      </c>
      <c r="BK18" s="153" t="str">
        <f>IFERROR(VLOOKUP($Y18&amp;BK$8,Calc2!$N$4:$S$763,Settings!$G$29,0),"")</f>
        <v/>
      </c>
      <c r="BL18" s="180"/>
      <c r="BM18" s="193" t="b">
        <f t="shared" si="18"/>
        <v>0</v>
      </c>
      <c r="BN18" s="19" t="b">
        <f t="shared" si="19"/>
        <v>0</v>
      </c>
      <c r="BO18" s="19" t="b">
        <f t="shared" si="20"/>
        <v>0</v>
      </c>
      <c r="BP18" s="19" t="b">
        <f t="shared" si="21"/>
        <v>1</v>
      </c>
      <c r="BQ18" s="19" t="b">
        <f t="shared" si="22"/>
        <v>0</v>
      </c>
      <c r="BR18" s="19" t="b">
        <f t="shared" si="23"/>
        <v>0</v>
      </c>
      <c r="BS18" s="19" t="b">
        <f t="shared" si="24"/>
        <v>0</v>
      </c>
    </row>
    <row r="19" spans="2:71" ht="15.95" customHeight="1" x14ac:dyDescent="0.2">
      <c r="B19" s="248" t="str">
        <f>IF(Calc!$F$26=0,"",IF(OR($C19&gt;Calc!$B$24,MOD($C19-1,Calc!$F$26)&gt;0),"",QUOTIENT($C19-1,Calc!$F$26)+1))</f>
        <v/>
      </c>
      <c r="C19" s="244">
        <v>11</v>
      </c>
      <c r="D19" s="142">
        <f>IF(Planning!$T17="","",Planning!$T17)</f>
        <v>45899</v>
      </c>
      <c r="E19" s="143">
        <f>IF(Planning!$U17="","",Planning!$U17)</f>
        <v>0.64583333333333337</v>
      </c>
      <c r="F19" s="161" t="str">
        <f>Planning!$Q17</f>
        <v>TSG Hoffenheim</v>
      </c>
      <c r="G19" s="162" t="s">
        <v>4</v>
      </c>
      <c r="H19" s="161" t="str">
        <f>Planning!$S17</f>
        <v>VfL Wolfsburg</v>
      </c>
      <c r="I19" s="163">
        <v>22</v>
      </c>
      <c r="J19" s="315" t="str">
        <f>Language!$E$90</f>
        <v xml:space="preserve"> - </v>
      </c>
      <c r="K19" s="318">
        <v>25</v>
      </c>
      <c r="L19" s="163">
        <v>25</v>
      </c>
      <c r="M19" s="360" t="str">
        <f>Language!$E$90</f>
        <v xml:space="preserve"> - </v>
      </c>
      <c r="N19" s="318">
        <v>20</v>
      </c>
      <c r="O19" s="163">
        <v>15</v>
      </c>
      <c r="P19" s="360" t="str">
        <f>Language!$E$90</f>
        <v xml:space="preserve"> - </v>
      </c>
      <c r="Q19" s="318">
        <v>11</v>
      </c>
      <c r="R19" s="354">
        <f t="shared" si="16"/>
        <v>2</v>
      </c>
      <c r="S19" s="357" t="str">
        <f>Language!$E$90</f>
        <v xml:space="preserve"> - </v>
      </c>
      <c r="T19" s="321">
        <f t="shared" si="17"/>
        <v>1</v>
      </c>
      <c r="U19" s="294"/>
      <c r="V19" s="295"/>
      <c r="W19" s="269"/>
      <c r="X19" s="333">
        <f>IF(Calc!$K$24=0,"",IF(VLOOKUP(Calc!B14,Calc!$C$4:$E$23,3,0)=MAX(X$9:X18),VLOOKUP(Calc!B14,Calc!$C$4:$E$23,3,0),Calc!B14))</f>
        <v>11</v>
      </c>
      <c r="Y19" s="334" t="str">
        <f>IF(Calc!$K$24=0,Calc2!$C14,VLOOKUP(Calc!B14,Calc!$C$4:$N$23,4,0))</f>
        <v>1. FC Union Berlin</v>
      </c>
      <c r="Z19" s="335">
        <f>IF(Calc!$K$24=0,"",VLOOKUP(Calc!B14,Calc!$C$4:$N$23,9,0))</f>
        <v>5</v>
      </c>
      <c r="AA19" s="336">
        <f>IF(Calc!$K$24=0,"",IF($Z19=0,"",VLOOKUP(Calc!B14,Calc!$C$4:$N$23,10,0)))</f>
        <v>2</v>
      </c>
      <c r="AB19" s="336">
        <f>IF(Calc!$K$24=0,"",IF($Z19=0,"",VLOOKUP(Calc!B14,Calc!$C$4:$N$23,11,0)))</f>
        <v>0</v>
      </c>
      <c r="AC19" s="337">
        <f>IF(Calc!$K$24=0,"",IF($Z19=0,"",VLOOKUP(Calc!B14,Calc!$C$4:$N$23,12,0)))</f>
        <v>3</v>
      </c>
      <c r="AD19" s="338">
        <f>IF(Calc!$K$24=0,"",IF($Z19=0,"",VLOOKUP(Calc!B14,Calc!$C$4:$Y$23,20,0)))</f>
        <v>5</v>
      </c>
      <c r="AE19" s="391" t="str">
        <f>Language!$E$90</f>
        <v xml:space="preserve"> - </v>
      </c>
      <c r="AF19" s="421">
        <f>IF(Calc!$K$24=0,"",IF($Z19=0,"",VLOOKUP(Calc!B14,Calc!$C$4:$Y$23,21,0)))</f>
        <v>6</v>
      </c>
      <c r="AG19" s="337">
        <f>IF(Calc!$K$24=0,"",IF($Z19=0,"",IF(AD19-AF19&gt;0,"+"&amp;AD19-AF19,AD19-AF19)))</f>
        <v>-1</v>
      </c>
      <c r="AH19" s="338">
        <f>IF(Calc!$K$24=0,"",IF($Z19=0,"",VLOOKUP(Calc!B14,Calc!$C$4:$N$23,5,0)))</f>
        <v>240</v>
      </c>
      <c r="AI19" s="391" t="str">
        <f>Language!$E$90</f>
        <v xml:space="preserve"> - </v>
      </c>
      <c r="AJ19" s="339">
        <f>IF(Calc!$K$24=0,"",IF($Z19=0,"",VLOOKUP(Calc!B14,Calc!$C$4:$N$23,6,0)))</f>
        <v>230</v>
      </c>
      <c r="AK19" s="429" t="str">
        <f>IF(Calc!$K$24=0,"",IF($Z19=0,"",VLOOKUP(Calc!B14,Calc!$C$4:$Y$23,23,0)))</f>
        <v>+10</v>
      </c>
      <c r="AL19" s="340">
        <f>IF(Calc!$K$24=0,"",IF($Z19=0,"",VLOOKUP(Calc!B14,Calc!$C$4:$Y$23,19,0)))</f>
        <v>5</v>
      </c>
      <c r="AM19" s="299" t="str">
        <f>IF(VLOOKUP(Calc!B14,Calc!$C$4:$O$23,13,0)=0,"",VLOOKUP(Calc!B14,Calc!$C$4:$O$23,13,0))</f>
        <v/>
      </c>
      <c r="AN19" s="286" t="str">
        <f>IF(IFERROR(VLOOKUP($Y19,Planning!$D$7:$E$26,2,0),0)=0,IF(LEN(Y19)&gt;Settings!$C$33,LEFT(Y19,Settings!$C$33)&amp;".",Y19),VLOOKUP($Y19,Planning!$D$7:$E$26,2,0))</f>
        <v>Union Ber</v>
      </c>
      <c r="AO19" s="233"/>
      <c r="AP19" s="197">
        <f t="shared" si="7"/>
        <v>11</v>
      </c>
      <c r="AQ19" s="198" t="str">
        <f t="shared" si="8"/>
        <v>1. FC Union Berlin</v>
      </c>
      <c r="AR19" s="151" t="str">
        <f>IFERROR(VLOOKUP($Y19&amp;AR$8,Calc2!$N$4:$S$763,Settings!$G$29,0),"")</f>
        <v/>
      </c>
      <c r="AS19" s="146" t="str">
        <f>IFERROR(VLOOKUP($Y19&amp;AS$8,Calc2!$N$4:$S$763,Settings!$G$29,0),"")</f>
        <v/>
      </c>
      <c r="AT19" s="146" t="str">
        <f>IFERROR(VLOOKUP($Y19&amp;AT$8,Calc2!$N$4:$S$763,Settings!$G$29,0),"")</f>
        <v>40 - 50</v>
      </c>
      <c r="AU19" s="146" t="str">
        <f>IFERROR(VLOOKUP($Y19&amp;AU$8,Calc2!$N$4:$S$763,Settings!$G$29,0),"")</f>
        <v>40 - 50</v>
      </c>
      <c r="AV19" s="146" t="str">
        <f>IFERROR(VLOOKUP($Y19&amp;AV$8,Calc2!$N$4:$S$763,Settings!$G$29,0),"")</f>
        <v>60 - 61</v>
      </c>
      <c r="AW19" s="146" t="str">
        <f>IFERROR(VLOOKUP($Y19&amp;AW$8,Calc2!$N$4:$S$763,Settings!$G$29,0),"")</f>
        <v/>
      </c>
      <c r="AX19" s="146" t="str">
        <f>IFERROR(VLOOKUP($Y19&amp;AX$8,Calc2!$N$4:$S$763,Settings!$G$29,0),"")</f>
        <v/>
      </c>
      <c r="AY19" s="146" t="str">
        <f>IFERROR(VLOOKUP($Y19&amp;AY$8,Calc2!$N$4:$S$763,Settings!$G$29,0),"")</f>
        <v/>
      </c>
      <c r="AZ19" s="146" t="str">
        <f>IFERROR(VLOOKUP($Y19&amp;AZ$8,Calc2!$N$4:$S$763,Settings!$G$29,0),"")</f>
        <v/>
      </c>
      <c r="BA19" s="146" t="str">
        <f>IFERROR(VLOOKUP($Y19&amp;BA$8,Calc2!$N$4:$S$763,Settings!$G$29,0),"")</f>
        <v/>
      </c>
      <c r="BB19" s="152"/>
      <c r="BC19" s="146" t="str">
        <f>IFERROR(VLOOKUP($Y19&amp;BC$8,Calc2!$N$4:$S$763,Settings!$G$29,0),"")</f>
        <v/>
      </c>
      <c r="BD19" s="146" t="str">
        <f>IFERROR(VLOOKUP($Y19&amp;BD$8,Calc2!$N$4:$S$763,Settings!$G$29,0),"")</f>
        <v/>
      </c>
      <c r="BE19" s="146" t="str">
        <f>IFERROR(VLOOKUP($Y19&amp;BE$8,Calc2!$N$4:$S$763,Settings!$G$29,0),"")</f>
        <v/>
      </c>
      <c r="BF19" s="146" t="str">
        <f>IFERROR(VLOOKUP($Y19&amp;BF$8,Calc2!$N$4:$S$763,Settings!$G$29,0),"")</f>
        <v>50 - 40</v>
      </c>
      <c r="BG19" s="146" t="str">
        <f>IFERROR(VLOOKUP($Y19&amp;BG$8,Calc2!$N$4:$S$763,Settings!$G$29,0),"")</f>
        <v/>
      </c>
      <c r="BH19" s="146" t="str">
        <f>IFERROR(VLOOKUP($Y19&amp;BH$8,Calc2!$N$4:$S$763,Settings!$G$29,0),"")</f>
        <v>50 - 29</v>
      </c>
      <c r="BI19" s="146" t="str">
        <f>IFERROR(VLOOKUP($Y19&amp;BI$8,Calc2!$N$4:$S$763,Settings!$G$29,0),"")</f>
        <v/>
      </c>
      <c r="BJ19" s="146" t="str">
        <f>IFERROR(VLOOKUP($Y19&amp;BJ$8,Calc2!$N$4:$S$763,Settings!$G$29,0),"")</f>
        <v/>
      </c>
      <c r="BK19" s="153" t="str">
        <f>IFERROR(VLOOKUP($Y19&amp;BK$8,Calc2!$N$4:$S$763,Settings!$G$29,0),"")</f>
        <v/>
      </c>
      <c r="BL19" s="180"/>
      <c r="BM19" s="193" t="b">
        <f t="shared" si="18"/>
        <v>0</v>
      </c>
      <c r="BN19" s="19" t="b">
        <f t="shared" si="19"/>
        <v>0</v>
      </c>
      <c r="BO19" s="19" t="b">
        <f t="shared" si="20"/>
        <v>0</v>
      </c>
      <c r="BP19" s="19" t="b">
        <f t="shared" si="21"/>
        <v>0</v>
      </c>
      <c r="BQ19" s="19" t="b">
        <f t="shared" si="22"/>
        <v>0</v>
      </c>
      <c r="BR19" s="19" t="b">
        <f t="shared" si="23"/>
        <v>0</v>
      </c>
      <c r="BS19" s="19" t="b">
        <f t="shared" si="24"/>
        <v>0</v>
      </c>
    </row>
    <row r="20" spans="2:71" ht="15.95" customHeight="1" x14ac:dyDescent="0.2">
      <c r="B20" s="248" t="str">
        <f>IF(Calc!$F$26=0,"",IF(OR($C20&gt;Calc!$B$24,MOD($C20-1,Calc!$F$26)&gt;0),"",QUOTIENT($C20-1,Calc!$F$26)+1))</f>
        <v/>
      </c>
      <c r="C20" s="244">
        <v>12</v>
      </c>
      <c r="D20" s="142">
        <f>IF(Planning!$T18="","",Planning!$T18)</f>
        <v>45899</v>
      </c>
      <c r="E20" s="143">
        <f>IF(Planning!$U18="","",Planning!$U18)</f>
        <v>0.64583333333333337</v>
      </c>
      <c r="F20" s="161" t="str">
        <f>Planning!$Q18</f>
        <v>1. FC Köln</v>
      </c>
      <c r="G20" s="162" t="s">
        <v>4</v>
      </c>
      <c r="H20" s="161" t="str">
        <f>Planning!$S18</f>
        <v>SV Werder Bremen</v>
      </c>
      <c r="I20" s="163">
        <v>27</v>
      </c>
      <c r="J20" s="315" t="str">
        <f>Language!$E$90</f>
        <v xml:space="preserve"> - </v>
      </c>
      <c r="K20" s="318">
        <v>25</v>
      </c>
      <c r="L20" s="163">
        <v>25</v>
      </c>
      <c r="M20" s="360" t="str">
        <f>Language!$E$90</f>
        <v xml:space="preserve"> - </v>
      </c>
      <c r="N20" s="318">
        <v>22</v>
      </c>
      <c r="O20" s="163"/>
      <c r="P20" s="360" t="str">
        <f>Language!$E$90</f>
        <v xml:space="preserve"> - </v>
      </c>
      <c r="Q20" s="318"/>
      <c r="R20" s="354">
        <f t="shared" si="16"/>
        <v>2</v>
      </c>
      <c r="S20" s="357" t="str">
        <f>Language!$E$90</f>
        <v xml:space="preserve"> - </v>
      </c>
      <c r="T20" s="321">
        <f t="shared" si="17"/>
        <v>0</v>
      </c>
      <c r="U20" s="294"/>
      <c r="V20" s="295"/>
      <c r="W20" s="269"/>
      <c r="X20" s="333">
        <f>IF(Calc!$K$24=0,"",IF(VLOOKUP(Calc!B15,Calc!$C$4:$E$23,3,0)=MAX(X$9:X19),VLOOKUP(Calc!B15,Calc!$C$4:$E$23,3,0),Calc!B15))</f>
        <v>12</v>
      </c>
      <c r="Y20" s="334" t="str">
        <f>IF(Calc!$K$24=0,Calc2!$C15,VLOOKUP(Calc!B15,Calc!$C$4:$N$23,4,0))</f>
        <v>VfL Wolfsburg</v>
      </c>
      <c r="Z20" s="335">
        <f>IF(Calc!$K$24=0,"",VLOOKUP(Calc!B15,Calc!$C$4:$N$23,9,0))</f>
        <v>5</v>
      </c>
      <c r="AA20" s="336">
        <f>IF(Calc!$K$24=0,"",IF($Z20=0,"",VLOOKUP(Calc!B15,Calc!$C$4:$N$23,10,0)))</f>
        <v>2</v>
      </c>
      <c r="AB20" s="336">
        <f>IF(Calc!$K$24=0,"",IF($Z20=0,"",VLOOKUP(Calc!B15,Calc!$C$4:$N$23,11,0)))</f>
        <v>0</v>
      </c>
      <c r="AC20" s="337">
        <f>IF(Calc!$K$24=0,"",IF($Z20=0,"",VLOOKUP(Calc!B15,Calc!$C$4:$N$23,12,0)))</f>
        <v>3</v>
      </c>
      <c r="AD20" s="338">
        <f>IF(Calc!$K$24=0,"",IF($Z20=0,"",VLOOKUP(Calc!B15,Calc!$C$4:$Y$23,20,0)))</f>
        <v>5</v>
      </c>
      <c r="AE20" s="391" t="str">
        <f>Language!$E$90</f>
        <v xml:space="preserve"> - </v>
      </c>
      <c r="AF20" s="421">
        <f>IF(Calc!$K$24=0,"",IF($Z20=0,"",VLOOKUP(Calc!B15,Calc!$C$4:$Y$23,21,0)))</f>
        <v>7</v>
      </c>
      <c r="AG20" s="337">
        <f>IF(Calc!$K$24=0,"",IF($Z20=0,"",IF(AD20-AF20&gt;0,"+"&amp;AD20-AF20,AD20-AF20)))</f>
        <v>-2</v>
      </c>
      <c r="AH20" s="338">
        <f>IF(Calc!$K$24=0,"",IF($Z20=0,"",VLOOKUP(Calc!B15,Calc!$C$4:$N$23,5,0)))</f>
        <v>246</v>
      </c>
      <c r="AI20" s="391" t="str">
        <f>Language!$E$90</f>
        <v xml:space="preserve"> - </v>
      </c>
      <c r="AJ20" s="339">
        <f>IF(Calc!$K$24=0,"",IF($Z20=0,"",VLOOKUP(Calc!B15,Calc!$C$4:$N$23,6,0)))</f>
        <v>244</v>
      </c>
      <c r="AK20" s="429" t="str">
        <f>IF(Calc!$K$24=0,"",IF($Z20=0,"",VLOOKUP(Calc!B15,Calc!$C$4:$Y$23,23,0)))</f>
        <v>+2</v>
      </c>
      <c r="AL20" s="340">
        <f>IF(Calc!$K$24=0,"",IF($Z20=0,"",VLOOKUP(Calc!B15,Calc!$C$4:$Y$23,19,0)))</f>
        <v>5</v>
      </c>
      <c r="AM20" s="299" t="str">
        <f>IF(VLOOKUP(Calc!B15,Calc!$C$4:$O$23,13,0)=0,"",VLOOKUP(Calc!B15,Calc!$C$4:$O$23,13,0))</f>
        <v/>
      </c>
      <c r="AN20" s="286" t="str">
        <f>IF(IFERROR(VLOOKUP($Y20,Planning!$D$7:$E$26,2,0),0)=0,IF(LEN(Y20)&gt;Settings!$C$33,LEFT(Y20,Settings!$C$33)&amp;".",Y20),VLOOKUP($Y20,Planning!$D$7:$E$26,2,0))</f>
        <v>Wolfsburg</v>
      </c>
      <c r="AO20" s="233"/>
      <c r="AP20" s="197">
        <f t="shared" si="7"/>
        <v>12</v>
      </c>
      <c r="AQ20" s="198" t="str">
        <f t="shared" si="8"/>
        <v>VfL Wolfsburg</v>
      </c>
      <c r="AR20" s="151" t="str">
        <f>IFERROR(VLOOKUP($Y20&amp;AR$8,Calc2!$N$4:$S$763,Settings!$G$29,0),"")</f>
        <v/>
      </c>
      <c r="AS20" s="146" t="str">
        <f>IFERROR(VLOOKUP($Y20&amp;AS$8,Calc2!$N$4:$S$763,Settings!$G$29,0),"")</f>
        <v/>
      </c>
      <c r="AT20" s="146" t="str">
        <f>IFERROR(VLOOKUP($Y20&amp;AT$8,Calc2!$N$4:$S$763,Settings!$G$29,0),"")</f>
        <v>43 - 50</v>
      </c>
      <c r="AU20" s="146" t="str">
        <f>IFERROR(VLOOKUP($Y20&amp;AU$8,Calc2!$N$4:$S$763,Settings!$G$29,0),"")</f>
        <v/>
      </c>
      <c r="AV20" s="146" t="str">
        <f>IFERROR(VLOOKUP($Y20&amp;AV$8,Calc2!$N$4:$S$763,Settings!$G$29,0),"")</f>
        <v>39 - 50</v>
      </c>
      <c r="AW20" s="146" t="str">
        <f>IFERROR(VLOOKUP($Y20&amp;AW$8,Calc2!$N$4:$S$763,Settings!$G$29,0),"")</f>
        <v/>
      </c>
      <c r="AX20" s="146" t="str">
        <f>IFERROR(VLOOKUP($Y20&amp;AX$8,Calc2!$N$4:$S$763,Settings!$G$29,0),"")</f>
        <v/>
      </c>
      <c r="AY20" s="146" t="str">
        <f>IFERROR(VLOOKUP($Y20&amp;AY$8,Calc2!$N$4:$S$763,Settings!$G$29,0),"")</f>
        <v/>
      </c>
      <c r="AZ20" s="146" t="str">
        <f>IFERROR(VLOOKUP($Y20&amp;AZ$8,Calc2!$N$4:$S$763,Settings!$G$29,0),"")</f>
        <v/>
      </c>
      <c r="BA20" s="146" t="str">
        <f>IFERROR(VLOOKUP($Y20&amp;BA$8,Calc2!$N$4:$S$763,Settings!$G$29,0),"")</f>
        <v>58 - 53</v>
      </c>
      <c r="BB20" s="146" t="str">
        <f>IFERROR(VLOOKUP($Y20&amp;BB$8,Calc2!$N$4:$S$763,Settings!$G$29,0),"")</f>
        <v/>
      </c>
      <c r="BC20" s="152"/>
      <c r="BD20" s="146" t="str">
        <f>IFERROR(VLOOKUP($Y20&amp;BD$8,Calc2!$N$4:$S$763,Settings!$G$29,0),"")</f>
        <v/>
      </c>
      <c r="BE20" s="146" t="str">
        <f>IFERROR(VLOOKUP($Y20&amp;BE$8,Calc2!$N$4:$S$763,Settings!$G$29,0),"")</f>
        <v/>
      </c>
      <c r="BF20" s="146" t="str">
        <f>IFERROR(VLOOKUP($Y20&amp;BF$8,Calc2!$N$4:$S$763,Settings!$G$29,0),"")</f>
        <v>56 - 62</v>
      </c>
      <c r="BG20" s="146" t="str">
        <f>IFERROR(VLOOKUP($Y20&amp;BG$8,Calc2!$N$4:$S$763,Settings!$G$29,0),"")</f>
        <v/>
      </c>
      <c r="BH20" s="146" t="str">
        <f>IFERROR(VLOOKUP($Y20&amp;BH$8,Calc2!$N$4:$S$763,Settings!$G$29,0),"")</f>
        <v>50 - 29</v>
      </c>
      <c r="BI20" s="146" t="str">
        <f>IFERROR(VLOOKUP($Y20&amp;BI$8,Calc2!$N$4:$S$763,Settings!$G$29,0),"")</f>
        <v/>
      </c>
      <c r="BJ20" s="146" t="str">
        <f>IFERROR(VLOOKUP($Y20&amp;BJ$8,Calc2!$N$4:$S$763,Settings!$G$29,0),"")</f>
        <v/>
      </c>
      <c r="BK20" s="153" t="str">
        <f>IFERROR(VLOOKUP($Y20&amp;BK$8,Calc2!$N$4:$S$763,Settings!$G$29,0),"")</f>
        <v/>
      </c>
      <c r="BL20" s="180"/>
      <c r="BM20" s="193" t="b">
        <f t="shared" si="18"/>
        <v>0</v>
      </c>
      <c r="BN20" s="19" t="b">
        <f t="shared" si="19"/>
        <v>0</v>
      </c>
      <c r="BO20" s="19" t="b">
        <f t="shared" si="20"/>
        <v>0</v>
      </c>
      <c r="BP20" s="19" t="b">
        <f t="shared" si="21"/>
        <v>1</v>
      </c>
      <c r="BQ20" s="19" t="b">
        <f t="shared" si="22"/>
        <v>0</v>
      </c>
      <c r="BR20" s="19" t="b">
        <f t="shared" si="23"/>
        <v>0</v>
      </c>
      <c r="BS20" s="19" t="b">
        <f t="shared" si="24"/>
        <v>0</v>
      </c>
    </row>
    <row r="21" spans="2:71" ht="15.95" customHeight="1" x14ac:dyDescent="0.2">
      <c r="B21" s="248" t="str">
        <f>IF(Calc!$F$26=0,"",IF(OR($C21&gt;Calc!$B$24,MOD($C21-1,Calc!$F$26)&gt;0),"",QUOTIENT($C21-1,Calc!$F$26)+1))</f>
        <v/>
      </c>
      <c r="C21" s="244">
        <v>13</v>
      </c>
      <c r="D21" s="142">
        <f>IF(Planning!$T19="","",Planning!$T19)</f>
        <v>45899</v>
      </c>
      <c r="E21" s="143">
        <f>IF(Planning!$U19="","",Planning!$U19)</f>
        <v>0.64583333333333337</v>
      </c>
      <c r="F21" s="161" t="str">
        <f>Planning!$Q19</f>
        <v>SC Freiburg</v>
      </c>
      <c r="G21" s="162" t="s">
        <v>4</v>
      </c>
      <c r="H21" s="161" t="str">
        <f>Planning!$S19</f>
        <v>1. FC Union Berlin</v>
      </c>
      <c r="I21" s="163">
        <v>17</v>
      </c>
      <c r="J21" s="315" t="str">
        <f>Language!$E$90</f>
        <v xml:space="preserve"> - </v>
      </c>
      <c r="K21" s="318">
        <v>25</v>
      </c>
      <c r="L21" s="163">
        <v>12</v>
      </c>
      <c r="M21" s="360" t="str">
        <f>Language!$E$90</f>
        <v xml:space="preserve"> - </v>
      </c>
      <c r="N21" s="318">
        <v>25</v>
      </c>
      <c r="O21" s="163"/>
      <c r="P21" s="360" t="str">
        <f>Language!$E$90</f>
        <v xml:space="preserve"> - </v>
      </c>
      <c r="Q21" s="318"/>
      <c r="R21" s="354">
        <f t="shared" si="16"/>
        <v>0</v>
      </c>
      <c r="S21" s="357" t="str">
        <f>Language!$E$90</f>
        <v xml:space="preserve"> - </v>
      </c>
      <c r="T21" s="321">
        <f t="shared" si="17"/>
        <v>2</v>
      </c>
      <c r="U21" s="294"/>
      <c r="V21" s="295"/>
      <c r="W21" s="269"/>
      <c r="X21" s="333">
        <f>IF(Calc!$K$24=0,"",IF(VLOOKUP(Calc!B16,Calc!$C$4:$E$23,3,0)=MAX(X$9:X20),VLOOKUP(Calc!B16,Calc!$C$4:$E$23,3,0),Calc!B16))</f>
        <v>13</v>
      </c>
      <c r="Y21" s="334" t="str">
        <f>IF(Calc!$K$24=0,Calc2!$C16,VLOOKUP(Calc!B16,Calc!$C$4:$N$23,4,0))</f>
        <v>1. FC Köln</v>
      </c>
      <c r="Z21" s="335">
        <f>IF(Calc!$K$24=0,"",VLOOKUP(Calc!B16,Calc!$C$4:$N$23,9,0))</f>
        <v>5</v>
      </c>
      <c r="AA21" s="336">
        <f>IF(Calc!$K$24=0,"",IF($Z21=0,"",VLOOKUP(Calc!B16,Calc!$C$4:$N$23,10,0)))</f>
        <v>2</v>
      </c>
      <c r="AB21" s="336">
        <f>IF(Calc!$K$24=0,"",IF($Z21=0,"",VLOOKUP(Calc!B16,Calc!$C$4:$N$23,11,0)))</f>
        <v>0</v>
      </c>
      <c r="AC21" s="337">
        <f>IF(Calc!$K$24=0,"",IF($Z21=0,"",VLOOKUP(Calc!B16,Calc!$C$4:$N$23,12,0)))</f>
        <v>3</v>
      </c>
      <c r="AD21" s="338">
        <f>IF(Calc!$K$24=0,"",IF($Z21=0,"",VLOOKUP(Calc!B16,Calc!$C$4:$Y$23,20,0)))</f>
        <v>5</v>
      </c>
      <c r="AE21" s="391" t="str">
        <f>Language!$E$90</f>
        <v xml:space="preserve"> - </v>
      </c>
      <c r="AF21" s="421">
        <f>IF(Calc!$K$24=0,"",IF($Z21=0,"",VLOOKUP(Calc!B16,Calc!$C$4:$Y$23,21,0)))</f>
        <v>7</v>
      </c>
      <c r="AG21" s="337">
        <f>IF(Calc!$K$24=0,"",IF($Z21=0,"",IF(AD21-AF21&gt;0,"+"&amp;AD21-AF21,AD21-AF21)))</f>
        <v>-2</v>
      </c>
      <c r="AH21" s="338">
        <f>IF(Calc!$K$24=0,"",IF($Z21=0,"",VLOOKUP(Calc!B16,Calc!$C$4:$N$23,5,0)))</f>
        <v>242</v>
      </c>
      <c r="AI21" s="391" t="str">
        <f>Language!$E$90</f>
        <v xml:space="preserve"> - </v>
      </c>
      <c r="AJ21" s="339">
        <f>IF(Calc!$K$24=0,"",IF($Z21=0,"",VLOOKUP(Calc!B16,Calc!$C$4:$N$23,6,0)))</f>
        <v>262</v>
      </c>
      <c r="AK21" s="429">
        <f>IF(Calc!$K$24=0,"",IF($Z21=0,"",VLOOKUP(Calc!B16,Calc!$C$4:$Y$23,23,0)))</f>
        <v>-20</v>
      </c>
      <c r="AL21" s="340">
        <f>IF(Calc!$K$24=0,"",IF($Z21=0,"",VLOOKUP(Calc!B16,Calc!$C$4:$Y$23,19,0)))</f>
        <v>5</v>
      </c>
      <c r="AM21" s="299" t="str">
        <f>IF(VLOOKUP(Calc!B16,Calc!$C$4:$O$23,13,0)=0,"",VLOOKUP(Calc!B16,Calc!$C$4:$O$23,13,0))</f>
        <v/>
      </c>
      <c r="AN21" s="286" t="str">
        <f>IF(IFERROR(VLOOKUP($Y21,Planning!$D$7:$E$26,2,0),0)=0,IF(LEN(Y21)&gt;Settings!$C$33,LEFT(Y21,Settings!$C$33)&amp;".",Y21),VLOOKUP($Y21,Planning!$D$7:$E$26,2,0))</f>
        <v>Köln</v>
      </c>
      <c r="AO21" s="233"/>
      <c r="AP21" s="197">
        <f t="shared" si="7"/>
        <v>13</v>
      </c>
      <c r="AQ21" s="198" t="str">
        <f t="shared" si="8"/>
        <v>1. FC Köln</v>
      </c>
      <c r="AR21" s="151" t="str">
        <f>IFERROR(VLOOKUP($Y21&amp;AR$8,Calc2!$N$4:$S$763,Settings!$G$29,0),"")</f>
        <v>29 - 50</v>
      </c>
      <c r="AS21" s="146" t="str">
        <f>IFERROR(VLOOKUP($Y21&amp;AS$8,Calc2!$N$4:$S$763,Settings!$G$29,0),"")</f>
        <v>58 - 60</v>
      </c>
      <c r="AT21" s="146" t="str">
        <f>IFERROR(VLOOKUP($Y21&amp;AT$8,Calc2!$N$4:$S$763,Settings!$G$29,0),"")</f>
        <v/>
      </c>
      <c r="AU21" s="146" t="str">
        <f>IFERROR(VLOOKUP($Y21&amp;AU$8,Calc2!$N$4:$S$763,Settings!$G$29,0),"")</f>
        <v/>
      </c>
      <c r="AV21" s="146" t="str">
        <f>IFERROR(VLOOKUP($Y21&amp;AV$8,Calc2!$N$4:$S$763,Settings!$G$29,0),"")</f>
        <v/>
      </c>
      <c r="AW21" s="146" t="str">
        <f>IFERROR(VLOOKUP($Y21&amp;AW$8,Calc2!$N$4:$S$763,Settings!$G$29,0),"")</f>
        <v>61 - 55</v>
      </c>
      <c r="AX21" s="146" t="str">
        <f>IFERROR(VLOOKUP($Y21&amp;AX$8,Calc2!$N$4:$S$763,Settings!$G$29,0),"")</f>
        <v/>
      </c>
      <c r="AY21" s="146" t="str">
        <f>IFERROR(VLOOKUP($Y21&amp;AY$8,Calc2!$N$4:$S$763,Settings!$G$29,0),"")</f>
        <v>42 - 50</v>
      </c>
      <c r="AZ21" s="146" t="str">
        <f>IFERROR(VLOOKUP($Y21&amp;AZ$8,Calc2!$N$4:$S$763,Settings!$G$29,0),"")</f>
        <v/>
      </c>
      <c r="BA21" s="146" t="str">
        <f>IFERROR(VLOOKUP($Y21&amp;BA$8,Calc2!$N$4:$S$763,Settings!$G$29,0),"")</f>
        <v/>
      </c>
      <c r="BB21" s="146" t="str">
        <f>IFERROR(VLOOKUP($Y21&amp;BB$8,Calc2!$N$4:$S$763,Settings!$G$29,0),"")</f>
        <v/>
      </c>
      <c r="BC21" s="146" t="str">
        <f>IFERROR(VLOOKUP($Y21&amp;BC$8,Calc2!$N$4:$S$763,Settings!$G$29,0),"")</f>
        <v/>
      </c>
      <c r="BD21" s="152"/>
      <c r="BE21" s="146" t="str">
        <f>IFERROR(VLOOKUP($Y21&amp;BE$8,Calc2!$N$4:$S$763,Settings!$G$29,0),"")</f>
        <v/>
      </c>
      <c r="BF21" s="146" t="str">
        <f>IFERROR(VLOOKUP($Y21&amp;BF$8,Calc2!$N$4:$S$763,Settings!$G$29,0),"")</f>
        <v/>
      </c>
      <c r="BG21" s="146" t="str">
        <f>IFERROR(VLOOKUP($Y21&amp;BG$8,Calc2!$N$4:$S$763,Settings!$G$29,0),"")</f>
        <v>52 - 47</v>
      </c>
      <c r="BH21" s="146" t="str">
        <f>IFERROR(VLOOKUP($Y21&amp;BH$8,Calc2!$N$4:$S$763,Settings!$G$29,0),"")</f>
        <v/>
      </c>
      <c r="BI21" s="146" t="str">
        <f>IFERROR(VLOOKUP($Y21&amp;BI$8,Calc2!$N$4:$S$763,Settings!$G$29,0),"")</f>
        <v/>
      </c>
      <c r="BJ21" s="146" t="str">
        <f>IFERROR(VLOOKUP($Y21&amp;BJ$8,Calc2!$N$4:$S$763,Settings!$G$29,0),"")</f>
        <v/>
      </c>
      <c r="BK21" s="153" t="str">
        <f>IFERROR(VLOOKUP($Y21&amp;BK$8,Calc2!$N$4:$S$763,Settings!$G$29,0),"")</f>
        <v/>
      </c>
      <c r="BL21" s="180"/>
      <c r="BM21" s="193" t="b">
        <f t="shared" si="18"/>
        <v>0</v>
      </c>
      <c r="BN21" s="19" t="b">
        <f t="shared" si="19"/>
        <v>0</v>
      </c>
      <c r="BO21" s="19" t="b">
        <f t="shared" si="20"/>
        <v>0</v>
      </c>
      <c r="BP21" s="19" t="b">
        <f t="shared" si="21"/>
        <v>1</v>
      </c>
      <c r="BQ21" s="19" t="b">
        <f t="shared" si="22"/>
        <v>0</v>
      </c>
      <c r="BR21" s="19" t="b">
        <f t="shared" si="23"/>
        <v>0</v>
      </c>
      <c r="BS21" s="19" t="b">
        <f t="shared" si="24"/>
        <v>0</v>
      </c>
    </row>
    <row r="22" spans="2:71" ht="15.95" customHeight="1" x14ac:dyDescent="0.2">
      <c r="B22" s="248" t="str">
        <f>IF(Calc!$F$26=0,"",IF(OR($C22&gt;Calc!$B$24,MOD($C22-1,Calc!$F$26)&gt;0),"",QUOTIENT($C22-1,Calc!$F$26)+1))</f>
        <v/>
      </c>
      <c r="C22" s="244">
        <v>14</v>
      </c>
      <c r="D22" s="142">
        <f>IF(Planning!$T20="","",Planning!$T20)</f>
        <v>45899</v>
      </c>
      <c r="E22" s="143">
        <f>IF(Planning!$U20="","",Planning!$U20)</f>
        <v>0.64583333333333337</v>
      </c>
      <c r="F22" s="161" t="str">
        <f>Planning!$Q20</f>
        <v>1. FSV Mainz 05</v>
      </c>
      <c r="G22" s="162" t="s">
        <v>4</v>
      </c>
      <c r="H22" s="161" t="str">
        <f>Planning!$S20</f>
        <v>RB Leipzig</v>
      </c>
      <c r="I22" s="163">
        <v>25</v>
      </c>
      <c r="J22" s="315" t="str">
        <f>Language!$E$90</f>
        <v xml:space="preserve"> - </v>
      </c>
      <c r="K22" s="318">
        <v>19</v>
      </c>
      <c r="L22" s="163">
        <v>25</v>
      </c>
      <c r="M22" s="360" t="str">
        <f>Language!$E$90</f>
        <v xml:space="preserve"> - </v>
      </c>
      <c r="N22" s="318">
        <v>23</v>
      </c>
      <c r="O22" s="163"/>
      <c r="P22" s="360" t="str">
        <f>Language!$E$90</f>
        <v xml:space="preserve"> - </v>
      </c>
      <c r="Q22" s="318"/>
      <c r="R22" s="354">
        <f t="shared" si="16"/>
        <v>2</v>
      </c>
      <c r="S22" s="357" t="str">
        <f>Language!$E$90</f>
        <v xml:space="preserve"> - </v>
      </c>
      <c r="T22" s="321">
        <f t="shared" si="17"/>
        <v>0</v>
      </c>
      <c r="U22" s="294"/>
      <c r="V22" s="295"/>
      <c r="W22" s="269"/>
      <c r="X22" s="333">
        <f>IF(Calc!$K$24=0,"",IF(VLOOKUP(Calc!B17,Calc!$C$4:$E$23,3,0)=MAX(X$9:X21),VLOOKUP(Calc!B17,Calc!$C$4:$E$23,3,0),Calc!B17))</f>
        <v>14</v>
      </c>
      <c r="Y22" s="334" t="str">
        <f>IF(Calc!$K$24=0,Calc2!$C17,VLOOKUP(Calc!B17,Calc!$C$4:$N$23,4,0))</f>
        <v>Borussia Dortmund</v>
      </c>
      <c r="Z22" s="335">
        <f>IF(Calc!$K$24=0,"",VLOOKUP(Calc!B17,Calc!$C$4:$N$23,9,0))</f>
        <v>5</v>
      </c>
      <c r="AA22" s="336">
        <f>IF(Calc!$K$24=0,"",IF($Z22=0,"",VLOOKUP(Calc!B17,Calc!$C$4:$N$23,10,0)))</f>
        <v>2</v>
      </c>
      <c r="AB22" s="336">
        <f>IF(Calc!$K$24=0,"",IF($Z22=0,"",VLOOKUP(Calc!B17,Calc!$C$4:$N$23,11,0)))</f>
        <v>0</v>
      </c>
      <c r="AC22" s="337">
        <f>IF(Calc!$K$24=0,"",IF($Z22=0,"",VLOOKUP(Calc!B17,Calc!$C$4:$N$23,12,0)))</f>
        <v>3</v>
      </c>
      <c r="AD22" s="338">
        <f>IF(Calc!$K$24=0,"",IF($Z22=0,"",VLOOKUP(Calc!B17,Calc!$C$4:$Y$23,20,0)))</f>
        <v>4</v>
      </c>
      <c r="AE22" s="391" t="str">
        <f>Language!$E$90</f>
        <v xml:space="preserve"> - </v>
      </c>
      <c r="AF22" s="421">
        <f>IF(Calc!$K$24=0,"",IF($Z22=0,"",VLOOKUP(Calc!B17,Calc!$C$4:$Y$23,21,0)))</f>
        <v>6</v>
      </c>
      <c r="AG22" s="337">
        <f>IF(Calc!$K$24=0,"",IF($Z22=0,"",IF(AD22-AF22&gt;0,"+"&amp;AD22-AF22,AD22-AF22)))</f>
        <v>-2</v>
      </c>
      <c r="AH22" s="338">
        <f>IF(Calc!$K$24=0,"",IF($Z22=0,"",VLOOKUP(Calc!B17,Calc!$C$4:$N$23,5,0)))</f>
        <v>220</v>
      </c>
      <c r="AI22" s="391" t="str">
        <f>Language!$E$90</f>
        <v xml:space="preserve"> - </v>
      </c>
      <c r="AJ22" s="339">
        <f>IF(Calc!$K$24=0,"",IF($Z22=0,"",VLOOKUP(Calc!B17,Calc!$C$4:$N$23,6,0)))</f>
        <v>215</v>
      </c>
      <c r="AK22" s="429" t="str">
        <f>IF(Calc!$K$24=0,"",IF($Z22=0,"",VLOOKUP(Calc!B17,Calc!$C$4:$Y$23,23,0)))</f>
        <v>+5</v>
      </c>
      <c r="AL22" s="340">
        <f>IF(Calc!$K$24=0,"",IF($Z22=0,"",VLOOKUP(Calc!B17,Calc!$C$4:$Y$23,19,0)))</f>
        <v>4</v>
      </c>
      <c r="AM22" s="299" t="str">
        <f>IF(VLOOKUP(Calc!B17,Calc!$C$4:$O$23,13,0)=0,"",VLOOKUP(Calc!B17,Calc!$C$4:$O$23,13,0))</f>
        <v/>
      </c>
      <c r="AN22" s="286" t="str">
        <f>IF(IFERROR(VLOOKUP($Y22,Planning!$D$7:$E$26,2,0),0)=0,IF(LEN(Y22)&gt;Settings!$C$33,LEFT(Y22,Settings!$C$33)&amp;".",Y22),VLOOKUP($Y22,Planning!$D$7:$E$26,2,0))</f>
        <v>Dortmund</v>
      </c>
      <c r="AO22" s="233"/>
      <c r="AP22" s="197">
        <f t="shared" si="7"/>
        <v>14</v>
      </c>
      <c r="AQ22" s="198" t="str">
        <f t="shared" si="8"/>
        <v>Borussia Dortmund</v>
      </c>
      <c r="AR22" s="151" t="str">
        <f>IFERROR(VLOOKUP($Y22&amp;AR$8,Calc2!$N$4:$S$763,Settings!$G$29,0),"")</f>
        <v>41 - 50</v>
      </c>
      <c r="AS22" s="146" t="str">
        <f>IFERROR(VLOOKUP($Y22&amp;AS$8,Calc2!$N$4:$S$763,Settings!$G$29,0),"")</f>
        <v>39 - 50</v>
      </c>
      <c r="AT22" s="146" t="str">
        <f>IFERROR(VLOOKUP($Y22&amp;AT$8,Calc2!$N$4:$S$763,Settings!$G$29,0),"")</f>
        <v/>
      </c>
      <c r="AU22" s="146" t="str">
        <f>IFERROR(VLOOKUP($Y22&amp;AU$8,Calc2!$N$4:$S$763,Settings!$G$29,0),"")</f>
        <v/>
      </c>
      <c r="AV22" s="146" t="str">
        <f>IFERROR(VLOOKUP($Y22&amp;AV$8,Calc2!$N$4:$S$763,Settings!$G$29,0),"")</f>
        <v/>
      </c>
      <c r="AW22" s="146" t="str">
        <f>IFERROR(VLOOKUP($Y22&amp;AW$8,Calc2!$N$4:$S$763,Settings!$G$29,0),"")</f>
        <v>40 - 50</v>
      </c>
      <c r="AX22" s="146" t="str">
        <f>IFERROR(VLOOKUP($Y22&amp;AX$8,Calc2!$N$4:$S$763,Settings!$G$29,0),"")</f>
        <v/>
      </c>
      <c r="AY22" s="146" t="str">
        <f>IFERROR(VLOOKUP($Y22&amp;AY$8,Calc2!$N$4:$S$763,Settings!$G$29,0),"")</f>
        <v/>
      </c>
      <c r="AZ22" s="146" t="str">
        <f>IFERROR(VLOOKUP($Y22&amp;AZ$8,Calc2!$N$4:$S$763,Settings!$G$29,0),"")</f>
        <v>50 - 26</v>
      </c>
      <c r="BA22" s="146" t="str">
        <f>IFERROR(VLOOKUP($Y22&amp;BA$8,Calc2!$N$4:$S$763,Settings!$G$29,0),"")</f>
        <v/>
      </c>
      <c r="BB22" s="146" t="str">
        <f>IFERROR(VLOOKUP($Y22&amp;BB$8,Calc2!$N$4:$S$763,Settings!$G$29,0),"")</f>
        <v/>
      </c>
      <c r="BC22" s="146" t="str">
        <f>IFERROR(VLOOKUP($Y22&amp;BC$8,Calc2!$N$4:$S$763,Settings!$G$29,0),"")</f>
        <v/>
      </c>
      <c r="BD22" s="146" t="str">
        <f>IFERROR(VLOOKUP($Y22&amp;BD$8,Calc2!$N$4:$S$763,Settings!$G$29,0),"")</f>
        <v/>
      </c>
      <c r="BE22" s="152"/>
      <c r="BF22" s="146" t="str">
        <f>IFERROR(VLOOKUP($Y22&amp;BF$8,Calc2!$N$4:$S$763,Settings!$G$29,0),"")</f>
        <v/>
      </c>
      <c r="BG22" s="146" t="str">
        <f>IFERROR(VLOOKUP($Y22&amp;BG$8,Calc2!$N$4:$S$763,Settings!$G$29,0),"")</f>
        <v/>
      </c>
      <c r="BH22" s="146" t="str">
        <f>IFERROR(VLOOKUP($Y22&amp;BH$8,Calc2!$N$4:$S$763,Settings!$G$29,0),"")</f>
        <v/>
      </c>
      <c r="BI22" s="146" t="str">
        <f>IFERROR(VLOOKUP($Y22&amp;BI$8,Calc2!$N$4:$S$763,Settings!$G$29,0),"")</f>
        <v>50 - 39</v>
      </c>
      <c r="BJ22" s="146" t="str">
        <f>IFERROR(VLOOKUP($Y22&amp;BJ$8,Calc2!$N$4:$S$763,Settings!$G$29,0),"")</f>
        <v/>
      </c>
      <c r="BK22" s="153" t="str">
        <f>IFERROR(VLOOKUP($Y22&amp;BK$8,Calc2!$N$4:$S$763,Settings!$G$29,0),"")</f>
        <v/>
      </c>
      <c r="BL22" s="180"/>
      <c r="BM22" s="193" t="b">
        <f t="shared" si="18"/>
        <v>0</v>
      </c>
      <c r="BN22" s="19" t="b">
        <f t="shared" si="19"/>
        <v>0</v>
      </c>
      <c r="BO22" s="19" t="b">
        <f t="shared" si="20"/>
        <v>0</v>
      </c>
      <c r="BP22" s="19" t="b">
        <f t="shared" si="21"/>
        <v>1</v>
      </c>
      <c r="BQ22" s="19" t="b">
        <f t="shared" si="22"/>
        <v>0</v>
      </c>
      <c r="BR22" s="19" t="b">
        <f t="shared" si="23"/>
        <v>0</v>
      </c>
      <c r="BS22" s="19" t="b">
        <f t="shared" si="24"/>
        <v>0</v>
      </c>
    </row>
    <row r="23" spans="2:71" ht="15.95" customHeight="1" x14ac:dyDescent="0.2">
      <c r="B23" s="248" t="str">
        <f>IF(Calc!$F$26=0,"",IF(OR($C23&gt;Calc!$B$24,MOD($C23-1,Calc!$F$26)&gt;0),"",QUOTIENT($C23-1,Calc!$F$26)+1))</f>
        <v/>
      </c>
      <c r="C23" s="244">
        <v>15</v>
      </c>
      <c r="D23" s="142">
        <f>IF(Planning!$T21="","",Planning!$T21)</f>
        <v>45899</v>
      </c>
      <c r="E23" s="143">
        <f>IF(Planning!$U21="","",Planning!$U21)</f>
        <v>0.64583333333333337</v>
      </c>
      <c r="F23" s="161" t="str">
        <f>Planning!$Q21</f>
        <v>Hamburger SV</v>
      </c>
      <c r="G23" s="162" t="s">
        <v>4</v>
      </c>
      <c r="H23" s="161" t="str">
        <f>Planning!$S21</f>
        <v>Bayer 04 Leverkusen</v>
      </c>
      <c r="I23" s="163">
        <v>25</v>
      </c>
      <c r="J23" s="315" t="str">
        <f>Language!$E$90</f>
        <v xml:space="preserve"> - </v>
      </c>
      <c r="K23" s="318">
        <v>23</v>
      </c>
      <c r="L23" s="163">
        <v>27</v>
      </c>
      <c r="M23" s="360" t="str">
        <f>Language!$E$90</f>
        <v xml:space="preserve"> - </v>
      </c>
      <c r="N23" s="318">
        <v>25</v>
      </c>
      <c r="O23" s="163"/>
      <c r="P23" s="360" t="str">
        <f>Language!$E$90</f>
        <v xml:space="preserve"> - </v>
      </c>
      <c r="Q23" s="318"/>
      <c r="R23" s="354">
        <f t="shared" si="16"/>
        <v>2</v>
      </c>
      <c r="S23" s="357" t="str">
        <f>Language!$E$90</f>
        <v xml:space="preserve"> - </v>
      </c>
      <c r="T23" s="321">
        <f t="shared" si="17"/>
        <v>0</v>
      </c>
      <c r="U23" s="294"/>
      <c r="V23" s="295"/>
      <c r="W23" s="269"/>
      <c r="X23" s="333">
        <f>IF(Calc!$K$24=0,"",IF(VLOOKUP(Calc!B18,Calc!$C$4:$E$23,3,0)=MAX(X$9:X22),VLOOKUP(Calc!B18,Calc!$C$4:$E$23,3,0),Calc!B18))</f>
        <v>15</v>
      </c>
      <c r="Y23" s="334" t="str">
        <f>IF(Calc!$K$24=0,Calc2!$C18,VLOOKUP(Calc!B18,Calc!$C$4:$N$23,4,0))</f>
        <v>TSG Hoffenheim</v>
      </c>
      <c r="Z23" s="335">
        <f>IF(Calc!$K$24=0,"",VLOOKUP(Calc!B18,Calc!$C$4:$N$23,9,0))</f>
        <v>5</v>
      </c>
      <c r="AA23" s="336">
        <f>IF(Calc!$K$24=0,"",IF($Z23=0,"",VLOOKUP(Calc!B18,Calc!$C$4:$N$23,10,0)))</f>
        <v>2</v>
      </c>
      <c r="AB23" s="336">
        <f>IF(Calc!$K$24=0,"",IF($Z23=0,"",VLOOKUP(Calc!B18,Calc!$C$4:$N$23,11,0)))</f>
        <v>0</v>
      </c>
      <c r="AC23" s="337">
        <f>IF(Calc!$K$24=0,"",IF($Z23=0,"",VLOOKUP(Calc!B18,Calc!$C$4:$N$23,12,0)))</f>
        <v>3</v>
      </c>
      <c r="AD23" s="338">
        <f>IF(Calc!$K$24=0,"",IF($Z23=0,"",VLOOKUP(Calc!B18,Calc!$C$4:$Y$23,20,0)))</f>
        <v>4</v>
      </c>
      <c r="AE23" s="391" t="str">
        <f>Language!$E$90</f>
        <v xml:space="preserve"> - </v>
      </c>
      <c r="AF23" s="421">
        <f>IF(Calc!$K$24=0,"",IF($Z23=0,"",VLOOKUP(Calc!B18,Calc!$C$4:$Y$23,21,0)))</f>
        <v>7</v>
      </c>
      <c r="AG23" s="337">
        <f>IF(Calc!$K$24=0,"",IF($Z23=0,"",IF(AD23-AF23&gt;0,"+"&amp;AD23-AF23,AD23-AF23)))</f>
        <v>-3</v>
      </c>
      <c r="AH23" s="338">
        <f>IF(Calc!$K$24=0,"",IF($Z23=0,"",VLOOKUP(Calc!B18,Calc!$C$4:$N$23,5,0)))</f>
        <v>233</v>
      </c>
      <c r="AI23" s="391" t="str">
        <f>Language!$E$90</f>
        <v xml:space="preserve"> - </v>
      </c>
      <c r="AJ23" s="339">
        <f>IF(Calc!$K$24=0,"",IF($Z23=0,"",VLOOKUP(Calc!B18,Calc!$C$4:$N$23,6,0)))</f>
        <v>247</v>
      </c>
      <c r="AK23" s="429">
        <f>IF(Calc!$K$24=0,"",IF($Z23=0,"",VLOOKUP(Calc!B18,Calc!$C$4:$Y$23,23,0)))</f>
        <v>-14</v>
      </c>
      <c r="AL23" s="340">
        <f>IF(Calc!$K$24=0,"",IF($Z23=0,"",VLOOKUP(Calc!B18,Calc!$C$4:$Y$23,19,0)))</f>
        <v>4</v>
      </c>
      <c r="AM23" s="299" t="str">
        <f>IF(VLOOKUP(Calc!B18,Calc!$C$4:$O$23,13,0)=0,"",VLOOKUP(Calc!B18,Calc!$C$4:$O$23,13,0))</f>
        <v/>
      </c>
      <c r="AN23" s="286" t="str">
        <f>IF(IFERROR(VLOOKUP($Y23,Planning!$D$7:$E$26,2,0),0)=0,IF(LEN(Y23)&gt;Settings!$C$33,LEFT(Y23,Settings!$C$33)&amp;".",Y23),VLOOKUP($Y23,Planning!$D$7:$E$26,2,0))</f>
        <v>Hoffenhei</v>
      </c>
      <c r="AO23" s="233"/>
      <c r="AP23" s="197">
        <f t="shared" si="7"/>
        <v>15</v>
      </c>
      <c r="AQ23" s="198" t="str">
        <f t="shared" si="8"/>
        <v>TSG Hoffenheim</v>
      </c>
      <c r="AR23" s="151" t="str">
        <f>IFERROR(VLOOKUP($Y23&amp;AR$8,Calc2!$N$4:$S$763,Settings!$G$29,0),"")</f>
        <v/>
      </c>
      <c r="AS23" s="146" t="str">
        <f>IFERROR(VLOOKUP($Y23&amp;AS$8,Calc2!$N$4:$S$763,Settings!$G$29,0),"")</f>
        <v/>
      </c>
      <c r="AT23" s="146" t="str">
        <f>IFERROR(VLOOKUP($Y23&amp;AT$8,Calc2!$N$4:$S$763,Settings!$G$29,0),"")</f>
        <v>50 - 41</v>
      </c>
      <c r="AU23" s="146" t="str">
        <f>IFERROR(VLOOKUP($Y23&amp;AU$8,Calc2!$N$4:$S$763,Settings!$G$29,0),"")</f>
        <v/>
      </c>
      <c r="AV23" s="146" t="str">
        <f>IFERROR(VLOOKUP($Y23&amp;AV$8,Calc2!$N$4:$S$763,Settings!$G$29,0),"")</f>
        <v/>
      </c>
      <c r="AW23" s="146" t="str">
        <f>IFERROR(VLOOKUP($Y23&amp;AW$8,Calc2!$N$4:$S$763,Settings!$G$29,0),"")</f>
        <v/>
      </c>
      <c r="AX23" s="146" t="str">
        <f>IFERROR(VLOOKUP($Y23&amp;AX$8,Calc2!$N$4:$S$763,Settings!$G$29,0),"")</f>
        <v/>
      </c>
      <c r="AY23" s="146" t="str">
        <f>IFERROR(VLOOKUP($Y23&amp;AY$8,Calc2!$N$4:$S$763,Settings!$G$29,0),"")</f>
        <v/>
      </c>
      <c r="AZ23" s="146" t="str">
        <f>IFERROR(VLOOKUP($Y23&amp;AZ$8,Calc2!$N$4:$S$763,Settings!$G$29,0),"")</f>
        <v/>
      </c>
      <c r="BA23" s="146" t="str">
        <f>IFERROR(VLOOKUP($Y23&amp;BA$8,Calc2!$N$4:$S$763,Settings!$G$29,0),"")</f>
        <v>41 - 50</v>
      </c>
      <c r="BB23" s="146" t="str">
        <f>IFERROR(VLOOKUP($Y23&amp;BB$8,Calc2!$N$4:$S$763,Settings!$G$29,0),"")</f>
        <v>40 - 50</v>
      </c>
      <c r="BC23" s="146" t="str">
        <f>IFERROR(VLOOKUP($Y23&amp;BC$8,Calc2!$N$4:$S$763,Settings!$G$29,0),"")</f>
        <v>62 - 56</v>
      </c>
      <c r="BD23" s="146" t="str">
        <f>IFERROR(VLOOKUP($Y23&amp;BD$8,Calc2!$N$4:$S$763,Settings!$G$29,0),"")</f>
        <v/>
      </c>
      <c r="BE23" s="146" t="str">
        <f>IFERROR(VLOOKUP($Y23&amp;BE$8,Calc2!$N$4:$S$763,Settings!$G$29,0),"")</f>
        <v/>
      </c>
      <c r="BF23" s="152"/>
      <c r="BG23" s="146" t="str">
        <f>IFERROR(VLOOKUP($Y23&amp;BG$8,Calc2!$N$4:$S$763,Settings!$G$29,0),"")</f>
        <v/>
      </c>
      <c r="BH23" s="146" t="str">
        <f>IFERROR(VLOOKUP($Y23&amp;BH$8,Calc2!$N$4:$S$763,Settings!$G$29,0),"")</f>
        <v>40 - 50</v>
      </c>
      <c r="BI23" s="146" t="str">
        <f>IFERROR(VLOOKUP($Y23&amp;BI$8,Calc2!$N$4:$S$763,Settings!$G$29,0),"")</f>
        <v/>
      </c>
      <c r="BJ23" s="146" t="str">
        <f>IFERROR(VLOOKUP($Y23&amp;BJ$8,Calc2!$N$4:$S$763,Settings!$G$29,0),"")</f>
        <v/>
      </c>
      <c r="BK23" s="153" t="str">
        <f>IFERROR(VLOOKUP($Y23&amp;BK$8,Calc2!$N$4:$S$763,Settings!$G$29,0),"")</f>
        <v/>
      </c>
      <c r="BL23" s="180"/>
      <c r="BM23" s="193" t="b">
        <f t="shared" si="18"/>
        <v>0</v>
      </c>
      <c r="BN23" s="19" t="b">
        <f t="shared" si="19"/>
        <v>0</v>
      </c>
      <c r="BO23" s="19" t="b">
        <f t="shared" si="20"/>
        <v>0</v>
      </c>
      <c r="BP23" s="19" t="b">
        <f t="shared" si="21"/>
        <v>1</v>
      </c>
      <c r="BQ23" s="19" t="b">
        <f t="shared" si="22"/>
        <v>0</v>
      </c>
      <c r="BR23" s="19" t="b">
        <f t="shared" si="23"/>
        <v>0</v>
      </c>
      <c r="BS23" s="19" t="b">
        <f t="shared" si="24"/>
        <v>0</v>
      </c>
    </row>
    <row r="24" spans="2:71" ht="15.95" customHeight="1" x14ac:dyDescent="0.2">
      <c r="B24" s="248" t="str">
        <f>IF(Calc!$F$26=0,"",IF(OR($C24&gt;Calc!$B$24,MOD($C24-1,Calc!$F$26)&gt;0),"",QUOTIENT($C24-1,Calc!$F$26)+1))</f>
        <v/>
      </c>
      <c r="C24" s="244">
        <v>16</v>
      </c>
      <c r="D24" s="142">
        <f>IF(Planning!$T22="","",Planning!$T22)</f>
        <v>45899</v>
      </c>
      <c r="E24" s="143">
        <f>IF(Planning!$U22="","",Planning!$U22)</f>
        <v>0.64583333333333337</v>
      </c>
      <c r="F24" s="161" t="str">
        <f>Planning!$Q22</f>
        <v>Borussia Dortmund</v>
      </c>
      <c r="G24" s="162" t="s">
        <v>4</v>
      </c>
      <c r="H24" s="161" t="str">
        <f>Planning!$S22</f>
        <v>FC St. Pauli</v>
      </c>
      <c r="I24" s="163">
        <v>20</v>
      </c>
      <c r="J24" s="315" t="str">
        <f>Language!$E$90</f>
        <v xml:space="preserve"> - </v>
      </c>
      <c r="K24" s="318">
        <v>25</v>
      </c>
      <c r="L24" s="163">
        <v>21</v>
      </c>
      <c r="M24" s="360" t="str">
        <f>Language!$E$90</f>
        <v xml:space="preserve"> - </v>
      </c>
      <c r="N24" s="318">
        <v>25</v>
      </c>
      <c r="O24" s="163"/>
      <c r="P24" s="360" t="str">
        <f>Language!$E$90</f>
        <v xml:space="preserve"> - </v>
      </c>
      <c r="Q24" s="318"/>
      <c r="R24" s="354">
        <f t="shared" si="16"/>
        <v>0</v>
      </c>
      <c r="S24" s="357" t="str">
        <f>Language!$E$90</f>
        <v xml:space="preserve"> - </v>
      </c>
      <c r="T24" s="321">
        <f t="shared" si="17"/>
        <v>2</v>
      </c>
      <c r="U24" s="294"/>
      <c r="V24" s="295"/>
      <c r="W24" s="269"/>
      <c r="X24" s="333">
        <f>IF(Calc!$K$24=0,"",IF(VLOOKUP(Calc!B19,Calc!$C$4:$E$23,3,0)=MAX(X$9:X23),VLOOKUP(Calc!B19,Calc!$C$4:$E$23,3,0),Calc!B19))</f>
        <v>16</v>
      </c>
      <c r="Y24" s="334" t="str">
        <f>IF(Calc!$K$24=0,Calc2!$C19,VLOOKUP(Calc!B19,Calc!$C$4:$N$23,4,0))</f>
        <v>SV Werder Bremen</v>
      </c>
      <c r="Z24" s="335">
        <f>IF(Calc!$K$24=0,"",VLOOKUP(Calc!B19,Calc!$C$4:$N$23,9,0))</f>
        <v>5</v>
      </c>
      <c r="AA24" s="336">
        <f>IF(Calc!$K$24=0,"",IF($Z24=0,"",VLOOKUP(Calc!B19,Calc!$C$4:$N$23,10,0)))</f>
        <v>2</v>
      </c>
      <c r="AB24" s="336">
        <f>IF(Calc!$K$24=0,"",IF($Z24=0,"",VLOOKUP(Calc!B19,Calc!$C$4:$N$23,11,0)))</f>
        <v>0</v>
      </c>
      <c r="AC24" s="337">
        <f>IF(Calc!$K$24=0,"",IF($Z24=0,"",VLOOKUP(Calc!B19,Calc!$C$4:$N$23,12,0)))</f>
        <v>3</v>
      </c>
      <c r="AD24" s="338">
        <f>IF(Calc!$K$24=0,"",IF($Z24=0,"",VLOOKUP(Calc!B19,Calc!$C$4:$Y$23,20,0)))</f>
        <v>4</v>
      </c>
      <c r="AE24" s="391" t="str">
        <f>Language!$E$90</f>
        <v xml:space="preserve"> - </v>
      </c>
      <c r="AF24" s="421">
        <f>IF(Calc!$K$24=0,"",IF($Z24=0,"",VLOOKUP(Calc!B19,Calc!$C$4:$Y$23,21,0)))</f>
        <v>7</v>
      </c>
      <c r="AG24" s="337">
        <f>IF(Calc!$K$24=0,"",IF($Z24=0,"",IF(AD24-AF24&gt;0,"+"&amp;AD24-AF24,AD24-AF24)))</f>
        <v>-3</v>
      </c>
      <c r="AH24" s="338">
        <f>IF(Calc!$K$24=0,"",IF($Z24=0,"",VLOOKUP(Calc!B19,Calc!$C$4:$N$23,5,0)))</f>
        <v>224</v>
      </c>
      <c r="AI24" s="391" t="str">
        <f>Language!$E$90</f>
        <v xml:space="preserve"> - </v>
      </c>
      <c r="AJ24" s="339">
        <f>IF(Calc!$K$24=0,"",IF($Z24=0,"",VLOOKUP(Calc!B19,Calc!$C$4:$N$23,6,0)))</f>
        <v>257</v>
      </c>
      <c r="AK24" s="429">
        <f>IF(Calc!$K$24=0,"",IF($Z24=0,"",VLOOKUP(Calc!B19,Calc!$C$4:$Y$23,23,0)))</f>
        <v>-33</v>
      </c>
      <c r="AL24" s="340">
        <f>IF(Calc!$K$24=0,"",IF($Z24=0,"",VLOOKUP(Calc!B19,Calc!$C$4:$Y$23,19,0)))</f>
        <v>4</v>
      </c>
      <c r="AM24" s="299" t="str">
        <f>IF(VLOOKUP(Calc!B19,Calc!$C$4:$O$23,13,0)=0,"",VLOOKUP(Calc!B19,Calc!$C$4:$O$23,13,0))</f>
        <v/>
      </c>
      <c r="AN24" s="286" t="str">
        <f>IF(IFERROR(VLOOKUP($Y24,Planning!$D$7:$E$26,2,0),0)=0,IF(LEN(Y24)&gt;Settings!$C$33,LEFT(Y24,Settings!$C$33)&amp;".",Y24),VLOOKUP($Y24,Planning!$D$7:$E$26,2,0))</f>
        <v>Bremen</v>
      </c>
      <c r="AO24" s="233"/>
      <c r="AP24" s="197">
        <f t="shared" si="7"/>
        <v>16</v>
      </c>
      <c r="AQ24" s="198" t="str">
        <f t="shared" si="8"/>
        <v>SV Werder Bremen</v>
      </c>
      <c r="AR24" s="151" t="str">
        <f>IFERROR(VLOOKUP($Y24&amp;AR$8,Calc2!$N$4:$S$763,Settings!$G$29,0),"")</f>
        <v/>
      </c>
      <c r="AS24" s="146" t="str">
        <f>IFERROR(VLOOKUP($Y24&amp;AS$8,Calc2!$N$4:$S$763,Settings!$G$29,0),"")</f>
        <v>37 - 50</v>
      </c>
      <c r="AT24" s="146" t="str">
        <f>IFERROR(VLOOKUP($Y24&amp;AT$8,Calc2!$N$4:$S$763,Settings!$G$29,0),"")</f>
        <v/>
      </c>
      <c r="AU24" s="146" t="str">
        <f>IFERROR(VLOOKUP($Y24&amp;AU$8,Calc2!$N$4:$S$763,Settings!$G$29,0),"")</f>
        <v/>
      </c>
      <c r="AV24" s="146" t="str">
        <f>IFERROR(VLOOKUP($Y24&amp;AV$8,Calc2!$N$4:$S$763,Settings!$G$29,0),"")</f>
        <v/>
      </c>
      <c r="AW24" s="146" t="str">
        <f>IFERROR(VLOOKUP($Y24&amp;AW$8,Calc2!$N$4:$S$763,Settings!$G$29,0),"")</f>
        <v/>
      </c>
      <c r="AX24" s="146" t="str">
        <f>IFERROR(VLOOKUP($Y24&amp;AX$8,Calc2!$N$4:$S$763,Settings!$G$29,0),"")</f>
        <v>31 - 50</v>
      </c>
      <c r="AY24" s="146" t="str">
        <f>IFERROR(VLOOKUP($Y24&amp;AY$8,Calc2!$N$4:$S$763,Settings!$G$29,0),"")</f>
        <v>50 - 45</v>
      </c>
      <c r="AZ24" s="146" t="str">
        <f>IFERROR(VLOOKUP($Y24&amp;AZ$8,Calc2!$N$4:$S$763,Settings!$G$29,0),"")</f>
        <v/>
      </c>
      <c r="BA24" s="146" t="str">
        <f>IFERROR(VLOOKUP($Y24&amp;BA$8,Calc2!$N$4:$S$763,Settings!$G$29,0),"")</f>
        <v>59 - 60</v>
      </c>
      <c r="BB24" s="146" t="str">
        <f>IFERROR(VLOOKUP($Y24&amp;BB$8,Calc2!$N$4:$S$763,Settings!$G$29,0),"")</f>
        <v/>
      </c>
      <c r="BC24" s="146" t="str">
        <f>IFERROR(VLOOKUP($Y24&amp;BC$8,Calc2!$N$4:$S$763,Settings!$G$29,0),"")</f>
        <v/>
      </c>
      <c r="BD24" s="146" t="str">
        <f>IFERROR(VLOOKUP($Y24&amp;BD$8,Calc2!$N$4:$S$763,Settings!$G$29,0),"")</f>
        <v>47 - 52</v>
      </c>
      <c r="BE24" s="146" t="str">
        <f>IFERROR(VLOOKUP($Y24&amp;BE$8,Calc2!$N$4:$S$763,Settings!$G$29,0),"")</f>
        <v/>
      </c>
      <c r="BF24" s="146" t="str">
        <f>IFERROR(VLOOKUP($Y24&amp;BF$8,Calc2!$N$4:$S$763,Settings!$G$29,0),"")</f>
        <v/>
      </c>
      <c r="BG24" s="152"/>
      <c r="BH24" s="146" t="str">
        <f>IFERROR(VLOOKUP($Y24&amp;BH$8,Calc2!$N$4:$S$763,Settings!$G$29,0),"")</f>
        <v/>
      </c>
      <c r="BI24" s="146" t="str">
        <f>IFERROR(VLOOKUP($Y24&amp;BI$8,Calc2!$N$4:$S$763,Settings!$G$29,0),"")</f>
        <v/>
      </c>
      <c r="BJ24" s="146" t="str">
        <f>IFERROR(VLOOKUP($Y24&amp;BJ$8,Calc2!$N$4:$S$763,Settings!$G$29,0),"")</f>
        <v/>
      </c>
      <c r="BK24" s="153" t="str">
        <f>IFERROR(VLOOKUP($Y24&amp;BK$8,Calc2!$N$4:$S$763,Settings!$G$29,0),"")</f>
        <v/>
      </c>
      <c r="BL24" s="180"/>
      <c r="BM24" s="193" t="b">
        <f t="shared" si="18"/>
        <v>0</v>
      </c>
      <c r="BN24" s="19" t="b">
        <f t="shared" si="19"/>
        <v>0</v>
      </c>
      <c r="BO24" s="19" t="b">
        <f t="shared" si="20"/>
        <v>0</v>
      </c>
      <c r="BP24" s="19" t="b">
        <f t="shared" si="21"/>
        <v>1</v>
      </c>
      <c r="BQ24" s="19" t="b">
        <f t="shared" si="22"/>
        <v>0</v>
      </c>
      <c r="BR24" s="19" t="b">
        <f t="shared" si="23"/>
        <v>0</v>
      </c>
      <c r="BS24" s="19" t="b">
        <f t="shared" si="24"/>
        <v>0</v>
      </c>
    </row>
    <row r="25" spans="2:71" ht="15.95" customHeight="1" x14ac:dyDescent="0.2">
      <c r="B25" s="248" t="str">
        <f>IF(Calc!$F$26=0,"",IF(OR($C25&gt;Calc!$B$24,MOD($C25-1,Calc!$F$26)&gt;0),"",QUOTIENT($C25-1,Calc!$F$26)+1))</f>
        <v/>
      </c>
      <c r="C25" s="244">
        <v>17</v>
      </c>
      <c r="D25" s="142">
        <f>IF(Planning!$T23="","",Planning!$T23)</f>
        <v>45899</v>
      </c>
      <c r="E25" s="143">
        <f>IF(Planning!$U23="","",Planning!$U23)</f>
        <v>0.64583333333333337</v>
      </c>
      <c r="F25" s="161" t="str">
        <f>Planning!$Q23</f>
        <v>FC Bayern München</v>
      </c>
      <c r="G25" s="162" t="s">
        <v>4</v>
      </c>
      <c r="H25" s="161" t="str">
        <f>Planning!$S23</f>
        <v>Borussia Mönchengladbach</v>
      </c>
      <c r="I25" s="163">
        <v>25</v>
      </c>
      <c r="J25" s="315" t="str">
        <f>Language!$E$90</f>
        <v xml:space="preserve"> - </v>
      </c>
      <c r="K25" s="318">
        <v>20</v>
      </c>
      <c r="L25" s="163">
        <v>25</v>
      </c>
      <c r="M25" s="360" t="str">
        <f>Language!$E$90</f>
        <v xml:space="preserve"> - </v>
      </c>
      <c r="N25" s="318">
        <v>19</v>
      </c>
      <c r="O25" s="163"/>
      <c r="P25" s="360" t="str">
        <f>Language!$E$90</f>
        <v xml:space="preserve"> - </v>
      </c>
      <c r="Q25" s="318"/>
      <c r="R25" s="354">
        <f t="shared" si="16"/>
        <v>2</v>
      </c>
      <c r="S25" s="357" t="str">
        <f>Language!$E$90</f>
        <v xml:space="preserve"> - </v>
      </c>
      <c r="T25" s="321">
        <f t="shared" si="17"/>
        <v>0</v>
      </c>
      <c r="U25" s="294"/>
      <c r="V25" s="295"/>
      <c r="W25" s="269"/>
      <c r="X25" s="333">
        <f>IF(Calc!$K$24=0,"",IF(VLOOKUP(Calc!B20,Calc!$C$4:$E$23,3,0)=MAX(X$9:X24),VLOOKUP(Calc!B20,Calc!$C$4:$E$23,3,0),Calc!B20))</f>
        <v>17</v>
      </c>
      <c r="Y25" s="334" t="str">
        <f>IF(Calc!$K$24=0,Calc2!$C20,VLOOKUP(Calc!B20,Calc!$C$4:$N$23,4,0))</f>
        <v>SC Freiburg</v>
      </c>
      <c r="Z25" s="335">
        <f>IF(Calc!$K$24=0,"",VLOOKUP(Calc!B20,Calc!$C$4:$N$23,9,0))</f>
        <v>5</v>
      </c>
      <c r="AA25" s="336">
        <f>IF(Calc!$K$24=0,"",IF($Z25=0,"",VLOOKUP(Calc!B20,Calc!$C$4:$N$23,10,0)))</f>
        <v>1</v>
      </c>
      <c r="AB25" s="336">
        <f>IF(Calc!$K$24=0,"",IF($Z25=0,"",VLOOKUP(Calc!B20,Calc!$C$4:$N$23,11,0)))</f>
        <v>0</v>
      </c>
      <c r="AC25" s="337">
        <f>IF(Calc!$K$24=0,"",IF($Z25=0,"",VLOOKUP(Calc!B20,Calc!$C$4:$N$23,12,0)))</f>
        <v>4</v>
      </c>
      <c r="AD25" s="338">
        <f>IF(Calc!$K$24=0,"",IF($Z25=0,"",VLOOKUP(Calc!B20,Calc!$C$4:$Y$23,20,0)))</f>
        <v>2</v>
      </c>
      <c r="AE25" s="391" t="str">
        <f>Language!$E$90</f>
        <v xml:space="preserve"> - </v>
      </c>
      <c r="AF25" s="421">
        <f>IF(Calc!$K$24=0,"",IF($Z25=0,"",VLOOKUP(Calc!B20,Calc!$C$4:$Y$23,21,0)))</f>
        <v>8</v>
      </c>
      <c r="AG25" s="337">
        <f>IF(Calc!$K$24=0,"",IF($Z25=0,"",IF(AD25-AF25&gt;0,"+"&amp;AD25-AF25,AD25-AF25)))</f>
        <v>-6</v>
      </c>
      <c r="AH25" s="338">
        <f>IF(Calc!$K$24=0,"",IF($Z25=0,"",VLOOKUP(Calc!B20,Calc!$C$4:$N$23,5,0)))</f>
        <v>200</v>
      </c>
      <c r="AI25" s="391" t="str">
        <f>Language!$E$90</f>
        <v xml:space="preserve"> - </v>
      </c>
      <c r="AJ25" s="339">
        <f>IF(Calc!$K$24=0,"",IF($Z25=0,"",VLOOKUP(Calc!B20,Calc!$C$4:$N$23,6,0)))</f>
        <v>240</v>
      </c>
      <c r="AK25" s="429">
        <f>IF(Calc!$K$24=0,"",IF($Z25=0,"",VLOOKUP(Calc!B20,Calc!$C$4:$Y$23,23,0)))</f>
        <v>-40</v>
      </c>
      <c r="AL25" s="340">
        <f>IF(Calc!$K$24=0,"",IF($Z25=0,"",VLOOKUP(Calc!B20,Calc!$C$4:$Y$23,19,0)))</f>
        <v>2</v>
      </c>
      <c r="AM25" s="299" t="str">
        <f>IF(VLOOKUP(Calc!B20,Calc!$C$4:$O$23,13,0)=0,"",VLOOKUP(Calc!B20,Calc!$C$4:$O$23,13,0))</f>
        <v/>
      </c>
      <c r="AN25" s="286" t="str">
        <f>IF(IFERROR(VLOOKUP($Y25,Planning!$D$7:$E$26,2,0),0)=0,IF(LEN(Y25)&gt;Settings!$C$33,LEFT(Y25,Settings!$C$33)&amp;".",Y25),VLOOKUP($Y25,Planning!$D$7:$E$26,2,0))</f>
        <v>Freiburg</v>
      </c>
      <c r="AO25" s="233"/>
      <c r="AP25" s="197">
        <f t="shared" si="7"/>
        <v>17</v>
      </c>
      <c r="AQ25" s="198" t="str">
        <f t="shared" si="8"/>
        <v>SC Freiburg</v>
      </c>
      <c r="AR25" s="151" t="str">
        <f>IFERROR(VLOOKUP($Y25&amp;AR$8,Calc2!$N$4:$S$763,Settings!$G$29,0),"")</f>
        <v/>
      </c>
      <c r="AS25" s="146" t="str">
        <f>IFERROR(VLOOKUP($Y25&amp;AS$8,Calc2!$N$4:$S$763,Settings!$G$29,0),"")</f>
        <v/>
      </c>
      <c r="AT25" s="146" t="str">
        <f>IFERROR(VLOOKUP($Y25&amp;AT$8,Calc2!$N$4:$S$763,Settings!$G$29,0),"")</f>
        <v/>
      </c>
      <c r="AU25" s="146" t="str">
        <f>IFERROR(VLOOKUP($Y25&amp;AU$8,Calc2!$N$4:$S$763,Settings!$G$29,0),"")</f>
        <v/>
      </c>
      <c r="AV25" s="146" t="str">
        <f>IFERROR(VLOOKUP($Y25&amp;AV$8,Calc2!$N$4:$S$763,Settings!$G$29,0),"")</f>
        <v/>
      </c>
      <c r="AW25" s="146" t="str">
        <f>IFERROR(VLOOKUP($Y25&amp;AW$8,Calc2!$N$4:$S$763,Settings!$G$29,0),"")</f>
        <v/>
      </c>
      <c r="AX25" s="146" t="str">
        <f>IFERROR(VLOOKUP($Y25&amp;AX$8,Calc2!$N$4:$S$763,Settings!$G$29,0),"")</f>
        <v/>
      </c>
      <c r="AY25" s="146" t="str">
        <f>IFERROR(VLOOKUP($Y25&amp;AY$8,Calc2!$N$4:$S$763,Settings!$G$29,0),"")</f>
        <v/>
      </c>
      <c r="AZ25" s="146" t="str">
        <f>IFERROR(VLOOKUP($Y25&amp;AZ$8,Calc2!$N$4:$S$763,Settings!$G$29,0),"")</f>
        <v>46 - 50</v>
      </c>
      <c r="BA25" s="146" t="str">
        <f>IFERROR(VLOOKUP($Y25&amp;BA$8,Calc2!$N$4:$S$763,Settings!$G$29,0),"")</f>
        <v>46 - 50</v>
      </c>
      <c r="BB25" s="146" t="str">
        <f>IFERROR(VLOOKUP($Y25&amp;BB$8,Calc2!$N$4:$S$763,Settings!$G$29,0),"")</f>
        <v>29 - 50</v>
      </c>
      <c r="BC25" s="146" t="str">
        <f>IFERROR(VLOOKUP($Y25&amp;BC$8,Calc2!$N$4:$S$763,Settings!$G$29,0),"")</f>
        <v>29 - 50</v>
      </c>
      <c r="BD25" s="146" t="str">
        <f>IFERROR(VLOOKUP($Y25&amp;BD$8,Calc2!$N$4:$S$763,Settings!$G$29,0),"")</f>
        <v/>
      </c>
      <c r="BE25" s="146" t="str">
        <f>IFERROR(VLOOKUP($Y25&amp;BE$8,Calc2!$N$4:$S$763,Settings!$G$29,0),"")</f>
        <v/>
      </c>
      <c r="BF25" s="146" t="str">
        <f>IFERROR(VLOOKUP($Y25&amp;BF$8,Calc2!$N$4:$S$763,Settings!$G$29,0),"")</f>
        <v>50 - 40</v>
      </c>
      <c r="BG25" s="146" t="str">
        <f>IFERROR(VLOOKUP($Y25&amp;BG$8,Calc2!$N$4:$S$763,Settings!$G$29,0),"")</f>
        <v/>
      </c>
      <c r="BH25" s="152"/>
      <c r="BI25" s="146" t="str">
        <f>IFERROR(VLOOKUP($Y25&amp;BI$8,Calc2!$N$4:$S$763,Settings!$G$29,0),"")</f>
        <v/>
      </c>
      <c r="BJ25" s="146" t="str">
        <f>IFERROR(VLOOKUP($Y25&amp;BJ$8,Calc2!$N$4:$S$763,Settings!$G$29,0),"")</f>
        <v/>
      </c>
      <c r="BK25" s="153" t="str">
        <f>IFERROR(VLOOKUP($Y25&amp;BK$8,Calc2!$N$4:$S$763,Settings!$G$29,0),"")</f>
        <v/>
      </c>
      <c r="BL25" s="180"/>
      <c r="BM25" s="193" t="b">
        <f t="shared" si="18"/>
        <v>0</v>
      </c>
      <c r="BN25" s="19" t="b">
        <f t="shared" si="19"/>
        <v>0</v>
      </c>
      <c r="BO25" s="19" t="b">
        <f t="shared" si="20"/>
        <v>0</v>
      </c>
      <c r="BP25" s="19" t="b">
        <f t="shared" si="21"/>
        <v>1</v>
      </c>
      <c r="BQ25" s="19" t="b">
        <f t="shared" si="22"/>
        <v>0</v>
      </c>
      <c r="BR25" s="19" t="b">
        <f t="shared" si="23"/>
        <v>0</v>
      </c>
      <c r="BS25" s="19" t="b">
        <f t="shared" si="24"/>
        <v>0</v>
      </c>
    </row>
    <row r="26" spans="2:71" ht="15.95" customHeight="1" x14ac:dyDescent="0.2">
      <c r="B26" s="248" t="str">
        <f>IF(Calc!$F$26=0,"",IF(OR($C26&gt;Calc!$B$24,MOD($C26-1,Calc!$F$26)&gt;0),"",QUOTIENT($C26-1,Calc!$F$26)+1))</f>
        <v/>
      </c>
      <c r="C26" s="244">
        <v>18</v>
      </c>
      <c r="D26" s="142">
        <f>IF(Planning!$T24="","",Planning!$T24)</f>
        <v>45899</v>
      </c>
      <c r="E26" s="143">
        <f>IF(Planning!$U24="","",Planning!$U24)</f>
        <v>0.64583333333333337</v>
      </c>
      <c r="F26" s="161" t="str">
        <f>Planning!$Q24</f>
        <v>Eintracht Frankfurt</v>
      </c>
      <c r="G26" s="162" t="s">
        <v>4</v>
      </c>
      <c r="H26" s="161" t="str">
        <f>Planning!$S24</f>
        <v>FC Augsburg</v>
      </c>
      <c r="I26" s="163">
        <v>25</v>
      </c>
      <c r="J26" s="315" t="str">
        <f>Language!$E$90</f>
        <v xml:space="preserve"> - </v>
      </c>
      <c r="K26" s="318">
        <v>12</v>
      </c>
      <c r="L26" s="163">
        <v>25</v>
      </c>
      <c r="M26" s="360" t="str">
        <f>Language!$E$90</f>
        <v xml:space="preserve"> - </v>
      </c>
      <c r="N26" s="318">
        <v>20</v>
      </c>
      <c r="O26" s="163"/>
      <c r="P26" s="360" t="str">
        <f>Language!$E$90</f>
        <v xml:space="preserve"> - </v>
      </c>
      <c r="Q26" s="318"/>
      <c r="R26" s="354">
        <f t="shared" si="16"/>
        <v>2</v>
      </c>
      <c r="S26" s="357" t="str">
        <f>Language!$E$90</f>
        <v xml:space="preserve"> - </v>
      </c>
      <c r="T26" s="321">
        <f t="shared" si="17"/>
        <v>0</v>
      </c>
      <c r="U26" s="294"/>
      <c r="V26" s="295"/>
      <c r="W26" s="269"/>
      <c r="X26" s="333">
        <f>IF(Calc!$K$24=0,"",IF(VLOOKUP(Calc!B21,Calc!$C$4:$E$23,3,0)=MAX(X$9:X25),VLOOKUP(Calc!B21,Calc!$C$4:$E$23,3,0),Calc!B21))</f>
        <v>18</v>
      </c>
      <c r="Y26" s="334" t="str">
        <f>IF(Calc!$K$24=0,Calc2!$C21,VLOOKUP(Calc!B21,Calc!$C$4:$N$23,4,0))</f>
        <v>Borussia Mönchengladbach</v>
      </c>
      <c r="Z26" s="335">
        <f>IF(Calc!$K$24=0,"",VLOOKUP(Calc!B21,Calc!$C$4:$N$23,9,0))</f>
        <v>5</v>
      </c>
      <c r="AA26" s="336">
        <f>IF(Calc!$K$24=0,"",IF($Z26=0,"",VLOOKUP(Calc!B21,Calc!$C$4:$N$23,10,0)))</f>
        <v>0</v>
      </c>
      <c r="AB26" s="336">
        <f>IF(Calc!$K$24=0,"",IF($Z26=0,"",VLOOKUP(Calc!B21,Calc!$C$4:$N$23,11,0)))</f>
        <v>0</v>
      </c>
      <c r="AC26" s="337">
        <f>IF(Calc!$K$24=0,"",IF($Z26=0,"",VLOOKUP(Calc!B21,Calc!$C$4:$N$23,12,0)))</f>
        <v>5</v>
      </c>
      <c r="AD26" s="338">
        <f>IF(Calc!$K$24=0,"",IF($Z26=0,"",VLOOKUP(Calc!B21,Calc!$C$4:$Y$23,20,0)))</f>
        <v>1</v>
      </c>
      <c r="AE26" s="391" t="str">
        <f>Language!$E$90</f>
        <v xml:space="preserve"> - </v>
      </c>
      <c r="AF26" s="421">
        <f>IF(Calc!$K$24=0,"",IF($Z26=0,"",VLOOKUP(Calc!B21,Calc!$C$4:$Y$23,21,0)))</f>
        <v>10</v>
      </c>
      <c r="AG26" s="337">
        <f>IF(Calc!$K$24=0,"",IF($Z26=0,"",IF(AD26-AF26&gt;0,"+"&amp;AD26-AF26,AD26-AF26)))</f>
        <v>-9</v>
      </c>
      <c r="AH26" s="338">
        <f>IF(Calc!$K$24=0,"",IF($Z26=0,"",VLOOKUP(Calc!B21,Calc!$C$4:$N$23,5,0)))</f>
        <v>225</v>
      </c>
      <c r="AI26" s="391" t="str">
        <f>Language!$E$90</f>
        <v xml:space="preserve"> - </v>
      </c>
      <c r="AJ26" s="339">
        <f>IF(Calc!$K$24=0,"",IF($Z26=0,"",VLOOKUP(Calc!B21,Calc!$C$4:$N$23,6,0)))</f>
        <v>265</v>
      </c>
      <c r="AK26" s="429">
        <f>IF(Calc!$K$24=0,"",IF($Z26=0,"",VLOOKUP(Calc!B21,Calc!$C$4:$Y$23,23,0)))</f>
        <v>-40</v>
      </c>
      <c r="AL26" s="340">
        <f>IF(Calc!$K$24=0,"",IF($Z26=0,"",VLOOKUP(Calc!B21,Calc!$C$4:$Y$23,19,0)))</f>
        <v>1</v>
      </c>
      <c r="AM26" s="299" t="str">
        <f>IF(VLOOKUP(Calc!B21,Calc!$C$4:$O$23,13,0)=0,"",VLOOKUP(Calc!B21,Calc!$C$4:$O$23,13,0))</f>
        <v/>
      </c>
      <c r="AN26" s="286" t="str">
        <f>IF(IFERROR(VLOOKUP($Y26,Planning!$D$7:$E$26,2,0),0)=0,IF(LEN(Y26)&gt;Settings!$C$33,LEFT(Y26,Settings!$C$33)&amp;".",Y26),VLOOKUP($Y26,Planning!$D$7:$E$26,2,0))</f>
        <v>Gladbach</v>
      </c>
      <c r="AO26" s="233"/>
      <c r="AP26" s="197">
        <f t="shared" si="7"/>
        <v>18</v>
      </c>
      <c r="AQ26" s="198" t="str">
        <f t="shared" si="8"/>
        <v>Borussia Mönchengladbach</v>
      </c>
      <c r="AR26" s="151" t="str">
        <f>IFERROR(VLOOKUP($Y26&amp;AR$8,Calc2!$N$4:$S$763,Settings!$G$29,0),"")</f>
        <v/>
      </c>
      <c r="AS26" s="146" t="str">
        <f>IFERROR(VLOOKUP($Y26&amp;AS$8,Calc2!$N$4:$S$763,Settings!$G$29,0),"")</f>
        <v/>
      </c>
      <c r="AT26" s="146" t="str">
        <f>IFERROR(VLOOKUP($Y26&amp;AT$8,Calc2!$N$4:$S$763,Settings!$G$29,0),"")</f>
        <v>62 - 64</v>
      </c>
      <c r="AU26" s="146" t="str">
        <f>IFERROR(VLOOKUP($Y26&amp;AU$8,Calc2!$N$4:$S$763,Settings!$G$29,0),"")</f>
        <v>46 - 51</v>
      </c>
      <c r="AV26" s="146" t="str">
        <f>IFERROR(VLOOKUP($Y26&amp;AV$8,Calc2!$N$4:$S$763,Settings!$G$29,0),"")</f>
        <v>39 - 50</v>
      </c>
      <c r="AW26" s="146" t="str">
        <f>IFERROR(VLOOKUP($Y26&amp;AW$8,Calc2!$N$4:$S$763,Settings!$G$29,0),"")</f>
        <v/>
      </c>
      <c r="AX26" s="146" t="str">
        <f>IFERROR(VLOOKUP($Y26&amp;AX$8,Calc2!$N$4:$S$763,Settings!$G$29,0),"")</f>
        <v>39 - 50</v>
      </c>
      <c r="AY26" s="146" t="str">
        <f>IFERROR(VLOOKUP($Y26&amp;AY$8,Calc2!$N$4:$S$763,Settings!$G$29,0),"")</f>
        <v/>
      </c>
      <c r="AZ26" s="146" t="str">
        <f>IFERROR(VLOOKUP($Y26&amp;AZ$8,Calc2!$N$4:$S$763,Settings!$G$29,0),"")</f>
        <v/>
      </c>
      <c r="BA26" s="146" t="str">
        <f>IFERROR(VLOOKUP($Y26&amp;BA$8,Calc2!$N$4:$S$763,Settings!$G$29,0),"")</f>
        <v/>
      </c>
      <c r="BB26" s="146" t="str">
        <f>IFERROR(VLOOKUP($Y26&amp;BB$8,Calc2!$N$4:$S$763,Settings!$G$29,0),"")</f>
        <v/>
      </c>
      <c r="BC26" s="146" t="str">
        <f>IFERROR(VLOOKUP($Y26&amp;BC$8,Calc2!$N$4:$S$763,Settings!$G$29,0),"")</f>
        <v/>
      </c>
      <c r="BD26" s="146" t="str">
        <f>IFERROR(VLOOKUP($Y26&amp;BD$8,Calc2!$N$4:$S$763,Settings!$G$29,0),"")</f>
        <v/>
      </c>
      <c r="BE26" s="146" t="str">
        <f>IFERROR(VLOOKUP($Y26&amp;BE$8,Calc2!$N$4:$S$763,Settings!$G$29,0),"")</f>
        <v>39 - 50</v>
      </c>
      <c r="BF26" s="146" t="str">
        <f>IFERROR(VLOOKUP($Y26&amp;BF$8,Calc2!$N$4:$S$763,Settings!$G$29,0),"")</f>
        <v/>
      </c>
      <c r="BG26" s="146" t="str">
        <f>IFERROR(VLOOKUP($Y26&amp;BG$8,Calc2!$N$4:$S$763,Settings!$G$29,0),"")</f>
        <v/>
      </c>
      <c r="BH26" s="146" t="str">
        <f>IFERROR(VLOOKUP($Y26&amp;BH$8,Calc2!$N$4:$S$763,Settings!$G$29,0),"")</f>
        <v/>
      </c>
      <c r="BI26" s="152"/>
      <c r="BJ26" s="146" t="str">
        <f>IFERROR(VLOOKUP($Y26&amp;BJ$8,Calc2!$N$4:$S$763,Settings!$G$29,0),"")</f>
        <v/>
      </c>
      <c r="BK26" s="153" t="str">
        <f>IFERROR(VLOOKUP($Y26&amp;BK$8,Calc2!$N$4:$S$763,Settings!$G$29,0),"")</f>
        <v/>
      </c>
      <c r="BL26" s="180"/>
      <c r="BM26" s="193" t="b">
        <f t="shared" si="18"/>
        <v>0</v>
      </c>
      <c r="BN26" s="19" t="b">
        <f t="shared" si="19"/>
        <v>0</v>
      </c>
      <c r="BO26" s="19" t="b">
        <f t="shared" si="20"/>
        <v>0</v>
      </c>
      <c r="BP26" s="19" t="b">
        <f t="shared" si="21"/>
        <v>1</v>
      </c>
      <c r="BQ26" s="19" t="b">
        <f t="shared" si="22"/>
        <v>0</v>
      </c>
      <c r="BR26" s="19" t="b">
        <f t="shared" si="23"/>
        <v>0</v>
      </c>
      <c r="BS26" s="19" t="b">
        <f t="shared" si="24"/>
        <v>0</v>
      </c>
    </row>
    <row r="27" spans="2:71" ht="15.95" customHeight="1" x14ac:dyDescent="0.2">
      <c r="B27" s="248">
        <f>IF(Calc!$F$26=0,"",IF(OR($C27&gt;Calc!$B$24,MOD($C27-1,Calc!$F$26)&gt;0),"",QUOTIENT($C27-1,Calc!$F$26)+1))</f>
        <v>3</v>
      </c>
      <c r="C27" s="244">
        <v>19</v>
      </c>
      <c r="D27" s="142">
        <f>IF(Planning!$T25="","",Planning!$T25)</f>
        <v>45913</v>
      </c>
      <c r="E27" s="143">
        <f>IF(Planning!$U25="","",Planning!$U25)</f>
        <v>0.64583333333333337</v>
      </c>
      <c r="F27" s="161" t="str">
        <f>Planning!$Q25</f>
        <v>1. FC Heidenheim 1846</v>
      </c>
      <c r="G27" s="162" t="s">
        <v>4</v>
      </c>
      <c r="H27" s="161" t="str">
        <f>Planning!$S25</f>
        <v>TSG Hoffenheim</v>
      </c>
      <c r="I27" s="163">
        <v>25</v>
      </c>
      <c r="J27" s="315" t="str">
        <f>Language!$E$90</f>
        <v xml:space="preserve"> - </v>
      </c>
      <c r="K27" s="318">
        <v>21</v>
      </c>
      <c r="L27" s="163">
        <v>25</v>
      </c>
      <c r="M27" s="360" t="str">
        <f>Language!$E$90</f>
        <v xml:space="preserve"> - </v>
      </c>
      <c r="N27" s="318">
        <v>20</v>
      </c>
      <c r="O27" s="163"/>
      <c r="P27" s="360" t="str">
        <f>Language!$E$90</f>
        <v xml:space="preserve"> - </v>
      </c>
      <c r="Q27" s="318"/>
      <c r="R27" s="354">
        <f t="shared" si="16"/>
        <v>2</v>
      </c>
      <c r="S27" s="357" t="str">
        <f>Language!$E$90</f>
        <v xml:space="preserve"> - </v>
      </c>
      <c r="T27" s="321">
        <f t="shared" si="17"/>
        <v>0</v>
      </c>
      <c r="U27" s="294"/>
      <c r="V27" s="295"/>
      <c r="W27" s="269"/>
      <c r="X27" s="201">
        <f>IF(Calc!$K$24=0,"",IF(VLOOKUP(Calc!B22,Calc!$C$4:$E$23,3,0)=MAX(X$9:X26),VLOOKUP(Calc!B22,Calc!$C$4:$E$23,3,0),Calc!B22))</f>
        <v>19</v>
      </c>
      <c r="Y27" s="198" t="str">
        <f>IF(Calc!$K$24=0,Calc2!$C22,VLOOKUP(Calc!B22,Calc!$C$4:$N$23,4,0))</f>
        <v/>
      </c>
      <c r="Z27" s="151">
        <f>IF(Calc!$K$24=0,"",VLOOKUP(Calc!B22,Calc!$C$4:$N$23,9,0))</f>
        <v>0</v>
      </c>
      <c r="AA27" s="146" t="str">
        <f>IF(Calc!$K$24=0,"",IF($Z27=0,"",VLOOKUP(Calc!B22,Calc!$C$4:$N$23,10,0)))</f>
        <v/>
      </c>
      <c r="AB27" s="146" t="str">
        <f>IF(Calc!$K$24=0,"",IF($Z27=0,"",VLOOKUP(Calc!B22,Calc!$C$4:$N$23,11,0)))</f>
        <v/>
      </c>
      <c r="AC27" s="147" t="str">
        <f>IF(Calc!$K$24=0,"",IF($Z27=0,"",VLOOKUP(Calc!B22,Calc!$C$4:$N$23,12,0)))</f>
        <v/>
      </c>
      <c r="AD27" s="148" t="str">
        <f>IF(Calc!$K$24=0,"",IF($Z27=0,"",VLOOKUP(Calc!B22,Calc!$C$4:$Y$23,20,0)))</f>
        <v/>
      </c>
      <c r="AE27" s="392" t="str">
        <f>Language!$E$90</f>
        <v xml:space="preserve"> - </v>
      </c>
      <c r="AF27" s="422" t="str">
        <f>IF(Calc!$K$24=0,"",IF($Z27=0,"",VLOOKUP(Calc!B22,Calc!$C$4:$Y$23,21,0)))</f>
        <v/>
      </c>
      <c r="AG27" s="147" t="str">
        <f>IF(Calc!$K$24=0,"",IF($Z27=0,"",IF(AD27-AF27&gt;0,"+"&amp;AD27-AF27,AD27-AF27)))</f>
        <v/>
      </c>
      <c r="AH27" s="148" t="str">
        <f>IF(Calc!$K$24=0,"",IF($Z27=0,"",VLOOKUP(Calc!B22,Calc!$C$4:$N$23,5,0)))</f>
        <v/>
      </c>
      <c r="AI27" s="392" t="str">
        <f>Language!$E$90</f>
        <v xml:space="preserve"> - </v>
      </c>
      <c r="AJ27" s="149" t="str">
        <f>IF(Calc!$K$24=0,"",IF($Z27=0,"",VLOOKUP(Calc!B22,Calc!$C$4:$N$23,6,0)))</f>
        <v/>
      </c>
      <c r="AK27" s="430" t="str">
        <f>IF(Calc!$K$24=0,"",IF($Z27=0,"",VLOOKUP(Calc!B22,Calc!$C$4:$Y$23,23,0)))</f>
        <v/>
      </c>
      <c r="AL27" s="150" t="str">
        <f>IF(Calc!$K$24=0,"",IF($Z27=0,"",VLOOKUP(Calc!B22,Calc!$C$4:$Y$23,19,0)))</f>
        <v/>
      </c>
      <c r="AM27" s="299" t="str">
        <f>IF(VLOOKUP(Calc!B22,Calc!$C$4:$O$23,13,0)=0,"",VLOOKUP(Calc!B22,Calc!$C$4:$O$23,13,0))</f>
        <v/>
      </c>
      <c r="AN27" s="286" t="str">
        <f>IF(IFERROR(VLOOKUP($Y27,Planning!$D$7:$E$26,2,0),0)=0,IF(LEN(Y27)&gt;Settings!$C$33,LEFT(Y27,Settings!$C$33)&amp;".",Y27),VLOOKUP($Y27,Planning!$D$7:$E$26,2,0))</f>
        <v/>
      </c>
      <c r="AO27" s="233"/>
      <c r="AP27" s="197">
        <f t="shared" si="7"/>
        <v>19</v>
      </c>
      <c r="AQ27" s="198" t="str">
        <f t="shared" si="8"/>
        <v/>
      </c>
      <c r="AR27" s="151" t="str">
        <f>IFERROR(VLOOKUP($Y27&amp;AR$8,Calc2!$N$4:$S$763,Settings!$G$29,0),"")</f>
        <v/>
      </c>
      <c r="AS27" s="146" t="str">
        <f>IFERROR(VLOOKUP($Y27&amp;AS$8,Calc2!$N$4:$S$763,Settings!$G$29,0),"")</f>
        <v/>
      </c>
      <c r="AT27" s="146" t="str">
        <f>IFERROR(VLOOKUP($Y27&amp;AT$8,Calc2!$N$4:$S$763,Settings!$G$29,0),"")</f>
        <v/>
      </c>
      <c r="AU27" s="146" t="str">
        <f>IFERROR(VLOOKUP($Y27&amp;AU$8,Calc2!$N$4:$S$763,Settings!$G$29,0),"")</f>
        <v/>
      </c>
      <c r="AV27" s="146" t="str">
        <f>IFERROR(VLOOKUP($Y27&amp;AV$8,Calc2!$N$4:$S$763,Settings!$G$29,0),"")</f>
        <v/>
      </c>
      <c r="AW27" s="146" t="str">
        <f>IFERROR(VLOOKUP($Y27&amp;AW$8,Calc2!$N$4:$S$763,Settings!$G$29,0),"")</f>
        <v/>
      </c>
      <c r="AX27" s="146" t="str">
        <f>IFERROR(VLOOKUP($Y27&amp;AX$8,Calc2!$N$4:$S$763,Settings!$G$29,0),"")</f>
        <v/>
      </c>
      <c r="AY27" s="146" t="str">
        <f>IFERROR(VLOOKUP($Y27&amp;AY$8,Calc2!$N$4:$S$763,Settings!$G$29,0),"")</f>
        <v/>
      </c>
      <c r="AZ27" s="146" t="str">
        <f>IFERROR(VLOOKUP($Y27&amp;AZ$8,Calc2!$N$4:$S$763,Settings!$G$29,0),"")</f>
        <v/>
      </c>
      <c r="BA27" s="146" t="str">
        <f>IFERROR(VLOOKUP($Y27&amp;BA$8,Calc2!$N$4:$S$763,Settings!$G$29,0),"")</f>
        <v/>
      </c>
      <c r="BB27" s="146" t="str">
        <f>IFERROR(VLOOKUP($Y27&amp;BB$8,Calc2!$N$4:$S$763,Settings!$G$29,0),"")</f>
        <v/>
      </c>
      <c r="BC27" s="146" t="str">
        <f>IFERROR(VLOOKUP($Y27&amp;BC$8,Calc2!$N$4:$S$763,Settings!$G$29,0),"")</f>
        <v/>
      </c>
      <c r="BD27" s="146" t="str">
        <f>IFERROR(VLOOKUP($Y27&amp;BD$8,Calc2!$N$4:$S$763,Settings!$G$29,0),"")</f>
        <v/>
      </c>
      <c r="BE27" s="146" t="str">
        <f>IFERROR(VLOOKUP($Y27&amp;BE$8,Calc2!$N$4:$S$763,Settings!$G$29,0),"")</f>
        <v/>
      </c>
      <c r="BF27" s="146" t="str">
        <f>IFERROR(VLOOKUP($Y27&amp;BF$8,Calc2!$N$4:$S$763,Settings!$G$29,0),"")</f>
        <v/>
      </c>
      <c r="BG27" s="146" t="str">
        <f>IFERROR(VLOOKUP($Y27&amp;BG$8,Calc2!$N$4:$S$763,Settings!$G$29,0),"")</f>
        <v/>
      </c>
      <c r="BH27" s="146" t="str">
        <f>IFERROR(VLOOKUP($Y27&amp;BH$8,Calc2!$N$4:$S$763,Settings!$G$29,0),"")</f>
        <v/>
      </c>
      <c r="BI27" s="146" t="str">
        <f>IFERROR(VLOOKUP($Y27&amp;BI$8,Calc2!$N$4:$S$763,Settings!$G$29,0),"")</f>
        <v/>
      </c>
      <c r="BJ27" s="152"/>
      <c r="BK27" s="153" t="str">
        <f>IFERROR(VLOOKUP($Y27&amp;BK$8,Calc2!$N$4:$S$763,Settings!$G$29,0),"")</f>
        <v/>
      </c>
      <c r="BL27" s="180"/>
      <c r="BM27" s="193" t="b">
        <f t="shared" si="18"/>
        <v>0</v>
      </c>
      <c r="BN27" s="19" t="b">
        <f t="shared" si="19"/>
        <v>0</v>
      </c>
      <c r="BO27" s="19" t="b">
        <f t="shared" si="20"/>
        <v>0</v>
      </c>
      <c r="BP27" s="19" t="b">
        <f t="shared" si="21"/>
        <v>1</v>
      </c>
      <c r="BQ27" s="19" t="b">
        <f t="shared" si="22"/>
        <v>0</v>
      </c>
      <c r="BR27" s="19" t="b">
        <f t="shared" si="23"/>
        <v>0</v>
      </c>
      <c r="BS27" s="19" t="b">
        <f t="shared" si="24"/>
        <v>0</v>
      </c>
    </row>
    <row r="28" spans="2:71" ht="15.95" customHeight="1" thickBot="1" x14ac:dyDescent="0.25">
      <c r="B28" s="248" t="str">
        <f>IF(Calc!$F$26=0,"",IF(OR($C28&gt;Calc!$B$24,MOD($C28-1,Calc!$F$26)&gt;0),"",QUOTIENT($C28-1,Calc!$F$26)+1))</f>
        <v/>
      </c>
      <c r="C28" s="244">
        <v>20</v>
      </c>
      <c r="D28" s="142">
        <f>IF(Planning!$T26="","",Planning!$T26)</f>
        <v>45913</v>
      </c>
      <c r="E28" s="143">
        <f>IF(Planning!$U26="","",Planning!$U26)</f>
        <v>0.64583333333333337</v>
      </c>
      <c r="F28" s="161" t="str">
        <f>Planning!$Q26</f>
        <v>SV Werder Bremen</v>
      </c>
      <c r="G28" s="162" t="s">
        <v>4</v>
      </c>
      <c r="H28" s="161" t="str">
        <f>Planning!$S26</f>
        <v>VfB Stuttgart</v>
      </c>
      <c r="I28" s="163">
        <v>25</v>
      </c>
      <c r="J28" s="315" t="str">
        <f>Language!$E$90</f>
        <v xml:space="preserve"> - </v>
      </c>
      <c r="K28" s="318">
        <v>23</v>
      </c>
      <c r="L28" s="163">
        <v>25</v>
      </c>
      <c r="M28" s="360" t="str">
        <f>Language!$E$90</f>
        <v xml:space="preserve"> - </v>
      </c>
      <c r="N28" s="318">
        <v>22</v>
      </c>
      <c r="O28" s="163"/>
      <c r="P28" s="360" t="str">
        <f>Language!$E$90</f>
        <v xml:space="preserve"> - </v>
      </c>
      <c r="Q28" s="318"/>
      <c r="R28" s="354">
        <f t="shared" si="16"/>
        <v>2</v>
      </c>
      <c r="S28" s="357" t="str">
        <f>Language!$E$90</f>
        <v xml:space="preserve"> - </v>
      </c>
      <c r="T28" s="321">
        <f t="shared" si="17"/>
        <v>0</v>
      </c>
      <c r="U28" s="294"/>
      <c r="V28" s="295"/>
      <c r="W28" s="269"/>
      <c r="X28" s="202">
        <f>IF(Calc!$K$24=0,"",IF(VLOOKUP(Calc!B23,Calc!$C$4:$E$23,3,0)=MAX(X$9:X27),VLOOKUP(Calc!B23,Calc!$C$4:$E$23,3,0),Calc!B23))</f>
        <v>19</v>
      </c>
      <c r="Y28" s="203" t="str">
        <f>IF(Calc!$K$24=0,Calc2!$C23,VLOOKUP(Calc!B23,Calc!$C$4:$N$23,4,0))</f>
        <v/>
      </c>
      <c r="Z28" s="159">
        <f>IF(Calc!$K$24=0,"",VLOOKUP(Calc!B23,Calc!$C$4:$N$23,9,0))</f>
        <v>0</v>
      </c>
      <c r="AA28" s="154" t="str">
        <f>IF(Calc!$K$24=0,"",IF($Z28=0,"",VLOOKUP(Calc!B23,Calc!$C$4:$N$23,10,0)))</f>
        <v/>
      </c>
      <c r="AB28" s="154" t="str">
        <f>IF(Calc!$K$24=0,"",IF($Z28=0,"",VLOOKUP(Calc!B23,Calc!$C$4:$N$23,11,0)))</f>
        <v/>
      </c>
      <c r="AC28" s="155" t="str">
        <f>IF(Calc!$K$24=0,"",IF($Z28=0,"",VLOOKUP(Calc!B23,Calc!$C$4:$N$23,12,0)))</f>
        <v/>
      </c>
      <c r="AD28" s="156" t="str">
        <f>IF(Calc!$K$24=0,"",IF($Z28=0,"",VLOOKUP(Calc!B23,Calc!$C$4:$Y$23,20,0)))</f>
        <v/>
      </c>
      <c r="AE28" s="393" t="str">
        <f>Language!$E$90</f>
        <v xml:space="preserve"> - </v>
      </c>
      <c r="AF28" s="423" t="str">
        <f>IF(Calc!$K$24=0,"",IF($Z28=0,"",VLOOKUP(Calc!B23,Calc!$C$4:$Y$23,21,0)))</f>
        <v/>
      </c>
      <c r="AG28" s="155" t="str">
        <f>IF(Calc!$K$24=0,"",IF($Z28=0,"",IF(AD28-AF28&gt;0,"+"&amp;AD28-AF28,AD28-AF28)))</f>
        <v/>
      </c>
      <c r="AH28" s="156" t="str">
        <f>IF(Calc!$K$24=0,"",IF($Z28=0,"",VLOOKUP(Calc!B23,Calc!$C$4:$N$23,5,0)))</f>
        <v/>
      </c>
      <c r="AI28" s="393" t="str">
        <f>Language!$E$90</f>
        <v xml:space="preserve"> - </v>
      </c>
      <c r="AJ28" s="157" t="str">
        <f>IF(Calc!$K$24=0,"",IF($Z28=0,"",VLOOKUP(Calc!B23,Calc!$C$4:$N$23,6,0)))</f>
        <v/>
      </c>
      <c r="AK28" s="431" t="str">
        <f>IF(Calc!$K$24=0,"",IF($Z28=0,"",VLOOKUP(Calc!B23,Calc!$C$4:$Y$23,23,0)))</f>
        <v/>
      </c>
      <c r="AL28" s="158" t="str">
        <f>IF(Calc!$K$24=0,"",IF($Z28=0,"",VLOOKUP(Calc!B23,Calc!$C$4:$Y$23,19,0)))</f>
        <v/>
      </c>
      <c r="AM28" s="300" t="str">
        <f>IF(VLOOKUP(Calc!B23,Calc!$C$4:$O$23,13,0)=0,"",VLOOKUP(Calc!B23,Calc!$C$4:$O$23,13,0))</f>
        <v/>
      </c>
      <c r="AN28" s="286" t="str">
        <f>IF(IFERROR(VLOOKUP($Y28,Planning!$D$7:$E$26,2,0),0)=0,IF(LEN(Y28)&gt;Settings!$C$33,LEFT(Y28,Settings!$C$33)&amp;".",Y28),VLOOKUP($Y28,Planning!$D$7:$E$26,2,0))</f>
        <v/>
      </c>
      <c r="AO28" s="233"/>
      <c r="AP28" s="199">
        <f t="shared" si="7"/>
        <v>19</v>
      </c>
      <c r="AQ28" s="200" t="str">
        <f t="shared" si="8"/>
        <v/>
      </c>
      <c r="AR28" s="159" t="str">
        <f>IFERROR(VLOOKUP($Y28&amp;AR$8,Calc2!$N$4:$S$763,Settings!$G$29,0),"")</f>
        <v/>
      </c>
      <c r="AS28" s="154" t="str">
        <f>IFERROR(VLOOKUP($Y28&amp;AS$8,Calc2!$N$4:$S$763,Settings!$G$29,0),"")</f>
        <v/>
      </c>
      <c r="AT28" s="154" t="str">
        <f>IFERROR(VLOOKUP($Y28&amp;AT$8,Calc2!$N$4:$S$763,Settings!$G$29,0),"")</f>
        <v/>
      </c>
      <c r="AU28" s="154" t="str">
        <f>IFERROR(VLOOKUP($Y28&amp;AU$8,Calc2!$N$4:$S$763,Settings!$G$29,0),"")</f>
        <v/>
      </c>
      <c r="AV28" s="154" t="str">
        <f>IFERROR(VLOOKUP($Y28&amp;AV$8,Calc2!$N$4:$S$763,Settings!$G$29,0),"")</f>
        <v/>
      </c>
      <c r="AW28" s="154" t="str">
        <f>IFERROR(VLOOKUP($Y28&amp;AW$8,Calc2!$N$4:$S$763,Settings!$G$29,0),"")</f>
        <v/>
      </c>
      <c r="AX28" s="154" t="str">
        <f>IFERROR(VLOOKUP($Y28&amp;AX$8,Calc2!$N$4:$S$763,Settings!$G$29,0),"")</f>
        <v/>
      </c>
      <c r="AY28" s="154" t="str">
        <f>IFERROR(VLOOKUP($Y28&amp;AY$8,Calc2!$N$4:$S$763,Settings!$G$29,0),"")</f>
        <v/>
      </c>
      <c r="AZ28" s="154" t="str">
        <f>IFERROR(VLOOKUP($Y28&amp;AZ$8,Calc2!$N$4:$S$763,Settings!$G$29,0),"")</f>
        <v/>
      </c>
      <c r="BA28" s="154" t="str">
        <f>IFERROR(VLOOKUP($Y28&amp;BA$8,Calc2!$N$4:$S$763,Settings!$G$29,0),"")</f>
        <v/>
      </c>
      <c r="BB28" s="154" t="str">
        <f>IFERROR(VLOOKUP($Y28&amp;BB$8,Calc2!$N$4:$S$763,Settings!$G$29,0),"")</f>
        <v/>
      </c>
      <c r="BC28" s="154" t="str">
        <f>IFERROR(VLOOKUP($Y28&amp;BC$8,Calc2!$N$4:$S$763,Settings!$G$29,0),"")</f>
        <v/>
      </c>
      <c r="BD28" s="154" t="str">
        <f>IFERROR(VLOOKUP($Y28&amp;BD$8,Calc2!$N$4:$S$763,Settings!$G$29,0),"")</f>
        <v/>
      </c>
      <c r="BE28" s="154" t="str">
        <f>IFERROR(VLOOKUP($Y28&amp;BE$8,Calc2!$N$4:$S$763,Settings!$G$29,0),"")</f>
        <v/>
      </c>
      <c r="BF28" s="154" t="str">
        <f>IFERROR(VLOOKUP($Y28&amp;BF$8,Calc2!$N$4:$S$763,Settings!$G$29,0),"")</f>
        <v/>
      </c>
      <c r="BG28" s="154" t="str">
        <f>IFERROR(VLOOKUP($Y28&amp;BG$8,Calc2!$N$4:$S$763,Settings!$G$29,0),"")</f>
        <v/>
      </c>
      <c r="BH28" s="154" t="str">
        <f>IFERROR(VLOOKUP($Y28&amp;BH$8,Calc2!$N$4:$S$763,Settings!$G$29,0),"")</f>
        <v/>
      </c>
      <c r="BI28" s="154" t="str">
        <f>IFERROR(VLOOKUP($Y28&amp;BI$8,Calc2!$N$4:$S$763,Settings!$G$29,0),"")</f>
        <v/>
      </c>
      <c r="BJ28" s="154" t="str">
        <f>IFERROR(VLOOKUP($Y28&amp;BJ$8,Calc2!$N$4:$S$763,Settings!$G$29,0),"")</f>
        <v/>
      </c>
      <c r="BK28" s="160"/>
      <c r="BL28" s="180"/>
      <c r="BM28" s="193" t="b">
        <f t="shared" si="18"/>
        <v>0</v>
      </c>
      <c r="BN28" s="19" t="b">
        <f t="shared" si="19"/>
        <v>0</v>
      </c>
      <c r="BO28" s="19" t="b">
        <f t="shared" si="20"/>
        <v>0</v>
      </c>
      <c r="BP28" s="19" t="b">
        <f t="shared" si="21"/>
        <v>1</v>
      </c>
      <c r="BQ28" s="19" t="b">
        <f t="shared" si="22"/>
        <v>0</v>
      </c>
      <c r="BR28" s="19" t="b">
        <f t="shared" si="23"/>
        <v>0</v>
      </c>
      <c r="BS28" s="19" t="b">
        <f t="shared" si="24"/>
        <v>0</v>
      </c>
    </row>
    <row r="29" spans="2:71" ht="15.95" customHeight="1" thickTop="1" x14ac:dyDescent="0.4">
      <c r="B29" s="248" t="str">
        <f>IF(Calc!$F$26=0,"",IF(OR($C29&gt;Calc!$B$24,MOD($C29-1,Calc!$F$26)&gt;0),"",QUOTIENT($C29-1,Calc!$F$26)+1))</f>
        <v/>
      </c>
      <c r="C29" s="244">
        <v>21</v>
      </c>
      <c r="D29" s="142">
        <f>IF(Planning!$T27="","",Planning!$T27)</f>
        <v>45913</v>
      </c>
      <c r="E29" s="143">
        <f>IF(Planning!$U27="","",Planning!$U27)</f>
        <v>0.64583333333333337</v>
      </c>
      <c r="F29" s="161" t="str">
        <f>Planning!$Q27</f>
        <v>VfL Wolfsburg</v>
      </c>
      <c r="G29" s="162" t="s">
        <v>4</v>
      </c>
      <c r="H29" s="161" t="str">
        <f>Planning!$S27</f>
        <v>SC Freiburg</v>
      </c>
      <c r="I29" s="163">
        <v>25</v>
      </c>
      <c r="J29" s="315" t="str">
        <f>Language!$E$90</f>
        <v xml:space="preserve"> - </v>
      </c>
      <c r="K29" s="318">
        <v>18</v>
      </c>
      <c r="L29" s="163">
        <v>25</v>
      </c>
      <c r="M29" s="360" t="str">
        <f>Language!$E$90</f>
        <v xml:space="preserve"> - </v>
      </c>
      <c r="N29" s="318">
        <v>11</v>
      </c>
      <c r="O29" s="163"/>
      <c r="P29" s="360" t="str">
        <f>Language!$E$90</f>
        <v xml:space="preserve"> - </v>
      </c>
      <c r="Q29" s="318"/>
      <c r="R29" s="354">
        <f t="shared" si="16"/>
        <v>2</v>
      </c>
      <c r="S29" s="357" t="str">
        <f>Language!$E$90</f>
        <v xml:space="preserve"> - </v>
      </c>
      <c r="T29" s="321">
        <f t="shared" si="17"/>
        <v>0</v>
      </c>
      <c r="U29" s="294"/>
      <c r="V29" s="295"/>
      <c r="X29" s="125"/>
      <c r="Y29" s="125"/>
      <c r="Z29" s="125"/>
      <c r="AA29" s="125"/>
      <c r="AB29" s="125"/>
      <c r="AC29" s="125"/>
      <c r="AD29" s="125"/>
      <c r="AE29" s="125"/>
      <c r="AF29" s="125"/>
      <c r="AG29" s="125"/>
      <c r="AH29" s="125"/>
      <c r="AI29" s="125"/>
      <c r="AJ29" s="125"/>
      <c r="AK29" s="125"/>
      <c r="AL29" s="125"/>
      <c r="AM29" s="125"/>
      <c r="AN29" s="125"/>
      <c r="AO29" s="125"/>
      <c r="AP29" s="125"/>
      <c r="AQ29" s="125"/>
      <c r="AR29" s="136"/>
      <c r="AS29" s="136"/>
      <c r="AT29" s="136"/>
      <c r="AU29" s="136"/>
      <c r="AV29" s="136"/>
      <c r="AW29" s="136"/>
      <c r="AX29" s="136"/>
      <c r="AY29" s="136"/>
      <c r="AZ29" s="136"/>
      <c r="BA29" s="136"/>
      <c r="BB29" s="136"/>
      <c r="BC29" s="136"/>
      <c r="BD29" s="136"/>
      <c r="BE29" s="136"/>
      <c r="BF29" s="136"/>
      <c r="BG29" s="136"/>
      <c r="BH29" s="136"/>
      <c r="BI29" s="136"/>
      <c r="BJ29" s="136"/>
      <c r="BK29" s="136"/>
      <c r="BL29" s="136"/>
      <c r="BM29" s="193" t="b">
        <f t="shared" si="18"/>
        <v>0</v>
      </c>
      <c r="BN29" s="19" t="b">
        <f t="shared" si="19"/>
        <v>0</v>
      </c>
      <c r="BO29" s="19" t="b">
        <f t="shared" si="20"/>
        <v>0</v>
      </c>
      <c r="BP29" s="19" t="b">
        <f t="shared" si="21"/>
        <v>1</v>
      </c>
      <c r="BQ29" s="19" t="b">
        <f t="shared" si="22"/>
        <v>0</v>
      </c>
      <c r="BR29" s="19" t="b">
        <f t="shared" si="23"/>
        <v>0</v>
      </c>
      <c r="BS29" s="19" t="b">
        <f t="shared" si="24"/>
        <v>0</v>
      </c>
    </row>
    <row r="30" spans="2:71" ht="15.95" customHeight="1" x14ac:dyDescent="0.2">
      <c r="B30" s="248" t="str">
        <f>IF(Calc!$F$26=0,"",IF(OR($C30&gt;Calc!$B$24,MOD($C30-1,Calc!$F$26)&gt;0),"",QUOTIENT($C30-1,Calc!$F$26)+1))</f>
        <v/>
      </c>
      <c r="C30" s="244">
        <v>22</v>
      </c>
      <c r="D30" s="142">
        <f>IF(Planning!$T28="","",Planning!$T28)</f>
        <v>45913</v>
      </c>
      <c r="E30" s="143">
        <f>IF(Planning!$U28="","",Planning!$U28)</f>
        <v>0.64583333333333337</v>
      </c>
      <c r="F30" s="161" t="str">
        <f>Planning!$Q28</f>
        <v>RB Leipzig</v>
      </c>
      <c r="G30" s="162" t="s">
        <v>4</v>
      </c>
      <c r="H30" s="161" t="str">
        <f>Planning!$S28</f>
        <v>1. FC Köln</v>
      </c>
      <c r="I30" s="163">
        <v>19</v>
      </c>
      <c r="J30" s="315" t="str">
        <f>Language!$E$90</f>
        <v xml:space="preserve"> - </v>
      </c>
      <c r="K30" s="318">
        <v>25</v>
      </c>
      <c r="L30" s="163">
        <v>25</v>
      </c>
      <c r="M30" s="360" t="str">
        <f>Language!$E$90</f>
        <v xml:space="preserve"> - </v>
      </c>
      <c r="N30" s="318">
        <v>19</v>
      </c>
      <c r="O30" s="163">
        <v>16</v>
      </c>
      <c r="P30" s="360" t="str">
        <f>Language!$E$90</f>
        <v xml:space="preserve"> - </v>
      </c>
      <c r="Q30" s="318">
        <v>14</v>
      </c>
      <c r="R30" s="354">
        <f t="shared" si="16"/>
        <v>2</v>
      </c>
      <c r="S30" s="357" t="str">
        <f>Language!$E$90</f>
        <v xml:space="preserve"> - </v>
      </c>
      <c r="T30" s="321">
        <f t="shared" si="17"/>
        <v>1</v>
      </c>
      <c r="U30" s="294"/>
      <c r="V30" s="295"/>
      <c r="X30" s="126"/>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c r="BM30" s="193" t="b">
        <f t="shared" si="18"/>
        <v>0</v>
      </c>
      <c r="BN30" s="19" t="b">
        <f t="shared" si="19"/>
        <v>0</v>
      </c>
      <c r="BO30" s="19" t="b">
        <f t="shared" si="20"/>
        <v>0</v>
      </c>
      <c r="BP30" s="19" t="b">
        <f t="shared" si="21"/>
        <v>0</v>
      </c>
      <c r="BQ30" s="19" t="b">
        <f t="shared" si="22"/>
        <v>0</v>
      </c>
      <c r="BR30" s="19" t="b">
        <f t="shared" si="23"/>
        <v>0</v>
      </c>
      <c r="BS30" s="19" t="b">
        <f t="shared" si="24"/>
        <v>0</v>
      </c>
    </row>
    <row r="31" spans="2:71" ht="15.95" customHeight="1" x14ac:dyDescent="0.2">
      <c r="B31" s="248" t="str">
        <f>IF(Calc!$F$26=0,"",IF(OR($C31&gt;Calc!$B$24,MOD($C31-1,Calc!$F$26)&gt;0),"",QUOTIENT($C31-1,Calc!$F$26)+1))</f>
        <v/>
      </c>
      <c r="C31" s="244">
        <v>23</v>
      </c>
      <c r="D31" s="142">
        <f>IF(Planning!$T29="","",Planning!$T29)</f>
        <v>45913</v>
      </c>
      <c r="E31" s="143">
        <f>IF(Planning!$U29="","",Planning!$U29)</f>
        <v>0.64583333333333337</v>
      </c>
      <c r="F31" s="161" t="str">
        <f>Planning!$Q29</f>
        <v>1. FC Union Berlin</v>
      </c>
      <c r="G31" s="162" t="s">
        <v>4</v>
      </c>
      <c r="H31" s="161" t="str">
        <f>Planning!$S29</f>
        <v>Hamburger SV</v>
      </c>
      <c r="I31" s="163">
        <v>17</v>
      </c>
      <c r="J31" s="315" t="str">
        <f>Language!$E$90</f>
        <v xml:space="preserve"> - </v>
      </c>
      <c r="K31" s="318">
        <v>25</v>
      </c>
      <c r="L31" s="163">
        <v>23</v>
      </c>
      <c r="M31" s="360" t="str">
        <f>Language!$E$90</f>
        <v xml:space="preserve"> - </v>
      </c>
      <c r="N31" s="318">
        <v>25</v>
      </c>
      <c r="O31" s="163"/>
      <c r="P31" s="360" t="str">
        <f>Language!$E$90</f>
        <v xml:space="preserve"> - </v>
      </c>
      <c r="Q31" s="318"/>
      <c r="R31" s="354">
        <f t="shared" si="16"/>
        <v>0</v>
      </c>
      <c r="S31" s="357" t="str">
        <f>Language!$E$90</f>
        <v xml:space="preserve"> - </v>
      </c>
      <c r="T31" s="321">
        <f t="shared" si="17"/>
        <v>2</v>
      </c>
      <c r="U31" s="294"/>
      <c r="V31" s="295"/>
      <c r="X31" s="467" t="str">
        <f>Language!$E$40</f>
        <v>Individual teams compared for a specific time period</v>
      </c>
      <c r="Y31" s="467"/>
      <c r="Z31" s="467"/>
      <c r="AA31" s="467"/>
      <c r="AB31" s="467"/>
      <c r="AC31" s="467"/>
      <c r="AD31" s="467"/>
      <c r="AE31" s="467"/>
      <c r="AF31" s="467"/>
      <c r="AG31" s="467"/>
      <c r="AH31" s="467"/>
      <c r="AI31" s="467"/>
      <c r="AJ31" s="467"/>
      <c r="AK31" s="467"/>
      <c r="AL31" s="467"/>
      <c r="AM31" s="283"/>
      <c r="AN31" s="127"/>
      <c r="AO31" s="127"/>
      <c r="AP31" s="194"/>
      <c r="AQ31" s="194"/>
      <c r="AR31" s="452" t="str">
        <f>Language!$E$19</f>
        <v>Second legs</v>
      </c>
      <c r="AS31" s="452"/>
      <c r="AT31" s="452"/>
      <c r="AU31" s="452"/>
      <c r="AV31" s="452"/>
      <c r="AW31" s="452"/>
      <c r="AX31" s="452"/>
      <c r="AY31" s="452"/>
      <c r="AZ31" s="452"/>
      <c r="BA31" s="452"/>
      <c r="BB31" s="452"/>
      <c r="BC31" s="452"/>
      <c r="BD31" s="452"/>
      <c r="BE31" s="452"/>
      <c r="BF31" s="452"/>
      <c r="BG31" s="452"/>
      <c r="BH31" s="452"/>
      <c r="BI31" s="452"/>
      <c r="BJ31" s="452"/>
      <c r="BK31" s="452"/>
      <c r="BL31" s="353"/>
      <c r="BM31" s="193" t="b">
        <f t="shared" si="18"/>
        <v>0</v>
      </c>
      <c r="BN31" s="19" t="b">
        <f t="shared" si="19"/>
        <v>0</v>
      </c>
      <c r="BO31" s="19" t="b">
        <f t="shared" si="20"/>
        <v>0</v>
      </c>
      <c r="BP31" s="19" t="b">
        <f t="shared" si="21"/>
        <v>1</v>
      </c>
      <c r="BQ31" s="19" t="b">
        <f t="shared" si="22"/>
        <v>0</v>
      </c>
      <c r="BR31" s="19" t="b">
        <f t="shared" si="23"/>
        <v>0</v>
      </c>
      <c r="BS31" s="19" t="b">
        <f t="shared" si="24"/>
        <v>0</v>
      </c>
    </row>
    <row r="32" spans="2:71" ht="15.95" customHeight="1" thickBot="1" x14ac:dyDescent="0.25">
      <c r="B32" s="248" t="str">
        <f>IF(Calc!$F$26=0,"",IF(OR($C32&gt;Calc!$B$24,MOD($C32-1,Calc!$F$26)&gt;0),"",QUOTIENT($C32-1,Calc!$F$26)+1))</f>
        <v/>
      </c>
      <c r="C32" s="244">
        <v>24</v>
      </c>
      <c r="D32" s="142">
        <f>IF(Planning!$T30="","",Planning!$T30)</f>
        <v>45913</v>
      </c>
      <c r="E32" s="143">
        <f>IF(Planning!$U30="","",Planning!$U30)</f>
        <v>0.64583333333333337</v>
      </c>
      <c r="F32" s="161" t="str">
        <f>Planning!$Q30</f>
        <v>FC St. Pauli</v>
      </c>
      <c r="G32" s="162" t="s">
        <v>4</v>
      </c>
      <c r="H32" s="161" t="str">
        <f>Planning!$S30</f>
        <v>1. FSV Mainz 05</v>
      </c>
      <c r="I32" s="163">
        <v>25</v>
      </c>
      <c r="J32" s="315" t="str">
        <f>Language!$E$90</f>
        <v xml:space="preserve"> - </v>
      </c>
      <c r="K32" s="318">
        <v>20</v>
      </c>
      <c r="L32" s="163">
        <v>25</v>
      </c>
      <c r="M32" s="360" t="str">
        <f>Language!$E$90</f>
        <v xml:space="preserve"> - </v>
      </c>
      <c r="N32" s="318">
        <v>19</v>
      </c>
      <c r="O32" s="163"/>
      <c r="P32" s="360" t="str">
        <f>Language!$E$90</f>
        <v xml:space="preserve"> - </v>
      </c>
      <c r="Q32" s="318"/>
      <c r="R32" s="354">
        <f t="shared" si="16"/>
        <v>2</v>
      </c>
      <c r="S32" s="357" t="str">
        <f>Language!$E$90</f>
        <v xml:space="preserve"> - </v>
      </c>
      <c r="T32" s="321">
        <f t="shared" si="17"/>
        <v>0</v>
      </c>
      <c r="U32" s="294"/>
      <c r="V32" s="295"/>
      <c r="X32" s="467"/>
      <c r="Y32" s="467"/>
      <c r="Z32" s="467"/>
      <c r="AA32" s="467"/>
      <c r="AB32" s="467"/>
      <c r="AC32" s="467"/>
      <c r="AD32" s="467"/>
      <c r="AE32" s="467"/>
      <c r="AF32" s="467"/>
      <c r="AG32" s="467"/>
      <c r="AH32" s="467"/>
      <c r="AI32" s="467"/>
      <c r="AJ32" s="467"/>
      <c r="AK32" s="467"/>
      <c r="AL32" s="467"/>
      <c r="AM32" s="283"/>
      <c r="AN32" s="180"/>
      <c r="AO32" s="129"/>
      <c r="AP32" s="399"/>
      <c r="AR32" s="443"/>
      <c r="AS32" s="443"/>
      <c r="AT32" s="443"/>
      <c r="AU32" s="443"/>
      <c r="AV32" s="443"/>
      <c r="AW32" s="443"/>
      <c r="AX32" s="443"/>
      <c r="AY32" s="443"/>
      <c r="AZ32" s="443"/>
      <c r="BA32" s="443"/>
      <c r="BB32" s="443"/>
      <c r="BC32" s="443"/>
      <c r="BD32" s="443"/>
      <c r="BE32" s="443"/>
      <c r="BF32" s="443"/>
      <c r="BG32" s="443"/>
      <c r="BH32" s="443"/>
      <c r="BI32" s="443"/>
      <c r="BJ32" s="443"/>
      <c r="BK32" s="443"/>
      <c r="BL32" s="353"/>
      <c r="BM32" s="193" t="b">
        <f t="shared" si="18"/>
        <v>0</v>
      </c>
      <c r="BN32" s="19" t="b">
        <f t="shared" si="19"/>
        <v>0</v>
      </c>
      <c r="BO32" s="19" t="b">
        <f t="shared" si="20"/>
        <v>0</v>
      </c>
      <c r="BP32" s="19" t="b">
        <f t="shared" si="21"/>
        <v>1</v>
      </c>
      <c r="BQ32" s="19" t="b">
        <f t="shared" si="22"/>
        <v>0</v>
      </c>
      <c r="BR32" s="19" t="b">
        <f t="shared" si="23"/>
        <v>0</v>
      </c>
      <c r="BS32" s="19" t="b">
        <f t="shared" si="24"/>
        <v>0</v>
      </c>
    </row>
    <row r="33" spans="2:71" ht="15.95" customHeight="1" x14ac:dyDescent="0.2">
      <c r="B33" s="248" t="str">
        <f>IF(Calc!$F$26=0,"",IF(OR($C33&gt;Calc!$B$24,MOD($C33-1,Calc!$F$26)&gt;0),"",QUOTIENT($C33-1,Calc!$F$26)+1))</f>
        <v/>
      </c>
      <c r="C33" s="244">
        <v>25</v>
      </c>
      <c r="D33" s="142">
        <f>IF(Planning!$T31="","",Planning!$T31)</f>
        <v>45913</v>
      </c>
      <c r="E33" s="143">
        <f>IF(Planning!$U31="","",Planning!$U31)</f>
        <v>0.64583333333333337</v>
      </c>
      <c r="F33" s="161" t="str">
        <f>Planning!$Q31</f>
        <v>Bayer 04 Leverkusen</v>
      </c>
      <c r="G33" s="162" t="s">
        <v>4</v>
      </c>
      <c r="H33" s="161" t="str">
        <f>Planning!$S31</f>
        <v>FC Bayern München</v>
      </c>
      <c r="I33" s="163">
        <v>25</v>
      </c>
      <c r="J33" s="315" t="str">
        <f>Language!$E$90</f>
        <v xml:space="preserve"> - </v>
      </c>
      <c r="K33" s="318">
        <v>22</v>
      </c>
      <c r="L33" s="163">
        <v>25</v>
      </c>
      <c r="M33" s="360" t="str">
        <f>Language!$E$90</f>
        <v xml:space="preserve"> - </v>
      </c>
      <c r="N33" s="318">
        <v>18</v>
      </c>
      <c r="O33" s="163"/>
      <c r="P33" s="360" t="str">
        <f>Language!$E$90</f>
        <v xml:space="preserve"> - </v>
      </c>
      <c r="Q33" s="318"/>
      <c r="R33" s="354">
        <f t="shared" si="16"/>
        <v>2</v>
      </c>
      <c r="S33" s="357" t="str">
        <f>Language!$E$90</f>
        <v xml:space="preserve"> - </v>
      </c>
      <c r="T33" s="321">
        <f t="shared" si="17"/>
        <v>0</v>
      </c>
      <c r="U33" s="294"/>
      <c r="V33" s="295"/>
      <c r="X33" s="414" t="str">
        <f>Language!$E$50</f>
        <v>Team</v>
      </c>
      <c r="Y33" s="426" t="str">
        <f>Language!$E$16</f>
        <v>Matchweeks</v>
      </c>
      <c r="Z33" s="427" t="str">
        <f>Language!$E$41</f>
        <v>from</v>
      </c>
      <c r="AA33" s="416">
        <v>1</v>
      </c>
      <c r="AB33" s="415" t="str">
        <f>Language!$E$44</f>
        <v>to</v>
      </c>
      <c r="AC33" s="416">
        <v>3</v>
      </c>
      <c r="AD33" s="275"/>
      <c r="AE33" s="275"/>
      <c r="AF33" s="275"/>
      <c r="AG33" s="275"/>
      <c r="AH33" s="275"/>
      <c r="AI33" s="275"/>
      <c r="AJ33" s="275"/>
      <c r="AK33" s="275"/>
      <c r="AL33" s="276"/>
      <c r="AM33" s="127"/>
      <c r="AN33" s="194"/>
      <c r="AO33" s="194"/>
      <c r="AP33" s="192"/>
      <c r="AQ33" s="118"/>
      <c r="AR33" s="184" t="str">
        <f t="shared" ref="AR33:BK33" si="25">AR7</f>
        <v>St. Pauli</v>
      </c>
      <c r="AS33" s="185" t="str">
        <f t="shared" si="25"/>
        <v>Leipzig</v>
      </c>
      <c r="AT33" s="185" t="str">
        <f t="shared" si="25"/>
        <v>HSV</v>
      </c>
      <c r="AU33" s="185" t="str">
        <f t="shared" si="25"/>
        <v>Frankfurt</v>
      </c>
      <c r="AV33" s="185" t="str">
        <f t="shared" si="25"/>
        <v>Bayern</v>
      </c>
      <c r="AW33" s="185" t="str">
        <f t="shared" si="25"/>
        <v>Augsburg</v>
      </c>
      <c r="AX33" s="185" t="str">
        <f t="shared" si="25"/>
        <v>Mainz</v>
      </c>
      <c r="AY33" s="185" t="str">
        <f t="shared" si="25"/>
        <v>Stuttgart</v>
      </c>
      <c r="AZ33" s="185" t="str">
        <f t="shared" si="25"/>
        <v>Leverkuse</v>
      </c>
      <c r="BA33" s="185" t="str">
        <f t="shared" si="25"/>
        <v>Heidenhei</v>
      </c>
      <c r="BB33" s="185" t="str">
        <f t="shared" si="25"/>
        <v>Union Ber</v>
      </c>
      <c r="BC33" s="185" t="str">
        <f t="shared" si="25"/>
        <v>Wolfsburg</v>
      </c>
      <c r="BD33" s="185" t="str">
        <f t="shared" si="25"/>
        <v>Köln</v>
      </c>
      <c r="BE33" s="185" t="str">
        <f t="shared" si="25"/>
        <v>Dortmund</v>
      </c>
      <c r="BF33" s="185" t="str">
        <f t="shared" si="25"/>
        <v>Hoffenhei</v>
      </c>
      <c r="BG33" s="185" t="str">
        <f t="shared" si="25"/>
        <v>Bremen</v>
      </c>
      <c r="BH33" s="185" t="str">
        <f t="shared" si="25"/>
        <v>Freiburg</v>
      </c>
      <c r="BI33" s="185" t="str">
        <f t="shared" si="25"/>
        <v>Gladbach</v>
      </c>
      <c r="BJ33" s="185" t="str">
        <f t="shared" si="25"/>
        <v/>
      </c>
      <c r="BK33" s="186" t="str">
        <f t="shared" si="25"/>
        <v/>
      </c>
      <c r="BL33" s="192"/>
      <c r="BM33" s="193" t="b">
        <f t="shared" si="18"/>
        <v>0</v>
      </c>
      <c r="BN33" s="19" t="b">
        <f t="shared" si="19"/>
        <v>0</v>
      </c>
      <c r="BO33" s="19" t="b">
        <f t="shared" si="20"/>
        <v>0</v>
      </c>
      <c r="BP33" s="19" t="b">
        <f t="shared" si="21"/>
        <v>1</v>
      </c>
      <c r="BQ33" s="19" t="b">
        <f t="shared" si="22"/>
        <v>0</v>
      </c>
      <c r="BR33" s="19" t="b">
        <f t="shared" si="23"/>
        <v>0</v>
      </c>
      <c r="BS33" s="19" t="b">
        <f t="shared" si="24"/>
        <v>0</v>
      </c>
    </row>
    <row r="34" spans="2:71" ht="15.95" customHeight="1" thickBot="1" x14ac:dyDescent="0.25">
      <c r="B34" s="248" t="str">
        <f>IF(Calc!$F$26=0,"",IF(OR($C34&gt;Calc!$B$24,MOD($C34-1,Calc!$F$26)&gt;0),"",QUOTIENT($C34-1,Calc!$F$26)+1))</f>
        <v/>
      </c>
      <c r="C34" s="244">
        <v>26</v>
      </c>
      <c r="D34" s="142">
        <f>IF(Planning!$T32="","",Planning!$T32)</f>
        <v>45913</v>
      </c>
      <c r="E34" s="143">
        <f>IF(Planning!$U32="","",Planning!$U32)</f>
        <v>0.64583333333333337</v>
      </c>
      <c r="F34" s="161" t="str">
        <f>Planning!$Q32</f>
        <v>FC Augsburg</v>
      </c>
      <c r="G34" s="162" t="s">
        <v>4</v>
      </c>
      <c r="H34" s="161" t="str">
        <f>Planning!$S32</f>
        <v>Borussia Dortmund</v>
      </c>
      <c r="I34" s="163">
        <v>25</v>
      </c>
      <c r="J34" s="315" t="str">
        <f>Language!$E$90</f>
        <v xml:space="preserve"> - </v>
      </c>
      <c r="K34" s="318">
        <v>19</v>
      </c>
      <c r="L34" s="163">
        <v>25</v>
      </c>
      <c r="M34" s="360" t="str">
        <f>Language!$E$90</f>
        <v xml:space="preserve"> - </v>
      </c>
      <c r="N34" s="318">
        <v>21</v>
      </c>
      <c r="O34" s="163"/>
      <c r="P34" s="360" t="str">
        <f>Language!$E$90</f>
        <v xml:space="preserve"> - </v>
      </c>
      <c r="Q34" s="318"/>
      <c r="R34" s="354">
        <f t="shared" si="16"/>
        <v>2</v>
      </c>
      <c r="S34" s="357" t="str">
        <f>Language!$E$90</f>
        <v xml:space="preserve"> - </v>
      </c>
      <c r="T34" s="321">
        <f t="shared" si="17"/>
        <v>0</v>
      </c>
      <c r="U34" s="294"/>
      <c r="V34" s="295"/>
      <c r="X34" s="277" t="str">
        <f>Language!$E$9</f>
        <v>No.</v>
      </c>
      <c r="Y34" s="434" t="str">
        <f>Language!$E$20</f>
        <v>Name</v>
      </c>
      <c r="Z34" s="400" t="str">
        <f>Language!$E$21</f>
        <v>Pl</v>
      </c>
      <c r="AA34" s="400" t="str">
        <f>Language!$E$22</f>
        <v>W</v>
      </c>
      <c r="AB34" s="400" t="str">
        <f>Language!$E$23</f>
        <v>D</v>
      </c>
      <c r="AC34" s="400" t="str">
        <f>Language!$E$24</f>
        <v>L</v>
      </c>
      <c r="AD34" s="471" t="str">
        <f>Language!$E$53</f>
        <v>Sets</v>
      </c>
      <c r="AE34" s="472"/>
      <c r="AF34" s="473"/>
      <c r="AG34" s="400" t="str">
        <f>Language!$E$26</f>
        <v>Diff.</v>
      </c>
      <c r="AH34" s="471" t="str">
        <f>Language!$E$57</f>
        <v>balls</v>
      </c>
      <c r="AI34" s="472"/>
      <c r="AJ34" s="473"/>
      <c r="AK34" s="400" t="str">
        <f>IF(Settings!$G$24,Language!$E$26,Language!$E$59)</f>
        <v>Diff.</v>
      </c>
      <c r="AL34" s="279" t="str">
        <f>IF(Settings!$G$9,Language!$E$27,Language!$E$71)</f>
        <v>Setpts.</v>
      </c>
      <c r="AM34" s="285"/>
      <c r="AN34" s="194"/>
      <c r="AO34" s="194"/>
      <c r="AP34" s="130"/>
      <c r="AQ34" s="118"/>
      <c r="AR34" s="187" t="str">
        <f t="shared" ref="AR34:BK34" si="26">AR8</f>
        <v>FC St. Pauli</v>
      </c>
      <c r="AS34" s="188" t="str">
        <f t="shared" si="26"/>
        <v>RB Leipzig</v>
      </c>
      <c r="AT34" s="188" t="str">
        <f t="shared" si="26"/>
        <v>Hamburger SV</v>
      </c>
      <c r="AU34" s="188" t="str">
        <f t="shared" si="26"/>
        <v>Eintracht Frankfurt</v>
      </c>
      <c r="AV34" s="188" t="str">
        <f t="shared" si="26"/>
        <v>FC Bayern München</v>
      </c>
      <c r="AW34" s="188" t="str">
        <f t="shared" si="26"/>
        <v>FC Augsburg</v>
      </c>
      <c r="AX34" s="188" t="str">
        <f t="shared" si="26"/>
        <v>1. FSV Mainz 05</v>
      </c>
      <c r="AY34" s="188" t="str">
        <f t="shared" si="26"/>
        <v>VfB Stuttgart</v>
      </c>
      <c r="AZ34" s="188" t="str">
        <f t="shared" si="26"/>
        <v>Bayer 04 Leverkusen</v>
      </c>
      <c r="BA34" s="188" t="str">
        <f t="shared" si="26"/>
        <v>1. FC Heidenheim 1846</v>
      </c>
      <c r="BB34" s="188" t="str">
        <f t="shared" si="26"/>
        <v>1. FC Union Berlin</v>
      </c>
      <c r="BC34" s="188" t="str">
        <f t="shared" si="26"/>
        <v>VfL Wolfsburg</v>
      </c>
      <c r="BD34" s="188" t="str">
        <f t="shared" si="26"/>
        <v>1. FC Köln</v>
      </c>
      <c r="BE34" s="188" t="str">
        <f t="shared" si="26"/>
        <v>Borussia Dortmund</v>
      </c>
      <c r="BF34" s="188" t="str">
        <f t="shared" si="26"/>
        <v>TSG Hoffenheim</v>
      </c>
      <c r="BG34" s="188" t="str">
        <f t="shared" si="26"/>
        <v>SV Werder Bremen</v>
      </c>
      <c r="BH34" s="188" t="str">
        <f t="shared" si="26"/>
        <v>SC Freiburg</v>
      </c>
      <c r="BI34" s="188" t="str">
        <f t="shared" si="26"/>
        <v>Borussia Mönchengladbach</v>
      </c>
      <c r="BJ34" s="188" t="str">
        <f t="shared" si="26"/>
        <v/>
      </c>
      <c r="BK34" s="189" t="str">
        <f t="shared" si="26"/>
        <v/>
      </c>
      <c r="BL34" s="130"/>
      <c r="BM34" s="193" t="b">
        <f t="shared" si="18"/>
        <v>0</v>
      </c>
      <c r="BN34" s="19" t="b">
        <f t="shared" si="19"/>
        <v>0</v>
      </c>
      <c r="BO34" s="19" t="b">
        <f t="shared" si="20"/>
        <v>0</v>
      </c>
      <c r="BP34" s="19" t="b">
        <f t="shared" si="21"/>
        <v>1</v>
      </c>
      <c r="BQ34" s="19" t="b">
        <f t="shared" si="22"/>
        <v>0</v>
      </c>
      <c r="BR34" s="19" t="b">
        <f t="shared" si="23"/>
        <v>0</v>
      </c>
      <c r="BS34" s="19" t="b">
        <f t="shared" si="24"/>
        <v>0</v>
      </c>
    </row>
    <row r="35" spans="2:71" ht="15.95" customHeight="1" thickTop="1" x14ac:dyDescent="0.2">
      <c r="B35" s="248" t="str">
        <f>IF(Calc!$F$26=0,"",IF(OR($C35&gt;Calc!$B$24,MOD($C35-1,Calc!$F$26)&gt;0),"",QUOTIENT($C35-1,Calc!$F$26)+1))</f>
        <v/>
      </c>
      <c r="C35" s="244">
        <v>27</v>
      </c>
      <c r="D35" s="142">
        <f>IF(Planning!$T33="","",Planning!$T33)</f>
        <v>45913</v>
      </c>
      <c r="E35" s="143">
        <f>IF(Planning!$U33="","",Planning!$U33)</f>
        <v>0.64583333333333337</v>
      </c>
      <c r="F35" s="161" t="str">
        <f>Planning!$Q33</f>
        <v>Borussia Mönchengladbach</v>
      </c>
      <c r="G35" s="162" t="s">
        <v>4</v>
      </c>
      <c r="H35" s="161" t="str">
        <f>Planning!$S33</f>
        <v>Eintracht Frankfurt</v>
      </c>
      <c r="I35" s="163">
        <v>24</v>
      </c>
      <c r="J35" s="315" t="str">
        <f>Language!$E$90</f>
        <v xml:space="preserve"> - </v>
      </c>
      <c r="K35" s="318">
        <v>26</v>
      </c>
      <c r="L35" s="163">
        <v>22</v>
      </c>
      <c r="M35" s="360" t="str">
        <f>Language!$E$90</f>
        <v xml:space="preserve"> - </v>
      </c>
      <c r="N35" s="318">
        <v>25</v>
      </c>
      <c r="O35" s="163"/>
      <c r="P35" s="360" t="str">
        <f>Language!$E$90</f>
        <v xml:space="preserve"> - </v>
      </c>
      <c r="Q35" s="318"/>
      <c r="R35" s="354">
        <f t="shared" si="16"/>
        <v>0</v>
      </c>
      <c r="S35" s="357" t="str">
        <f>Language!$E$90</f>
        <v xml:space="preserve"> - </v>
      </c>
      <c r="T35" s="321">
        <f t="shared" si="17"/>
        <v>2</v>
      </c>
      <c r="U35" s="294"/>
      <c r="V35" s="295"/>
      <c r="X35" s="413">
        <v>8</v>
      </c>
      <c r="Y35" s="432" t="str">
        <f>IFERROR(VLOOKUP(X35,Planning!$C$7:$D$26,2,0),"")</f>
        <v>Eintracht Frankfurt</v>
      </c>
      <c r="Z35" s="278">
        <f ca="1">IF(OR($AA$33="",$AC$33="",$Y35=""),"",$AA35+$AB35+$AC35)</f>
        <v>3</v>
      </c>
      <c r="AA35" s="278">
        <f t="array" aca="1" ref="AA35" ca="1">IF(OR($AA$33="",$AC$33=""),"",IF($Y35&lt;&gt;"",SUM((OFFSET($F$9,($AA$33-1)*Calc!$F$26,0,($AC$33-$AA$33+1)*Calc!$F$26,1)=$Y35)*(OFFSET($R$9,($AA$33-1)*Calc!$F$26,0,($AC$33-$AA$33+1)*Calc!$F$26,1)&gt;OFFSET($T$9,($AA$33-1)*Calc!$F$26,0,($AC$33-$AA$33+1)*Calc!$F$26,1)))+SUM((OFFSET($H$9,($AA$33-1)*Calc!$F$26,0,($AC$33-$AA$33+1)*Calc!$F$26,1)=$Y35)*(OFFSET($R$9,($AA$33-1)*Calc!$F$26,0,($AC$33-$AA$33+1)*Calc!$F$26,1)&lt;OFFSET($T$9,($AA$33-1)*Calc!$F$26,0,($AC$33-$AA$33+1)*Calc!$F$26,1))),""))</f>
        <v>2</v>
      </c>
      <c r="AB35" s="278">
        <f t="array" aca="1" ref="AB35" ca="1">IF(OR($AA$33="",$AC$33=""),"",IF($Y35&lt;&gt;"",SUM((OFFSET($F$9,($AA$33-1)*Calc!$F$26,0,($AC$33-$AA$33+1)*Calc!$F$26,1)=$Y35)*(OFFSET($R$9,($AA$33-1)*Calc!$F$26,0,($AC$33-$AA$33+1)*Calc!$F$26,1)=OFFSET($T$9,($AA$33-1)*Calc!$F$26,0,($AC$33-$AA$33+1)*Calc!$F$26,1))*(OFFSET($R$9,($AA$33-1)*Calc!$F$26,0,($AC$33-$AA$33+1)*Calc!$F$26,1)&lt;&gt;""))+SUM((OFFSET($H$9,($AA$33-1)*Calc!$F$26,0,($AC$33-$AA$33+1)*Calc!$F$26,1)=$Y35)*(OFFSET($R$9,($AA$33-1)*Calc!$F$26,0,($AC$33-$AA$33+1)*Calc!$F$26,1)=OFFSET($T$9,($AA$33-1)*Calc!$F$26,0,($AC$33-$AA$33+1)*Calc!$F$26,1))*(OFFSET($R$9,($AA$33-1)*Calc!$F$26,0,($AC$33-$AA$33+1)*Calc!$F$26,1)&lt;&gt;"")),""))</f>
        <v>0</v>
      </c>
      <c r="AC35" s="278">
        <f t="array" aca="1" ref="AC35" ca="1">IF(OR($AA$33="",$AC$33=""),"",IF($Y35&lt;&gt;"",SUM((OFFSET($F$9,($AA$33-1)*Calc!$F$26,0,($AC$33-$AA$33+1)*Calc!$F$26,1)=$Y35)*(OFFSET($R$9,($AA$33-1)*Calc!$F$26,0,($AC$33-$AA$33+1)*Calc!$F$26,1)&lt;OFFSET($T$9,($AA$33-1)*Calc!$F$26,0,($AC$33-$AA$33+1)*Calc!$F$26,1)))+SUM((OFFSET($H$9,($AA$33-1)*Calc!$F$26,0,($AC$33-$AA$33+1)*Calc!$F$26,1)=$Y35)*(OFFSET($R$9,($AA$33-1)*Calc!$F$26,0,($AC$33-$AA$33+1)*Calc!$F$26,1)&gt;OFFSET($T$9,($AA$33-1)*Calc!$F$26,0,($AC$33-$AA$33+1)*Calc!$F$26,1))),""))</f>
        <v>1</v>
      </c>
      <c r="AD35" s="419">
        <f ca="1">IF(OR($AA$33="",$AC$33=""),"",IF($Y35&lt;&gt;"",SUMPRODUCT((OFFSET($F$9,($AA$33-1)*Calc!$F$26,0,($AC$33-$AA$33+1)*Calc!$F$26,1)=$Y35)*1,OFFSET($R$9,($AA$33-1)*Calc!$F$26,0,($AC$33-$AA$33+1)*Calc!$F$26,1))+SUMPRODUCT((OFFSET($H$9,($AA$33-1)*Calc!$F$26,0,($AC$33-$AA$33+1)*Calc!$F$26,1)=$Y35)*1,OFFSET($T$9,($AA$33-1)*Calc!$F$26,0,($AC$33-$AA$33+1)*Calc!$F$26,1)),""))</f>
        <v>5</v>
      </c>
      <c r="AE35" s="417" t="str">
        <f>Language!$E$90</f>
        <v xml:space="preserve"> - </v>
      </c>
      <c r="AF35" s="424">
        <f ca="1">IF(OR($AA$33="",$AC$33=""),"",IF($Y35&lt;&gt;"",SUMPRODUCT((OFFSET($F$9,($AA$33-1)*Calc!$F$26,0,($AC$33-$AA$33+1)*Calc!$F$26,1)=$Y35)*1,OFFSET($T$9,($AA$33-1)*Calc!$F$26,0,($AC$33-$AA$33+1)*Calc!$F$26,1))+SUMPRODUCT((OFFSET($H$9,($AA$33-1)*Calc!$F$26,0,($AC$33-$AA$33+1)*Calc!$F$26,1)=$Y35)*1,OFFSET($R$9,($AA$33-1)*Calc!$F$26,0,($AC$33-$AA$33+1)*Calc!$F$26,1)),""))</f>
        <v>2</v>
      </c>
      <c r="AG35" s="278" t="str">
        <f ca="1">IF(OR($AA$33="",$AC$33=""),"",IF($Y35&lt;&gt;"",IF($AD35-$AF35&gt;0,"+"&amp;$AD35-$AF35,$AD35-$AF35),""))</f>
        <v>+3</v>
      </c>
      <c r="AH35" s="419">
        <f t="array" aca="1" ref="AH35" ca="1">IF(OR($AA$33="",$AC$33=""),"",IF($Y35&lt;&gt;"",SUM((OFFSET($F$9,($AA$33-1)*Calc!$F$26,0,($AC$33-$AA$33+1)*Calc!$F$26,1)=$Y35)*OFFSET($I$9,($AA$33-1)*Calc!$F$26,0,($AC$33-$AA$33+1)*Calc!$F$26,1),(OFFSET($F$9,($AA$33-1)*Calc!$F$26,0,($AC$33-$AA$33+1)*Calc!$F$26,1)=$Y35)*OFFSET($L$9,($AA$33-1)*Calc!$F$26,0,($AC$33-$AA$33+1)*Calc!$F$26,1),(OFFSET($F$9,($AA$33-1)*Calc!$F$26,0,($AC$33-$AA$33+1)*Calc!$F$26,1)=$Y35)*OFFSET($O$9,($AA$33-1)*Calc!$F$26,0,($AC$33-$AA$33+1)*Calc!$F$26,1))+SUM((OFFSET($H$9,($AA$33-1)*Calc!$F$26,0,($AC$33-$AA$33+1)*Calc!$F$26,1)=$Y35)*OFFSET($K$9,($AA$33-1)*Calc!$F$26,0,($AC$33-$AA$33+1)*Calc!$F$26,1),(OFFSET($H$9,($AA$33-1)*Calc!$F$26,0,($AC$33-$AA$33+1)*Calc!$F$26,1)=$Y35)*OFFSET($N$9,($AA$33-1)*Calc!$F$26,0,($AC$33-$AA$33+1)*Calc!$F$26,1),(OFFSET($H$9,($AA$33-1)*Calc!$F$26,0,($AC$33-$AA$33+1)*Calc!$F$26,1)=$Y35)*OFFSET($Q$9,($AA$33-1)*Calc!$F$26,0,($AC$33-$AA$33+1)*Calc!$F$26,1)),""))</f>
        <v>154</v>
      </c>
      <c r="AI35" s="417" t="str">
        <f>Language!$E$90</f>
        <v xml:space="preserve"> - </v>
      </c>
      <c r="AJ35" s="424">
        <f t="array" aca="1" ref="AJ35" ca="1">IF(OR($AA$33="",$AC$33=""),"",IF($Y35&lt;&gt;"",SUM((OFFSET($F$9,($AA$33-1)*Calc!$F$26,0,($AC$33-$AA$33+1)*Calc!$F$26,1)=$Y35)*OFFSET($K$9,($AA$33-1)*Calc!$F$26,0,($AC$33-$AA$33+1)*Calc!$F$26,1),(OFFSET($F$9,($AA$33-1)*Calc!$F$26,0,($AC$33-$AA$33+1)*Calc!$F$26,1)=$Y35)*OFFSET($N$9,($AA$33-1)*Calc!$F$26,0,($AC$33-$AA$33+1)*Calc!$F$26,1),(OFFSET($F$9,($AA$33-1)*Calc!$F$26,0,($AC$33-$AA$33+1)*Calc!$F$26,1)=$Y35)*OFFSET($Q$9,($AA$33-1)*Calc!$F$26,0,($AC$33-$AA$33+1)*Calc!$F$26,1))+SUM((OFFSET($H$9,($AA$33-1)*Calc!$F$26,0,($AC$33-$AA$33+1)*Calc!$F$26,1)=$Y35)*OFFSET($I$9,($AA$33-1)*Calc!$F$26,0,($AC$33-$AA$33+1)*Calc!$F$26,1),(OFFSET($H$9,($AA$33-1)*Calc!$F$26,0,($AC$33-$AA$33+1)*Calc!$F$26,1)=$Y35)*OFFSET($L$9,($AA$33-1)*Calc!$F$26,0,($AC$33-$AA$33+1)*Calc!$F$26,1),(OFFSET($H$9,($AA$33-1)*Calc!$F$26,0,($AC$33-$AA$33+1)*Calc!$F$26,1)=$Y35)*OFFSET($O$9,($AA$33-1)*Calc!$F$26,0,($AC$33-$AA$33+1)*Calc!$F$26,1)),""))</f>
        <v>137</v>
      </c>
      <c r="AK35" s="278" t="str">
        <f ca="1">IF(OR($AA$33="",$AC$33=""),"",IF($Y35="","",IF(Settings!$G$24,IF($AH35-$AJ35&gt;0,"+"&amp;$AH35-$AJ35,$AH35-$AJ35),IF($AJ35=0,IF($AH35=0,0,Settings!$E$24),ROUND($AH35/$AJ35,Settings!$H$24)))))</f>
        <v>+17</v>
      </c>
      <c r="AL35" s="280">
        <f ca="1">IF($AA35="","",IF(Settings!$G$9,$AA35*Settings!$C$4+$AB35,$AD35))</f>
        <v>5</v>
      </c>
      <c r="AM35" s="405"/>
      <c r="AN35" s="404"/>
      <c r="AO35" s="192"/>
      <c r="AP35" s="195">
        <f t="shared" ref="AP35:AP54" si="27">X9</f>
        <v>1</v>
      </c>
      <c r="AQ35" s="196" t="str">
        <f t="shared" ref="AQ35:AQ54" si="28">Y9</f>
        <v>FC St. Pauli</v>
      </c>
      <c r="AR35" s="181"/>
      <c r="AS35" s="182" t="str">
        <f>IFERROR(VLOOKUP($Y9&amp;AS$8,Calc2!$Q$4:$S$763,Settings!$H$29,0),"")</f>
        <v/>
      </c>
      <c r="AT35" s="182" t="str">
        <f>IFERROR(VLOOKUP($Y9&amp;AT$8,Calc2!$Q$4:$S$763,Settings!$H$29,0),"")</f>
        <v/>
      </c>
      <c r="AU35" s="182" t="str">
        <f>IFERROR(VLOOKUP($Y9&amp;AU$8,Calc2!$Q$4:$S$763,Settings!$H$29,0),"")</f>
        <v/>
      </c>
      <c r="AV35" s="182" t="str">
        <f>IFERROR(VLOOKUP($Y9&amp;AV$8,Calc2!$Q$4:$S$763,Settings!$H$29,0),"")</f>
        <v/>
      </c>
      <c r="AW35" s="182" t="str">
        <f>IFERROR(VLOOKUP($Y9&amp;AW$8,Calc2!$Q$4:$S$763,Settings!$H$29,0),"")</f>
        <v/>
      </c>
      <c r="AX35" s="182" t="str">
        <f>IFERROR(VLOOKUP($Y9&amp;AX$8,Calc2!$Q$4:$S$763,Settings!$H$29,0),"")</f>
        <v/>
      </c>
      <c r="AY35" s="182" t="str">
        <f>IFERROR(VLOOKUP($Y9&amp;AY$8,Calc2!$Q$4:$S$763,Settings!$H$29,0),"")</f>
        <v/>
      </c>
      <c r="AZ35" s="182" t="str">
        <f>IFERROR(VLOOKUP($Y9&amp;AZ$8,Calc2!$Q$4:$S$763,Settings!$H$29,0),"")</f>
        <v/>
      </c>
      <c r="BA35" s="182" t="str">
        <f>IFERROR(VLOOKUP($Y9&amp;BA$8,Calc2!$Q$4:$S$763,Settings!$H$29,0),"")</f>
        <v/>
      </c>
      <c r="BB35" s="182" t="str">
        <f>IFERROR(VLOOKUP($Y9&amp;BB$8,Calc2!$Q$4:$S$763,Settings!$H$29,0),"")</f>
        <v/>
      </c>
      <c r="BC35" s="182" t="str">
        <f>IFERROR(VLOOKUP($Y9&amp;BC$8,Calc2!$Q$4:$S$763,Settings!$H$29,0),"")</f>
        <v/>
      </c>
      <c r="BD35" s="182" t="str">
        <f>IFERROR(VLOOKUP($Y9&amp;BD$8,Calc2!$Q$4:$S$763,Settings!$H$29,0),"")</f>
        <v/>
      </c>
      <c r="BE35" s="182" t="str">
        <f>IFERROR(VLOOKUP($Y9&amp;BE$8,Calc2!$Q$4:$S$763,Settings!$H$29,0),"")</f>
        <v/>
      </c>
      <c r="BF35" s="182" t="str">
        <f>IFERROR(VLOOKUP($Y9&amp;BF$8,Calc2!$Q$4:$S$763,Settings!$H$29,0),"")</f>
        <v/>
      </c>
      <c r="BG35" s="182" t="str">
        <f>IFERROR(VLOOKUP($Y9&amp;BG$8,Calc2!$Q$4:$S$763,Settings!$H$29,0),"")</f>
        <v/>
      </c>
      <c r="BH35" s="182" t="str">
        <f>IFERROR(VLOOKUP($Y9&amp;BH$8,Calc2!$Q$4:$S$763,Settings!$H$29,0),"")</f>
        <v/>
      </c>
      <c r="BI35" s="182" t="str">
        <f>IFERROR(VLOOKUP($Y9&amp;BI$8,Calc2!$Q$4:$S$763,Settings!$H$29,0),"")</f>
        <v/>
      </c>
      <c r="BJ35" s="182" t="str">
        <f>IFERROR(VLOOKUP($Y9&amp;BJ$8,Calc2!$Q$4:$S$763,Settings!$H$29,0),"")</f>
        <v/>
      </c>
      <c r="BK35" s="183" t="str">
        <f>IFERROR(VLOOKUP($Y9&amp;BK$8,Calc2!$Q$4:$S$763,Settings!$H$29,0),"")</f>
        <v/>
      </c>
      <c r="BL35" s="180"/>
      <c r="BM35" s="193" t="b">
        <f t="shared" si="18"/>
        <v>0</v>
      </c>
      <c r="BN35" s="19" t="b">
        <f t="shared" si="19"/>
        <v>0</v>
      </c>
      <c r="BO35" s="19" t="b">
        <f t="shared" si="20"/>
        <v>0</v>
      </c>
      <c r="BP35" s="19" t="b">
        <f t="shared" si="21"/>
        <v>1</v>
      </c>
      <c r="BQ35" s="19" t="b">
        <f t="shared" si="22"/>
        <v>0</v>
      </c>
      <c r="BR35" s="19" t="b">
        <f t="shared" si="23"/>
        <v>0</v>
      </c>
      <c r="BS35" s="19" t="b">
        <f t="shared" si="24"/>
        <v>0</v>
      </c>
    </row>
    <row r="36" spans="2:71" ht="15.95" customHeight="1" x14ac:dyDescent="0.2">
      <c r="B36" s="248">
        <f>IF(Calc!$F$26=0,"",IF(OR($C36&gt;Calc!$B$24,MOD($C36-1,Calc!$F$26)&gt;0),"",QUOTIENT($C36-1,Calc!$F$26)+1))</f>
        <v>4</v>
      </c>
      <c r="C36" s="244">
        <v>28</v>
      </c>
      <c r="D36" s="142">
        <f>IF(Planning!$T34="","",Planning!$T34)</f>
        <v>45920</v>
      </c>
      <c r="E36" s="143">
        <f>IF(Planning!$U34="","",Planning!$U34)</f>
        <v>0.64583333333333337</v>
      </c>
      <c r="F36" s="161" t="str">
        <f>Planning!$Q34</f>
        <v>SV Werder Bremen</v>
      </c>
      <c r="G36" s="162" t="s">
        <v>4</v>
      </c>
      <c r="H36" s="161" t="str">
        <f>Planning!$S34</f>
        <v>1. FC Heidenheim 1846</v>
      </c>
      <c r="I36" s="163">
        <v>19</v>
      </c>
      <c r="J36" s="315" t="str">
        <f>Language!$E$90</f>
        <v xml:space="preserve"> - </v>
      </c>
      <c r="K36" s="318">
        <v>25</v>
      </c>
      <c r="L36" s="163">
        <v>25</v>
      </c>
      <c r="M36" s="360" t="str">
        <f>Language!$E$90</f>
        <v xml:space="preserve"> - </v>
      </c>
      <c r="N36" s="318">
        <v>23</v>
      </c>
      <c r="O36" s="163">
        <v>15</v>
      </c>
      <c r="P36" s="360" t="str">
        <f>Language!$E$90</f>
        <v xml:space="preserve"> - </v>
      </c>
      <c r="Q36" s="318">
        <v>12</v>
      </c>
      <c r="R36" s="354">
        <f t="shared" si="16"/>
        <v>2</v>
      </c>
      <c r="S36" s="357" t="str">
        <f>Language!$E$90</f>
        <v xml:space="preserve"> - </v>
      </c>
      <c r="T36" s="321">
        <f t="shared" si="17"/>
        <v>1</v>
      </c>
      <c r="U36" s="294"/>
      <c r="V36" s="295"/>
      <c r="X36" s="413">
        <v>10</v>
      </c>
      <c r="Y36" s="433" t="str">
        <f>IFERROR(VLOOKUP(X36,Planning!$C$7:$D$26,2,0),"")</f>
        <v>FC Bayern München</v>
      </c>
      <c r="Z36" s="278">
        <f t="shared" ref="Z36:Z37" ca="1" si="29">IF(OR($AA$33="",$AC$33="",$Y36=""),"",$AA36+$AB36+$AC36)</f>
        <v>3</v>
      </c>
      <c r="AA36" s="278">
        <f t="array" aca="1" ref="AA36" ca="1">IF(OR($AA$33="",$AC$33=""),"",IF($Y36&lt;&gt;"",SUM((OFFSET($F$9,($AA$33-1)*Calc!$F$26,0,($AC$33-$AA$33+1)*Calc!$F$26,1)=$Y36)*(OFFSET($R$9,($AA$33-1)*Calc!$F$26,0,($AC$33-$AA$33+1)*Calc!$F$26,1)&gt;OFFSET($T$9,($AA$33-1)*Calc!$F$26,0,($AC$33-$AA$33+1)*Calc!$F$26,1)))+SUM((OFFSET($H$9,($AA$33-1)*Calc!$F$26,0,($AC$33-$AA$33+1)*Calc!$F$26,1)=$Y36)*(OFFSET($R$9,($AA$33-1)*Calc!$F$26,0,($AC$33-$AA$33+1)*Calc!$F$26,1)&lt;OFFSET($T$9,($AA$33-1)*Calc!$F$26,0,($AC$33-$AA$33+1)*Calc!$F$26,1))),""))</f>
        <v>1</v>
      </c>
      <c r="AB36" s="278">
        <f t="array" aca="1" ref="AB36" ca="1">IF(OR($AA$33="",$AC$33=""),"",IF($Y36&lt;&gt;"",SUM((OFFSET($F$9,($AA$33-1)*Calc!$F$26,0,($AC$33-$AA$33+1)*Calc!$F$26,1)=$Y36)*(OFFSET($R$9,($AA$33-1)*Calc!$F$26,0,($AC$33-$AA$33+1)*Calc!$F$26,1)=OFFSET($T$9,($AA$33-1)*Calc!$F$26,0,($AC$33-$AA$33+1)*Calc!$F$26,1))*(OFFSET($R$9,($AA$33-1)*Calc!$F$26,0,($AC$33-$AA$33+1)*Calc!$F$26,1)&lt;&gt;""))+SUM((OFFSET($H$9,($AA$33-1)*Calc!$F$26,0,($AC$33-$AA$33+1)*Calc!$F$26,1)=$Y36)*(OFFSET($R$9,($AA$33-1)*Calc!$F$26,0,($AC$33-$AA$33+1)*Calc!$F$26,1)=OFFSET($T$9,($AA$33-1)*Calc!$F$26,0,($AC$33-$AA$33+1)*Calc!$F$26,1))*(OFFSET($R$9,($AA$33-1)*Calc!$F$26,0,($AC$33-$AA$33+1)*Calc!$F$26,1)&lt;&gt;"")),""))</f>
        <v>0</v>
      </c>
      <c r="AC36" s="278">
        <f t="array" aca="1" ref="AC36" ca="1">IF(OR($AA$33="",$AC$33=""),"",IF($Y36&lt;&gt;"",SUM((OFFSET($F$9,($AA$33-1)*Calc!$F$26,0,($AC$33-$AA$33+1)*Calc!$F$26,1)=$Y36)*(OFFSET($R$9,($AA$33-1)*Calc!$F$26,0,($AC$33-$AA$33+1)*Calc!$F$26,1)&lt;OFFSET($T$9,($AA$33-1)*Calc!$F$26,0,($AC$33-$AA$33+1)*Calc!$F$26,1)))+SUM((OFFSET($H$9,($AA$33-1)*Calc!$F$26,0,($AC$33-$AA$33+1)*Calc!$F$26,1)=$Y36)*(OFFSET($R$9,($AA$33-1)*Calc!$F$26,0,($AC$33-$AA$33+1)*Calc!$F$26,1)&gt;OFFSET($T$9,($AA$33-1)*Calc!$F$26,0,($AC$33-$AA$33+1)*Calc!$F$26,1))),""))</f>
        <v>2</v>
      </c>
      <c r="AD36" s="419">
        <f ca="1">IF(OR($AA$33="",$AC$33=""),"",IF($Y36&lt;&gt;"",SUMPRODUCT((OFFSET($F$9,($AA$33-1)*Calc!$F$26,0,($AC$33-$AA$33+1)*Calc!$F$26,1)=$Y36)*1,OFFSET($R$9,($AA$33-1)*Calc!$F$26,0,($AC$33-$AA$33+1)*Calc!$F$26,1))+SUMPRODUCT((OFFSET($H$9,($AA$33-1)*Calc!$F$26,0,($AC$33-$AA$33+1)*Calc!$F$26,1)=$Y36)*1,OFFSET($T$9,($AA$33-1)*Calc!$F$26,0,($AC$33-$AA$33+1)*Calc!$F$26,1)),""))</f>
        <v>3</v>
      </c>
      <c r="AE36" s="418" t="str">
        <f>Language!$E$90</f>
        <v xml:space="preserve"> - </v>
      </c>
      <c r="AF36" s="424">
        <f ca="1">IF(OR($AA$33="",$AC$33=""),"",IF($Y36&lt;&gt;"",SUMPRODUCT((OFFSET($F$9,($AA$33-1)*Calc!$F$26,0,($AC$33-$AA$33+1)*Calc!$F$26,1)=$Y36)*1,OFFSET($T$9,($AA$33-1)*Calc!$F$26,0,($AC$33-$AA$33+1)*Calc!$F$26,1))+SUMPRODUCT((OFFSET($H$9,($AA$33-1)*Calc!$F$26,0,($AC$33-$AA$33+1)*Calc!$F$26,1)=$Y36)*1,OFFSET($R$9,($AA$33-1)*Calc!$F$26,0,($AC$33-$AA$33+1)*Calc!$F$26,1)),""))</f>
        <v>4</v>
      </c>
      <c r="AG36" s="278">
        <f t="shared" ref="AG36:AG37" ca="1" si="30">IF(OR($AA$33="",$AC$33=""),"",IF($Y36&lt;&gt;"",IF($AD36-$AF36&gt;0,"+"&amp;$AD36-$AF36,$AD36-$AF36),""))</f>
        <v>-1</v>
      </c>
      <c r="AH36" s="419">
        <f t="array" aca="1" ref="AH36" ca="1">IF(OR($AA$33="",$AC$33=""),"",IF($Y36&lt;&gt;"",SUM((OFFSET($F$9,($AA$33-1)*Calc!$F$26,0,($AC$33-$AA$33+1)*Calc!$F$26,1)=$Y36)*OFFSET($I$9,($AA$33-1)*Calc!$F$26,0,($AC$33-$AA$33+1)*Calc!$F$26,1),(OFFSET($F$9,($AA$33-1)*Calc!$F$26,0,($AC$33-$AA$33+1)*Calc!$F$26,1)=$Y36)*OFFSET($L$9,($AA$33-1)*Calc!$F$26,0,($AC$33-$AA$33+1)*Calc!$F$26,1),(OFFSET($F$9,($AA$33-1)*Calc!$F$26,0,($AC$33-$AA$33+1)*Calc!$F$26,1)=$Y36)*OFFSET($O$9,($AA$33-1)*Calc!$F$26,0,($AC$33-$AA$33+1)*Calc!$F$26,1))+SUM((OFFSET($H$9,($AA$33-1)*Calc!$F$26,0,($AC$33-$AA$33+1)*Calc!$F$26,1)=$Y36)*OFFSET($K$9,($AA$33-1)*Calc!$F$26,0,($AC$33-$AA$33+1)*Calc!$F$26,1),(OFFSET($H$9,($AA$33-1)*Calc!$F$26,0,($AC$33-$AA$33+1)*Calc!$F$26,1)=$Y36)*OFFSET($N$9,($AA$33-1)*Calc!$F$26,0,($AC$33-$AA$33+1)*Calc!$F$26,1),(OFFSET($H$9,($AA$33-1)*Calc!$F$26,0,($AC$33-$AA$33+1)*Calc!$F$26,1)=$Y36)*OFFSET($Q$9,($AA$33-1)*Calc!$F$26,0,($AC$33-$AA$33+1)*Calc!$F$26,1)),""))</f>
        <v>144</v>
      </c>
      <c r="AI36" s="418" t="str">
        <f>Language!$E$90</f>
        <v xml:space="preserve"> - </v>
      </c>
      <c r="AJ36" s="424">
        <f t="array" aca="1" ref="AJ36" ca="1">IF(OR($AA$33="",$AC$33=""),"",IF($Y36&lt;&gt;"",SUM((OFFSET($F$9,($AA$33-1)*Calc!$F$26,0,($AC$33-$AA$33+1)*Calc!$F$26,1)=$Y36)*OFFSET($K$9,($AA$33-1)*Calc!$F$26,0,($AC$33-$AA$33+1)*Calc!$F$26,1),(OFFSET($F$9,($AA$33-1)*Calc!$F$26,0,($AC$33-$AA$33+1)*Calc!$F$26,1)=$Y36)*OFFSET($N$9,($AA$33-1)*Calc!$F$26,0,($AC$33-$AA$33+1)*Calc!$F$26,1),(OFFSET($F$9,($AA$33-1)*Calc!$F$26,0,($AC$33-$AA$33+1)*Calc!$F$26,1)=$Y36)*OFFSET($Q$9,($AA$33-1)*Calc!$F$26,0,($AC$33-$AA$33+1)*Calc!$F$26,1))+SUM((OFFSET($H$9,($AA$33-1)*Calc!$F$26,0,($AC$33-$AA$33+1)*Calc!$F$26,1)=$Y36)*OFFSET($I$9,($AA$33-1)*Calc!$F$26,0,($AC$33-$AA$33+1)*Calc!$F$26,1),(OFFSET($H$9,($AA$33-1)*Calc!$F$26,0,($AC$33-$AA$33+1)*Calc!$F$26,1)=$Y36)*OFFSET($L$9,($AA$33-1)*Calc!$F$26,0,($AC$33-$AA$33+1)*Calc!$F$26,1),(OFFSET($H$9,($AA$33-1)*Calc!$F$26,0,($AC$33-$AA$33+1)*Calc!$F$26,1)=$Y36)*OFFSET($O$9,($AA$33-1)*Calc!$F$26,0,($AC$33-$AA$33+1)*Calc!$F$26,1)),""))</f>
        <v>147</v>
      </c>
      <c r="AK36" s="278">
        <f ca="1">IF(OR($AA$33="",$AC$33=""),"",IF($Y36="","",IF(Settings!$G$24,IF($AH36-$AJ36&gt;0,"+"&amp;$AH36-$AJ36,$AH36-$AJ36),IF($AJ36=0,IF($AH36=0,0,Settings!$E$24),ROUND($AH36/$AJ36,Settings!$H$24)))))</f>
        <v>-3</v>
      </c>
      <c r="AL36" s="280">
        <f ca="1">IF($AA36="","",IF(Settings!$G$9,$AA36*Settings!$C$4+$AB36,$AD36))</f>
        <v>3</v>
      </c>
      <c r="AM36" s="405"/>
      <c r="AN36" s="425"/>
      <c r="AO36" s="234"/>
      <c r="AP36" s="197">
        <f t="shared" si="27"/>
        <v>2</v>
      </c>
      <c r="AQ36" s="198" t="str">
        <f t="shared" si="28"/>
        <v>RB Leipzig</v>
      </c>
      <c r="AR36" s="151" t="str">
        <f>IFERROR(VLOOKUP($Y10&amp;AR$8,Calc2!$Q$4:$S$763,Settings!$H$29,0),"")</f>
        <v/>
      </c>
      <c r="AS36" s="152"/>
      <c r="AT36" s="146" t="str">
        <f>IFERROR(VLOOKUP($Y10&amp;AT$8,Calc2!$Q$4:$S$763,Settings!$H$29,0),"")</f>
        <v/>
      </c>
      <c r="AU36" s="146" t="str">
        <f>IFERROR(VLOOKUP($Y10&amp;AU$8,Calc2!$Q$4:$S$763,Settings!$H$29,0),"")</f>
        <v/>
      </c>
      <c r="AV36" s="146" t="str">
        <f>IFERROR(VLOOKUP($Y10&amp;AV$8,Calc2!$Q$4:$S$763,Settings!$H$29,0),"")</f>
        <v/>
      </c>
      <c r="AW36" s="146" t="str">
        <f>IFERROR(VLOOKUP($Y10&amp;AW$8,Calc2!$Q$4:$S$763,Settings!$H$29,0),"")</f>
        <v/>
      </c>
      <c r="AX36" s="146" t="str">
        <f>IFERROR(VLOOKUP($Y10&amp;AX$8,Calc2!$Q$4:$S$763,Settings!$H$29,0),"")</f>
        <v/>
      </c>
      <c r="AY36" s="146" t="str">
        <f>IFERROR(VLOOKUP($Y10&amp;AY$8,Calc2!$Q$4:$S$763,Settings!$H$29,0),"")</f>
        <v/>
      </c>
      <c r="AZ36" s="146" t="str">
        <f>IFERROR(VLOOKUP($Y10&amp;AZ$8,Calc2!$Q$4:$S$763,Settings!$H$29,0),"")</f>
        <v/>
      </c>
      <c r="BA36" s="146" t="str">
        <f>IFERROR(VLOOKUP($Y10&amp;BA$8,Calc2!$Q$4:$S$763,Settings!$H$29,0),"")</f>
        <v/>
      </c>
      <c r="BB36" s="146" t="str">
        <f>IFERROR(VLOOKUP($Y10&amp;BB$8,Calc2!$Q$4:$S$763,Settings!$H$29,0),"")</f>
        <v/>
      </c>
      <c r="BC36" s="146" t="str">
        <f>IFERROR(VLOOKUP($Y10&amp;BC$8,Calc2!$Q$4:$S$763,Settings!$H$29,0),"")</f>
        <v/>
      </c>
      <c r="BD36" s="146" t="str">
        <f>IFERROR(VLOOKUP($Y10&amp;BD$8,Calc2!$Q$4:$S$763,Settings!$H$29,0),"")</f>
        <v/>
      </c>
      <c r="BE36" s="146" t="str">
        <f>IFERROR(VLOOKUP($Y10&amp;BE$8,Calc2!$Q$4:$S$763,Settings!$H$29,0),"")</f>
        <v/>
      </c>
      <c r="BF36" s="146" t="str">
        <f>IFERROR(VLOOKUP($Y10&amp;BF$8,Calc2!$Q$4:$S$763,Settings!$H$29,0),"")</f>
        <v/>
      </c>
      <c r="BG36" s="146" t="str">
        <f>IFERROR(VLOOKUP($Y10&amp;BG$8,Calc2!$Q$4:$S$763,Settings!$H$29,0),"")</f>
        <v/>
      </c>
      <c r="BH36" s="146" t="str">
        <f>IFERROR(VLOOKUP($Y10&amp;BH$8,Calc2!$Q$4:$S$763,Settings!$H$29,0),"")</f>
        <v/>
      </c>
      <c r="BI36" s="146" t="str">
        <f>IFERROR(VLOOKUP($Y10&amp;BI$8,Calc2!$Q$4:$S$763,Settings!$H$29,0),"")</f>
        <v/>
      </c>
      <c r="BJ36" s="146" t="str">
        <f>IFERROR(VLOOKUP($Y10&amp;BJ$8,Calc2!$Q$4:$S$763,Settings!$H$29,0),"")</f>
        <v/>
      </c>
      <c r="BK36" s="153" t="str">
        <f>IFERROR(VLOOKUP($Y10&amp;BK$8,Calc2!$Q$4:$S$763,Settings!$H$29,0),"")</f>
        <v/>
      </c>
      <c r="BL36" s="180"/>
      <c r="BM36" s="193" t="b">
        <f t="shared" si="18"/>
        <v>0</v>
      </c>
      <c r="BN36" s="19" t="b">
        <f t="shared" si="19"/>
        <v>0</v>
      </c>
      <c r="BO36" s="19" t="b">
        <f t="shared" si="20"/>
        <v>0</v>
      </c>
      <c r="BP36" s="19" t="b">
        <f t="shared" si="21"/>
        <v>0</v>
      </c>
      <c r="BQ36" s="19" t="b">
        <f t="shared" si="22"/>
        <v>0</v>
      </c>
      <c r="BR36" s="19" t="b">
        <f t="shared" si="23"/>
        <v>0</v>
      </c>
      <c r="BS36" s="19" t="b">
        <f t="shared" si="24"/>
        <v>0</v>
      </c>
    </row>
    <row r="37" spans="2:71" ht="15.95" customHeight="1" x14ac:dyDescent="0.2">
      <c r="B37" s="248" t="str">
        <f>IF(Calc!$F$26=0,"",IF(OR($C37&gt;Calc!$B$24,MOD($C37-1,Calc!$F$26)&gt;0),"",QUOTIENT($C37-1,Calc!$F$26)+1))</f>
        <v/>
      </c>
      <c r="C37" s="244">
        <v>29</v>
      </c>
      <c r="D37" s="142">
        <f>IF(Planning!$T35="","",Planning!$T35)</f>
        <v>45920</v>
      </c>
      <c r="E37" s="143">
        <f>IF(Planning!$U35="","",Planning!$U35)</f>
        <v>0.64583333333333337</v>
      </c>
      <c r="F37" s="161" t="str">
        <f>Planning!$Q35</f>
        <v>SC Freiburg</v>
      </c>
      <c r="G37" s="162" t="s">
        <v>4</v>
      </c>
      <c r="H37" s="161" t="str">
        <f>Planning!$S35</f>
        <v>TSG Hoffenheim</v>
      </c>
      <c r="I37" s="163">
        <v>25</v>
      </c>
      <c r="J37" s="315" t="str">
        <f>Language!$E$90</f>
        <v xml:space="preserve"> - </v>
      </c>
      <c r="K37" s="318">
        <v>19</v>
      </c>
      <c r="L37" s="163">
        <v>25</v>
      </c>
      <c r="M37" s="360" t="str">
        <f>Language!$E$90</f>
        <v xml:space="preserve"> - </v>
      </c>
      <c r="N37" s="318">
        <v>21</v>
      </c>
      <c r="O37" s="163"/>
      <c r="P37" s="360" t="str">
        <f>Language!$E$90</f>
        <v xml:space="preserve"> - </v>
      </c>
      <c r="Q37" s="318"/>
      <c r="R37" s="354">
        <f t="shared" si="16"/>
        <v>2</v>
      </c>
      <c r="S37" s="357" t="str">
        <f>Language!$E$90</f>
        <v xml:space="preserve"> - </v>
      </c>
      <c r="T37" s="321">
        <f t="shared" si="17"/>
        <v>0</v>
      </c>
      <c r="U37" s="294"/>
      <c r="V37" s="295"/>
      <c r="X37" s="413">
        <v>17</v>
      </c>
      <c r="Y37" s="433" t="str">
        <f>IFERROR(VLOOKUP(X37,Planning!$C$7:$D$26,2,0),"")</f>
        <v>VfB Stuttgart</v>
      </c>
      <c r="Z37" s="278">
        <f t="shared" ca="1" si="29"/>
        <v>3</v>
      </c>
      <c r="AA37" s="278">
        <f t="array" aca="1" ref="AA37" ca="1">IF(OR($AA$33="",$AC$33=""),"",IF($Y37&lt;&gt;"",SUM((OFFSET($F$9,($AA$33-1)*Calc!$F$26,0,($AC$33-$AA$33+1)*Calc!$F$26,1)=$Y37)*(OFFSET($R$9,($AA$33-1)*Calc!$F$26,0,($AC$33-$AA$33+1)*Calc!$F$26,1)&gt;OFFSET($T$9,($AA$33-1)*Calc!$F$26,0,($AC$33-$AA$33+1)*Calc!$F$26,1)))+SUM((OFFSET($H$9,($AA$33-1)*Calc!$F$26,0,($AC$33-$AA$33+1)*Calc!$F$26,1)=$Y37)*(OFFSET($R$9,($AA$33-1)*Calc!$F$26,0,($AC$33-$AA$33+1)*Calc!$F$26,1)&lt;OFFSET($T$9,($AA$33-1)*Calc!$F$26,0,($AC$33-$AA$33+1)*Calc!$F$26,1))),""))</f>
        <v>2</v>
      </c>
      <c r="AB37" s="278">
        <f t="array" aca="1" ref="AB37" ca="1">IF(OR($AA$33="",$AC$33=""),"",IF($Y37&lt;&gt;"",SUM((OFFSET($F$9,($AA$33-1)*Calc!$F$26,0,($AC$33-$AA$33+1)*Calc!$F$26,1)=$Y37)*(OFFSET($R$9,($AA$33-1)*Calc!$F$26,0,($AC$33-$AA$33+1)*Calc!$F$26,1)=OFFSET($T$9,($AA$33-1)*Calc!$F$26,0,($AC$33-$AA$33+1)*Calc!$F$26,1))*(OFFSET($R$9,($AA$33-1)*Calc!$F$26,0,($AC$33-$AA$33+1)*Calc!$F$26,1)&lt;&gt;""))+SUM((OFFSET($H$9,($AA$33-1)*Calc!$F$26,0,($AC$33-$AA$33+1)*Calc!$F$26,1)=$Y37)*(OFFSET($R$9,($AA$33-1)*Calc!$F$26,0,($AC$33-$AA$33+1)*Calc!$F$26,1)=OFFSET($T$9,($AA$33-1)*Calc!$F$26,0,($AC$33-$AA$33+1)*Calc!$F$26,1))*(OFFSET($R$9,($AA$33-1)*Calc!$F$26,0,($AC$33-$AA$33+1)*Calc!$F$26,1)&lt;&gt;"")),""))</f>
        <v>0</v>
      </c>
      <c r="AC37" s="278">
        <f t="array" aca="1" ref="AC37" ca="1">IF(OR($AA$33="",$AC$33=""),"",IF($Y37&lt;&gt;"",SUM((OFFSET($F$9,($AA$33-1)*Calc!$F$26,0,($AC$33-$AA$33+1)*Calc!$F$26,1)=$Y37)*(OFFSET($R$9,($AA$33-1)*Calc!$F$26,0,($AC$33-$AA$33+1)*Calc!$F$26,1)&lt;OFFSET($T$9,($AA$33-1)*Calc!$F$26,0,($AC$33-$AA$33+1)*Calc!$F$26,1)))+SUM((OFFSET($H$9,($AA$33-1)*Calc!$F$26,0,($AC$33-$AA$33+1)*Calc!$F$26,1)=$Y37)*(OFFSET($R$9,($AA$33-1)*Calc!$F$26,0,($AC$33-$AA$33+1)*Calc!$F$26,1)&gt;OFFSET($T$9,($AA$33-1)*Calc!$F$26,0,($AC$33-$AA$33+1)*Calc!$F$26,1))),""))</f>
        <v>1</v>
      </c>
      <c r="AD37" s="419">
        <f ca="1">IF(OR($AA$33="",$AC$33=""),"",IF($Y37&lt;&gt;"",SUMPRODUCT((OFFSET($F$9,($AA$33-1)*Calc!$F$26,0,($AC$33-$AA$33+1)*Calc!$F$26,1)=$Y37)*1,OFFSET($R$9,($AA$33-1)*Calc!$F$26,0,($AC$33-$AA$33+1)*Calc!$F$26,1))+SUMPRODUCT((OFFSET($H$9,($AA$33-1)*Calc!$F$26,0,($AC$33-$AA$33+1)*Calc!$F$26,1)=$Y37)*1,OFFSET($T$9,($AA$33-1)*Calc!$F$26,0,($AC$33-$AA$33+1)*Calc!$F$26,1)),""))</f>
        <v>4</v>
      </c>
      <c r="AE37" s="418" t="str">
        <f>Language!$E$90</f>
        <v xml:space="preserve"> - </v>
      </c>
      <c r="AF37" s="424">
        <f ca="1">IF(OR($AA$33="",$AC$33=""),"",IF($Y37&lt;&gt;"",SUMPRODUCT((OFFSET($F$9,($AA$33-1)*Calc!$F$26,0,($AC$33-$AA$33+1)*Calc!$F$26,1)=$Y37)*1,OFFSET($T$9,($AA$33-1)*Calc!$F$26,0,($AC$33-$AA$33+1)*Calc!$F$26,1))+SUMPRODUCT((OFFSET($H$9,($AA$33-1)*Calc!$F$26,0,($AC$33-$AA$33+1)*Calc!$F$26,1)=$Y37)*1,OFFSET($R$9,($AA$33-1)*Calc!$F$26,0,($AC$33-$AA$33+1)*Calc!$F$26,1)),""))</f>
        <v>2</v>
      </c>
      <c r="AG37" s="278" t="str">
        <f t="shared" ca="1" si="30"/>
        <v>+2</v>
      </c>
      <c r="AH37" s="419">
        <f t="array" aca="1" ref="AH37" ca="1">IF(OR($AA$33="",$AC$33=""),"",IF($Y37&lt;&gt;"",SUM((OFFSET($F$9,($AA$33-1)*Calc!$F$26,0,($AC$33-$AA$33+1)*Calc!$F$26,1)=$Y37)*OFFSET($I$9,($AA$33-1)*Calc!$F$26,0,($AC$33-$AA$33+1)*Calc!$F$26,1),(OFFSET($F$9,($AA$33-1)*Calc!$F$26,0,($AC$33-$AA$33+1)*Calc!$F$26,1)=$Y37)*OFFSET($L$9,($AA$33-1)*Calc!$F$26,0,($AC$33-$AA$33+1)*Calc!$F$26,1),(OFFSET($F$9,($AA$33-1)*Calc!$F$26,0,($AC$33-$AA$33+1)*Calc!$F$26,1)=$Y37)*OFFSET($O$9,($AA$33-1)*Calc!$F$26,0,($AC$33-$AA$33+1)*Calc!$F$26,1))+SUM((OFFSET($H$9,($AA$33-1)*Calc!$F$26,0,($AC$33-$AA$33+1)*Calc!$F$26,1)=$Y37)*OFFSET($K$9,($AA$33-1)*Calc!$F$26,0,($AC$33-$AA$33+1)*Calc!$F$26,1),(OFFSET($H$9,($AA$33-1)*Calc!$F$26,0,($AC$33-$AA$33+1)*Calc!$F$26,1)=$Y37)*OFFSET($N$9,($AA$33-1)*Calc!$F$26,0,($AC$33-$AA$33+1)*Calc!$F$26,1),(OFFSET($H$9,($AA$33-1)*Calc!$F$26,0,($AC$33-$AA$33+1)*Calc!$F$26,1)=$Y37)*OFFSET($Q$9,($AA$33-1)*Calc!$F$26,0,($AC$33-$AA$33+1)*Calc!$F$26,1)),""))</f>
        <v>145</v>
      </c>
      <c r="AI37" s="418" t="str">
        <f>Language!$E$90</f>
        <v xml:space="preserve"> - </v>
      </c>
      <c r="AJ37" s="424">
        <f t="array" aca="1" ref="AJ37" ca="1">IF(OR($AA$33="",$AC$33=""),"",IF($Y37&lt;&gt;"",SUM((OFFSET($F$9,($AA$33-1)*Calc!$F$26,0,($AC$33-$AA$33+1)*Calc!$F$26,1)=$Y37)*OFFSET($K$9,($AA$33-1)*Calc!$F$26,0,($AC$33-$AA$33+1)*Calc!$F$26,1),(OFFSET($F$9,($AA$33-1)*Calc!$F$26,0,($AC$33-$AA$33+1)*Calc!$F$26,1)=$Y37)*OFFSET($N$9,($AA$33-1)*Calc!$F$26,0,($AC$33-$AA$33+1)*Calc!$F$26,1),(OFFSET($F$9,($AA$33-1)*Calc!$F$26,0,($AC$33-$AA$33+1)*Calc!$F$26,1)=$Y37)*OFFSET($Q$9,($AA$33-1)*Calc!$F$26,0,($AC$33-$AA$33+1)*Calc!$F$26,1))+SUM((OFFSET($H$9,($AA$33-1)*Calc!$F$26,0,($AC$33-$AA$33+1)*Calc!$F$26,1)=$Y37)*OFFSET($I$9,($AA$33-1)*Calc!$F$26,0,($AC$33-$AA$33+1)*Calc!$F$26,1),(OFFSET($H$9,($AA$33-1)*Calc!$F$26,0,($AC$33-$AA$33+1)*Calc!$F$26,1)=$Y37)*OFFSET($L$9,($AA$33-1)*Calc!$F$26,0,($AC$33-$AA$33+1)*Calc!$F$26,1),(OFFSET($H$9,($AA$33-1)*Calc!$F$26,0,($AC$33-$AA$33+1)*Calc!$F$26,1)=$Y37)*OFFSET($O$9,($AA$33-1)*Calc!$F$26,0,($AC$33-$AA$33+1)*Calc!$F$26,1)),""))</f>
        <v>133</v>
      </c>
      <c r="AK37" s="278" t="str">
        <f ca="1">IF(OR($AA$33="",$AC$33=""),"",IF($Y37="","",IF(Settings!$G$24,IF($AH37-$AJ37&gt;0,"+"&amp;$AH37-$AJ37,$AH37-$AJ37),IF($AJ37=0,IF($AH37=0,0,Settings!$E$24),ROUND($AH37/$AJ37,Settings!$H$24)))))</f>
        <v>+12</v>
      </c>
      <c r="AL37" s="280">
        <f ca="1">IF($AA37="","",IF(Settings!$G$9,$AA37*Settings!$C$4+$AB37,$AD37))</f>
        <v>4</v>
      </c>
      <c r="AM37" s="405"/>
      <c r="AN37" s="180"/>
      <c r="AO37" s="180"/>
      <c r="AP37" s="197">
        <f t="shared" si="27"/>
        <v>3</v>
      </c>
      <c r="AQ37" s="198" t="str">
        <f t="shared" si="28"/>
        <v>Hamburger SV</v>
      </c>
      <c r="AR37" s="151" t="str">
        <f>IFERROR(VLOOKUP($Y11&amp;AR$8,Calc2!$Q$4:$S$763,Settings!$H$29,0),"")</f>
        <v/>
      </c>
      <c r="AS37" s="146" t="str">
        <f>IFERROR(VLOOKUP($Y11&amp;AS$8,Calc2!$Q$4:$S$763,Settings!$H$29,0),"")</f>
        <v/>
      </c>
      <c r="AT37" s="152"/>
      <c r="AU37" s="146" t="str">
        <f>IFERROR(VLOOKUP($Y11&amp;AU$8,Calc2!$Q$4:$S$763,Settings!$H$29,0),"")</f>
        <v/>
      </c>
      <c r="AV37" s="146" t="str">
        <f>IFERROR(VLOOKUP($Y11&amp;AV$8,Calc2!$Q$4:$S$763,Settings!$H$29,0),"")</f>
        <v/>
      </c>
      <c r="AW37" s="146" t="str">
        <f>IFERROR(VLOOKUP($Y11&amp;AW$8,Calc2!$Q$4:$S$763,Settings!$H$29,0),"")</f>
        <v/>
      </c>
      <c r="AX37" s="146" t="str">
        <f>IFERROR(VLOOKUP($Y11&amp;AX$8,Calc2!$Q$4:$S$763,Settings!$H$29,0),"")</f>
        <v/>
      </c>
      <c r="AY37" s="146" t="str">
        <f>IFERROR(VLOOKUP($Y11&amp;AY$8,Calc2!$Q$4:$S$763,Settings!$H$29,0),"")</f>
        <v/>
      </c>
      <c r="AZ37" s="146" t="str">
        <f>IFERROR(VLOOKUP($Y11&amp;AZ$8,Calc2!$Q$4:$S$763,Settings!$H$29,0),"")</f>
        <v/>
      </c>
      <c r="BA37" s="146" t="str">
        <f>IFERROR(VLOOKUP($Y11&amp;BA$8,Calc2!$Q$4:$S$763,Settings!$H$29,0),"")</f>
        <v/>
      </c>
      <c r="BB37" s="146" t="str">
        <f>IFERROR(VLOOKUP($Y11&amp;BB$8,Calc2!$Q$4:$S$763,Settings!$H$29,0),"")</f>
        <v/>
      </c>
      <c r="BC37" s="146" t="str">
        <f>IFERROR(VLOOKUP($Y11&amp;BC$8,Calc2!$Q$4:$S$763,Settings!$H$29,0),"")</f>
        <v/>
      </c>
      <c r="BD37" s="146" t="str">
        <f>IFERROR(VLOOKUP($Y11&amp;BD$8,Calc2!$Q$4:$S$763,Settings!$H$29,0),"")</f>
        <v/>
      </c>
      <c r="BE37" s="146" t="str">
        <f>IFERROR(VLOOKUP($Y11&amp;BE$8,Calc2!$Q$4:$S$763,Settings!$H$29,0),"")</f>
        <v/>
      </c>
      <c r="BF37" s="146" t="str">
        <f>IFERROR(VLOOKUP($Y11&amp;BF$8,Calc2!$Q$4:$S$763,Settings!$H$29,0),"")</f>
        <v/>
      </c>
      <c r="BG37" s="146" t="str">
        <f>IFERROR(VLOOKUP($Y11&amp;BG$8,Calc2!$Q$4:$S$763,Settings!$H$29,0),"")</f>
        <v/>
      </c>
      <c r="BH37" s="146" t="str">
        <f>IFERROR(VLOOKUP($Y11&amp;BH$8,Calc2!$Q$4:$S$763,Settings!$H$29,0),"")</f>
        <v/>
      </c>
      <c r="BI37" s="146" t="str">
        <f>IFERROR(VLOOKUP($Y11&amp;BI$8,Calc2!$Q$4:$S$763,Settings!$H$29,0),"")</f>
        <v/>
      </c>
      <c r="BJ37" s="146" t="str">
        <f>IFERROR(VLOOKUP($Y11&amp;BJ$8,Calc2!$Q$4:$S$763,Settings!$H$29,0),"")</f>
        <v/>
      </c>
      <c r="BK37" s="153" t="str">
        <f>IFERROR(VLOOKUP($Y11&amp;BK$8,Calc2!$Q$4:$S$763,Settings!$H$29,0),"")</f>
        <v/>
      </c>
      <c r="BL37" s="180"/>
      <c r="BM37" s="193" t="b">
        <f t="shared" si="18"/>
        <v>0</v>
      </c>
      <c r="BN37" s="19" t="b">
        <f t="shared" si="19"/>
        <v>0</v>
      </c>
      <c r="BO37" s="19" t="b">
        <f t="shared" si="20"/>
        <v>0</v>
      </c>
      <c r="BP37" s="19" t="b">
        <f t="shared" si="21"/>
        <v>1</v>
      </c>
      <c r="BQ37" s="19" t="b">
        <f t="shared" si="22"/>
        <v>0</v>
      </c>
      <c r="BR37" s="19" t="b">
        <f t="shared" si="23"/>
        <v>0</v>
      </c>
      <c r="BS37" s="19" t="b">
        <f t="shared" si="24"/>
        <v>0</v>
      </c>
    </row>
    <row r="38" spans="2:71" ht="15.95" customHeight="1" x14ac:dyDescent="0.2">
      <c r="B38" s="248" t="str">
        <f>IF(Calc!$F$26=0,"",IF(OR($C38&gt;Calc!$B$24,MOD($C38-1,Calc!$F$26)&gt;0),"",QUOTIENT($C38-1,Calc!$F$26)+1))</f>
        <v/>
      </c>
      <c r="C38" s="244">
        <v>30</v>
      </c>
      <c r="D38" s="142">
        <f>IF(Planning!$T36="","",Planning!$T36)</f>
        <v>45920</v>
      </c>
      <c r="E38" s="143">
        <f>IF(Planning!$U36="","",Planning!$U36)</f>
        <v>0.64583333333333337</v>
      </c>
      <c r="F38" s="161" t="str">
        <f>Planning!$Q36</f>
        <v>VfB Stuttgart</v>
      </c>
      <c r="G38" s="162" t="s">
        <v>4</v>
      </c>
      <c r="H38" s="161" t="str">
        <f>Planning!$S36</f>
        <v>RB Leipzig</v>
      </c>
      <c r="I38" s="163">
        <v>14</v>
      </c>
      <c r="J38" s="315" t="str">
        <f>Language!$E$90</f>
        <v xml:space="preserve"> - </v>
      </c>
      <c r="K38" s="318">
        <v>25</v>
      </c>
      <c r="L38" s="163">
        <v>22</v>
      </c>
      <c r="M38" s="360" t="str">
        <f>Language!$E$90</f>
        <v xml:space="preserve"> - </v>
      </c>
      <c r="N38" s="318">
        <v>25</v>
      </c>
      <c r="O38" s="163"/>
      <c r="P38" s="360" t="str">
        <f>Language!$E$90</f>
        <v xml:space="preserve"> - </v>
      </c>
      <c r="Q38" s="318"/>
      <c r="R38" s="354">
        <f t="shared" si="16"/>
        <v>0</v>
      </c>
      <c r="S38" s="357" t="str">
        <f>Language!$E$90</f>
        <v xml:space="preserve"> - </v>
      </c>
      <c r="T38" s="321">
        <f t="shared" si="17"/>
        <v>2</v>
      </c>
      <c r="U38" s="294"/>
      <c r="V38" s="295"/>
      <c r="X38" s="127"/>
      <c r="Y38" s="193"/>
      <c r="Z38" s="180"/>
      <c r="AA38" s="180"/>
      <c r="AB38" s="180"/>
      <c r="AC38" s="180"/>
      <c r="AD38" s="180"/>
      <c r="AE38" s="180"/>
      <c r="AF38" s="180"/>
      <c r="AG38" s="180"/>
      <c r="AH38" s="180"/>
      <c r="AI38" s="180"/>
      <c r="AJ38" s="180"/>
      <c r="AK38" s="435" t="str">
        <f t="shared" ref="AK38" si="31">IF(OR($AA$33="",$AC$33=""),"",IF($Y38&lt;&gt;"",IF($AH38-$AJ38&gt;0,"+"&amp;$AH38-$AJ38,$AH38-$AJ38),""))</f>
        <v/>
      </c>
      <c r="AL38" s="180"/>
      <c r="AM38" s="180"/>
      <c r="AN38" s="180"/>
      <c r="AO38" s="180"/>
      <c r="AP38" s="197">
        <f t="shared" si="27"/>
        <v>4</v>
      </c>
      <c r="AQ38" s="198" t="str">
        <f t="shared" si="28"/>
        <v>Eintracht Frankfurt</v>
      </c>
      <c r="AR38" s="151" t="str">
        <f>IFERROR(VLOOKUP($Y12&amp;AR$8,Calc2!$Q$4:$S$763,Settings!$H$29,0),"")</f>
        <v/>
      </c>
      <c r="AS38" s="146" t="str">
        <f>IFERROR(VLOOKUP($Y12&amp;AS$8,Calc2!$Q$4:$S$763,Settings!$H$29,0),"")</f>
        <v/>
      </c>
      <c r="AT38" s="146" t="str">
        <f>IFERROR(VLOOKUP($Y12&amp;AT$8,Calc2!$Q$4:$S$763,Settings!$H$29,0),"")</f>
        <v/>
      </c>
      <c r="AU38" s="152"/>
      <c r="AV38" s="146" t="str">
        <f>IFERROR(VLOOKUP($Y12&amp;AV$8,Calc2!$Q$4:$S$763,Settings!$H$29,0),"")</f>
        <v/>
      </c>
      <c r="AW38" s="146" t="str">
        <f>IFERROR(VLOOKUP($Y12&amp;AW$8,Calc2!$Q$4:$S$763,Settings!$H$29,0),"")</f>
        <v/>
      </c>
      <c r="AX38" s="146" t="str">
        <f>IFERROR(VLOOKUP($Y12&amp;AX$8,Calc2!$Q$4:$S$763,Settings!$H$29,0),"")</f>
        <v/>
      </c>
      <c r="AY38" s="146" t="str">
        <f>IFERROR(VLOOKUP($Y12&amp;AY$8,Calc2!$Q$4:$S$763,Settings!$H$29,0),"")</f>
        <v/>
      </c>
      <c r="AZ38" s="146" t="str">
        <f>IFERROR(VLOOKUP($Y12&amp;AZ$8,Calc2!$Q$4:$S$763,Settings!$H$29,0),"")</f>
        <v/>
      </c>
      <c r="BA38" s="146" t="str">
        <f>IFERROR(VLOOKUP($Y12&amp;BA$8,Calc2!$Q$4:$S$763,Settings!$H$29,0),"")</f>
        <v/>
      </c>
      <c r="BB38" s="146" t="str">
        <f>IFERROR(VLOOKUP($Y12&amp;BB$8,Calc2!$Q$4:$S$763,Settings!$H$29,0),"")</f>
        <v/>
      </c>
      <c r="BC38" s="146" t="str">
        <f>IFERROR(VLOOKUP($Y12&amp;BC$8,Calc2!$Q$4:$S$763,Settings!$H$29,0),"")</f>
        <v/>
      </c>
      <c r="BD38" s="146" t="str">
        <f>IFERROR(VLOOKUP($Y12&amp;BD$8,Calc2!$Q$4:$S$763,Settings!$H$29,0),"")</f>
        <v/>
      </c>
      <c r="BE38" s="146" t="str">
        <f>IFERROR(VLOOKUP($Y12&amp;BE$8,Calc2!$Q$4:$S$763,Settings!$H$29,0),"")</f>
        <v/>
      </c>
      <c r="BF38" s="146" t="str">
        <f>IFERROR(VLOOKUP($Y12&amp;BF$8,Calc2!$Q$4:$S$763,Settings!$H$29,0),"")</f>
        <v/>
      </c>
      <c r="BG38" s="146" t="str">
        <f>IFERROR(VLOOKUP($Y12&amp;BG$8,Calc2!$Q$4:$S$763,Settings!$H$29,0),"")</f>
        <v/>
      </c>
      <c r="BH38" s="146" t="str">
        <f>IFERROR(VLOOKUP($Y12&amp;BH$8,Calc2!$Q$4:$S$763,Settings!$H$29,0),"")</f>
        <v/>
      </c>
      <c r="BI38" s="146" t="str">
        <f>IFERROR(VLOOKUP($Y12&amp;BI$8,Calc2!$Q$4:$S$763,Settings!$H$29,0),"")</f>
        <v/>
      </c>
      <c r="BJ38" s="146" t="str">
        <f>IFERROR(VLOOKUP($Y12&amp;BJ$8,Calc2!$Q$4:$S$763,Settings!$H$29,0),"")</f>
        <v/>
      </c>
      <c r="BK38" s="153" t="str">
        <f>IFERROR(VLOOKUP($Y12&amp;BK$8,Calc2!$Q$4:$S$763,Settings!$H$29,0),"")</f>
        <v/>
      </c>
      <c r="BL38" s="180"/>
      <c r="BM38" s="193" t="b">
        <f t="shared" si="18"/>
        <v>0</v>
      </c>
      <c r="BN38" s="19" t="b">
        <f t="shared" si="19"/>
        <v>0</v>
      </c>
      <c r="BO38" s="19" t="b">
        <f t="shared" si="20"/>
        <v>0</v>
      </c>
      <c r="BP38" s="19" t="b">
        <f t="shared" si="21"/>
        <v>1</v>
      </c>
      <c r="BQ38" s="19" t="b">
        <f t="shared" si="22"/>
        <v>0</v>
      </c>
      <c r="BR38" s="19" t="b">
        <f t="shared" si="23"/>
        <v>0</v>
      </c>
      <c r="BS38" s="19" t="b">
        <f t="shared" si="24"/>
        <v>0</v>
      </c>
    </row>
    <row r="39" spans="2:71" ht="15.95" customHeight="1" x14ac:dyDescent="0.2">
      <c r="B39" s="248" t="str">
        <f>IF(Calc!$F$26=0,"",IF(OR($C39&gt;Calc!$B$24,MOD($C39-1,Calc!$F$26)&gt;0),"",QUOTIENT($C39-1,Calc!$F$26)+1))</f>
        <v/>
      </c>
      <c r="C39" s="244">
        <v>31</v>
      </c>
      <c r="D39" s="142">
        <f>IF(Planning!$T37="","",Planning!$T37)</f>
        <v>45920</v>
      </c>
      <c r="E39" s="143">
        <f>IF(Planning!$U37="","",Planning!$U37)</f>
        <v>0.64583333333333337</v>
      </c>
      <c r="F39" s="161" t="str">
        <f>Planning!$Q37</f>
        <v>Hamburger SV</v>
      </c>
      <c r="G39" s="162" t="s">
        <v>4</v>
      </c>
      <c r="H39" s="161" t="str">
        <f>Planning!$S37</f>
        <v>VfL Wolfsburg</v>
      </c>
      <c r="I39" s="163">
        <v>25</v>
      </c>
      <c r="J39" s="315" t="str">
        <f>Language!$E$90</f>
        <v xml:space="preserve"> - </v>
      </c>
      <c r="K39" s="318">
        <v>22</v>
      </c>
      <c r="L39" s="163">
        <v>25</v>
      </c>
      <c r="M39" s="360" t="str">
        <f>Language!$E$90</f>
        <v xml:space="preserve"> - </v>
      </c>
      <c r="N39" s="318">
        <v>21</v>
      </c>
      <c r="O39" s="163"/>
      <c r="P39" s="360" t="str">
        <f>Language!$E$90</f>
        <v xml:space="preserve"> - </v>
      </c>
      <c r="Q39" s="318"/>
      <c r="R39" s="354">
        <f t="shared" si="16"/>
        <v>2</v>
      </c>
      <c r="S39" s="357" t="str">
        <f>Language!$E$90</f>
        <v xml:space="preserve"> - </v>
      </c>
      <c r="T39" s="321">
        <f t="shared" si="17"/>
        <v>0</v>
      </c>
      <c r="U39" s="294"/>
      <c r="V39" s="295"/>
      <c r="X39" s="127"/>
      <c r="Y39" s="193"/>
      <c r="Z39" s="180"/>
      <c r="AA39" s="180"/>
      <c r="AB39" s="180"/>
      <c r="AC39" s="180"/>
      <c r="AD39" s="180"/>
      <c r="AE39" s="180"/>
      <c r="AF39" s="180"/>
      <c r="AG39" s="180"/>
      <c r="AH39" s="180"/>
      <c r="AI39" s="180"/>
      <c r="AJ39" s="180"/>
      <c r="AK39" s="180"/>
      <c r="AL39" s="180"/>
      <c r="AM39" s="180"/>
      <c r="AN39" s="180"/>
      <c r="AO39" s="180"/>
      <c r="AP39" s="197">
        <f t="shared" si="27"/>
        <v>5</v>
      </c>
      <c r="AQ39" s="198" t="str">
        <f t="shared" si="28"/>
        <v>FC Bayern München</v>
      </c>
      <c r="AR39" s="151" t="str">
        <f>IFERROR(VLOOKUP($Y13&amp;AR$8,Calc2!$Q$4:$S$763,Settings!$H$29,0),"")</f>
        <v/>
      </c>
      <c r="AS39" s="146" t="str">
        <f>IFERROR(VLOOKUP($Y13&amp;AS$8,Calc2!$Q$4:$S$763,Settings!$H$29,0),"")</f>
        <v/>
      </c>
      <c r="AT39" s="146" t="str">
        <f>IFERROR(VLOOKUP($Y13&amp;AT$8,Calc2!$Q$4:$S$763,Settings!$H$29,0),"")</f>
        <v/>
      </c>
      <c r="AU39" s="146" t="str">
        <f>IFERROR(VLOOKUP($Y13&amp;AU$8,Calc2!$Q$4:$S$763,Settings!$H$29,0),"")</f>
        <v/>
      </c>
      <c r="AV39" s="152"/>
      <c r="AW39" s="146" t="str">
        <f>IFERROR(VLOOKUP($Y13&amp;AW$8,Calc2!$Q$4:$S$763,Settings!$H$29,0),"")</f>
        <v/>
      </c>
      <c r="AX39" s="146" t="str">
        <f>IFERROR(VLOOKUP($Y13&amp;AX$8,Calc2!$Q$4:$S$763,Settings!$H$29,0),"")</f>
        <v/>
      </c>
      <c r="AY39" s="146" t="str">
        <f>IFERROR(VLOOKUP($Y13&amp;AY$8,Calc2!$Q$4:$S$763,Settings!$H$29,0),"")</f>
        <v/>
      </c>
      <c r="AZ39" s="146" t="str">
        <f>IFERROR(VLOOKUP($Y13&amp;AZ$8,Calc2!$Q$4:$S$763,Settings!$H$29,0),"")</f>
        <v/>
      </c>
      <c r="BA39" s="146" t="str">
        <f>IFERROR(VLOOKUP($Y13&amp;BA$8,Calc2!$Q$4:$S$763,Settings!$H$29,0),"")</f>
        <v/>
      </c>
      <c r="BB39" s="146" t="str">
        <f>IFERROR(VLOOKUP($Y13&amp;BB$8,Calc2!$Q$4:$S$763,Settings!$H$29,0),"")</f>
        <v/>
      </c>
      <c r="BC39" s="146" t="str">
        <f>IFERROR(VLOOKUP($Y13&amp;BC$8,Calc2!$Q$4:$S$763,Settings!$H$29,0),"")</f>
        <v/>
      </c>
      <c r="BD39" s="146" t="str">
        <f>IFERROR(VLOOKUP($Y13&amp;BD$8,Calc2!$Q$4:$S$763,Settings!$H$29,0),"")</f>
        <v/>
      </c>
      <c r="BE39" s="146" t="str">
        <f>IFERROR(VLOOKUP($Y13&amp;BE$8,Calc2!$Q$4:$S$763,Settings!$H$29,0),"")</f>
        <v/>
      </c>
      <c r="BF39" s="146" t="str">
        <f>IFERROR(VLOOKUP($Y13&amp;BF$8,Calc2!$Q$4:$S$763,Settings!$H$29,0),"")</f>
        <v/>
      </c>
      <c r="BG39" s="146" t="str">
        <f>IFERROR(VLOOKUP($Y13&amp;BG$8,Calc2!$Q$4:$S$763,Settings!$H$29,0),"")</f>
        <v/>
      </c>
      <c r="BH39" s="146" t="str">
        <f>IFERROR(VLOOKUP($Y13&amp;BH$8,Calc2!$Q$4:$S$763,Settings!$H$29,0),"")</f>
        <v/>
      </c>
      <c r="BI39" s="146" t="str">
        <f>IFERROR(VLOOKUP($Y13&amp;BI$8,Calc2!$Q$4:$S$763,Settings!$H$29,0),"")</f>
        <v/>
      </c>
      <c r="BJ39" s="146" t="str">
        <f>IFERROR(VLOOKUP($Y13&amp;BJ$8,Calc2!$Q$4:$S$763,Settings!$H$29,0),"")</f>
        <v/>
      </c>
      <c r="BK39" s="153" t="str">
        <f>IFERROR(VLOOKUP($Y13&amp;BK$8,Calc2!$Q$4:$S$763,Settings!$H$29,0),"")</f>
        <v/>
      </c>
      <c r="BL39" s="180"/>
      <c r="BM39" s="193" t="b">
        <f t="shared" si="18"/>
        <v>0</v>
      </c>
      <c r="BN39" s="19" t="b">
        <f t="shared" si="19"/>
        <v>0</v>
      </c>
      <c r="BO39" s="19" t="b">
        <f t="shared" si="20"/>
        <v>0</v>
      </c>
      <c r="BP39" s="19" t="b">
        <f t="shared" si="21"/>
        <v>1</v>
      </c>
      <c r="BQ39" s="19" t="b">
        <f t="shared" si="22"/>
        <v>0</v>
      </c>
      <c r="BR39" s="19" t="b">
        <f t="shared" si="23"/>
        <v>0</v>
      </c>
      <c r="BS39" s="19" t="b">
        <f t="shared" si="24"/>
        <v>0</v>
      </c>
    </row>
    <row r="40" spans="2:71" ht="15.95" customHeight="1" x14ac:dyDescent="0.2">
      <c r="B40" s="248" t="str">
        <f>IF(Calc!$F$26=0,"",IF(OR($C40&gt;Calc!$B$24,MOD($C40-1,Calc!$F$26)&gt;0),"",QUOTIENT($C40-1,Calc!$F$26)+1))</f>
        <v/>
      </c>
      <c r="C40" s="244">
        <v>32</v>
      </c>
      <c r="D40" s="142">
        <f>IF(Planning!$T38="","",Planning!$T38)</f>
        <v>45920</v>
      </c>
      <c r="E40" s="143">
        <f>IF(Planning!$U38="","",Planning!$U38)</f>
        <v>0.64583333333333337</v>
      </c>
      <c r="F40" s="161" t="str">
        <f>Planning!$Q38</f>
        <v>1. FC Köln</v>
      </c>
      <c r="G40" s="162" t="s">
        <v>4</v>
      </c>
      <c r="H40" s="161" t="str">
        <f>Planning!$S38</f>
        <v>FC St. Pauli</v>
      </c>
      <c r="I40" s="163">
        <v>17</v>
      </c>
      <c r="J40" s="315" t="str">
        <f>Language!$E$90</f>
        <v xml:space="preserve"> - </v>
      </c>
      <c r="K40" s="318">
        <v>25</v>
      </c>
      <c r="L40" s="163">
        <v>12</v>
      </c>
      <c r="M40" s="360" t="str">
        <f>Language!$E$90</f>
        <v xml:space="preserve"> - </v>
      </c>
      <c r="N40" s="318">
        <v>25</v>
      </c>
      <c r="O40" s="163"/>
      <c r="P40" s="360" t="str">
        <f>Language!$E$90</f>
        <v xml:space="preserve"> - </v>
      </c>
      <c r="Q40" s="318"/>
      <c r="R40" s="354">
        <f t="shared" si="16"/>
        <v>0</v>
      </c>
      <c r="S40" s="357" t="str">
        <f>Language!$E$90</f>
        <v xml:space="preserve"> - </v>
      </c>
      <c r="T40" s="321">
        <f t="shared" si="17"/>
        <v>2</v>
      </c>
      <c r="U40" s="294"/>
      <c r="V40" s="295"/>
      <c r="X40" s="127"/>
      <c r="Y40" s="193"/>
      <c r="Z40" s="180"/>
      <c r="AA40" s="180"/>
      <c r="AB40" s="180"/>
      <c r="AC40" s="180"/>
      <c r="AD40" s="180"/>
      <c r="AE40" s="180"/>
      <c r="AF40" s="180"/>
      <c r="AG40" s="180"/>
      <c r="AH40" s="180"/>
      <c r="AI40" s="180"/>
      <c r="AJ40" s="180"/>
      <c r="AK40" s="180"/>
      <c r="AL40" s="180"/>
      <c r="AM40" s="180"/>
      <c r="AN40" s="180"/>
      <c r="AO40" s="180"/>
      <c r="AP40" s="197">
        <f t="shared" si="27"/>
        <v>6</v>
      </c>
      <c r="AQ40" s="198" t="str">
        <f t="shared" si="28"/>
        <v>FC Augsburg</v>
      </c>
      <c r="AR40" s="151" t="str">
        <f>IFERROR(VLOOKUP($Y14&amp;AR$8,Calc2!$Q$4:$S$763,Settings!$H$29,0),"")</f>
        <v/>
      </c>
      <c r="AS40" s="146" t="str">
        <f>IFERROR(VLOOKUP($Y14&amp;AS$8,Calc2!$Q$4:$S$763,Settings!$H$29,0),"")</f>
        <v/>
      </c>
      <c r="AT40" s="146" t="str">
        <f>IFERROR(VLOOKUP($Y14&amp;AT$8,Calc2!$Q$4:$S$763,Settings!$H$29,0),"")</f>
        <v/>
      </c>
      <c r="AU40" s="146" t="str">
        <f>IFERROR(VLOOKUP($Y14&amp;AU$8,Calc2!$Q$4:$S$763,Settings!$H$29,0),"")</f>
        <v/>
      </c>
      <c r="AV40" s="146" t="str">
        <f>IFERROR(VLOOKUP($Y14&amp;AV$8,Calc2!$Q$4:$S$763,Settings!$H$29,0),"")</f>
        <v/>
      </c>
      <c r="AW40" s="152"/>
      <c r="AX40" s="146" t="str">
        <f>IFERROR(VLOOKUP($Y14&amp;AX$8,Calc2!$Q$4:$S$763,Settings!$H$29,0),"")</f>
        <v/>
      </c>
      <c r="AY40" s="146" t="str">
        <f>IFERROR(VLOOKUP($Y14&amp;AY$8,Calc2!$Q$4:$S$763,Settings!$H$29,0),"")</f>
        <v/>
      </c>
      <c r="AZ40" s="146" t="str">
        <f>IFERROR(VLOOKUP($Y14&amp;AZ$8,Calc2!$Q$4:$S$763,Settings!$H$29,0),"")</f>
        <v/>
      </c>
      <c r="BA40" s="146" t="str">
        <f>IFERROR(VLOOKUP($Y14&amp;BA$8,Calc2!$Q$4:$S$763,Settings!$H$29,0),"")</f>
        <v/>
      </c>
      <c r="BB40" s="146" t="str">
        <f>IFERROR(VLOOKUP($Y14&amp;BB$8,Calc2!$Q$4:$S$763,Settings!$H$29,0),"")</f>
        <v/>
      </c>
      <c r="BC40" s="146" t="str">
        <f>IFERROR(VLOOKUP($Y14&amp;BC$8,Calc2!$Q$4:$S$763,Settings!$H$29,0),"")</f>
        <v/>
      </c>
      <c r="BD40" s="146" t="str">
        <f>IFERROR(VLOOKUP($Y14&amp;BD$8,Calc2!$Q$4:$S$763,Settings!$H$29,0),"")</f>
        <v/>
      </c>
      <c r="BE40" s="146" t="str">
        <f>IFERROR(VLOOKUP($Y14&amp;BE$8,Calc2!$Q$4:$S$763,Settings!$H$29,0),"")</f>
        <v/>
      </c>
      <c r="BF40" s="146" t="str">
        <f>IFERROR(VLOOKUP($Y14&amp;BF$8,Calc2!$Q$4:$S$763,Settings!$H$29,0),"")</f>
        <v/>
      </c>
      <c r="BG40" s="146" t="str">
        <f>IFERROR(VLOOKUP($Y14&amp;BG$8,Calc2!$Q$4:$S$763,Settings!$H$29,0),"")</f>
        <v/>
      </c>
      <c r="BH40" s="146" t="str">
        <f>IFERROR(VLOOKUP($Y14&amp;BH$8,Calc2!$Q$4:$S$763,Settings!$H$29,0),"")</f>
        <v/>
      </c>
      <c r="BI40" s="146" t="str">
        <f>IFERROR(VLOOKUP($Y14&amp;BI$8,Calc2!$Q$4:$S$763,Settings!$H$29,0),"")</f>
        <v/>
      </c>
      <c r="BJ40" s="146" t="str">
        <f>IFERROR(VLOOKUP($Y14&amp;BJ$8,Calc2!$Q$4:$S$763,Settings!$H$29,0),"")</f>
        <v/>
      </c>
      <c r="BK40" s="153" t="str">
        <f>IFERROR(VLOOKUP($Y14&amp;BK$8,Calc2!$Q$4:$S$763,Settings!$H$29,0),"")</f>
        <v/>
      </c>
      <c r="BL40" s="180"/>
      <c r="BM40" s="193" t="b">
        <f t="shared" si="18"/>
        <v>0</v>
      </c>
      <c r="BN40" s="19" t="b">
        <f t="shared" si="19"/>
        <v>0</v>
      </c>
      <c r="BO40" s="19" t="b">
        <f t="shared" si="20"/>
        <v>0</v>
      </c>
      <c r="BP40" s="19" t="b">
        <f t="shared" si="21"/>
        <v>1</v>
      </c>
      <c r="BQ40" s="19" t="b">
        <f t="shared" si="22"/>
        <v>0</v>
      </c>
      <c r="BR40" s="19" t="b">
        <f t="shared" si="23"/>
        <v>0</v>
      </c>
      <c r="BS40" s="19" t="b">
        <f t="shared" si="24"/>
        <v>0</v>
      </c>
    </row>
    <row r="41" spans="2:71" ht="15.95" customHeight="1" x14ac:dyDescent="0.2">
      <c r="B41" s="248" t="str">
        <f>IF(Calc!$F$26=0,"",IF(OR($C41&gt;Calc!$B$24,MOD($C41-1,Calc!$F$26)&gt;0),"",QUOTIENT($C41-1,Calc!$F$26)+1))</f>
        <v/>
      </c>
      <c r="C41" s="244">
        <v>33</v>
      </c>
      <c r="D41" s="142">
        <f>IF(Planning!$T39="","",Planning!$T39)</f>
        <v>45920</v>
      </c>
      <c r="E41" s="143">
        <f>IF(Planning!$U39="","",Planning!$U39)</f>
        <v>0.64583333333333337</v>
      </c>
      <c r="F41" s="161" t="str">
        <f>Planning!$Q39</f>
        <v>FC Bayern München</v>
      </c>
      <c r="G41" s="162" t="s">
        <v>4</v>
      </c>
      <c r="H41" s="161" t="str">
        <f>Planning!$S39</f>
        <v>1. FC Union Berlin</v>
      </c>
      <c r="I41" s="163">
        <v>21</v>
      </c>
      <c r="J41" s="315" t="str">
        <f>Language!$E$90</f>
        <v xml:space="preserve"> - </v>
      </c>
      <c r="K41" s="318">
        <v>25</v>
      </c>
      <c r="L41" s="163">
        <v>25</v>
      </c>
      <c r="M41" s="360" t="str">
        <f>Language!$E$90</f>
        <v xml:space="preserve"> - </v>
      </c>
      <c r="N41" s="318">
        <v>23</v>
      </c>
      <c r="O41" s="163">
        <v>15</v>
      </c>
      <c r="P41" s="360" t="str">
        <f>Language!$E$90</f>
        <v xml:space="preserve"> - </v>
      </c>
      <c r="Q41" s="318">
        <v>12</v>
      </c>
      <c r="R41" s="354">
        <f t="shared" si="16"/>
        <v>2</v>
      </c>
      <c r="S41" s="357" t="str">
        <f>Language!$E$90</f>
        <v xml:space="preserve"> - </v>
      </c>
      <c r="T41" s="321">
        <f t="shared" si="17"/>
        <v>1</v>
      </c>
      <c r="U41" s="294"/>
      <c r="V41" s="295"/>
      <c r="X41" s="127"/>
      <c r="Y41" s="193"/>
      <c r="AB41" s="180"/>
      <c r="AC41" s="180"/>
      <c r="AD41" s="180"/>
      <c r="AE41" s="180"/>
      <c r="AF41" s="180"/>
      <c r="AG41" s="180"/>
      <c r="AH41" s="180"/>
      <c r="AI41" s="180"/>
      <c r="AJ41" s="180"/>
      <c r="AK41" s="180"/>
      <c r="AL41" s="180"/>
      <c r="AM41" s="180"/>
      <c r="AN41" s="180"/>
      <c r="AO41" s="180"/>
      <c r="AP41" s="197">
        <f t="shared" si="27"/>
        <v>7</v>
      </c>
      <c r="AQ41" s="198" t="str">
        <f t="shared" si="28"/>
        <v>1. FSV Mainz 05</v>
      </c>
      <c r="AR41" s="151" t="str">
        <f>IFERROR(VLOOKUP($Y15&amp;AR$8,Calc2!$Q$4:$S$763,Settings!$H$29,0),"")</f>
        <v/>
      </c>
      <c r="AS41" s="146" t="str">
        <f>IFERROR(VLOOKUP($Y15&amp;AS$8,Calc2!$Q$4:$S$763,Settings!$H$29,0),"")</f>
        <v/>
      </c>
      <c r="AT41" s="146" t="str">
        <f>IFERROR(VLOOKUP($Y15&amp;AT$8,Calc2!$Q$4:$S$763,Settings!$H$29,0),"")</f>
        <v/>
      </c>
      <c r="AU41" s="146" t="str">
        <f>IFERROR(VLOOKUP($Y15&amp;AU$8,Calc2!$Q$4:$S$763,Settings!$H$29,0),"")</f>
        <v/>
      </c>
      <c r="AV41" s="146" t="str">
        <f>IFERROR(VLOOKUP($Y15&amp;AV$8,Calc2!$Q$4:$S$763,Settings!$H$29,0),"")</f>
        <v/>
      </c>
      <c r="AW41" s="146" t="str">
        <f>IFERROR(VLOOKUP($Y15&amp;AW$8,Calc2!$Q$4:$S$763,Settings!$H$29,0),"")</f>
        <v/>
      </c>
      <c r="AX41" s="152"/>
      <c r="AY41" s="146" t="str">
        <f>IFERROR(VLOOKUP($Y15&amp;AY$8,Calc2!$Q$4:$S$763,Settings!$H$29,0),"")</f>
        <v/>
      </c>
      <c r="AZ41" s="146" t="str">
        <f>IFERROR(VLOOKUP($Y15&amp;AZ$8,Calc2!$Q$4:$S$763,Settings!$H$29,0),"")</f>
        <v/>
      </c>
      <c r="BA41" s="146" t="str">
        <f>IFERROR(VLOOKUP($Y15&amp;BA$8,Calc2!$Q$4:$S$763,Settings!$H$29,0),"")</f>
        <v/>
      </c>
      <c r="BB41" s="146" t="str">
        <f>IFERROR(VLOOKUP($Y15&amp;BB$8,Calc2!$Q$4:$S$763,Settings!$H$29,0),"")</f>
        <v/>
      </c>
      <c r="BC41" s="146" t="str">
        <f>IFERROR(VLOOKUP($Y15&amp;BC$8,Calc2!$Q$4:$S$763,Settings!$H$29,0),"")</f>
        <v/>
      </c>
      <c r="BD41" s="146" t="str">
        <f>IFERROR(VLOOKUP($Y15&amp;BD$8,Calc2!$Q$4:$S$763,Settings!$H$29,0),"")</f>
        <v/>
      </c>
      <c r="BE41" s="146" t="str">
        <f>IFERROR(VLOOKUP($Y15&amp;BE$8,Calc2!$Q$4:$S$763,Settings!$H$29,0),"")</f>
        <v/>
      </c>
      <c r="BF41" s="146" t="str">
        <f>IFERROR(VLOOKUP($Y15&amp;BF$8,Calc2!$Q$4:$S$763,Settings!$H$29,0),"")</f>
        <v/>
      </c>
      <c r="BG41" s="146" t="str">
        <f>IFERROR(VLOOKUP($Y15&amp;BG$8,Calc2!$Q$4:$S$763,Settings!$H$29,0),"")</f>
        <v/>
      </c>
      <c r="BH41" s="146" t="str">
        <f>IFERROR(VLOOKUP($Y15&amp;BH$8,Calc2!$Q$4:$S$763,Settings!$H$29,0),"")</f>
        <v/>
      </c>
      <c r="BI41" s="146" t="str">
        <f>IFERROR(VLOOKUP($Y15&amp;BI$8,Calc2!$Q$4:$S$763,Settings!$H$29,0),"")</f>
        <v/>
      </c>
      <c r="BJ41" s="146" t="str">
        <f>IFERROR(VLOOKUP($Y15&amp;BJ$8,Calc2!$Q$4:$S$763,Settings!$H$29,0),"")</f>
        <v/>
      </c>
      <c r="BK41" s="153" t="str">
        <f>IFERROR(VLOOKUP($Y15&amp;BK$8,Calc2!$Q$4:$S$763,Settings!$H$29,0),"")</f>
        <v/>
      </c>
      <c r="BL41" s="180"/>
      <c r="BM41" s="193" t="b">
        <f t="shared" si="18"/>
        <v>0</v>
      </c>
      <c r="BN41" s="19" t="b">
        <f t="shared" si="19"/>
        <v>0</v>
      </c>
      <c r="BO41" s="19" t="b">
        <f t="shared" si="20"/>
        <v>0</v>
      </c>
      <c r="BP41" s="19" t="b">
        <f t="shared" si="21"/>
        <v>0</v>
      </c>
      <c r="BQ41" s="19" t="b">
        <f t="shared" si="22"/>
        <v>0</v>
      </c>
      <c r="BR41" s="19" t="b">
        <f t="shared" si="23"/>
        <v>0</v>
      </c>
      <c r="BS41" s="19" t="b">
        <f t="shared" si="24"/>
        <v>0</v>
      </c>
    </row>
    <row r="42" spans="2:71" ht="15.95" customHeight="1" x14ac:dyDescent="0.2">
      <c r="B42" s="248" t="str">
        <f>IF(Calc!$F$26=0,"",IF(OR($C42&gt;Calc!$B$24,MOD($C42-1,Calc!$F$26)&gt;0),"",QUOTIENT($C42-1,Calc!$F$26)+1))</f>
        <v/>
      </c>
      <c r="C42" s="244">
        <v>34</v>
      </c>
      <c r="D42" s="142">
        <f>IF(Planning!$T40="","",Planning!$T40)</f>
        <v>45920</v>
      </c>
      <c r="E42" s="143">
        <f>IF(Planning!$U40="","",Planning!$U40)</f>
        <v>0.64583333333333337</v>
      </c>
      <c r="F42" s="161" t="str">
        <f>Planning!$Q40</f>
        <v>1. FSV Mainz 05</v>
      </c>
      <c r="G42" s="162" t="s">
        <v>4</v>
      </c>
      <c r="H42" s="161" t="str">
        <f>Planning!$S40</f>
        <v>FC Augsburg</v>
      </c>
      <c r="I42" s="163">
        <v>23</v>
      </c>
      <c r="J42" s="315" t="str">
        <f>Language!$E$90</f>
        <v xml:space="preserve"> - </v>
      </c>
      <c r="K42" s="318">
        <v>25</v>
      </c>
      <c r="L42" s="163">
        <v>22</v>
      </c>
      <c r="M42" s="360" t="str">
        <f>Language!$E$90</f>
        <v xml:space="preserve"> - </v>
      </c>
      <c r="N42" s="318">
        <v>25</v>
      </c>
      <c r="O42" s="163"/>
      <c r="P42" s="360" t="str">
        <f>Language!$E$90</f>
        <v xml:space="preserve"> - </v>
      </c>
      <c r="Q42" s="318"/>
      <c r="R42" s="354">
        <f t="shared" si="16"/>
        <v>0</v>
      </c>
      <c r="S42" s="357" t="str">
        <f>Language!$E$90</f>
        <v xml:space="preserve"> - </v>
      </c>
      <c r="T42" s="321">
        <f t="shared" si="17"/>
        <v>2</v>
      </c>
      <c r="U42" s="294"/>
      <c r="V42" s="295"/>
      <c r="X42" s="125"/>
      <c r="Y42" s="193"/>
      <c r="Z42" s="180"/>
      <c r="AA42" s="180"/>
      <c r="AB42" s="180"/>
      <c r="AC42" s="180"/>
      <c r="AD42" s="180"/>
      <c r="AE42" s="180"/>
      <c r="AF42" s="180"/>
      <c r="AG42" s="180"/>
      <c r="AH42" s="180"/>
      <c r="AI42" s="180"/>
      <c r="AJ42" s="180"/>
      <c r="AK42" s="180"/>
      <c r="AL42" s="180"/>
      <c r="AM42" s="180"/>
      <c r="AN42" s="180"/>
      <c r="AO42" s="180"/>
      <c r="AP42" s="197">
        <f t="shared" si="27"/>
        <v>8</v>
      </c>
      <c r="AQ42" s="198" t="str">
        <f t="shared" si="28"/>
        <v>VfB Stuttgart</v>
      </c>
      <c r="AR42" s="151" t="str">
        <f>IFERROR(VLOOKUP($Y16&amp;AR$8,Calc2!$Q$4:$S$763,Settings!$H$29,0),"")</f>
        <v/>
      </c>
      <c r="AS42" s="146" t="str">
        <f>IFERROR(VLOOKUP($Y16&amp;AS$8,Calc2!$Q$4:$S$763,Settings!$H$29,0),"")</f>
        <v/>
      </c>
      <c r="AT42" s="146" t="str">
        <f>IFERROR(VLOOKUP($Y16&amp;AT$8,Calc2!$Q$4:$S$763,Settings!$H$29,0),"")</f>
        <v/>
      </c>
      <c r="AU42" s="146" t="str">
        <f>IFERROR(VLOOKUP($Y16&amp;AU$8,Calc2!$Q$4:$S$763,Settings!$H$29,0),"")</f>
        <v/>
      </c>
      <c r="AV42" s="146" t="str">
        <f>IFERROR(VLOOKUP($Y16&amp;AV$8,Calc2!$Q$4:$S$763,Settings!$H$29,0),"")</f>
        <v/>
      </c>
      <c r="AW42" s="146" t="str">
        <f>IFERROR(VLOOKUP($Y16&amp;AW$8,Calc2!$Q$4:$S$763,Settings!$H$29,0),"")</f>
        <v/>
      </c>
      <c r="AX42" s="146" t="str">
        <f>IFERROR(VLOOKUP($Y16&amp;AX$8,Calc2!$Q$4:$S$763,Settings!$H$29,0),"")</f>
        <v/>
      </c>
      <c r="AY42" s="152"/>
      <c r="AZ42" s="146" t="str">
        <f>IFERROR(VLOOKUP($Y16&amp;AZ$8,Calc2!$Q$4:$S$763,Settings!$H$29,0),"")</f>
        <v/>
      </c>
      <c r="BA42" s="146" t="str">
        <f>IFERROR(VLOOKUP($Y16&amp;BA$8,Calc2!$Q$4:$S$763,Settings!$H$29,0),"")</f>
        <v/>
      </c>
      <c r="BB42" s="146" t="str">
        <f>IFERROR(VLOOKUP($Y16&amp;BB$8,Calc2!$Q$4:$S$763,Settings!$H$29,0),"")</f>
        <v/>
      </c>
      <c r="BC42" s="146" t="str">
        <f>IFERROR(VLOOKUP($Y16&amp;BC$8,Calc2!$Q$4:$S$763,Settings!$H$29,0),"")</f>
        <v/>
      </c>
      <c r="BD42" s="146" t="str">
        <f>IFERROR(VLOOKUP($Y16&amp;BD$8,Calc2!$Q$4:$S$763,Settings!$H$29,0),"")</f>
        <v/>
      </c>
      <c r="BE42" s="146" t="str">
        <f>IFERROR(VLOOKUP($Y16&amp;BE$8,Calc2!$Q$4:$S$763,Settings!$H$29,0),"")</f>
        <v/>
      </c>
      <c r="BF42" s="146" t="str">
        <f>IFERROR(VLOOKUP($Y16&amp;BF$8,Calc2!$Q$4:$S$763,Settings!$H$29,0),"")</f>
        <v/>
      </c>
      <c r="BG42" s="146" t="str">
        <f>IFERROR(VLOOKUP($Y16&amp;BG$8,Calc2!$Q$4:$S$763,Settings!$H$29,0),"")</f>
        <v/>
      </c>
      <c r="BH42" s="146" t="str">
        <f>IFERROR(VLOOKUP($Y16&amp;BH$8,Calc2!$Q$4:$S$763,Settings!$H$29,0),"")</f>
        <v/>
      </c>
      <c r="BI42" s="146" t="str">
        <f>IFERROR(VLOOKUP($Y16&amp;BI$8,Calc2!$Q$4:$S$763,Settings!$H$29,0),"")</f>
        <v/>
      </c>
      <c r="BJ42" s="146" t="str">
        <f>IFERROR(VLOOKUP($Y16&amp;BJ$8,Calc2!$Q$4:$S$763,Settings!$H$29,0),"")</f>
        <v/>
      </c>
      <c r="BK42" s="153" t="str">
        <f>IFERROR(VLOOKUP($Y16&amp;BK$8,Calc2!$Q$4:$S$763,Settings!$H$29,0),"")</f>
        <v/>
      </c>
      <c r="BL42" s="180"/>
      <c r="BM42" s="193" t="b">
        <f t="shared" si="18"/>
        <v>0</v>
      </c>
      <c r="BN42" s="19" t="b">
        <f t="shared" si="19"/>
        <v>0</v>
      </c>
      <c r="BO42" s="19" t="b">
        <f t="shared" si="20"/>
        <v>0</v>
      </c>
      <c r="BP42" s="19" t="b">
        <f t="shared" si="21"/>
        <v>1</v>
      </c>
      <c r="BQ42" s="19" t="b">
        <f t="shared" si="22"/>
        <v>0</v>
      </c>
      <c r="BR42" s="19" t="b">
        <f t="shared" si="23"/>
        <v>0</v>
      </c>
      <c r="BS42" s="19" t="b">
        <f t="shared" si="24"/>
        <v>0</v>
      </c>
    </row>
    <row r="43" spans="2:71" ht="15.95" customHeight="1" x14ac:dyDescent="0.2">
      <c r="B43" s="248" t="str">
        <f>IF(Calc!$F$26=0,"",IF(OR($C43&gt;Calc!$B$24,MOD($C43-1,Calc!$F$26)&gt;0),"",QUOTIENT($C43-1,Calc!$F$26)+1))</f>
        <v/>
      </c>
      <c r="C43" s="244">
        <v>35</v>
      </c>
      <c r="D43" s="142">
        <f>IF(Planning!$T41="","",Planning!$T41)</f>
        <v>45920</v>
      </c>
      <c r="E43" s="143">
        <f>IF(Planning!$U41="","",Planning!$U41)</f>
        <v>0.64583333333333337</v>
      </c>
      <c r="F43" s="161" t="str">
        <f>Planning!$Q41</f>
        <v>Eintracht Frankfurt</v>
      </c>
      <c r="G43" s="162" t="s">
        <v>4</v>
      </c>
      <c r="H43" s="161" t="str">
        <f>Planning!$S41</f>
        <v>Bayer 04 Leverkusen</v>
      </c>
      <c r="I43" s="163">
        <v>21</v>
      </c>
      <c r="J43" s="315" t="str">
        <f>Language!$E$90</f>
        <v xml:space="preserve"> - </v>
      </c>
      <c r="K43" s="318">
        <v>25</v>
      </c>
      <c r="L43" s="163">
        <v>19</v>
      </c>
      <c r="M43" s="360" t="str">
        <f>Language!$E$90</f>
        <v xml:space="preserve"> - </v>
      </c>
      <c r="N43" s="318">
        <v>25</v>
      </c>
      <c r="O43" s="163"/>
      <c r="P43" s="360" t="str">
        <f>Language!$E$90</f>
        <v xml:space="preserve"> - </v>
      </c>
      <c r="Q43" s="318"/>
      <c r="R43" s="354">
        <f t="shared" si="16"/>
        <v>0</v>
      </c>
      <c r="S43" s="357" t="str">
        <f>Language!$E$90</f>
        <v xml:space="preserve"> - </v>
      </c>
      <c r="T43" s="321">
        <f t="shared" si="17"/>
        <v>2</v>
      </c>
      <c r="U43" s="294"/>
      <c r="V43" s="295"/>
      <c r="X43" s="125"/>
      <c r="Y43" s="193"/>
      <c r="Z43" s="180"/>
      <c r="AA43" s="180"/>
      <c r="AB43" s="180"/>
      <c r="AC43" s="180"/>
      <c r="AD43" s="180"/>
      <c r="AE43" s="180"/>
      <c r="AF43" s="180"/>
      <c r="AG43" s="180"/>
      <c r="AH43" s="180"/>
      <c r="AI43" s="180"/>
      <c r="AJ43" s="180"/>
      <c r="AK43" s="180"/>
      <c r="AL43" s="180"/>
      <c r="AM43" s="180"/>
      <c r="AN43" s="180"/>
      <c r="AO43" s="180"/>
      <c r="AP43" s="197">
        <f t="shared" si="27"/>
        <v>9</v>
      </c>
      <c r="AQ43" s="198" t="str">
        <f t="shared" si="28"/>
        <v>Bayer 04 Leverkusen</v>
      </c>
      <c r="AR43" s="151" t="str">
        <f>IFERROR(VLOOKUP($Y17&amp;AR$8,Calc2!$Q$4:$S$763,Settings!$H$29,0),"")</f>
        <v/>
      </c>
      <c r="AS43" s="146" t="str">
        <f>IFERROR(VLOOKUP($Y17&amp;AS$8,Calc2!$Q$4:$S$763,Settings!$H$29,0),"")</f>
        <v/>
      </c>
      <c r="AT43" s="146" t="str">
        <f>IFERROR(VLOOKUP($Y17&amp;AT$8,Calc2!$Q$4:$S$763,Settings!$H$29,0),"")</f>
        <v/>
      </c>
      <c r="AU43" s="146" t="str">
        <f>IFERROR(VLOOKUP($Y17&amp;AU$8,Calc2!$Q$4:$S$763,Settings!$H$29,0),"")</f>
        <v/>
      </c>
      <c r="AV43" s="146" t="str">
        <f>IFERROR(VLOOKUP($Y17&amp;AV$8,Calc2!$Q$4:$S$763,Settings!$H$29,0),"")</f>
        <v/>
      </c>
      <c r="AW43" s="146" t="str">
        <f>IFERROR(VLOOKUP($Y17&amp;AW$8,Calc2!$Q$4:$S$763,Settings!$H$29,0),"")</f>
        <v/>
      </c>
      <c r="AX43" s="146" t="str">
        <f>IFERROR(VLOOKUP($Y17&amp;AX$8,Calc2!$Q$4:$S$763,Settings!$H$29,0),"")</f>
        <v/>
      </c>
      <c r="AY43" s="146" t="str">
        <f>IFERROR(VLOOKUP($Y17&amp;AY$8,Calc2!$Q$4:$S$763,Settings!$H$29,0),"")</f>
        <v/>
      </c>
      <c r="AZ43" s="152"/>
      <c r="BA43" s="146" t="str">
        <f>IFERROR(VLOOKUP($Y17&amp;BA$8,Calc2!$Q$4:$S$763,Settings!$H$29,0),"")</f>
        <v/>
      </c>
      <c r="BB43" s="146" t="str">
        <f>IFERROR(VLOOKUP($Y17&amp;BB$8,Calc2!$Q$4:$S$763,Settings!$H$29,0),"")</f>
        <v/>
      </c>
      <c r="BC43" s="146" t="str">
        <f>IFERROR(VLOOKUP($Y17&amp;BC$8,Calc2!$Q$4:$S$763,Settings!$H$29,0),"")</f>
        <v/>
      </c>
      <c r="BD43" s="146" t="str">
        <f>IFERROR(VLOOKUP($Y17&amp;BD$8,Calc2!$Q$4:$S$763,Settings!$H$29,0),"")</f>
        <v/>
      </c>
      <c r="BE43" s="146" t="str">
        <f>IFERROR(VLOOKUP($Y17&amp;BE$8,Calc2!$Q$4:$S$763,Settings!$H$29,0),"")</f>
        <v/>
      </c>
      <c r="BF43" s="146" t="str">
        <f>IFERROR(VLOOKUP($Y17&amp;BF$8,Calc2!$Q$4:$S$763,Settings!$H$29,0),"")</f>
        <v/>
      </c>
      <c r="BG43" s="146" t="str">
        <f>IFERROR(VLOOKUP($Y17&amp;BG$8,Calc2!$Q$4:$S$763,Settings!$H$29,0),"")</f>
        <v/>
      </c>
      <c r="BH43" s="146" t="str">
        <f>IFERROR(VLOOKUP($Y17&amp;BH$8,Calc2!$Q$4:$S$763,Settings!$H$29,0),"")</f>
        <v/>
      </c>
      <c r="BI43" s="146" t="str">
        <f>IFERROR(VLOOKUP($Y17&amp;BI$8,Calc2!$Q$4:$S$763,Settings!$H$29,0),"")</f>
        <v/>
      </c>
      <c r="BJ43" s="146" t="str">
        <f>IFERROR(VLOOKUP($Y17&amp;BJ$8,Calc2!$Q$4:$S$763,Settings!$H$29,0),"")</f>
        <v/>
      </c>
      <c r="BK43" s="153" t="str">
        <f>IFERROR(VLOOKUP($Y17&amp;BK$8,Calc2!$Q$4:$S$763,Settings!$H$29,0),"")</f>
        <v/>
      </c>
      <c r="BL43" s="180"/>
      <c r="BM43" s="193" t="b">
        <f t="shared" si="18"/>
        <v>0</v>
      </c>
      <c r="BN43" s="19" t="b">
        <f t="shared" si="19"/>
        <v>0</v>
      </c>
      <c r="BO43" s="19" t="b">
        <f t="shared" si="20"/>
        <v>0</v>
      </c>
      <c r="BP43" s="19" t="b">
        <f t="shared" si="21"/>
        <v>1</v>
      </c>
      <c r="BQ43" s="19" t="b">
        <f t="shared" si="22"/>
        <v>0</v>
      </c>
      <c r="BR43" s="19" t="b">
        <f t="shared" si="23"/>
        <v>0</v>
      </c>
      <c r="BS43" s="19" t="b">
        <f t="shared" si="24"/>
        <v>0</v>
      </c>
    </row>
    <row r="44" spans="2:71" ht="15.95" customHeight="1" x14ac:dyDescent="0.25">
      <c r="B44" s="248" t="str">
        <f>IF(Calc!$F$26=0,"",IF(OR($C44&gt;Calc!$B$24,MOD($C44-1,Calc!$F$26)&gt;0),"",QUOTIENT($C44-1,Calc!$F$26)+1))</f>
        <v/>
      </c>
      <c r="C44" s="244">
        <v>36</v>
      </c>
      <c r="D44" s="142">
        <f>IF(Planning!$T42="","",Planning!$T42)</f>
        <v>45920</v>
      </c>
      <c r="E44" s="143">
        <f>IF(Planning!$U42="","",Planning!$U42)</f>
        <v>0.64583333333333337</v>
      </c>
      <c r="F44" s="161" t="str">
        <f>Planning!$Q42</f>
        <v>Borussia Dortmund</v>
      </c>
      <c r="G44" s="162" t="s">
        <v>4</v>
      </c>
      <c r="H44" s="161" t="str">
        <f>Planning!$S42</f>
        <v>Borussia Mönchengladbach</v>
      </c>
      <c r="I44" s="163">
        <v>25</v>
      </c>
      <c r="J44" s="315" t="str">
        <f>Language!$E$90</f>
        <v xml:space="preserve"> - </v>
      </c>
      <c r="K44" s="318">
        <v>20</v>
      </c>
      <c r="L44" s="163">
        <v>25</v>
      </c>
      <c r="M44" s="360" t="str">
        <f>Language!$E$90</f>
        <v xml:space="preserve"> - </v>
      </c>
      <c r="N44" s="318">
        <v>19</v>
      </c>
      <c r="O44" s="163"/>
      <c r="P44" s="360" t="str">
        <f>Language!$E$90</f>
        <v xml:space="preserve"> - </v>
      </c>
      <c r="Q44" s="318"/>
      <c r="R44" s="354">
        <f t="shared" si="16"/>
        <v>2</v>
      </c>
      <c r="S44" s="357" t="str">
        <f>Language!$E$90</f>
        <v xml:space="preserve"> - </v>
      </c>
      <c r="T44" s="321">
        <f t="shared" si="17"/>
        <v>0</v>
      </c>
      <c r="U44" s="294"/>
      <c r="V44" s="295"/>
      <c r="X44" s="410"/>
      <c r="Y44" s="411"/>
      <c r="Z44" s="412"/>
      <c r="AA44" s="409"/>
      <c r="AB44" s="412"/>
      <c r="AC44" s="408"/>
      <c r="AD44" s="408"/>
      <c r="AE44" s="408"/>
      <c r="AF44" s="408"/>
      <c r="AG44" s="408"/>
      <c r="AH44" s="408"/>
      <c r="AI44" s="408"/>
      <c r="AJ44" s="408"/>
      <c r="AK44" s="408"/>
      <c r="AL44" s="408"/>
      <c r="AM44" s="180"/>
      <c r="AN44" s="180"/>
      <c r="AO44" s="180"/>
      <c r="AP44" s="197">
        <f t="shared" si="27"/>
        <v>10</v>
      </c>
      <c r="AQ44" s="198" t="str">
        <f t="shared" si="28"/>
        <v>1. FC Heidenheim 1846</v>
      </c>
      <c r="AR44" s="151" t="str">
        <f>IFERROR(VLOOKUP($Y18&amp;AR$8,Calc2!$Q$4:$S$763,Settings!$H$29,0),"")</f>
        <v/>
      </c>
      <c r="AS44" s="146" t="str">
        <f>IFERROR(VLOOKUP($Y18&amp;AS$8,Calc2!$Q$4:$S$763,Settings!$H$29,0),"")</f>
        <v/>
      </c>
      <c r="AT44" s="146" t="str">
        <f>IFERROR(VLOOKUP($Y18&amp;AT$8,Calc2!$Q$4:$S$763,Settings!$H$29,0),"")</f>
        <v/>
      </c>
      <c r="AU44" s="146" t="str">
        <f>IFERROR(VLOOKUP($Y18&amp;AU$8,Calc2!$Q$4:$S$763,Settings!$H$29,0),"")</f>
        <v/>
      </c>
      <c r="AV44" s="146" t="str">
        <f>IFERROR(VLOOKUP($Y18&amp;AV$8,Calc2!$Q$4:$S$763,Settings!$H$29,0),"")</f>
        <v/>
      </c>
      <c r="AW44" s="146" t="str">
        <f>IFERROR(VLOOKUP($Y18&amp;AW$8,Calc2!$Q$4:$S$763,Settings!$H$29,0),"")</f>
        <v/>
      </c>
      <c r="AX44" s="146" t="str">
        <f>IFERROR(VLOOKUP($Y18&amp;AX$8,Calc2!$Q$4:$S$763,Settings!$H$29,0),"")</f>
        <v/>
      </c>
      <c r="AY44" s="146" t="str">
        <f>IFERROR(VLOOKUP($Y18&amp;AY$8,Calc2!$Q$4:$S$763,Settings!$H$29,0),"")</f>
        <v/>
      </c>
      <c r="AZ44" s="146" t="str">
        <f>IFERROR(VLOOKUP($Y18&amp;AZ$8,Calc2!$Q$4:$S$763,Settings!$H$29,0),"")</f>
        <v/>
      </c>
      <c r="BA44" s="152"/>
      <c r="BB44" s="146" t="str">
        <f>IFERROR(VLOOKUP($Y18&amp;BB$8,Calc2!$Q$4:$S$763,Settings!$H$29,0),"")</f>
        <v/>
      </c>
      <c r="BC44" s="146" t="str">
        <f>IFERROR(VLOOKUP($Y18&amp;BC$8,Calc2!$Q$4:$S$763,Settings!$H$29,0),"")</f>
        <v/>
      </c>
      <c r="BD44" s="146" t="str">
        <f>IFERROR(VLOOKUP($Y18&amp;BD$8,Calc2!$Q$4:$S$763,Settings!$H$29,0),"")</f>
        <v/>
      </c>
      <c r="BE44" s="146" t="str">
        <f>IFERROR(VLOOKUP($Y18&amp;BE$8,Calc2!$Q$4:$S$763,Settings!$H$29,0),"")</f>
        <v/>
      </c>
      <c r="BF44" s="146" t="str">
        <f>IFERROR(VLOOKUP($Y18&amp;BF$8,Calc2!$Q$4:$S$763,Settings!$H$29,0),"")</f>
        <v/>
      </c>
      <c r="BG44" s="146" t="str">
        <f>IFERROR(VLOOKUP($Y18&amp;BG$8,Calc2!$Q$4:$S$763,Settings!$H$29,0),"")</f>
        <v/>
      </c>
      <c r="BH44" s="146" t="str">
        <f>IFERROR(VLOOKUP($Y18&amp;BH$8,Calc2!$Q$4:$S$763,Settings!$H$29,0),"")</f>
        <v/>
      </c>
      <c r="BI44" s="146" t="str">
        <f>IFERROR(VLOOKUP($Y18&amp;BI$8,Calc2!$Q$4:$S$763,Settings!$H$29,0),"")</f>
        <v/>
      </c>
      <c r="BJ44" s="146" t="str">
        <f>IFERROR(VLOOKUP($Y18&amp;BJ$8,Calc2!$Q$4:$S$763,Settings!$H$29,0),"")</f>
        <v/>
      </c>
      <c r="BK44" s="153" t="str">
        <f>IFERROR(VLOOKUP($Y18&amp;BK$8,Calc2!$Q$4:$S$763,Settings!$H$29,0),"")</f>
        <v/>
      </c>
      <c r="BL44" s="180"/>
      <c r="BM44" s="193" t="b">
        <f t="shared" si="18"/>
        <v>0</v>
      </c>
      <c r="BN44" s="19" t="b">
        <f t="shared" si="19"/>
        <v>0</v>
      </c>
      <c r="BO44" s="19" t="b">
        <f t="shared" si="20"/>
        <v>0</v>
      </c>
      <c r="BP44" s="19" t="b">
        <f t="shared" si="21"/>
        <v>1</v>
      </c>
      <c r="BQ44" s="19" t="b">
        <f t="shared" si="22"/>
        <v>0</v>
      </c>
      <c r="BR44" s="19" t="b">
        <f t="shared" si="23"/>
        <v>0</v>
      </c>
      <c r="BS44" s="19" t="b">
        <f t="shared" si="24"/>
        <v>0</v>
      </c>
    </row>
    <row r="45" spans="2:71" ht="15.95" customHeight="1" x14ac:dyDescent="0.2">
      <c r="B45" s="248">
        <f>IF(Calc!$F$26=0,"",IF(OR($C45&gt;Calc!$B$24,MOD($C45-1,Calc!$F$26)&gt;0),"",QUOTIENT($C45-1,Calc!$F$26)+1))</f>
        <v>5</v>
      </c>
      <c r="C45" s="244">
        <v>37</v>
      </c>
      <c r="D45" s="142">
        <f>IF(Planning!$T43="","",Planning!$T43)</f>
        <v>45927</v>
      </c>
      <c r="E45" s="143">
        <f>IF(Planning!$U43="","",Planning!$U43)</f>
        <v>0.64583333333333337</v>
      </c>
      <c r="F45" s="161" t="str">
        <f>Planning!$Q43</f>
        <v>1. FC Heidenheim 1846</v>
      </c>
      <c r="G45" s="162" t="s">
        <v>4</v>
      </c>
      <c r="H45" s="161" t="str">
        <f>Planning!$S43</f>
        <v>SC Freiburg</v>
      </c>
      <c r="I45" s="163">
        <v>25</v>
      </c>
      <c r="J45" s="315" t="str">
        <f>Language!$E$90</f>
        <v xml:space="preserve"> - </v>
      </c>
      <c r="K45" s="318">
        <v>23</v>
      </c>
      <c r="L45" s="163">
        <v>25</v>
      </c>
      <c r="M45" s="360" t="str">
        <f>Language!$E$90</f>
        <v xml:space="preserve"> - </v>
      </c>
      <c r="N45" s="318">
        <v>23</v>
      </c>
      <c r="O45" s="163"/>
      <c r="P45" s="360" t="str">
        <f>Language!$E$90</f>
        <v xml:space="preserve"> - </v>
      </c>
      <c r="Q45" s="318"/>
      <c r="R45" s="354">
        <f t="shared" si="16"/>
        <v>2</v>
      </c>
      <c r="S45" s="357" t="str">
        <f>Language!$E$90</f>
        <v xml:space="preserve"> - </v>
      </c>
      <c r="T45" s="321">
        <f t="shared" si="17"/>
        <v>0</v>
      </c>
      <c r="U45" s="294"/>
      <c r="V45" s="295"/>
      <c r="X45" s="407"/>
      <c r="Y45" s="407"/>
      <c r="Z45" s="406"/>
      <c r="AA45" s="406"/>
      <c r="AB45" s="407"/>
      <c r="AC45" s="407"/>
      <c r="AD45" s="407"/>
      <c r="AE45" s="407"/>
      <c r="AF45" s="407"/>
      <c r="AG45" s="407"/>
      <c r="AH45" s="407"/>
      <c r="AI45" s="407"/>
      <c r="AJ45" s="470"/>
      <c r="AK45" s="470"/>
      <c r="AL45" s="407"/>
      <c r="AM45" s="180"/>
      <c r="AN45" s="180"/>
      <c r="AO45" s="180"/>
      <c r="AP45" s="197">
        <f t="shared" si="27"/>
        <v>11</v>
      </c>
      <c r="AQ45" s="198" t="str">
        <f t="shared" si="28"/>
        <v>1. FC Union Berlin</v>
      </c>
      <c r="AR45" s="151" t="str">
        <f>IFERROR(VLOOKUP($Y19&amp;AR$8,Calc2!$Q$4:$S$763,Settings!$H$29,0),"")</f>
        <v/>
      </c>
      <c r="AS45" s="146" t="str">
        <f>IFERROR(VLOOKUP($Y19&amp;AS$8,Calc2!$Q$4:$S$763,Settings!$H$29,0),"")</f>
        <v/>
      </c>
      <c r="AT45" s="146" t="str">
        <f>IFERROR(VLOOKUP($Y19&amp;AT$8,Calc2!$Q$4:$S$763,Settings!$H$29,0),"")</f>
        <v/>
      </c>
      <c r="AU45" s="146" t="str">
        <f>IFERROR(VLOOKUP($Y19&amp;AU$8,Calc2!$Q$4:$S$763,Settings!$H$29,0),"")</f>
        <v/>
      </c>
      <c r="AV45" s="146" t="str">
        <f>IFERROR(VLOOKUP($Y19&amp;AV$8,Calc2!$Q$4:$S$763,Settings!$H$29,0),"")</f>
        <v/>
      </c>
      <c r="AW45" s="146" t="str">
        <f>IFERROR(VLOOKUP($Y19&amp;AW$8,Calc2!$Q$4:$S$763,Settings!$H$29,0),"")</f>
        <v/>
      </c>
      <c r="AX45" s="146" t="str">
        <f>IFERROR(VLOOKUP($Y19&amp;AX$8,Calc2!$Q$4:$S$763,Settings!$H$29,0),"")</f>
        <v/>
      </c>
      <c r="AY45" s="146" t="str">
        <f>IFERROR(VLOOKUP($Y19&amp;AY$8,Calc2!$Q$4:$S$763,Settings!$H$29,0),"")</f>
        <v/>
      </c>
      <c r="AZ45" s="146" t="str">
        <f>IFERROR(VLOOKUP($Y19&amp;AZ$8,Calc2!$Q$4:$S$763,Settings!$H$29,0),"")</f>
        <v/>
      </c>
      <c r="BA45" s="146" t="str">
        <f>IFERROR(VLOOKUP($Y19&amp;BA$8,Calc2!$Q$4:$S$763,Settings!$H$29,0),"")</f>
        <v/>
      </c>
      <c r="BB45" s="152"/>
      <c r="BC45" s="146" t="str">
        <f>IFERROR(VLOOKUP($Y19&amp;BC$8,Calc2!$Q$4:$S$763,Settings!$H$29,0),"")</f>
        <v/>
      </c>
      <c r="BD45" s="146" t="str">
        <f>IFERROR(VLOOKUP($Y19&amp;BD$8,Calc2!$Q$4:$S$763,Settings!$H$29,0),"")</f>
        <v/>
      </c>
      <c r="BE45" s="146" t="str">
        <f>IFERROR(VLOOKUP($Y19&amp;BE$8,Calc2!$Q$4:$S$763,Settings!$H$29,0),"")</f>
        <v/>
      </c>
      <c r="BF45" s="146" t="str">
        <f>IFERROR(VLOOKUP($Y19&amp;BF$8,Calc2!$Q$4:$S$763,Settings!$H$29,0),"")</f>
        <v/>
      </c>
      <c r="BG45" s="146" t="str">
        <f>IFERROR(VLOOKUP($Y19&amp;BG$8,Calc2!$Q$4:$S$763,Settings!$H$29,0),"")</f>
        <v/>
      </c>
      <c r="BH45" s="146" t="str">
        <f>IFERROR(VLOOKUP($Y19&amp;BH$8,Calc2!$Q$4:$S$763,Settings!$H$29,0),"")</f>
        <v/>
      </c>
      <c r="BI45" s="146" t="str">
        <f>IFERROR(VLOOKUP($Y19&amp;BI$8,Calc2!$Q$4:$S$763,Settings!$H$29,0),"")</f>
        <v/>
      </c>
      <c r="BJ45" s="146" t="str">
        <f>IFERROR(VLOOKUP($Y19&amp;BJ$8,Calc2!$Q$4:$S$763,Settings!$H$29,0),"")</f>
        <v/>
      </c>
      <c r="BK45" s="153" t="str">
        <f>IFERROR(VLOOKUP($Y19&amp;BK$8,Calc2!$Q$4:$S$763,Settings!$H$29,0),"")</f>
        <v/>
      </c>
      <c r="BL45" s="180"/>
      <c r="BM45" s="193" t="b">
        <f t="shared" si="18"/>
        <v>0</v>
      </c>
      <c r="BN45" s="19" t="b">
        <f t="shared" si="19"/>
        <v>0</v>
      </c>
      <c r="BO45" s="19" t="b">
        <f t="shared" si="20"/>
        <v>0</v>
      </c>
      <c r="BP45" s="19" t="b">
        <f t="shared" si="21"/>
        <v>1</v>
      </c>
      <c r="BQ45" s="19" t="b">
        <f t="shared" si="22"/>
        <v>0</v>
      </c>
      <c r="BR45" s="19" t="b">
        <f t="shared" si="23"/>
        <v>0</v>
      </c>
      <c r="BS45" s="19" t="b">
        <f t="shared" si="24"/>
        <v>0</v>
      </c>
    </row>
    <row r="46" spans="2:71" ht="15.95" customHeight="1" x14ac:dyDescent="0.2">
      <c r="B46" s="248" t="str">
        <f>IF(Calc!$F$26=0,"",IF(OR($C46&gt;Calc!$B$24,MOD($C46-1,Calc!$F$26)&gt;0),"",QUOTIENT($C46-1,Calc!$F$26)+1))</f>
        <v/>
      </c>
      <c r="C46" s="244">
        <v>38</v>
      </c>
      <c r="D46" s="142">
        <f>IF(Planning!$T44="","",Planning!$T44)</f>
        <v>45927</v>
      </c>
      <c r="E46" s="143">
        <f>IF(Planning!$U44="","",Planning!$U44)</f>
        <v>0.64583333333333337</v>
      </c>
      <c r="F46" s="161" t="str">
        <f>Planning!$Q44</f>
        <v>RB Leipzig</v>
      </c>
      <c r="G46" s="162" t="s">
        <v>4</v>
      </c>
      <c r="H46" s="161" t="str">
        <f>Planning!$S44</f>
        <v>SV Werder Bremen</v>
      </c>
      <c r="I46" s="163">
        <v>25</v>
      </c>
      <c r="J46" s="315" t="str">
        <f>Language!$E$90</f>
        <v xml:space="preserve"> - </v>
      </c>
      <c r="K46" s="318">
        <v>16</v>
      </c>
      <c r="L46" s="163">
        <v>25</v>
      </c>
      <c r="M46" s="360" t="str">
        <f>Language!$E$90</f>
        <v xml:space="preserve"> - </v>
      </c>
      <c r="N46" s="318">
        <v>21</v>
      </c>
      <c r="O46" s="163"/>
      <c r="P46" s="360" t="str">
        <f>Language!$E$90</f>
        <v xml:space="preserve"> - </v>
      </c>
      <c r="Q46" s="318"/>
      <c r="R46" s="354">
        <f t="shared" si="16"/>
        <v>2</v>
      </c>
      <c r="S46" s="357" t="str">
        <f>Language!$E$90</f>
        <v xml:space="preserve"> - </v>
      </c>
      <c r="T46" s="321">
        <f t="shared" si="17"/>
        <v>0</v>
      </c>
      <c r="U46" s="294"/>
      <c r="V46" s="295"/>
      <c r="X46" s="407"/>
      <c r="Y46" s="407"/>
      <c r="Z46" s="406"/>
      <c r="AA46" s="406"/>
      <c r="AB46" s="406"/>
      <c r="AC46" s="406"/>
      <c r="AD46" s="406"/>
      <c r="AE46" s="406"/>
      <c r="AF46" s="406"/>
      <c r="AG46" s="406"/>
      <c r="AH46" s="406"/>
      <c r="AI46" s="406"/>
      <c r="AJ46" s="406"/>
      <c r="AK46" s="406"/>
      <c r="AL46" s="406"/>
      <c r="AM46" s="180"/>
      <c r="AN46" s="180"/>
      <c r="AO46" s="180"/>
      <c r="AP46" s="197">
        <f t="shared" si="27"/>
        <v>12</v>
      </c>
      <c r="AQ46" s="198" t="str">
        <f t="shared" si="28"/>
        <v>VfL Wolfsburg</v>
      </c>
      <c r="AR46" s="151" t="str">
        <f>IFERROR(VLOOKUP($Y20&amp;AR$8,Calc2!$Q$4:$S$763,Settings!$H$29,0),"")</f>
        <v/>
      </c>
      <c r="AS46" s="146" t="str">
        <f>IFERROR(VLOOKUP($Y20&amp;AS$8,Calc2!$Q$4:$S$763,Settings!$H$29,0),"")</f>
        <v/>
      </c>
      <c r="AT46" s="146" t="str">
        <f>IFERROR(VLOOKUP($Y20&amp;AT$8,Calc2!$Q$4:$S$763,Settings!$H$29,0),"")</f>
        <v/>
      </c>
      <c r="AU46" s="146" t="str">
        <f>IFERROR(VLOOKUP($Y20&amp;AU$8,Calc2!$Q$4:$S$763,Settings!$H$29,0),"")</f>
        <v/>
      </c>
      <c r="AV46" s="146" t="str">
        <f>IFERROR(VLOOKUP($Y20&amp;AV$8,Calc2!$Q$4:$S$763,Settings!$H$29,0),"")</f>
        <v/>
      </c>
      <c r="AW46" s="146" t="str">
        <f>IFERROR(VLOOKUP($Y20&amp;AW$8,Calc2!$Q$4:$S$763,Settings!$H$29,0),"")</f>
        <v/>
      </c>
      <c r="AX46" s="146" t="str">
        <f>IFERROR(VLOOKUP($Y20&amp;AX$8,Calc2!$Q$4:$S$763,Settings!$H$29,0),"")</f>
        <v/>
      </c>
      <c r="AY46" s="146" t="str">
        <f>IFERROR(VLOOKUP($Y20&amp;AY$8,Calc2!$Q$4:$S$763,Settings!$H$29,0),"")</f>
        <v/>
      </c>
      <c r="AZ46" s="146" t="str">
        <f>IFERROR(VLOOKUP($Y20&amp;AZ$8,Calc2!$Q$4:$S$763,Settings!$H$29,0),"")</f>
        <v/>
      </c>
      <c r="BA46" s="146" t="str">
        <f>IFERROR(VLOOKUP($Y20&amp;BA$8,Calc2!$Q$4:$S$763,Settings!$H$29,0),"")</f>
        <v/>
      </c>
      <c r="BB46" s="146" t="str">
        <f>IFERROR(VLOOKUP($Y20&amp;BB$8,Calc2!$Q$4:$S$763,Settings!$H$29,0),"")</f>
        <v/>
      </c>
      <c r="BC46" s="152"/>
      <c r="BD46" s="146" t="str">
        <f>IFERROR(VLOOKUP($Y20&amp;BD$8,Calc2!$Q$4:$S$763,Settings!$H$29,0),"")</f>
        <v/>
      </c>
      <c r="BE46" s="146" t="str">
        <f>IFERROR(VLOOKUP($Y20&amp;BE$8,Calc2!$Q$4:$S$763,Settings!$H$29,0),"")</f>
        <v/>
      </c>
      <c r="BF46" s="146" t="str">
        <f>IFERROR(VLOOKUP($Y20&amp;BF$8,Calc2!$Q$4:$S$763,Settings!$H$29,0),"")</f>
        <v/>
      </c>
      <c r="BG46" s="146" t="str">
        <f>IFERROR(VLOOKUP($Y20&amp;BG$8,Calc2!$Q$4:$S$763,Settings!$H$29,0),"")</f>
        <v/>
      </c>
      <c r="BH46" s="146" t="str">
        <f>IFERROR(VLOOKUP($Y20&amp;BH$8,Calc2!$Q$4:$S$763,Settings!$H$29,0),"")</f>
        <v/>
      </c>
      <c r="BI46" s="146" t="str">
        <f>IFERROR(VLOOKUP($Y20&amp;BI$8,Calc2!$Q$4:$S$763,Settings!$H$29,0),"")</f>
        <v/>
      </c>
      <c r="BJ46" s="146" t="str">
        <f>IFERROR(VLOOKUP($Y20&amp;BJ$8,Calc2!$Q$4:$S$763,Settings!$H$29,0),"")</f>
        <v/>
      </c>
      <c r="BK46" s="153" t="str">
        <f>IFERROR(VLOOKUP($Y20&amp;BK$8,Calc2!$Q$4:$S$763,Settings!$H$29,0),"")</f>
        <v/>
      </c>
      <c r="BL46" s="180"/>
      <c r="BM46" s="193" t="b">
        <f t="shared" si="18"/>
        <v>0</v>
      </c>
      <c r="BN46" s="19" t="b">
        <f t="shared" si="19"/>
        <v>0</v>
      </c>
      <c r="BO46" s="19" t="b">
        <f t="shared" si="20"/>
        <v>0</v>
      </c>
      <c r="BP46" s="19" t="b">
        <f t="shared" si="21"/>
        <v>1</v>
      </c>
      <c r="BQ46" s="19" t="b">
        <f t="shared" si="22"/>
        <v>0</v>
      </c>
      <c r="BR46" s="19" t="b">
        <f t="shared" si="23"/>
        <v>0</v>
      </c>
      <c r="BS46" s="19" t="b">
        <f t="shared" si="24"/>
        <v>0</v>
      </c>
    </row>
    <row r="47" spans="2:71" ht="15.95" customHeight="1" x14ac:dyDescent="0.2">
      <c r="B47" s="248" t="str">
        <f>IF(Calc!$F$26=0,"",IF(OR($C47&gt;Calc!$B$24,MOD($C47-1,Calc!$F$26)&gt;0),"",QUOTIENT($C47-1,Calc!$F$26)+1))</f>
        <v/>
      </c>
      <c r="C47" s="244">
        <v>39</v>
      </c>
      <c r="D47" s="142">
        <f>IF(Planning!$T45="","",Planning!$T45)</f>
        <v>45927</v>
      </c>
      <c r="E47" s="143">
        <f>IF(Planning!$U45="","",Planning!$U45)</f>
        <v>0.64583333333333337</v>
      </c>
      <c r="F47" s="161" t="str">
        <f>Planning!$Q45</f>
        <v>TSG Hoffenheim</v>
      </c>
      <c r="G47" s="162" t="s">
        <v>4</v>
      </c>
      <c r="H47" s="161" t="str">
        <f>Planning!$S45</f>
        <v>Hamburger SV</v>
      </c>
      <c r="I47" s="163">
        <v>25</v>
      </c>
      <c r="J47" s="315" t="str">
        <f>Language!$E$90</f>
        <v xml:space="preserve"> - </v>
      </c>
      <c r="K47" s="318">
        <v>19</v>
      </c>
      <c r="L47" s="163">
        <v>25</v>
      </c>
      <c r="M47" s="360" t="str">
        <f>Language!$E$90</f>
        <v xml:space="preserve"> - </v>
      </c>
      <c r="N47" s="318">
        <v>22</v>
      </c>
      <c r="O47" s="163"/>
      <c r="P47" s="360" t="str">
        <f>Language!$E$90</f>
        <v xml:space="preserve"> - </v>
      </c>
      <c r="Q47" s="318"/>
      <c r="R47" s="354">
        <f t="shared" si="16"/>
        <v>2</v>
      </c>
      <c r="S47" s="357" t="str">
        <f>Language!$E$90</f>
        <v xml:space="preserve"> - </v>
      </c>
      <c r="T47" s="321">
        <f t="shared" si="17"/>
        <v>0</v>
      </c>
      <c r="U47" s="294"/>
      <c r="V47" s="295"/>
      <c r="X47" s="407"/>
      <c r="Y47" s="407"/>
      <c r="Z47" s="406"/>
      <c r="AA47" s="406"/>
      <c r="AB47" s="406"/>
      <c r="AC47" s="406"/>
      <c r="AD47" s="406"/>
      <c r="AE47" s="406"/>
      <c r="AF47" s="406"/>
      <c r="AG47" s="406"/>
      <c r="AH47" s="406"/>
      <c r="AI47" s="406"/>
      <c r="AJ47" s="406"/>
      <c r="AK47" s="406"/>
      <c r="AL47" s="406"/>
      <c r="AM47" s="180"/>
      <c r="AN47" s="180"/>
      <c r="AO47" s="180"/>
      <c r="AP47" s="197">
        <f t="shared" si="27"/>
        <v>13</v>
      </c>
      <c r="AQ47" s="198" t="str">
        <f t="shared" si="28"/>
        <v>1. FC Köln</v>
      </c>
      <c r="AR47" s="151" t="str">
        <f>IFERROR(VLOOKUP($Y21&amp;AR$8,Calc2!$Q$4:$S$763,Settings!$H$29,0),"")</f>
        <v/>
      </c>
      <c r="AS47" s="146" t="str">
        <f>IFERROR(VLOOKUP($Y21&amp;AS$8,Calc2!$Q$4:$S$763,Settings!$H$29,0),"")</f>
        <v/>
      </c>
      <c r="AT47" s="146" t="str">
        <f>IFERROR(VLOOKUP($Y21&amp;AT$8,Calc2!$Q$4:$S$763,Settings!$H$29,0),"")</f>
        <v/>
      </c>
      <c r="AU47" s="146" t="str">
        <f>IFERROR(VLOOKUP($Y21&amp;AU$8,Calc2!$Q$4:$S$763,Settings!$H$29,0),"")</f>
        <v/>
      </c>
      <c r="AV47" s="146" t="str">
        <f>IFERROR(VLOOKUP($Y21&amp;AV$8,Calc2!$Q$4:$S$763,Settings!$H$29,0),"")</f>
        <v/>
      </c>
      <c r="AW47" s="146" t="str">
        <f>IFERROR(VLOOKUP($Y21&amp;AW$8,Calc2!$Q$4:$S$763,Settings!$H$29,0),"")</f>
        <v/>
      </c>
      <c r="AX47" s="146" t="str">
        <f>IFERROR(VLOOKUP($Y21&amp;AX$8,Calc2!$Q$4:$S$763,Settings!$H$29,0),"")</f>
        <v/>
      </c>
      <c r="AY47" s="146" t="str">
        <f>IFERROR(VLOOKUP($Y21&amp;AY$8,Calc2!$Q$4:$S$763,Settings!$H$29,0),"")</f>
        <v/>
      </c>
      <c r="AZ47" s="146" t="str">
        <f>IFERROR(VLOOKUP($Y21&amp;AZ$8,Calc2!$Q$4:$S$763,Settings!$H$29,0),"")</f>
        <v/>
      </c>
      <c r="BA47" s="146" t="str">
        <f>IFERROR(VLOOKUP($Y21&amp;BA$8,Calc2!$Q$4:$S$763,Settings!$H$29,0),"")</f>
        <v/>
      </c>
      <c r="BB47" s="146" t="str">
        <f>IFERROR(VLOOKUP($Y21&amp;BB$8,Calc2!$Q$4:$S$763,Settings!$H$29,0),"")</f>
        <v/>
      </c>
      <c r="BC47" s="146" t="str">
        <f>IFERROR(VLOOKUP($Y21&amp;BC$8,Calc2!$Q$4:$S$763,Settings!$H$29,0),"")</f>
        <v/>
      </c>
      <c r="BD47" s="152"/>
      <c r="BE47" s="146" t="str">
        <f>IFERROR(VLOOKUP($Y21&amp;BE$8,Calc2!$Q$4:$S$763,Settings!$H$29,0),"")</f>
        <v/>
      </c>
      <c r="BF47" s="146" t="str">
        <f>IFERROR(VLOOKUP($Y21&amp;BF$8,Calc2!$Q$4:$S$763,Settings!$H$29,0),"")</f>
        <v/>
      </c>
      <c r="BG47" s="146" t="str">
        <f>IFERROR(VLOOKUP($Y21&amp;BG$8,Calc2!$Q$4:$S$763,Settings!$H$29,0),"")</f>
        <v/>
      </c>
      <c r="BH47" s="146" t="str">
        <f>IFERROR(VLOOKUP($Y21&amp;BH$8,Calc2!$Q$4:$S$763,Settings!$H$29,0),"")</f>
        <v/>
      </c>
      <c r="BI47" s="146" t="str">
        <f>IFERROR(VLOOKUP($Y21&amp;BI$8,Calc2!$Q$4:$S$763,Settings!$H$29,0),"")</f>
        <v/>
      </c>
      <c r="BJ47" s="146" t="str">
        <f>IFERROR(VLOOKUP($Y21&amp;BJ$8,Calc2!$Q$4:$S$763,Settings!$H$29,0),"")</f>
        <v/>
      </c>
      <c r="BK47" s="153" t="str">
        <f>IFERROR(VLOOKUP($Y21&amp;BK$8,Calc2!$Q$4:$S$763,Settings!$H$29,0),"")</f>
        <v/>
      </c>
      <c r="BL47" s="180"/>
      <c r="BM47" s="193" t="b">
        <f t="shared" si="18"/>
        <v>0</v>
      </c>
      <c r="BN47" s="19" t="b">
        <f t="shared" si="19"/>
        <v>0</v>
      </c>
      <c r="BO47" s="19" t="b">
        <f t="shared" si="20"/>
        <v>0</v>
      </c>
      <c r="BP47" s="19" t="b">
        <f t="shared" si="21"/>
        <v>1</v>
      </c>
      <c r="BQ47" s="19" t="b">
        <f t="shared" si="22"/>
        <v>0</v>
      </c>
      <c r="BR47" s="19" t="b">
        <f t="shared" si="23"/>
        <v>0</v>
      </c>
      <c r="BS47" s="19" t="b">
        <f t="shared" si="24"/>
        <v>0</v>
      </c>
    </row>
    <row r="48" spans="2:71" ht="15.95" customHeight="1" x14ac:dyDescent="0.2">
      <c r="B48" s="248" t="str">
        <f>IF(Calc!$F$26=0,"",IF(OR($C48&gt;Calc!$B$24,MOD($C48-1,Calc!$F$26)&gt;0),"",QUOTIENT($C48-1,Calc!$F$26)+1))</f>
        <v/>
      </c>
      <c r="C48" s="244">
        <v>40</v>
      </c>
      <c r="D48" s="142">
        <f>IF(Planning!$T46="","",Planning!$T46)</f>
        <v>45927</v>
      </c>
      <c r="E48" s="143">
        <f>IF(Planning!$U46="","",Planning!$U46)</f>
        <v>0.64583333333333337</v>
      </c>
      <c r="F48" s="161" t="str">
        <f>Planning!$Q46</f>
        <v>FC St. Pauli</v>
      </c>
      <c r="G48" s="162" t="s">
        <v>4</v>
      </c>
      <c r="H48" s="161" t="str">
        <f>Planning!$S46</f>
        <v>VfB Stuttgart</v>
      </c>
      <c r="I48" s="163">
        <v>20</v>
      </c>
      <c r="J48" s="315" t="str">
        <f>Language!$E$90</f>
        <v xml:space="preserve"> - </v>
      </c>
      <c r="K48" s="318">
        <v>25</v>
      </c>
      <c r="L48" s="163">
        <v>19</v>
      </c>
      <c r="M48" s="360" t="str">
        <f>Language!$E$90</f>
        <v xml:space="preserve"> - </v>
      </c>
      <c r="N48" s="318">
        <v>25</v>
      </c>
      <c r="O48" s="163"/>
      <c r="P48" s="360" t="str">
        <f>Language!$E$90</f>
        <v xml:space="preserve"> - </v>
      </c>
      <c r="Q48" s="318"/>
      <c r="R48" s="354">
        <f t="shared" si="16"/>
        <v>0</v>
      </c>
      <c r="S48" s="357" t="str">
        <f>Language!$E$90</f>
        <v xml:space="preserve"> - </v>
      </c>
      <c r="T48" s="321">
        <f t="shared" si="17"/>
        <v>2</v>
      </c>
      <c r="U48" s="294"/>
      <c r="V48" s="295"/>
      <c r="X48" s="407"/>
      <c r="Y48" s="407"/>
      <c r="Z48" s="406"/>
      <c r="AA48" s="406"/>
      <c r="AB48" s="406"/>
      <c r="AC48" s="406"/>
      <c r="AD48" s="406"/>
      <c r="AE48" s="406"/>
      <c r="AF48" s="406"/>
      <c r="AG48" s="406"/>
      <c r="AH48" s="406"/>
      <c r="AI48" s="406"/>
      <c r="AJ48" s="406"/>
      <c r="AK48" s="406"/>
      <c r="AL48" s="406"/>
      <c r="AM48" s="180"/>
      <c r="AN48" s="180"/>
      <c r="AO48" s="180"/>
      <c r="AP48" s="197">
        <f t="shared" si="27"/>
        <v>14</v>
      </c>
      <c r="AQ48" s="198" t="str">
        <f t="shared" si="28"/>
        <v>Borussia Dortmund</v>
      </c>
      <c r="AR48" s="151" t="str">
        <f>IFERROR(VLOOKUP($Y22&amp;AR$8,Calc2!$Q$4:$S$763,Settings!$H$29,0),"")</f>
        <v/>
      </c>
      <c r="AS48" s="146" t="str">
        <f>IFERROR(VLOOKUP($Y22&amp;AS$8,Calc2!$Q$4:$S$763,Settings!$H$29,0),"")</f>
        <v/>
      </c>
      <c r="AT48" s="146" t="str">
        <f>IFERROR(VLOOKUP($Y22&amp;AT$8,Calc2!$Q$4:$S$763,Settings!$H$29,0),"")</f>
        <v/>
      </c>
      <c r="AU48" s="146" t="str">
        <f>IFERROR(VLOOKUP($Y22&amp;AU$8,Calc2!$Q$4:$S$763,Settings!$H$29,0),"")</f>
        <v/>
      </c>
      <c r="AV48" s="146" t="str">
        <f>IFERROR(VLOOKUP($Y22&amp;AV$8,Calc2!$Q$4:$S$763,Settings!$H$29,0),"")</f>
        <v/>
      </c>
      <c r="AW48" s="146" t="str">
        <f>IFERROR(VLOOKUP($Y22&amp;AW$8,Calc2!$Q$4:$S$763,Settings!$H$29,0),"")</f>
        <v/>
      </c>
      <c r="AX48" s="146" t="str">
        <f>IFERROR(VLOOKUP($Y22&amp;AX$8,Calc2!$Q$4:$S$763,Settings!$H$29,0),"")</f>
        <v/>
      </c>
      <c r="AY48" s="146" t="str">
        <f>IFERROR(VLOOKUP($Y22&amp;AY$8,Calc2!$Q$4:$S$763,Settings!$H$29,0),"")</f>
        <v/>
      </c>
      <c r="AZ48" s="146" t="str">
        <f>IFERROR(VLOOKUP($Y22&amp;AZ$8,Calc2!$Q$4:$S$763,Settings!$H$29,0),"")</f>
        <v/>
      </c>
      <c r="BA48" s="146" t="str">
        <f>IFERROR(VLOOKUP($Y22&amp;BA$8,Calc2!$Q$4:$S$763,Settings!$H$29,0),"")</f>
        <v/>
      </c>
      <c r="BB48" s="146" t="str">
        <f>IFERROR(VLOOKUP($Y22&amp;BB$8,Calc2!$Q$4:$S$763,Settings!$H$29,0),"")</f>
        <v/>
      </c>
      <c r="BC48" s="146" t="str">
        <f>IFERROR(VLOOKUP($Y22&amp;BC$8,Calc2!$Q$4:$S$763,Settings!$H$29,0),"")</f>
        <v/>
      </c>
      <c r="BD48" s="146" t="str">
        <f>IFERROR(VLOOKUP($Y22&amp;BD$8,Calc2!$Q$4:$S$763,Settings!$H$29,0),"")</f>
        <v/>
      </c>
      <c r="BE48" s="152"/>
      <c r="BF48" s="146" t="str">
        <f>IFERROR(VLOOKUP($Y22&amp;BF$8,Calc2!$Q$4:$S$763,Settings!$H$29,0),"")</f>
        <v/>
      </c>
      <c r="BG48" s="146" t="str">
        <f>IFERROR(VLOOKUP($Y22&amp;BG$8,Calc2!$Q$4:$S$763,Settings!$H$29,0),"")</f>
        <v/>
      </c>
      <c r="BH48" s="146" t="str">
        <f>IFERROR(VLOOKUP($Y22&amp;BH$8,Calc2!$Q$4:$S$763,Settings!$H$29,0),"")</f>
        <v/>
      </c>
      <c r="BI48" s="146" t="str">
        <f>IFERROR(VLOOKUP($Y22&amp;BI$8,Calc2!$Q$4:$S$763,Settings!$H$29,0),"")</f>
        <v/>
      </c>
      <c r="BJ48" s="146" t="str">
        <f>IFERROR(VLOOKUP($Y22&amp;BJ$8,Calc2!$Q$4:$S$763,Settings!$H$29,0),"")</f>
        <v/>
      </c>
      <c r="BK48" s="153" t="str">
        <f>IFERROR(VLOOKUP($Y22&amp;BK$8,Calc2!$Q$4:$S$763,Settings!$H$29,0),"")</f>
        <v/>
      </c>
      <c r="BL48" s="180"/>
      <c r="BM48" s="193" t="b">
        <f t="shared" si="18"/>
        <v>0</v>
      </c>
      <c r="BN48" s="19" t="b">
        <f t="shared" si="19"/>
        <v>0</v>
      </c>
      <c r="BO48" s="19" t="b">
        <f t="shared" si="20"/>
        <v>0</v>
      </c>
      <c r="BP48" s="19" t="b">
        <f t="shared" si="21"/>
        <v>1</v>
      </c>
      <c r="BQ48" s="19" t="b">
        <f t="shared" si="22"/>
        <v>0</v>
      </c>
      <c r="BR48" s="19" t="b">
        <f t="shared" si="23"/>
        <v>0</v>
      </c>
      <c r="BS48" s="19" t="b">
        <f t="shared" si="24"/>
        <v>0</v>
      </c>
    </row>
    <row r="49" spans="2:71" ht="15.95" customHeight="1" x14ac:dyDescent="0.2">
      <c r="B49" s="248" t="str">
        <f>IF(Calc!$F$26=0,"",IF(OR($C49&gt;Calc!$B$24,MOD($C49-1,Calc!$F$26)&gt;0),"",QUOTIENT($C49-1,Calc!$F$26)+1))</f>
        <v/>
      </c>
      <c r="C49" s="244">
        <v>41</v>
      </c>
      <c r="D49" s="142">
        <f>IF(Planning!$T47="","",Planning!$T47)</f>
        <v>45927</v>
      </c>
      <c r="E49" s="143">
        <f>IF(Planning!$U47="","",Planning!$U47)</f>
        <v>0.64583333333333337</v>
      </c>
      <c r="F49" s="161" t="str">
        <f>Planning!$Q47</f>
        <v>VfL Wolfsburg</v>
      </c>
      <c r="G49" s="162" t="s">
        <v>4</v>
      </c>
      <c r="H49" s="161" t="str">
        <f>Planning!$S47</f>
        <v>FC Bayern München</v>
      </c>
      <c r="I49" s="163">
        <v>19</v>
      </c>
      <c r="J49" s="315" t="str">
        <f>Language!$E$90</f>
        <v xml:space="preserve"> - </v>
      </c>
      <c r="K49" s="318">
        <v>25</v>
      </c>
      <c r="L49" s="163">
        <v>20</v>
      </c>
      <c r="M49" s="360" t="str">
        <f>Language!$E$90</f>
        <v xml:space="preserve"> - </v>
      </c>
      <c r="N49" s="318">
        <v>25</v>
      </c>
      <c r="O49" s="163"/>
      <c r="P49" s="360" t="str">
        <f>Language!$E$90</f>
        <v xml:space="preserve"> - </v>
      </c>
      <c r="Q49" s="318"/>
      <c r="R49" s="354">
        <f t="shared" si="16"/>
        <v>0</v>
      </c>
      <c r="S49" s="357" t="str">
        <f>Language!$E$90</f>
        <v xml:space="preserve"> - </v>
      </c>
      <c r="T49" s="321">
        <f t="shared" si="17"/>
        <v>2</v>
      </c>
      <c r="U49" s="294"/>
      <c r="V49" s="295"/>
      <c r="X49" s="125"/>
      <c r="Y49" s="193"/>
      <c r="Z49" s="180"/>
      <c r="AA49" s="180"/>
      <c r="AB49" s="180"/>
      <c r="AC49" s="180"/>
      <c r="AD49" s="180"/>
      <c r="AE49" s="180"/>
      <c r="AF49" s="180"/>
      <c r="AG49" s="180"/>
      <c r="AH49" s="180"/>
      <c r="AI49" s="180"/>
      <c r="AJ49" s="180"/>
      <c r="AK49" s="180"/>
      <c r="AL49" s="180"/>
      <c r="AM49" s="180"/>
      <c r="AN49" s="180"/>
      <c r="AO49" s="180"/>
      <c r="AP49" s="197">
        <f t="shared" si="27"/>
        <v>15</v>
      </c>
      <c r="AQ49" s="198" t="str">
        <f t="shared" si="28"/>
        <v>TSG Hoffenheim</v>
      </c>
      <c r="AR49" s="151" t="str">
        <f>IFERROR(VLOOKUP($Y23&amp;AR$8,Calc2!$Q$4:$S$763,Settings!$H$29,0),"")</f>
        <v/>
      </c>
      <c r="AS49" s="146" t="str">
        <f>IFERROR(VLOOKUP($Y23&amp;AS$8,Calc2!$Q$4:$S$763,Settings!$H$29,0),"")</f>
        <v/>
      </c>
      <c r="AT49" s="146" t="str">
        <f>IFERROR(VLOOKUP($Y23&amp;AT$8,Calc2!$Q$4:$S$763,Settings!$H$29,0),"")</f>
        <v/>
      </c>
      <c r="AU49" s="146" t="str">
        <f>IFERROR(VLOOKUP($Y23&amp;AU$8,Calc2!$Q$4:$S$763,Settings!$H$29,0),"")</f>
        <v/>
      </c>
      <c r="AV49" s="146" t="str">
        <f>IFERROR(VLOOKUP($Y23&amp;AV$8,Calc2!$Q$4:$S$763,Settings!$H$29,0),"")</f>
        <v/>
      </c>
      <c r="AW49" s="146" t="str">
        <f>IFERROR(VLOOKUP($Y23&amp;AW$8,Calc2!$Q$4:$S$763,Settings!$H$29,0),"")</f>
        <v/>
      </c>
      <c r="AX49" s="146" t="str">
        <f>IFERROR(VLOOKUP($Y23&amp;AX$8,Calc2!$Q$4:$S$763,Settings!$H$29,0),"")</f>
        <v/>
      </c>
      <c r="AY49" s="146" t="str">
        <f>IFERROR(VLOOKUP($Y23&amp;AY$8,Calc2!$Q$4:$S$763,Settings!$H$29,0),"")</f>
        <v/>
      </c>
      <c r="AZ49" s="146" t="str">
        <f>IFERROR(VLOOKUP($Y23&amp;AZ$8,Calc2!$Q$4:$S$763,Settings!$H$29,0),"")</f>
        <v/>
      </c>
      <c r="BA49" s="146" t="str">
        <f>IFERROR(VLOOKUP($Y23&amp;BA$8,Calc2!$Q$4:$S$763,Settings!$H$29,0),"")</f>
        <v/>
      </c>
      <c r="BB49" s="146" t="str">
        <f>IFERROR(VLOOKUP($Y23&amp;BB$8,Calc2!$Q$4:$S$763,Settings!$H$29,0),"")</f>
        <v/>
      </c>
      <c r="BC49" s="146" t="str">
        <f>IFERROR(VLOOKUP($Y23&amp;BC$8,Calc2!$Q$4:$S$763,Settings!$H$29,0),"")</f>
        <v/>
      </c>
      <c r="BD49" s="146" t="str">
        <f>IFERROR(VLOOKUP($Y23&amp;BD$8,Calc2!$Q$4:$S$763,Settings!$H$29,0),"")</f>
        <v/>
      </c>
      <c r="BE49" s="146" t="str">
        <f>IFERROR(VLOOKUP($Y23&amp;BE$8,Calc2!$Q$4:$S$763,Settings!$H$29,0),"")</f>
        <v/>
      </c>
      <c r="BF49" s="152"/>
      <c r="BG49" s="146" t="str">
        <f>IFERROR(VLOOKUP($Y23&amp;BG$8,Calc2!$Q$4:$S$763,Settings!$H$29,0),"")</f>
        <v/>
      </c>
      <c r="BH49" s="146" t="str">
        <f>IFERROR(VLOOKUP($Y23&amp;BH$8,Calc2!$Q$4:$S$763,Settings!$H$29,0),"")</f>
        <v/>
      </c>
      <c r="BI49" s="146" t="str">
        <f>IFERROR(VLOOKUP($Y23&amp;BI$8,Calc2!$Q$4:$S$763,Settings!$H$29,0),"")</f>
        <v/>
      </c>
      <c r="BJ49" s="146" t="str">
        <f>IFERROR(VLOOKUP($Y23&amp;BJ$8,Calc2!$Q$4:$S$763,Settings!$H$29,0),"")</f>
        <v/>
      </c>
      <c r="BK49" s="153" t="str">
        <f>IFERROR(VLOOKUP($Y23&amp;BK$8,Calc2!$Q$4:$S$763,Settings!$H$29,0),"")</f>
        <v/>
      </c>
      <c r="BL49" s="180"/>
      <c r="BM49" s="193" t="b">
        <f t="shared" si="18"/>
        <v>0</v>
      </c>
      <c r="BN49" s="19" t="b">
        <f t="shared" si="19"/>
        <v>0</v>
      </c>
      <c r="BO49" s="19" t="b">
        <f t="shared" si="20"/>
        <v>0</v>
      </c>
      <c r="BP49" s="19" t="b">
        <f t="shared" si="21"/>
        <v>1</v>
      </c>
      <c r="BQ49" s="19" t="b">
        <f t="shared" si="22"/>
        <v>0</v>
      </c>
      <c r="BR49" s="19" t="b">
        <f t="shared" si="23"/>
        <v>0</v>
      </c>
      <c r="BS49" s="19" t="b">
        <f t="shared" si="24"/>
        <v>0</v>
      </c>
    </row>
    <row r="50" spans="2:71" ht="15.95" customHeight="1" x14ac:dyDescent="0.2">
      <c r="B50" s="248" t="str">
        <f>IF(Calc!$F$26=0,"",IF(OR($C50&gt;Calc!$B$24,MOD($C50-1,Calc!$F$26)&gt;0),"",QUOTIENT($C50-1,Calc!$F$26)+1))</f>
        <v/>
      </c>
      <c r="C50" s="244">
        <v>42</v>
      </c>
      <c r="D50" s="142">
        <f>IF(Planning!$T48="","",Planning!$T48)</f>
        <v>45927</v>
      </c>
      <c r="E50" s="143">
        <f>IF(Planning!$U48="","",Planning!$U48)</f>
        <v>0.64583333333333337</v>
      </c>
      <c r="F50" s="161" t="str">
        <f>Planning!$Q48</f>
        <v>FC Augsburg</v>
      </c>
      <c r="G50" s="162" t="s">
        <v>4</v>
      </c>
      <c r="H50" s="161" t="str">
        <f>Planning!$S48</f>
        <v>1. FC Köln</v>
      </c>
      <c r="I50" s="163">
        <v>17</v>
      </c>
      <c r="J50" s="315" t="str">
        <f>Language!$E$90</f>
        <v xml:space="preserve"> - </v>
      </c>
      <c r="K50" s="318">
        <v>25</v>
      </c>
      <c r="L50" s="163">
        <v>25</v>
      </c>
      <c r="M50" s="360" t="str">
        <f>Language!$E$90</f>
        <v xml:space="preserve"> - </v>
      </c>
      <c r="N50" s="318">
        <v>21</v>
      </c>
      <c r="O50" s="163">
        <v>13</v>
      </c>
      <c r="P50" s="360" t="str">
        <f>Language!$E$90</f>
        <v xml:space="preserve"> - </v>
      </c>
      <c r="Q50" s="318">
        <v>15</v>
      </c>
      <c r="R50" s="354">
        <f t="shared" si="16"/>
        <v>1</v>
      </c>
      <c r="S50" s="357" t="str">
        <f>Language!$E$90</f>
        <v xml:space="preserve"> - </v>
      </c>
      <c r="T50" s="321">
        <f t="shared" si="17"/>
        <v>2</v>
      </c>
      <c r="U50" s="294"/>
      <c r="V50" s="295"/>
      <c r="X50" s="125"/>
      <c r="Y50" s="193"/>
      <c r="Z50" s="180"/>
      <c r="AA50" s="180"/>
      <c r="AB50" s="180"/>
      <c r="AC50" s="180"/>
      <c r="AD50" s="180"/>
      <c r="AE50" s="180"/>
      <c r="AF50" s="180"/>
      <c r="AG50" s="180"/>
      <c r="AH50" s="180"/>
      <c r="AI50" s="180"/>
      <c r="AJ50" s="180"/>
      <c r="AK50" s="180"/>
      <c r="AL50" s="180"/>
      <c r="AM50" s="180"/>
      <c r="AN50" s="180"/>
      <c r="AO50" s="180"/>
      <c r="AP50" s="197">
        <f t="shared" si="27"/>
        <v>16</v>
      </c>
      <c r="AQ50" s="198" t="str">
        <f t="shared" si="28"/>
        <v>SV Werder Bremen</v>
      </c>
      <c r="AR50" s="151" t="str">
        <f>IFERROR(VLOOKUP($Y24&amp;AR$8,Calc2!$Q$4:$S$763,Settings!$H$29,0),"")</f>
        <v/>
      </c>
      <c r="AS50" s="146" t="str">
        <f>IFERROR(VLOOKUP($Y24&amp;AS$8,Calc2!$Q$4:$S$763,Settings!$H$29,0),"")</f>
        <v/>
      </c>
      <c r="AT50" s="146" t="str">
        <f>IFERROR(VLOOKUP($Y24&amp;AT$8,Calc2!$Q$4:$S$763,Settings!$H$29,0),"")</f>
        <v/>
      </c>
      <c r="AU50" s="146" t="str">
        <f>IFERROR(VLOOKUP($Y24&amp;AU$8,Calc2!$Q$4:$S$763,Settings!$H$29,0),"")</f>
        <v/>
      </c>
      <c r="AV50" s="146" t="str">
        <f>IFERROR(VLOOKUP($Y24&amp;AV$8,Calc2!$Q$4:$S$763,Settings!$H$29,0),"")</f>
        <v/>
      </c>
      <c r="AW50" s="146" t="str">
        <f>IFERROR(VLOOKUP($Y24&amp;AW$8,Calc2!$Q$4:$S$763,Settings!$H$29,0),"")</f>
        <v/>
      </c>
      <c r="AX50" s="146" t="str">
        <f>IFERROR(VLOOKUP($Y24&amp;AX$8,Calc2!$Q$4:$S$763,Settings!$H$29,0),"")</f>
        <v/>
      </c>
      <c r="AY50" s="146" t="str">
        <f>IFERROR(VLOOKUP($Y24&amp;AY$8,Calc2!$Q$4:$S$763,Settings!$H$29,0),"")</f>
        <v/>
      </c>
      <c r="AZ50" s="146" t="str">
        <f>IFERROR(VLOOKUP($Y24&amp;AZ$8,Calc2!$Q$4:$S$763,Settings!$H$29,0),"")</f>
        <v/>
      </c>
      <c r="BA50" s="146" t="str">
        <f>IFERROR(VLOOKUP($Y24&amp;BA$8,Calc2!$Q$4:$S$763,Settings!$H$29,0),"")</f>
        <v/>
      </c>
      <c r="BB50" s="146" t="str">
        <f>IFERROR(VLOOKUP($Y24&amp;BB$8,Calc2!$Q$4:$S$763,Settings!$H$29,0),"")</f>
        <v/>
      </c>
      <c r="BC50" s="146" t="str">
        <f>IFERROR(VLOOKUP($Y24&amp;BC$8,Calc2!$Q$4:$S$763,Settings!$H$29,0),"")</f>
        <v/>
      </c>
      <c r="BD50" s="146" t="str">
        <f>IFERROR(VLOOKUP($Y24&amp;BD$8,Calc2!$Q$4:$S$763,Settings!$H$29,0),"")</f>
        <v/>
      </c>
      <c r="BE50" s="146" t="str">
        <f>IFERROR(VLOOKUP($Y24&amp;BE$8,Calc2!$Q$4:$S$763,Settings!$H$29,0),"")</f>
        <v/>
      </c>
      <c r="BF50" s="146" t="str">
        <f>IFERROR(VLOOKUP($Y24&amp;BF$8,Calc2!$Q$4:$S$763,Settings!$H$29,0),"")</f>
        <v/>
      </c>
      <c r="BG50" s="152"/>
      <c r="BH50" s="146" t="str">
        <f>IFERROR(VLOOKUP($Y24&amp;BH$8,Calc2!$Q$4:$S$763,Settings!$H$29,0),"")</f>
        <v/>
      </c>
      <c r="BI50" s="146" t="str">
        <f>IFERROR(VLOOKUP($Y24&amp;BI$8,Calc2!$Q$4:$S$763,Settings!$H$29,0),"")</f>
        <v/>
      </c>
      <c r="BJ50" s="146" t="str">
        <f>IFERROR(VLOOKUP($Y24&amp;BJ$8,Calc2!$Q$4:$S$763,Settings!$H$29,0),"")</f>
        <v/>
      </c>
      <c r="BK50" s="153" t="str">
        <f>IFERROR(VLOOKUP($Y24&amp;BK$8,Calc2!$Q$4:$S$763,Settings!$H$29,0),"")</f>
        <v/>
      </c>
      <c r="BL50" s="180"/>
      <c r="BM50" s="193" t="b">
        <f t="shared" si="18"/>
        <v>0</v>
      </c>
      <c r="BN50" s="19" t="b">
        <f t="shared" si="19"/>
        <v>0</v>
      </c>
      <c r="BO50" s="19" t="b">
        <f t="shared" si="20"/>
        <v>0</v>
      </c>
      <c r="BP50" s="19" t="b">
        <f t="shared" si="21"/>
        <v>0</v>
      </c>
      <c r="BQ50" s="19" t="b">
        <f t="shared" si="22"/>
        <v>0</v>
      </c>
      <c r="BR50" s="19" t="b">
        <f t="shared" si="23"/>
        <v>0</v>
      </c>
      <c r="BS50" s="19" t="b">
        <f t="shared" si="24"/>
        <v>0</v>
      </c>
    </row>
    <row r="51" spans="2:71" ht="15.95" customHeight="1" x14ac:dyDescent="0.2">
      <c r="B51" s="248" t="str">
        <f>IF(Calc!$F$26=0,"",IF(OR($C51&gt;Calc!$B$24,MOD($C51-1,Calc!$F$26)&gt;0),"",QUOTIENT($C51-1,Calc!$F$26)+1))</f>
        <v/>
      </c>
      <c r="C51" s="244">
        <v>43</v>
      </c>
      <c r="D51" s="142">
        <f>IF(Planning!$T49="","",Planning!$T49)</f>
        <v>45927</v>
      </c>
      <c r="E51" s="143">
        <f>IF(Planning!$U49="","",Planning!$U49)</f>
        <v>0.64583333333333337</v>
      </c>
      <c r="F51" s="161" t="str">
        <f>Planning!$Q49</f>
        <v>1. FC Union Berlin</v>
      </c>
      <c r="G51" s="162" t="s">
        <v>4</v>
      </c>
      <c r="H51" s="161" t="str">
        <f>Planning!$S49</f>
        <v>Eintracht Frankfurt</v>
      </c>
      <c r="I51" s="163">
        <v>19</v>
      </c>
      <c r="J51" s="315" t="str">
        <f>Language!$E$90</f>
        <v xml:space="preserve"> - </v>
      </c>
      <c r="K51" s="318">
        <v>25</v>
      </c>
      <c r="L51" s="163">
        <v>21</v>
      </c>
      <c r="M51" s="360" t="str">
        <f>Language!$E$90</f>
        <v xml:space="preserve"> - </v>
      </c>
      <c r="N51" s="318">
        <v>25</v>
      </c>
      <c r="O51" s="163"/>
      <c r="P51" s="360" t="str">
        <f>Language!$E$90</f>
        <v xml:space="preserve"> - </v>
      </c>
      <c r="Q51" s="318"/>
      <c r="R51" s="354">
        <f t="shared" si="16"/>
        <v>0</v>
      </c>
      <c r="S51" s="357" t="str">
        <f>Language!$E$90</f>
        <v xml:space="preserve"> - </v>
      </c>
      <c r="T51" s="321">
        <f t="shared" si="17"/>
        <v>2</v>
      </c>
      <c r="U51" s="294"/>
      <c r="V51" s="295"/>
      <c r="X51" s="125"/>
      <c r="Y51" s="193"/>
      <c r="Z51" s="180"/>
      <c r="AA51" s="180"/>
      <c r="AB51" s="180"/>
      <c r="AC51" s="180"/>
      <c r="AD51" s="180"/>
      <c r="AE51" s="180"/>
      <c r="AF51" s="180"/>
      <c r="AG51" s="180"/>
      <c r="AH51" s="180"/>
      <c r="AI51" s="180"/>
      <c r="AJ51" s="180"/>
      <c r="AK51" s="180"/>
      <c r="AL51" s="180"/>
      <c r="AM51" s="180"/>
      <c r="AN51" s="180"/>
      <c r="AO51" s="180"/>
      <c r="AP51" s="197">
        <f t="shared" si="27"/>
        <v>17</v>
      </c>
      <c r="AQ51" s="198" t="str">
        <f t="shared" si="28"/>
        <v>SC Freiburg</v>
      </c>
      <c r="AR51" s="151" t="str">
        <f>IFERROR(VLOOKUP($Y25&amp;AR$8,Calc2!$Q$4:$S$763,Settings!$H$29,0),"")</f>
        <v/>
      </c>
      <c r="AS51" s="146" t="str">
        <f>IFERROR(VLOOKUP($Y25&amp;AS$8,Calc2!$Q$4:$S$763,Settings!$H$29,0),"")</f>
        <v/>
      </c>
      <c r="AT51" s="146" t="str">
        <f>IFERROR(VLOOKUP($Y25&amp;AT$8,Calc2!$Q$4:$S$763,Settings!$H$29,0),"")</f>
        <v/>
      </c>
      <c r="AU51" s="146" t="str">
        <f>IFERROR(VLOOKUP($Y25&amp;AU$8,Calc2!$Q$4:$S$763,Settings!$H$29,0),"")</f>
        <v/>
      </c>
      <c r="AV51" s="146" t="str">
        <f>IFERROR(VLOOKUP($Y25&amp;AV$8,Calc2!$Q$4:$S$763,Settings!$H$29,0),"")</f>
        <v/>
      </c>
      <c r="AW51" s="146" t="str">
        <f>IFERROR(VLOOKUP($Y25&amp;AW$8,Calc2!$Q$4:$S$763,Settings!$H$29,0),"")</f>
        <v/>
      </c>
      <c r="AX51" s="146" t="str">
        <f>IFERROR(VLOOKUP($Y25&amp;AX$8,Calc2!$Q$4:$S$763,Settings!$H$29,0),"")</f>
        <v/>
      </c>
      <c r="AY51" s="146" t="str">
        <f>IFERROR(VLOOKUP($Y25&amp;AY$8,Calc2!$Q$4:$S$763,Settings!$H$29,0),"")</f>
        <v/>
      </c>
      <c r="AZ51" s="146" t="str">
        <f>IFERROR(VLOOKUP($Y25&amp;AZ$8,Calc2!$Q$4:$S$763,Settings!$H$29,0),"")</f>
        <v/>
      </c>
      <c r="BA51" s="146" t="str">
        <f>IFERROR(VLOOKUP($Y25&amp;BA$8,Calc2!$Q$4:$S$763,Settings!$H$29,0),"")</f>
        <v/>
      </c>
      <c r="BB51" s="146" t="str">
        <f>IFERROR(VLOOKUP($Y25&amp;BB$8,Calc2!$Q$4:$S$763,Settings!$H$29,0),"")</f>
        <v/>
      </c>
      <c r="BC51" s="146" t="str">
        <f>IFERROR(VLOOKUP($Y25&amp;BC$8,Calc2!$Q$4:$S$763,Settings!$H$29,0),"")</f>
        <v/>
      </c>
      <c r="BD51" s="146" t="str">
        <f>IFERROR(VLOOKUP($Y25&amp;BD$8,Calc2!$Q$4:$S$763,Settings!$H$29,0),"")</f>
        <v/>
      </c>
      <c r="BE51" s="146" t="str">
        <f>IFERROR(VLOOKUP($Y25&amp;BE$8,Calc2!$Q$4:$S$763,Settings!$H$29,0),"")</f>
        <v/>
      </c>
      <c r="BF51" s="146" t="str">
        <f>IFERROR(VLOOKUP($Y25&amp;BF$8,Calc2!$Q$4:$S$763,Settings!$H$29,0),"")</f>
        <v/>
      </c>
      <c r="BG51" s="146" t="str">
        <f>IFERROR(VLOOKUP($Y25&amp;BG$8,Calc2!$Q$4:$S$763,Settings!$H$29,0),"")</f>
        <v/>
      </c>
      <c r="BH51" s="152"/>
      <c r="BI51" s="146" t="str">
        <f>IFERROR(VLOOKUP($Y25&amp;BI$8,Calc2!$Q$4:$S$763,Settings!$H$29,0),"")</f>
        <v/>
      </c>
      <c r="BJ51" s="146" t="str">
        <f>IFERROR(VLOOKUP($Y25&amp;BJ$8,Calc2!$Q$4:$S$763,Settings!$H$29,0),"")</f>
        <v/>
      </c>
      <c r="BK51" s="153" t="str">
        <f>IFERROR(VLOOKUP($Y25&amp;BK$8,Calc2!$Q$4:$S$763,Settings!$H$29,0),"")</f>
        <v/>
      </c>
      <c r="BL51" s="180"/>
      <c r="BM51" s="193" t="b">
        <f t="shared" si="18"/>
        <v>0</v>
      </c>
      <c r="BN51" s="19" t="b">
        <f t="shared" si="19"/>
        <v>0</v>
      </c>
      <c r="BO51" s="19" t="b">
        <f t="shared" si="20"/>
        <v>0</v>
      </c>
      <c r="BP51" s="19" t="b">
        <f t="shared" si="21"/>
        <v>1</v>
      </c>
      <c r="BQ51" s="19" t="b">
        <f t="shared" si="22"/>
        <v>0</v>
      </c>
      <c r="BR51" s="19" t="b">
        <f t="shared" si="23"/>
        <v>0</v>
      </c>
      <c r="BS51" s="19" t="b">
        <f t="shared" si="24"/>
        <v>0</v>
      </c>
    </row>
    <row r="52" spans="2:71" ht="15.95" customHeight="1" x14ac:dyDescent="0.2">
      <c r="B52" s="248" t="str">
        <f>IF(Calc!$F$26=0,"",IF(OR($C52&gt;Calc!$B$24,MOD($C52-1,Calc!$F$26)&gt;0),"",QUOTIENT($C52-1,Calc!$F$26)+1))</f>
        <v/>
      </c>
      <c r="C52" s="244">
        <v>44</v>
      </c>
      <c r="D52" s="142">
        <f>IF(Planning!$T50="","",Planning!$T50)</f>
        <v>45927</v>
      </c>
      <c r="E52" s="143">
        <f>IF(Planning!$U50="","",Planning!$U50)</f>
        <v>0.64583333333333337</v>
      </c>
      <c r="F52" s="161" t="str">
        <f>Planning!$Q50</f>
        <v>Borussia Mönchengladbach</v>
      </c>
      <c r="G52" s="162" t="s">
        <v>4</v>
      </c>
      <c r="H52" s="161" t="str">
        <f>Planning!$S50</f>
        <v>1. FSV Mainz 05</v>
      </c>
      <c r="I52" s="163">
        <v>17</v>
      </c>
      <c r="J52" s="315" t="str">
        <f>Language!$E$90</f>
        <v xml:space="preserve"> - </v>
      </c>
      <c r="K52" s="318">
        <v>25</v>
      </c>
      <c r="L52" s="163">
        <v>22</v>
      </c>
      <c r="M52" s="360" t="str">
        <f>Language!$E$90</f>
        <v xml:space="preserve"> - </v>
      </c>
      <c r="N52" s="318">
        <v>25</v>
      </c>
      <c r="O52" s="163"/>
      <c r="P52" s="360" t="str">
        <f>Language!$E$90</f>
        <v xml:space="preserve"> - </v>
      </c>
      <c r="Q52" s="318"/>
      <c r="R52" s="354">
        <f t="shared" si="16"/>
        <v>0</v>
      </c>
      <c r="S52" s="357" t="str">
        <f>Language!$E$90</f>
        <v xml:space="preserve"> - </v>
      </c>
      <c r="T52" s="321">
        <f t="shared" si="17"/>
        <v>2</v>
      </c>
      <c r="U52" s="294"/>
      <c r="V52" s="295"/>
      <c r="X52" s="125"/>
      <c r="Y52" s="193"/>
      <c r="Z52" s="180"/>
      <c r="AA52" s="180"/>
      <c r="AB52" s="180"/>
      <c r="AC52" s="180"/>
      <c r="AD52" s="180"/>
      <c r="AE52" s="180"/>
      <c r="AF52" s="180"/>
      <c r="AG52" s="180"/>
      <c r="AH52" s="180"/>
      <c r="AI52" s="180"/>
      <c r="AJ52" s="180"/>
      <c r="AK52" s="180"/>
      <c r="AL52" s="180"/>
      <c r="AM52" s="180"/>
      <c r="AN52" s="180"/>
      <c r="AO52" s="180"/>
      <c r="AP52" s="197">
        <f t="shared" si="27"/>
        <v>18</v>
      </c>
      <c r="AQ52" s="198" t="str">
        <f t="shared" si="28"/>
        <v>Borussia Mönchengladbach</v>
      </c>
      <c r="AR52" s="151" t="str">
        <f>IFERROR(VLOOKUP($Y26&amp;AR$8,Calc2!$Q$4:$S$763,Settings!$H$29,0),"")</f>
        <v/>
      </c>
      <c r="AS52" s="146" t="str">
        <f>IFERROR(VLOOKUP($Y26&amp;AS$8,Calc2!$Q$4:$S$763,Settings!$H$29,0),"")</f>
        <v/>
      </c>
      <c r="AT52" s="146" t="str">
        <f>IFERROR(VLOOKUP($Y26&amp;AT$8,Calc2!$Q$4:$S$763,Settings!$H$29,0),"")</f>
        <v/>
      </c>
      <c r="AU52" s="146" t="str">
        <f>IFERROR(VLOOKUP($Y26&amp;AU$8,Calc2!$Q$4:$S$763,Settings!$H$29,0),"")</f>
        <v/>
      </c>
      <c r="AV52" s="146" t="str">
        <f>IFERROR(VLOOKUP($Y26&amp;AV$8,Calc2!$Q$4:$S$763,Settings!$H$29,0),"")</f>
        <v/>
      </c>
      <c r="AW52" s="146" t="str">
        <f>IFERROR(VLOOKUP($Y26&amp;AW$8,Calc2!$Q$4:$S$763,Settings!$H$29,0),"")</f>
        <v/>
      </c>
      <c r="AX52" s="146" t="str">
        <f>IFERROR(VLOOKUP($Y26&amp;AX$8,Calc2!$Q$4:$S$763,Settings!$H$29,0),"")</f>
        <v/>
      </c>
      <c r="AY52" s="146" t="str">
        <f>IFERROR(VLOOKUP($Y26&amp;AY$8,Calc2!$Q$4:$S$763,Settings!$H$29,0),"")</f>
        <v/>
      </c>
      <c r="AZ52" s="146" t="str">
        <f>IFERROR(VLOOKUP($Y26&amp;AZ$8,Calc2!$Q$4:$S$763,Settings!$H$29,0),"")</f>
        <v/>
      </c>
      <c r="BA52" s="146" t="str">
        <f>IFERROR(VLOOKUP($Y26&amp;BA$8,Calc2!$Q$4:$S$763,Settings!$H$29,0),"")</f>
        <v/>
      </c>
      <c r="BB52" s="146" t="str">
        <f>IFERROR(VLOOKUP($Y26&amp;BB$8,Calc2!$Q$4:$S$763,Settings!$H$29,0),"")</f>
        <v/>
      </c>
      <c r="BC52" s="146" t="str">
        <f>IFERROR(VLOOKUP($Y26&amp;BC$8,Calc2!$Q$4:$S$763,Settings!$H$29,0),"")</f>
        <v/>
      </c>
      <c r="BD52" s="146" t="str">
        <f>IFERROR(VLOOKUP($Y26&amp;BD$8,Calc2!$Q$4:$S$763,Settings!$H$29,0),"")</f>
        <v/>
      </c>
      <c r="BE52" s="146" t="str">
        <f>IFERROR(VLOOKUP($Y26&amp;BE$8,Calc2!$Q$4:$S$763,Settings!$H$29,0),"")</f>
        <v/>
      </c>
      <c r="BF52" s="146" t="str">
        <f>IFERROR(VLOOKUP($Y26&amp;BF$8,Calc2!$Q$4:$S$763,Settings!$H$29,0),"")</f>
        <v/>
      </c>
      <c r="BG52" s="146" t="str">
        <f>IFERROR(VLOOKUP($Y26&amp;BG$8,Calc2!$Q$4:$S$763,Settings!$H$29,0),"")</f>
        <v/>
      </c>
      <c r="BH52" s="146" t="str">
        <f>IFERROR(VLOOKUP($Y26&amp;BH$8,Calc2!$Q$4:$S$763,Settings!$H$29,0),"")</f>
        <v/>
      </c>
      <c r="BI52" s="152"/>
      <c r="BJ52" s="146" t="str">
        <f>IFERROR(VLOOKUP($Y26&amp;BJ$8,Calc2!$Q$4:$S$763,Settings!$H$29,0),"")</f>
        <v/>
      </c>
      <c r="BK52" s="153" t="str">
        <f>IFERROR(VLOOKUP($Y26&amp;BK$8,Calc2!$Q$4:$S$763,Settings!$H$29,0),"")</f>
        <v/>
      </c>
      <c r="BL52" s="180"/>
      <c r="BM52" s="193" t="b">
        <f t="shared" si="18"/>
        <v>0</v>
      </c>
      <c r="BN52" s="19" t="b">
        <f t="shared" si="19"/>
        <v>0</v>
      </c>
      <c r="BO52" s="19" t="b">
        <f t="shared" si="20"/>
        <v>0</v>
      </c>
      <c r="BP52" s="19" t="b">
        <f t="shared" si="21"/>
        <v>1</v>
      </c>
      <c r="BQ52" s="19" t="b">
        <f t="shared" si="22"/>
        <v>0</v>
      </c>
      <c r="BR52" s="19" t="b">
        <f t="shared" si="23"/>
        <v>0</v>
      </c>
      <c r="BS52" s="19" t="b">
        <f t="shared" si="24"/>
        <v>0</v>
      </c>
    </row>
    <row r="53" spans="2:71" ht="15.95" customHeight="1" x14ac:dyDescent="0.2">
      <c r="B53" s="248" t="str">
        <f>IF(Calc!$F$26=0,"",IF(OR($C53&gt;Calc!$B$24,MOD($C53-1,Calc!$F$26)&gt;0),"",QUOTIENT($C53-1,Calc!$F$26)+1))</f>
        <v/>
      </c>
      <c r="C53" s="244">
        <v>45</v>
      </c>
      <c r="D53" s="142">
        <f>IF(Planning!$T51="","",Planning!$T51)</f>
        <v>45927</v>
      </c>
      <c r="E53" s="143">
        <f>IF(Planning!$U51="","",Planning!$U51)</f>
        <v>0.64583333333333337</v>
      </c>
      <c r="F53" s="161" t="str">
        <f>Planning!$Q51</f>
        <v>Bayer 04 Leverkusen</v>
      </c>
      <c r="G53" s="162" t="s">
        <v>4</v>
      </c>
      <c r="H53" s="161" t="str">
        <f>Planning!$S51</f>
        <v>Borussia Dortmund</v>
      </c>
      <c r="I53" s="163">
        <v>14</v>
      </c>
      <c r="J53" s="315" t="str">
        <f>Language!$E$90</f>
        <v xml:space="preserve"> - </v>
      </c>
      <c r="K53" s="318">
        <v>25</v>
      </c>
      <c r="L53" s="163">
        <v>12</v>
      </c>
      <c r="M53" s="360" t="str">
        <f>Language!$E$90</f>
        <v xml:space="preserve"> - </v>
      </c>
      <c r="N53" s="318">
        <v>25</v>
      </c>
      <c r="O53" s="163"/>
      <c r="P53" s="360" t="str">
        <f>Language!$E$90</f>
        <v xml:space="preserve"> - </v>
      </c>
      <c r="Q53" s="318"/>
      <c r="R53" s="354">
        <f t="shared" si="16"/>
        <v>0</v>
      </c>
      <c r="S53" s="357" t="str">
        <f>Language!$E$90</f>
        <v xml:space="preserve"> - </v>
      </c>
      <c r="T53" s="321">
        <f t="shared" si="17"/>
        <v>2</v>
      </c>
      <c r="U53" s="294"/>
      <c r="V53" s="295"/>
      <c r="X53" s="125"/>
      <c r="Y53" s="193"/>
      <c r="Z53" s="180"/>
      <c r="AA53" s="180"/>
      <c r="AB53" s="180"/>
      <c r="AC53" s="180"/>
      <c r="AD53" s="180"/>
      <c r="AE53" s="180"/>
      <c r="AF53" s="180"/>
      <c r="AG53" s="180"/>
      <c r="AH53" s="180"/>
      <c r="AI53" s="180"/>
      <c r="AJ53" s="180"/>
      <c r="AK53" s="180"/>
      <c r="AL53" s="180"/>
      <c r="AM53" s="180"/>
      <c r="AN53" s="180"/>
      <c r="AO53" s="180"/>
      <c r="AP53" s="197">
        <f t="shared" si="27"/>
        <v>19</v>
      </c>
      <c r="AQ53" s="198" t="str">
        <f t="shared" si="28"/>
        <v/>
      </c>
      <c r="AR53" s="151" t="str">
        <f>IFERROR(VLOOKUP($Y27&amp;AR$8,Calc2!$Q$4:$S$763,Settings!$H$29,0),"")</f>
        <v/>
      </c>
      <c r="AS53" s="146" t="str">
        <f>IFERROR(VLOOKUP($Y27&amp;AS$8,Calc2!$Q$4:$S$763,Settings!$H$29,0),"")</f>
        <v/>
      </c>
      <c r="AT53" s="146" t="str">
        <f>IFERROR(VLOOKUP($Y27&amp;AT$8,Calc2!$Q$4:$S$763,Settings!$H$29,0),"")</f>
        <v/>
      </c>
      <c r="AU53" s="146" t="str">
        <f>IFERROR(VLOOKUP($Y27&amp;AU$8,Calc2!$Q$4:$S$763,Settings!$H$29,0),"")</f>
        <v/>
      </c>
      <c r="AV53" s="146" t="str">
        <f>IFERROR(VLOOKUP($Y27&amp;AV$8,Calc2!$Q$4:$S$763,Settings!$H$29,0),"")</f>
        <v/>
      </c>
      <c r="AW53" s="146" t="str">
        <f>IFERROR(VLOOKUP($Y27&amp;AW$8,Calc2!$Q$4:$S$763,Settings!$H$29,0),"")</f>
        <v/>
      </c>
      <c r="AX53" s="146" t="str">
        <f>IFERROR(VLOOKUP($Y27&amp;AX$8,Calc2!$Q$4:$S$763,Settings!$H$29,0),"")</f>
        <v/>
      </c>
      <c r="AY53" s="146" t="str">
        <f>IFERROR(VLOOKUP($Y27&amp;AY$8,Calc2!$Q$4:$S$763,Settings!$H$29,0),"")</f>
        <v/>
      </c>
      <c r="AZ53" s="146" t="str">
        <f>IFERROR(VLOOKUP($Y27&amp;AZ$8,Calc2!$Q$4:$S$763,Settings!$H$29,0),"")</f>
        <v/>
      </c>
      <c r="BA53" s="146" t="str">
        <f>IFERROR(VLOOKUP($Y27&amp;BA$8,Calc2!$Q$4:$S$763,Settings!$H$29,0),"")</f>
        <v/>
      </c>
      <c r="BB53" s="146" t="str">
        <f>IFERROR(VLOOKUP($Y27&amp;BB$8,Calc2!$Q$4:$S$763,Settings!$H$29,0),"")</f>
        <v/>
      </c>
      <c r="BC53" s="146" t="str">
        <f>IFERROR(VLOOKUP($Y27&amp;BC$8,Calc2!$Q$4:$S$763,Settings!$H$29,0),"")</f>
        <v/>
      </c>
      <c r="BD53" s="146" t="str">
        <f>IFERROR(VLOOKUP($Y27&amp;BD$8,Calc2!$Q$4:$S$763,Settings!$H$29,0),"")</f>
        <v/>
      </c>
      <c r="BE53" s="146" t="str">
        <f>IFERROR(VLOOKUP($Y27&amp;BE$8,Calc2!$Q$4:$S$763,Settings!$H$29,0),"")</f>
        <v/>
      </c>
      <c r="BF53" s="146" t="str">
        <f>IFERROR(VLOOKUP($Y27&amp;BF$8,Calc2!$Q$4:$S$763,Settings!$H$29,0),"")</f>
        <v/>
      </c>
      <c r="BG53" s="146" t="str">
        <f>IFERROR(VLOOKUP($Y27&amp;BG$8,Calc2!$Q$4:$S$763,Settings!$H$29,0),"")</f>
        <v/>
      </c>
      <c r="BH53" s="146" t="str">
        <f>IFERROR(VLOOKUP($Y27&amp;BH$8,Calc2!$Q$4:$S$763,Settings!$H$29,0),"")</f>
        <v/>
      </c>
      <c r="BI53" s="146" t="str">
        <f>IFERROR(VLOOKUP($Y27&amp;BI$8,Calc2!$Q$4:$S$763,Settings!$H$29,0),"")</f>
        <v/>
      </c>
      <c r="BJ53" s="152"/>
      <c r="BK53" s="153" t="str">
        <f>IFERROR(VLOOKUP($Y27&amp;BK$8,Calc2!$Q$4:$S$763,Settings!$H$29,0),"")</f>
        <v/>
      </c>
      <c r="BL53" s="180"/>
      <c r="BM53" s="193" t="b">
        <f t="shared" si="18"/>
        <v>0</v>
      </c>
      <c r="BN53" s="19" t="b">
        <f t="shared" si="19"/>
        <v>0</v>
      </c>
      <c r="BO53" s="19" t="b">
        <f t="shared" si="20"/>
        <v>0</v>
      </c>
      <c r="BP53" s="19" t="b">
        <f t="shared" si="21"/>
        <v>1</v>
      </c>
      <c r="BQ53" s="19" t="b">
        <f t="shared" si="22"/>
        <v>0</v>
      </c>
      <c r="BR53" s="19" t="b">
        <f t="shared" si="23"/>
        <v>0</v>
      </c>
      <c r="BS53" s="19" t="b">
        <f t="shared" si="24"/>
        <v>0</v>
      </c>
    </row>
    <row r="54" spans="2:71" ht="15.95" customHeight="1" thickBot="1" x14ac:dyDescent="0.25">
      <c r="B54" s="248">
        <f>IF(Calc!$F$26=0,"",IF(OR($C54&gt;Calc!$B$24,MOD($C54-1,Calc!$F$26)&gt;0),"",QUOTIENT($C54-1,Calc!$F$26)+1))</f>
        <v>6</v>
      </c>
      <c r="C54" s="244">
        <v>46</v>
      </c>
      <c r="D54" s="142">
        <f>IF(Planning!$T52="","",Planning!$T52)</f>
        <v>45934</v>
      </c>
      <c r="E54" s="143">
        <f>IF(Planning!$U52="","",Planning!$U52)</f>
        <v>0.64583333333333337</v>
      </c>
      <c r="F54" s="161" t="str">
        <f>Planning!$Q52</f>
        <v>RB Leipzig</v>
      </c>
      <c r="G54" s="162" t="s">
        <v>4</v>
      </c>
      <c r="H54" s="161" t="str">
        <f>Planning!$S52</f>
        <v>1. FC Heidenheim 1846</v>
      </c>
      <c r="I54" s="163"/>
      <c r="J54" s="315" t="str">
        <f>Language!$E$90</f>
        <v xml:space="preserve"> - </v>
      </c>
      <c r="K54" s="318"/>
      <c r="L54" s="163"/>
      <c r="M54" s="360" t="str">
        <f>Language!$E$90</f>
        <v xml:space="preserve"> - </v>
      </c>
      <c r="N54" s="318"/>
      <c r="O54" s="163"/>
      <c r="P54" s="360" t="str">
        <f>Language!$E$90</f>
        <v xml:space="preserve"> - </v>
      </c>
      <c r="Q54" s="318"/>
      <c r="R54" s="354" t="str">
        <f t="shared" si="16"/>
        <v/>
      </c>
      <c r="S54" s="357" t="str">
        <f>Language!$E$90</f>
        <v xml:space="preserve"> - </v>
      </c>
      <c r="T54" s="321" t="str">
        <f t="shared" si="17"/>
        <v/>
      </c>
      <c r="U54" s="294"/>
      <c r="V54" s="295"/>
      <c r="X54" s="126"/>
      <c r="Y54" s="193"/>
      <c r="Z54" s="180"/>
      <c r="AA54" s="180"/>
      <c r="AB54" s="180"/>
      <c r="AC54" s="180"/>
      <c r="AD54" s="180"/>
      <c r="AE54" s="180"/>
      <c r="AF54" s="180"/>
      <c r="AG54" s="180"/>
      <c r="AH54" s="180"/>
      <c r="AI54" s="180"/>
      <c r="AJ54" s="180"/>
      <c r="AK54" s="180"/>
      <c r="AL54" s="180"/>
      <c r="AM54" s="180"/>
      <c r="AN54" s="180"/>
      <c r="AO54" s="180"/>
      <c r="AP54" s="199">
        <f t="shared" si="27"/>
        <v>19</v>
      </c>
      <c r="AQ54" s="200" t="str">
        <f t="shared" si="28"/>
        <v/>
      </c>
      <c r="AR54" s="159" t="str">
        <f>IFERROR(VLOOKUP($Y28&amp;AR$8,Calc2!$Q$4:$S$763,Settings!$H$29,0),"")</f>
        <v/>
      </c>
      <c r="AS54" s="154" t="str">
        <f>IFERROR(VLOOKUP($Y28&amp;AS$8,Calc2!$Q$4:$S$763,Settings!$H$29,0),"")</f>
        <v/>
      </c>
      <c r="AT54" s="154" t="str">
        <f>IFERROR(VLOOKUP($Y28&amp;AT$8,Calc2!$Q$4:$S$763,Settings!$H$29,0),"")</f>
        <v/>
      </c>
      <c r="AU54" s="154" t="str">
        <f>IFERROR(VLOOKUP($Y28&amp;AU$8,Calc2!$Q$4:$S$763,Settings!$H$29,0),"")</f>
        <v/>
      </c>
      <c r="AV54" s="154" t="str">
        <f>IFERROR(VLOOKUP($Y28&amp;AV$8,Calc2!$Q$4:$S$763,Settings!$H$29,0),"")</f>
        <v/>
      </c>
      <c r="AW54" s="154" t="str">
        <f>IFERROR(VLOOKUP($Y28&amp;AW$8,Calc2!$Q$4:$S$763,Settings!$H$29,0),"")</f>
        <v/>
      </c>
      <c r="AX54" s="154" t="str">
        <f>IFERROR(VLOOKUP($Y28&amp;AX$8,Calc2!$Q$4:$S$763,Settings!$H$29,0),"")</f>
        <v/>
      </c>
      <c r="AY54" s="154" t="str">
        <f>IFERROR(VLOOKUP($Y28&amp;AY$8,Calc2!$Q$4:$S$763,Settings!$H$29,0),"")</f>
        <v/>
      </c>
      <c r="AZ54" s="154" t="str">
        <f>IFERROR(VLOOKUP($Y28&amp;AZ$8,Calc2!$Q$4:$S$763,Settings!$H$29,0),"")</f>
        <v/>
      </c>
      <c r="BA54" s="154" t="str">
        <f>IFERROR(VLOOKUP($Y28&amp;BA$8,Calc2!$Q$4:$S$763,Settings!$H$29,0),"")</f>
        <v/>
      </c>
      <c r="BB54" s="154" t="str">
        <f>IFERROR(VLOOKUP($Y28&amp;BB$8,Calc2!$Q$4:$S$763,Settings!$H$29,0),"")</f>
        <v/>
      </c>
      <c r="BC54" s="154" t="str">
        <f>IFERROR(VLOOKUP($Y28&amp;BC$8,Calc2!$Q$4:$S$763,Settings!$H$29,0),"")</f>
        <v/>
      </c>
      <c r="BD54" s="154" t="str">
        <f>IFERROR(VLOOKUP($Y28&amp;BD$8,Calc2!$Q$4:$S$763,Settings!$H$29,0),"")</f>
        <v/>
      </c>
      <c r="BE54" s="154" t="str">
        <f>IFERROR(VLOOKUP($Y28&amp;BE$8,Calc2!$Q$4:$S$763,Settings!$H$29,0),"")</f>
        <v/>
      </c>
      <c r="BF54" s="154" t="str">
        <f>IFERROR(VLOOKUP($Y28&amp;BF$8,Calc2!$Q$4:$S$763,Settings!$H$29,0),"")</f>
        <v/>
      </c>
      <c r="BG54" s="154" t="str">
        <f>IFERROR(VLOOKUP($Y28&amp;BG$8,Calc2!$Q$4:$S$763,Settings!$H$29,0),"")</f>
        <v/>
      </c>
      <c r="BH54" s="154" t="str">
        <f>IFERROR(VLOOKUP($Y28&amp;BH$8,Calc2!$Q$4:$S$763,Settings!$H$29,0),"")</f>
        <v/>
      </c>
      <c r="BI54" s="154" t="str">
        <f>IFERROR(VLOOKUP($Y28&amp;BI$8,Calc2!$Q$4:$S$763,Settings!$H$29,0),"")</f>
        <v/>
      </c>
      <c r="BJ54" s="154" t="str">
        <f>IFERROR(VLOOKUP($Y28&amp;BJ$8,Calc2!$Q$4:$S$763,Settings!$H$29,0),"")</f>
        <v/>
      </c>
      <c r="BK54" s="160"/>
      <c r="BL54" s="180"/>
      <c r="BM54" s="193" t="b">
        <f t="shared" si="18"/>
        <v>1</v>
      </c>
      <c r="BN54" s="19" t="b">
        <f t="shared" si="19"/>
        <v>1</v>
      </c>
      <c r="BO54" s="19" t="b">
        <f t="shared" si="20"/>
        <v>1</v>
      </c>
      <c r="BP54" s="19" t="b">
        <f t="shared" si="21"/>
        <v>1</v>
      </c>
      <c r="BQ54" s="19" t="b">
        <f t="shared" si="22"/>
        <v>0</v>
      </c>
      <c r="BR54" s="19" t="b">
        <f t="shared" si="23"/>
        <v>0</v>
      </c>
      <c r="BS54" s="19" t="b">
        <f t="shared" si="24"/>
        <v>0</v>
      </c>
    </row>
    <row r="55" spans="2:71" ht="15.95" customHeight="1" x14ac:dyDescent="0.2">
      <c r="B55" s="248" t="str">
        <f>IF(Calc!$F$26=0,"",IF(OR($C55&gt;Calc!$B$24,MOD($C55-1,Calc!$F$26)&gt;0),"",QUOTIENT($C55-1,Calc!$F$26)+1))</f>
        <v/>
      </c>
      <c r="C55" s="244">
        <v>47</v>
      </c>
      <c r="D55" s="142">
        <f>IF(Planning!$T53="","",Planning!$T53)</f>
        <v>45934</v>
      </c>
      <c r="E55" s="143">
        <f>IF(Planning!$U53="","",Planning!$U53)</f>
        <v>0.64583333333333337</v>
      </c>
      <c r="F55" s="161" t="str">
        <f>Planning!$Q53</f>
        <v>Hamburger SV</v>
      </c>
      <c r="G55" s="162" t="s">
        <v>4</v>
      </c>
      <c r="H55" s="161" t="str">
        <f>Planning!$S53</f>
        <v>SC Freiburg</v>
      </c>
      <c r="I55" s="163"/>
      <c r="J55" s="315" t="str">
        <f>Language!$E$90</f>
        <v xml:space="preserve"> - </v>
      </c>
      <c r="K55" s="318"/>
      <c r="L55" s="163"/>
      <c r="M55" s="360" t="str">
        <f>Language!$E$90</f>
        <v xml:space="preserve"> - </v>
      </c>
      <c r="N55" s="318"/>
      <c r="O55" s="163"/>
      <c r="P55" s="360" t="str">
        <f>Language!$E$90</f>
        <v xml:space="preserve"> - </v>
      </c>
      <c r="Q55" s="318"/>
      <c r="R55" s="354" t="str">
        <f t="shared" si="16"/>
        <v/>
      </c>
      <c r="S55" s="357" t="str">
        <f>Language!$E$90</f>
        <v xml:space="preserve"> - </v>
      </c>
      <c r="T55" s="321" t="str">
        <f t="shared" si="17"/>
        <v/>
      </c>
      <c r="U55" s="294"/>
      <c r="V55" s="295"/>
      <c r="X55" s="127"/>
      <c r="Y55" s="193"/>
      <c r="Z55" s="180"/>
      <c r="AA55" s="180"/>
      <c r="AB55" s="180"/>
      <c r="AC55" s="180"/>
      <c r="AD55" s="180"/>
      <c r="AE55" s="180"/>
      <c r="AF55" s="180"/>
      <c r="AG55" s="180"/>
      <c r="AH55" s="180"/>
      <c r="AI55" s="180"/>
      <c r="AJ55" s="180"/>
      <c r="AK55" s="180"/>
      <c r="AL55" s="180"/>
      <c r="AM55" s="180"/>
      <c r="AN55" s="180"/>
      <c r="AO55" s="180"/>
      <c r="BM55" s="193" t="b">
        <f t="shared" si="18"/>
        <v>1</v>
      </c>
      <c r="BN55" s="19" t="b">
        <f t="shared" si="19"/>
        <v>1</v>
      </c>
      <c r="BO55" s="19" t="b">
        <f t="shared" si="20"/>
        <v>1</v>
      </c>
      <c r="BP55" s="19" t="b">
        <f t="shared" si="21"/>
        <v>1</v>
      </c>
      <c r="BQ55" s="19" t="b">
        <f t="shared" si="22"/>
        <v>0</v>
      </c>
      <c r="BR55" s="19" t="b">
        <f t="shared" si="23"/>
        <v>0</v>
      </c>
      <c r="BS55" s="19" t="b">
        <f t="shared" si="24"/>
        <v>0</v>
      </c>
    </row>
    <row r="56" spans="2:71" ht="15.95" customHeight="1" x14ac:dyDescent="0.2">
      <c r="B56" s="248" t="str">
        <f>IF(Calc!$F$26=0,"",IF(OR($C56&gt;Calc!$B$24,MOD($C56-1,Calc!$F$26)&gt;0),"",QUOTIENT($C56-1,Calc!$F$26)+1))</f>
        <v/>
      </c>
      <c r="C56" s="244">
        <v>48</v>
      </c>
      <c r="D56" s="142">
        <f>IF(Planning!$T54="","",Planning!$T54)</f>
        <v>45934</v>
      </c>
      <c r="E56" s="143">
        <f>IF(Planning!$U54="","",Planning!$U54)</f>
        <v>0.64583333333333337</v>
      </c>
      <c r="F56" s="161" t="str">
        <f>Planning!$Q54</f>
        <v>SV Werder Bremen</v>
      </c>
      <c r="G56" s="162" t="s">
        <v>4</v>
      </c>
      <c r="H56" s="161" t="str">
        <f>Planning!$S54</f>
        <v>FC St. Pauli</v>
      </c>
      <c r="I56" s="163"/>
      <c r="J56" s="315" t="str">
        <f>Language!$E$90</f>
        <v xml:space="preserve"> - </v>
      </c>
      <c r="K56" s="318"/>
      <c r="L56" s="163"/>
      <c r="M56" s="360" t="str">
        <f>Language!$E$90</f>
        <v xml:space="preserve"> - </v>
      </c>
      <c r="N56" s="318"/>
      <c r="O56" s="163"/>
      <c r="P56" s="360" t="str">
        <f>Language!$E$90</f>
        <v xml:space="preserve"> - </v>
      </c>
      <c r="Q56" s="318"/>
      <c r="R56" s="354" t="str">
        <f t="shared" si="16"/>
        <v/>
      </c>
      <c r="S56" s="357" t="str">
        <f>Language!$E$90</f>
        <v xml:space="preserve"> - </v>
      </c>
      <c r="T56" s="321" t="str">
        <f t="shared" si="17"/>
        <v/>
      </c>
      <c r="U56" s="294"/>
      <c r="V56" s="295"/>
      <c r="X56" s="137"/>
      <c r="Y56" s="193"/>
      <c r="Z56" s="180"/>
      <c r="AA56" s="180"/>
      <c r="AB56" s="180"/>
      <c r="AC56" s="180"/>
      <c r="AD56" s="180"/>
      <c r="AE56" s="180"/>
      <c r="AF56" s="180"/>
      <c r="AG56" s="180"/>
      <c r="AH56" s="180"/>
      <c r="AI56" s="180"/>
      <c r="AJ56" s="180"/>
      <c r="AK56" s="180"/>
      <c r="AL56" s="180"/>
      <c r="AM56" s="180"/>
      <c r="AN56" s="180"/>
      <c r="AO56" s="180"/>
      <c r="BM56" s="193" t="b">
        <f t="shared" si="18"/>
        <v>1</v>
      </c>
      <c r="BN56" s="19" t="b">
        <f t="shared" si="19"/>
        <v>1</v>
      </c>
      <c r="BO56" s="19" t="b">
        <f t="shared" si="20"/>
        <v>1</v>
      </c>
      <c r="BP56" s="19" t="b">
        <f t="shared" si="21"/>
        <v>1</v>
      </c>
      <c r="BQ56" s="19" t="b">
        <f t="shared" si="22"/>
        <v>0</v>
      </c>
      <c r="BR56" s="19" t="b">
        <f t="shared" si="23"/>
        <v>0</v>
      </c>
      <c r="BS56" s="19" t="b">
        <f t="shared" si="24"/>
        <v>0</v>
      </c>
    </row>
    <row r="57" spans="2:71" ht="15.95" customHeight="1" x14ac:dyDescent="0.2">
      <c r="B57" s="248" t="str">
        <f>IF(Calc!$F$26=0,"",IF(OR($C57&gt;Calc!$B$24,MOD($C57-1,Calc!$F$26)&gt;0),"",QUOTIENT($C57-1,Calc!$F$26)+1))</f>
        <v/>
      </c>
      <c r="C57" s="244">
        <v>49</v>
      </c>
      <c r="D57" s="142">
        <f>IF(Planning!$T55="","",Planning!$T55)</f>
        <v>45934</v>
      </c>
      <c r="E57" s="143">
        <f>IF(Planning!$U55="","",Planning!$U55)</f>
        <v>0.64583333333333337</v>
      </c>
      <c r="F57" s="161" t="str">
        <f>Planning!$Q55</f>
        <v>FC Bayern München</v>
      </c>
      <c r="G57" s="162" t="s">
        <v>4</v>
      </c>
      <c r="H57" s="161" t="str">
        <f>Planning!$S55</f>
        <v>TSG Hoffenheim</v>
      </c>
      <c r="I57" s="163"/>
      <c r="J57" s="315" t="str">
        <f>Language!$E$90</f>
        <v xml:space="preserve"> - </v>
      </c>
      <c r="K57" s="318"/>
      <c r="L57" s="163"/>
      <c r="M57" s="360" t="str">
        <f>Language!$E$90</f>
        <v xml:space="preserve"> - </v>
      </c>
      <c r="N57" s="318"/>
      <c r="O57" s="163"/>
      <c r="P57" s="360" t="str">
        <f>Language!$E$90</f>
        <v xml:space="preserve"> - </v>
      </c>
      <c r="Q57" s="318"/>
      <c r="R57" s="354" t="str">
        <f t="shared" si="16"/>
        <v/>
      </c>
      <c r="S57" s="357" t="str">
        <f>Language!$E$90</f>
        <v xml:space="preserve"> - </v>
      </c>
      <c r="T57" s="321" t="str">
        <f t="shared" si="17"/>
        <v/>
      </c>
      <c r="U57" s="294"/>
      <c r="V57" s="295"/>
      <c r="X57" s="127"/>
      <c r="Y57" s="131"/>
      <c r="Z57" s="132"/>
      <c r="AA57" s="132"/>
      <c r="AB57" s="132"/>
      <c r="AC57" s="132"/>
      <c r="AD57" s="132"/>
      <c r="AE57" s="132"/>
      <c r="AF57" s="132"/>
      <c r="AG57" s="132"/>
      <c r="AH57" s="133"/>
      <c r="AI57" s="132"/>
      <c r="AJ57" s="131"/>
      <c r="AK57" s="132"/>
      <c r="AL57" s="134"/>
      <c r="AM57" s="283"/>
      <c r="AN57" s="132"/>
      <c r="AO57" s="134"/>
      <c r="AP57" s="134"/>
      <c r="AQ57" s="132"/>
      <c r="AR57" s="132"/>
      <c r="AS57" s="132"/>
      <c r="AT57" s="132"/>
      <c r="AU57" s="132"/>
      <c r="AV57" s="132"/>
      <c r="AW57" s="132"/>
      <c r="AX57" s="132"/>
      <c r="AY57" s="132"/>
      <c r="AZ57" s="132"/>
      <c r="BA57" s="132"/>
      <c r="BB57" s="132"/>
      <c r="BC57" s="132"/>
      <c r="BD57" s="132"/>
      <c r="BE57" s="132"/>
      <c r="BF57" s="132"/>
      <c r="BG57" s="132"/>
      <c r="BH57" s="132"/>
      <c r="BI57" s="132"/>
      <c r="BJ57" s="132"/>
      <c r="BK57" s="132"/>
      <c r="BL57" s="132"/>
      <c r="BM57" s="193" t="b">
        <f t="shared" si="18"/>
        <v>1</v>
      </c>
      <c r="BN57" s="19" t="b">
        <f t="shared" si="19"/>
        <v>1</v>
      </c>
      <c r="BO57" s="19" t="b">
        <f t="shared" si="20"/>
        <v>1</v>
      </c>
      <c r="BP57" s="19" t="b">
        <f t="shared" si="21"/>
        <v>1</v>
      </c>
      <c r="BQ57" s="19" t="b">
        <f t="shared" si="22"/>
        <v>0</v>
      </c>
      <c r="BR57" s="19" t="b">
        <f t="shared" si="23"/>
        <v>0</v>
      </c>
      <c r="BS57" s="19" t="b">
        <f t="shared" si="24"/>
        <v>0</v>
      </c>
    </row>
    <row r="58" spans="2:71" ht="15.95" customHeight="1" x14ac:dyDescent="0.2">
      <c r="B58" s="248" t="str">
        <f>IF(Calc!$F$26=0,"",IF(OR($C58&gt;Calc!$B$24,MOD($C58-1,Calc!$F$26)&gt;0),"",QUOTIENT($C58-1,Calc!$F$26)+1))</f>
        <v/>
      </c>
      <c r="C58" s="244">
        <v>50</v>
      </c>
      <c r="D58" s="142">
        <f>IF(Planning!$T56="","",Planning!$T56)</f>
        <v>45934</v>
      </c>
      <c r="E58" s="143">
        <f>IF(Planning!$U56="","",Planning!$U56)</f>
        <v>0.64583333333333337</v>
      </c>
      <c r="F58" s="161" t="str">
        <f>Planning!$Q56</f>
        <v>VfB Stuttgart</v>
      </c>
      <c r="G58" s="162" t="s">
        <v>4</v>
      </c>
      <c r="H58" s="161" t="str">
        <f>Planning!$S56</f>
        <v>FC Augsburg</v>
      </c>
      <c r="I58" s="163"/>
      <c r="J58" s="315" t="str">
        <f>Language!$E$90</f>
        <v xml:space="preserve"> - </v>
      </c>
      <c r="K58" s="318"/>
      <c r="L58" s="163"/>
      <c r="M58" s="360" t="str">
        <f>Language!$E$90</f>
        <v xml:space="preserve"> - </v>
      </c>
      <c r="N58" s="318"/>
      <c r="O58" s="163"/>
      <c r="P58" s="360" t="str">
        <f>Language!$E$90</f>
        <v xml:space="preserve"> - </v>
      </c>
      <c r="Q58" s="318"/>
      <c r="R58" s="354" t="str">
        <f t="shared" si="16"/>
        <v/>
      </c>
      <c r="S58" s="357" t="str">
        <f>Language!$E$90</f>
        <v xml:space="preserve"> - </v>
      </c>
      <c r="T58" s="321" t="str">
        <f t="shared" si="17"/>
        <v/>
      </c>
      <c r="U58" s="294"/>
      <c r="V58" s="295"/>
      <c r="X58" s="127"/>
      <c r="Y58" s="131"/>
      <c r="Z58" s="132"/>
      <c r="AA58" s="132"/>
      <c r="AB58" s="132"/>
      <c r="AC58" s="132"/>
      <c r="AD58" s="132"/>
      <c r="AE58" s="132"/>
      <c r="AF58" s="132"/>
      <c r="AG58" s="132"/>
      <c r="AH58" s="133"/>
      <c r="AI58" s="132"/>
      <c r="AJ58" s="131"/>
      <c r="AK58" s="132"/>
      <c r="AL58" s="134"/>
      <c r="AM58" s="283"/>
      <c r="AN58" s="132"/>
      <c r="AO58" s="134"/>
      <c r="AP58" s="134"/>
      <c r="AQ58" s="132"/>
      <c r="AR58" s="132"/>
      <c r="AS58" s="132"/>
      <c r="AT58" s="132"/>
      <c r="AU58" s="132"/>
      <c r="AV58" s="132"/>
      <c r="AW58" s="132"/>
      <c r="AX58" s="132"/>
      <c r="AY58" s="132"/>
      <c r="AZ58" s="132"/>
      <c r="BA58" s="132"/>
      <c r="BB58" s="132"/>
      <c r="BC58" s="132"/>
      <c r="BD58" s="132"/>
      <c r="BE58" s="132"/>
      <c r="BF58" s="132"/>
      <c r="BG58" s="132"/>
      <c r="BH58" s="132"/>
      <c r="BI58" s="132"/>
      <c r="BJ58" s="132"/>
      <c r="BK58" s="132"/>
      <c r="BL58" s="132"/>
      <c r="BM58" s="193" t="b">
        <f t="shared" si="18"/>
        <v>1</v>
      </c>
      <c r="BN58" s="19" t="b">
        <f t="shared" si="19"/>
        <v>1</v>
      </c>
      <c r="BO58" s="19" t="b">
        <f t="shared" si="20"/>
        <v>1</v>
      </c>
      <c r="BP58" s="19" t="b">
        <f t="shared" si="21"/>
        <v>1</v>
      </c>
      <c r="BQ58" s="19" t="b">
        <f t="shared" si="22"/>
        <v>0</v>
      </c>
      <c r="BR58" s="19" t="b">
        <f t="shared" si="23"/>
        <v>0</v>
      </c>
      <c r="BS58" s="19" t="b">
        <f t="shared" si="24"/>
        <v>0</v>
      </c>
    </row>
    <row r="59" spans="2:71" ht="15.95" customHeight="1" x14ac:dyDescent="0.2">
      <c r="B59" s="248" t="str">
        <f>IF(Calc!$F$26=0,"",IF(OR($C59&gt;Calc!$B$24,MOD($C59-1,Calc!$F$26)&gt;0),"",QUOTIENT($C59-1,Calc!$F$26)+1))</f>
        <v/>
      </c>
      <c r="C59" s="244">
        <v>51</v>
      </c>
      <c r="D59" s="142">
        <f>IF(Planning!$T57="","",Planning!$T57)</f>
        <v>45934</v>
      </c>
      <c r="E59" s="143">
        <f>IF(Planning!$U57="","",Planning!$U57)</f>
        <v>0.64583333333333337</v>
      </c>
      <c r="F59" s="161" t="str">
        <f>Planning!$Q57</f>
        <v>Eintracht Frankfurt</v>
      </c>
      <c r="G59" s="162" t="s">
        <v>4</v>
      </c>
      <c r="H59" s="161" t="str">
        <f>Planning!$S57</f>
        <v>VfL Wolfsburg</v>
      </c>
      <c r="I59" s="163"/>
      <c r="J59" s="315" t="str">
        <f>Language!$E$90</f>
        <v xml:space="preserve"> - </v>
      </c>
      <c r="K59" s="318"/>
      <c r="L59" s="163"/>
      <c r="M59" s="360" t="str">
        <f>Language!$E$90</f>
        <v xml:space="preserve"> - </v>
      </c>
      <c r="N59" s="318"/>
      <c r="O59" s="163"/>
      <c r="P59" s="360" t="str">
        <f>Language!$E$90</f>
        <v xml:space="preserve"> - </v>
      </c>
      <c r="Q59" s="318"/>
      <c r="R59" s="354" t="str">
        <f t="shared" si="16"/>
        <v/>
      </c>
      <c r="S59" s="357" t="str">
        <f>Language!$E$90</f>
        <v xml:space="preserve"> - </v>
      </c>
      <c r="T59" s="321" t="str">
        <f t="shared" si="17"/>
        <v/>
      </c>
      <c r="U59" s="294"/>
      <c r="V59" s="295"/>
      <c r="X59" s="127"/>
      <c r="Y59" s="131"/>
      <c r="Z59" s="132"/>
      <c r="AA59" s="132"/>
      <c r="AB59" s="132"/>
      <c r="AC59" s="132"/>
      <c r="AD59" s="132"/>
      <c r="AE59" s="132"/>
      <c r="AF59" s="132"/>
      <c r="AG59" s="132"/>
      <c r="AH59" s="133"/>
      <c r="AI59" s="132"/>
      <c r="AJ59" s="131"/>
      <c r="AK59" s="132"/>
      <c r="AL59" s="134"/>
      <c r="AM59" s="283"/>
      <c r="AN59" s="132"/>
      <c r="AO59" s="134"/>
      <c r="AP59" s="134"/>
      <c r="AQ59" s="132"/>
      <c r="AR59" s="132"/>
      <c r="AS59" s="132"/>
      <c r="AT59" s="132"/>
      <c r="AU59" s="132"/>
      <c r="AV59" s="132"/>
      <c r="AW59" s="132"/>
      <c r="AX59" s="132"/>
      <c r="AY59" s="132"/>
      <c r="AZ59" s="132"/>
      <c r="BA59" s="132"/>
      <c r="BB59" s="132"/>
      <c r="BC59" s="132"/>
      <c r="BD59" s="132"/>
      <c r="BE59" s="132"/>
      <c r="BF59" s="132"/>
      <c r="BG59" s="132"/>
      <c r="BH59" s="132"/>
      <c r="BI59" s="132"/>
      <c r="BJ59" s="132"/>
      <c r="BK59" s="132"/>
      <c r="BL59" s="132"/>
      <c r="BM59" s="193" t="b">
        <f t="shared" si="18"/>
        <v>1</v>
      </c>
      <c r="BN59" s="19" t="b">
        <f t="shared" si="19"/>
        <v>1</v>
      </c>
      <c r="BO59" s="19" t="b">
        <f t="shared" si="20"/>
        <v>1</v>
      </c>
      <c r="BP59" s="19" t="b">
        <f t="shared" si="21"/>
        <v>1</v>
      </c>
      <c r="BQ59" s="19" t="b">
        <f t="shared" si="22"/>
        <v>0</v>
      </c>
      <c r="BR59" s="19" t="b">
        <f t="shared" si="23"/>
        <v>0</v>
      </c>
      <c r="BS59" s="19" t="b">
        <f t="shared" si="24"/>
        <v>0</v>
      </c>
    </row>
    <row r="60" spans="2:71" ht="15.95" customHeight="1" x14ac:dyDescent="0.2">
      <c r="B60" s="248" t="str">
        <f>IF(Calc!$F$26=0,"",IF(OR($C60&gt;Calc!$B$24,MOD($C60-1,Calc!$F$26)&gt;0),"",QUOTIENT($C60-1,Calc!$F$26)+1))</f>
        <v/>
      </c>
      <c r="C60" s="244">
        <v>52</v>
      </c>
      <c r="D60" s="142">
        <f>IF(Planning!$T58="","",Planning!$T58)</f>
        <v>45934</v>
      </c>
      <c r="E60" s="143">
        <f>IF(Planning!$U58="","",Planning!$U58)</f>
        <v>0.64583333333333337</v>
      </c>
      <c r="F60" s="161" t="str">
        <f>Planning!$Q58</f>
        <v>1. FC Köln</v>
      </c>
      <c r="G60" s="162" t="s">
        <v>4</v>
      </c>
      <c r="H60" s="161" t="str">
        <f>Planning!$S58</f>
        <v>Borussia Mönchengladbach</v>
      </c>
      <c r="I60" s="163"/>
      <c r="J60" s="315" t="str">
        <f>Language!$E$90</f>
        <v xml:space="preserve"> - </v>
      </c>
      <c r="K60" s="318"/>
      <c r="L60" s="163"/>
      <c r="M60" s="360" t="str">
        <f>Language!$E$90</f>
        <v xml:space="preserve"> - </v>
      </c>
      <c r="N60" s="318"/>
      <c r="O60" s="163"/>
      <c r="P60" s="360" t="str">
        <f>Language!$E$90</f>
        <v xml:space="preserve"> - </v>
      </c>
      <c r="Q60" s="318"/>
      <c r="R60" s="354" t="str">
        <f t="shared" si="16"/>
        <v/>
      </c>
      <c r="S60" s="357" t="str">
        <f>Language!$E$90</f>
        <v xml:space="preserve"> - </v>
      </c>
      <c r="T60" s="321" t="str">
        <f t="shared" si="17"/>
        <v/>
      </c>
      <c r="U60" s="294"/>
      <c r="V60" s="295"/>
      <c r="X60" s="127"/>
      <c r="Y60" s="131"/>
      <c r="Z60" s="132"/>
      <c r="AA60" s="132"/>
      <c r="AB60" s="132"/>
      <c r="AC60" s="132"/>
      <c r="AD60" s="132"/>
      <c r="AE60" s="132"/>
      <c r="AF60" s="132"/>
      <c r="AG60" s="132"/>
      <c r="AH60" s="133"/>
      <c r="AI60" s="132"/>
      <c r="AJ60" s="131"/>
      <c r="AK60" s="132"/>
      <c r="AL60" s="134"/>
      <c r="AM60" s="283"/>
      <c r="AN60" s="132"/>
      <c r="AO60" s="134"/>
      <c r="AP60" s="134"/>
      <c r="AQ60" s="132"/>
      <c r="AR60" s="132"/>
      <c r="AS60" s="132"/>
      <c r="AT60" s="132"/>
      <c r="AU60" s="132"/>
      <c r="AV60" s="132"/>
      <c r="AW60" s="132"/>
      <c r="AX60" s="132"/>
      <c r="AY60" s="132"/>
      <c r="AZ60" s="132"/>
      <c r="BA60" s="132"/>
      <c r="BB60" s="132"/>
      <c r="BC60" s="132"/>
      <c r="BD60" s="132"/>
      <c r="BE60" s="132"/>
      <c r="BF60" s="132"/>
      <c r="BG60" s="132"/>
      <c r="BH60" s="132"/>
      <c r="BI60" s="132"/>
      <c r="BJ60" s="132"/>
      <c r="BK60" s="132"/>
      <c r="BL60" s="132"/>
      <c r="BM60" s="193" t="b">
        <f t="shared" si="18"/>
        <v>1</v>
      </c>
      <c r="BN60" s="19" t="b">
        <f t="shared" si="19"/>
        <v>1</v>
      </c>
      <c r="BO60" s="19" t="b">
        <f t="shared" si="20"/>
        <v>1</v>
      </c>
      <c r="BP60" s="19" t="b">
        <f t="shared" si="21"/>
        <v>1</v>
      </c>
      <c r="BQ60" s="19" t="b">
        <f t="shared" si="22"/>
        <v>0</v>
      </c>
      <c r="BR60" s="19" t="b">
        <f t="shared" si="23"/>
        <v>0</v>
      </c>
      <c r="BS60" s="19" t="b">
        <f t="shared" si="24"/>
        <v>0</v>
      </c>
    </row>
    <row r="61" spans="2:71" ht="15.95" customHeight="1" x14ac:dyDescent="0.2">
      <c r="B61" s="248" t="str">
        <f>IF(Calc!$F$26=0,"",IF(OR($C61&gt;Calc!$B$24,MOD($C61-1,Calc!$F$26)&gt;0),"",QUOTIENT($C61-1,Calc!$F$26)+1))</f>
        <v/>
      </c>
      <c r="C61" s="244">
        <v>53</v>
      </c>
      <c r="D61" s="142">
        <f>IF(Planning!$T59="","",Planning!$T59)</f>
        <v>45934</v>
      </c>
      <c r="E61" s="143">
        <f>IF(Planning!$U59="","",Planning!$U59)</f>
        <v>0.64583333333333337</v>
      </c>
      <c r="F61" s="161" t="str">
        <f>Planning!$Q59</f>
        <v>Borussia Dortmund</v>
      </c>
      <c r="G61" s="162" t="s">
        <v>4</v>
      </c>
      <c r="H61" s="161" t="str">
        <f>Planning!$S59</f>
        <v>1. FC Union Berlin</v>
      </c>
      <c r="I61" s="163"/>
      <c r="J61" s="315" t="str">
        <f>Language!$E$90</f>
        <v xml:space="preserve"> - </v>
      </c>
      <c r="K61" s="318"/>
      <c r="L61" s="163"/>
      <c r="M61" s="360" t="str">
        <f>Language!$E$90</f>
        <v xml:space="preserve"> - </v>
      </c>
      <c r="N61" s="318"/>
      <c r="O61" s="163"/>
      <c r="P61" s="360" t="str">
        <f>Language!$E$90</f>
        <v xml:space="preserve"> - </v>
      </c>
      <c r="Q61" s="318"/>
      <c r="R61" s="354" t="str">
        <f t="shared" si="16"/>
        <v/>
      </c>
      <c r="S61" s="357" t="str">
        <f>Language!$E$90</f>
        <v xml:space="preserve"> - </v>
      </c>
      <c r="T61" s="321" t="str">
        <f t="shared" si="17"/>
        <v/>
      </c>
      <c r="U61" s="294"/>
      <c r="V61" s="295"/>
      <c r="X61" s="127"/>
      <c r="Y61" s="131"/>
      <c r="Z61" s="194"/>
      <c r="AA61" s="194"/>
      <c r="AB61" s="194"/>
      <c r="AC61" s="194"/>
      <c r="AD61" s="194"/>
      <c r="AE61" s="194"/>
      <c r="AF61" s="194"/>
      <c r="AG61" s="194"/>
      <c r="AH61" s="194"/>
      <c r="AI61" s="194"/>
      <c r="AJ61" s="194"/>
      <c r="AK61" s="194"/>
      <c r="AL61" s="194"/>
      <c r="AM61" s="194"/>
      <c r="AN61" s="194"/>
      <c r="AO61" s="194"/>
      <c r="AP61" s="194"/>
      <c r="AQ61" s="194"/>
      <c r="AR61" s="194"/>
      <c r="AS61" s="194"/>
      <c r="AT61" s="194"/>
      <c r="AU61" s="194"/>
      <c r="AV61" s="194"/>
      <c r="AW61" s="194"/>
      <c r="AX61" s="194"/>
      <c r="AY61" s="194"/>
      <c r="AZ61" s="194"/>
      <c r="BA61" s="132"/>
      <c r="BB61" s="132"/>
      <c r="BC61" s="132"/>
      <c r="BD61" s="132"/>
      <c r="BE61" s="132"/>
      <c r="BF61" s="132"/>
      <c r="BG61" s="132"/>
      <c r="BH61" s="132"/>
      <c r="BI61" s="132"/>
      <c r="BJ61" s="132"/>
      <c r="BK61" s="132"/>
      <c r="BL61" s="132"/>
      <c r="BM61" s="193" t="b">
        <f t="shared" si="18"/>
        <v>1</v>
      </c>
      <c r="BN61" s="19" t="b">
        <f t="shared" si="19"/>
        <v>1</v>
      </c>
      <c r="BO61" s="19" t="b">
        <f t="shared" si="20"/>
        <v>1</v>
      </c>
      <c r="BP61" s="19" t="b">
        <f t="shared" si="21"/>
        <v>1</v>
      </c>
      <c r="BQ61" s="19" t="b">
        <f t="shared" si="22"/>
        <v>0</v>
      </c>
      <c r="BR61" s="19" t="b">
        <f t="shared" si="23"/>
        <v>0</v>
      </c>
      <c r="BS61" s="19" t="b">
        <f t="shared" si="24"/>
        <v>0</v>
      </c>
    </row>
    <row r="62" spans="2:71" ht="15.95" customHeight="1" x14ac:dyDescent="0.2">
      <c r="B62" s="248" t="str">
        <f>IF(Calc!$F$26=0,"",IF(OR($C62&gt;Calc!$B$24,MOD($C62-1,Calc!$F$26)&gt;0),"",QUOTIENT($C62-1,Calc!$F$26)+1))</f>
        <v/>
      </c>
      <c r="C62" s="244">
        <v>54</v>
      </c>
      <c r="D62" s="142">
        <f>IF(Planning!$T60="","",Planning!$T60)</f>
        <v>45934</v>
      </c>
      <c r="E62" s="143">
        <f>IF(Planning!$U60="","",Planning!$U60)</f>
        <v>0.64583333333333337</v>
      </c>
      <c r="F62" s="161" t="str">
        <f>Planning!$Q60</f>
        <v>1. FSV Mainz 05</v>
      </c>
      <c r="G62" s="162" t="s">
        <v>4</v>
      </c>
      <c r="H62" s="161" t="str">
        <f>Planning!$S60</f>
        <v>Bayer 04 Leverkusen</v>
      </c>
      <c r="I62" s="163"/>
      <c r="J62" s="315" t="str">
        <f>Language!$E$90</f>
        <v xml:space="preserve"> - </v>
      </c>
      <c r="K62" s="318"/>
      <c r="L62" s="163"/>
      <c r="M62" s="360" t="str">
        <f>Language!$E$90</f>
        <v xml:space="preserve"> - </v>
      </c>
      <c r="N62" s="318"/>
      <c r="O62" s="163"/>
      <c r="P62" s="360" t="str">
        <f>Language!$E$90</f>
        <v xml:space="preserve"> - </v>
      </c>
      <c r="Q62" s="318"/>
      <c r="R62" s="354" t="str">
        <f t="shared" si="16"/>
        <v/>
      </c>
      <c r="S62" s="357" t="str">
        <f>Language!$E$90</f>
        <v xml:space="preserve"> - </v>
      </c>
      <c r="T62" s="321" t="str">
        <f t="shared" si="17"/>
        <v/>
      </c>
      <c r="U62" s="294"/>
      <c r="V62" s="295"/>
      <c r="X62" s="127"/>
      <c r="Y62" s="125"/>
      <c r="Z62" s="194"/>
      <c r="AA62" s="194"/>
      <c r="AB62" s="194"/>
      <c r="AC62" s="194"/>
      <c r="AD62" s="194"/>
      <c r="AE62" s="194"/>
      <c r="AF62" s="194"/>
      <c r="AG62" s="194"/>
      <c r="AH62" s="194"/>
      <c r="AI62" s="194"/>
      <c r="AJ62" s="194"/>
      <c r="AK62" s="194"/>
      <c r="AL62" s="194"/>
      <c r="AM62" s="194"/>
      <c r="AN62" s="194"/>
      <c r="AO62" s="194"/>
      <c r="AP62" s="194"/>
      <c r="AQ62" s="194"/>
      <c r="AR62" s="194"/>
      <c r="AS62" s="194"/>
      <c r="AT62" s="194"/>
      <c r="AU62" s="194"/>
      <c r="AV62" s="194"/>
      <c r="AW62" s="194"/>
      <c r="AX62" s="194"/>
      <c r="AY62" s="194"/>
      <c r="AZ62" s="194"/>
      <c r="BA62" s="132"/>
      <c r="BB62" s="132"/>
      <c r="BC62" s="132"/>
      <c r="BD62" s="132"/>
      <c r="BE62" s="132"/>
      <c r="BF62" s="132"/>
      <c r="BG62" s="132"/>
      <c r="BH62" s="132"/>
      <c r="BI62" s="132"/>
      <c r="BJ62" s="132"/>
      <c r="BK62" s="132"/>
      <c r="BL62" s="132"/>
      <c r="BM62" s="193" t="b">
        <f t="shared" si="18"/>
        <v>1</v>
      </c>
      <c r="BN62" s="19" t="b">
        <f t="shared" si="19"/>
        <v>1</v>
      </c>
      <c r="BO62" s="19" t="b">
        <f t="shared" si="20"/>
        <v>1</v>
      </c>
      <c r="BP62" s="19" t="b">
        <f t="shared" si="21"/>
        <v>1</v>
      </c>
      <c r="BQ62" s="19" t="b">
        <f t="shared" si="22"/>
        <v>0</v>
      </c>
      <c r="BR62" s="19" t="b">
        <f t="shared" si="23"/>
        <v>0</v>
      </c>
      <c r="BS62" s="19" t="b">
        <f t="shared" si="24"/>
        <v>0</v>
      </c>
    </row>
    <row r="63" spans="2:71" ht="15.95" customHeight="1" x14ac:dyDescent="0.2">
      <c r="B63" s="248">
        <f>IF(Calc!$F$26=0,"",IF(OR($C63&gt;Calc!$B$24,MOD($C63-1,Calc!$F$26)&gt;0),"",QUOTIENT($C63-1,Calc!$F$26)+1))</f>
        <v>7</v>
      </c>
      <c r="C63" s="244">
        <v>55</v>
      </c>
      <c r="D63" s="142">
        <f>IF(Planning!$T61="","",Planning!$T61)</f>
        <v>45948</v>
      </c>
      <c r="E63" s="143">
        <f>IF(Planning!$U61="","",Planning!$U61)</f>
        <v>0.64583333333333337</v>
      </c>
      <c r="F63" s="161" t="str">
        <f>Planning!$Q61</f>
        <v>1. FC Heidenheim 1846</v>
      </c>
      <c r="G63" s="162" t="s">
        <v>4</v>
      </c>
      <c r="H63" s="161" t="str">
        <f>Planning!$S61</f>
        <v>Hamburger SV</v>
      </c>
      <c r="I63" s="163"/>
      <c r="J63" s="315" t="str">
        <f>Language!$E$90</f>
        <v xml:space="preserve"> - </v>
      </c>
      <c r="K63" s="318"/>
      <c r="L63" s="163"/>
      <c r="M63" s="360" t="str">
        <f>Language!$E$90</f>
        <v xml:space="preserve"> - </v>
      </c>
      <c r="N63" s="318"/>
      <c r="O63" s="163"/>
      <c r="P63" s="360" t="str">
        <f>Language!$E$90</f>
        <v xml:space="preserve"> - </v>
      </c>
      <c r="Q63" s="318"/>
      <c r="R63" s="354" t="str">
        <f t="shared" si="16"/>
        <v/>
      </c>
      <c r="S63" s="357" t="str">
        <f>Language!$E$90</f>
        <v xml:space="preserve"> - </v>
      </c>
      <c r="T63" s="321" t="str">
        <f t="shared" si="17"/>
        <v/>
      </c>
      <c r="U63" s="294"/>
      <c r="V63" s="295"/>
      <c r="X63" s="127"/>
      <c r="Y63" s="128"/>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32"/>
      <c r="BB63" s="132"/>
      <c r="BC63" s="132"/>
      <c r="BD63" s="132"/>
      <c r="BE63" s="132"/>
      <c r="BF63" s="132"/>
      <c r="BG63" s="132"/>
      <c r="BH63" s="132"/>
      <c r="BI63" s="132"/>
      <c r="BJ63" s="132"/>
      <c r="BK63" s="132"/>
      <c r="BL63" s="132"/>
      <c r="BM63" s="193" t="b">
        <f t="shared" si="18"/>
        <v>1</v>
      </c>
      <c r="BN63" s="19" t="b">
        <f t="shared" si="19"/>
        <v>1</v>
      </c>
      <c r="BO63" s="19" t="b">
        <f t="shared" si="20"/>
        <v>1</v>
      </c>
      <c r="BP63" s="19" t="b">
        <f t="shared" si="21"/>
        <v>1</v>
      </c>
      <c r="BQ63" s="19" t="b">
        <f t="shared" si="22"/>
        <v>0</v>
      </c>
      <c r="BR63" s="19" t="b">
        <f t="shared" si="23"/>
        <v>0</v>
      </c>
      <c r="BS63" s="19" t="b">
        <f t="shared" si="24"/>
        <v>0</v>
      </c>
    </row>
    <row r="64" spans="2:71" ht="15.95" customHeight="1" x14ac:dyDescent="0.2">
      <c r="B64" s="248" t="str">
        <f>IF(Calc!$F$26=0,"",IF(OR($C64&gt;Calc!$B$24,MOD($C64-1,Calc!$F$26)&gt;0),"",QUOTIENT($C64-1,Calc!$F$26)+1))</f>
        <v/>
      </c>
      <c r="C64" s="244">
        <v>56</v>
      </c>
      <c r="D64" s="142">
        <f>IF(Planning!$T62="","",Planning!$T62)</f>
        <v>45948</v>
      </c>
      <c r="E64" s="143">
        <f>IF(Planning!$U62="","",Planning!$U62)</f>
        <v>0.64583333333333337</v>
      </c>
      <c r="F64" s="161" t="str">
        <f>Planning!$Q62</f>
        <v>FC St. Pauli</v>
      </c>
      <c r="G64" s="162" t="s">
        <v>4</v>
      </c>
      <c r="H64" s="161" t="str">
        <f>Planning!$S62</f>
        <v>RB Leipzig</v>
      </c>
      <c r="I64" s="163"/>
      <c r="J64" s="315" t="str">
        <f>Language!$E$90</f>
        <v xml:space="preserve"> - </v>
      </c>
      <c r="K64" s="318"/>
      <c r="L64" s="163"/>
      <c r="M64" s="360" t="str">
        <f>Language!$E$90</f>
        <v xml:space="preserve"> - </v>
      </c>
      <c r="N64" s="318"/>
      <c r="O64" s="163"/>
      <c r="P64" s="360" t="str">
        <f>Language!$E$90</f>
        <v xml:space="preserve"> - </v>
      </c>
      <c r="Q64" s="318"/>
      <c r="R64" s="354" t="str">
        <f t="shared" si="16"/>
        <v/>
      </c>
      <c r="S64" s="357" t="str">
        <f>Language!$E$90</f>
        <v xml:space="preserve"> - </v>
      </c>
      <c r="T64" s="321" t="str">
        <f t="shared" si="17"/>
        <v/>
      </c>
      <c r="U64" s="294"/>
      <c r="V64" s="295"/>
      <c r="X64" s="127"/>
      <c r="Y64" s="128"/>
      <c r="Z64" s="130"/>
      <c r="AA64" s="130"/>
      <c r="AB64" s="130"/>
      <c r="AC64" s="130"/>
      <c r="AD64" s="130"/>
      <c r="AE64" s="130"/>
      <c r="AF64" s="130"/>
      <c r="AG64" s="130"/>
      <c r="AH64" s="130"/>
      <c r="AI64" s="130"/>
      <c r="AJ64" s="130"/>
      <c r="AK64" s="130"/>
      <c r="AL64" s="130"/>
      <c r="AM64" s="130"/>
      <c r="AN64" s="234"/>
      <c r="AO64" s="130"/>
      <c r="AP64" s="130"/>
      <c r="AQ64" s="130"/>
      <c r="AR64" s="130"/>
      <c r="AS64" s="130"/>
      <c r="AT64" s="130"/>
      <c r="AU64" s="130"/>
      <c r="AV64" s="130"/>
      <c r="AW64" s="130"/>
      <c r="AX64" s="130"/>
      <c r="AY64" s="130"/>
      <c r="AZ64" s="130"/>
      <c r="BA64" s="132"/>
      <c r="BB64" s="132"/>
      <c r="BC64" s="132"/>
      <c r="BD64" s="132"/>
      <c r="BE64" s="132"/>
      <c r="BF64" s="132"/>
      <c r="BG64" s="132"/>
      <c r="BH64" s="132"/>
      <c r="BI64" s="132"/>
      <c r="BJ64" s="132"/>
      <c r="BK64" s="132"/>
      <c r="BL64" s="132"/>
      <c r="BM64" s="193" t="b">
        <f t="shared" si="18"/>
        <v>1</v>
      </c>
      <c r="BN64" s="19" t="b">
        <f t="shared" si="19"/>
        <v>1</v>
      </c>
      <c r="BO64" s="19" t="b">
        <f t="shared" si="20"/>
        <v>1</v>
      </c>
      <c r="BP64" s="19" t="b">
        <f t="shared" si="21"/>
        <v>1</v>
      </c>
      <c r="BQ64" s="19" t="b">
        <f t="shared" si="22"/>
        <v>0</v>
      </c>
      <c r="BR64" s="19" t="b">
        <f t="shared" si="23"/>
        <v>0</v>
      </c>
      <c r="BS64" s="19" t="b">
        <f t="shared" si="24"/>
        <v>0</v>
      </c>
    </row>
    <row r="65" spans="2:71" ht="15.95" customHeight="1" x14ac:dyDescent="0.2">
      <c r="B65" s="248" t="str">
        <f>IF(Calc!$F$26=0,"",IF(OR($C65&gt;Calc!$B$24,MOD($C65-1,Calc!$F$26)&gt;0),"",QUOTIENT($C65-1,Calc!$F$26)+1))</f>
        <v/>
      </c>
      <c r="C65" s="244">
        <v>57</v>
      </c>
      <c r="D65" s="142">
        <f>IF(Planning!$T63="","",Planning!$T63)</f>
        <v>45948</v>
      </c>
      <c r="E65" s="143">
        <f>IF(Planning!$U63="","",Planning!$U63)</f>
        <v>0.64583333333333337</v>
      </c>
      <c r="F65" s="161" t="str">
        <f>Planning!$Q63</f>
        <v>SC Freiburg</v>
      </c>
      <c r="G65" s="162" t="s">
        <v>4</v>
      </c>
      <c r="H65" s="161" t="str">
        <f>Planning!$S63</f>
        <v>FC Bayern München</v>
      </c>
      <c r="I65" s="163"/>
      <c r="J65" s="315" t="str">
        <f>Language!$E$90</f>
        <v xml:space="preserve"> - </v>
      </c>
      <c r="K65" s="318"/>
      <c r="L65" s="163"/>
      <c r="M65" s="360" t="str">
        <f>Language!$E$90</f>
        <v xml:space="preserve"> - </v>
      </c>
      <c r="N65" s="318"/>
      <c r="O65" s="163"/>
      <c r="P65" s="360" t="str">
        <f>Language!$E$90</f>
        <v xml:space="preserve"> - </v>
      </c>
      <c r="Q65" s="318"/>
      <c r="R65" s="354" t="str">
        <f t="shared" si="16"/>
        <v/>
      </c>
      <c r="S65" s="357" t="str">
        <f>Language!$E$90</f>
        <v xml:space="preserve"> - </v>
      </c>
      <c r="T65" s="321" t="str">
        <f t="shared" si="17"/>
        <v/>
      </c>
      <c r="U65" s="294"/>
      <c r="V65" s="295"/>
      <c r="X65" s="127"/>
      <c r="Y65" s="193"/>
      <c r="Z65" s="180"/>
      <c r="AA65" s="180"/>
      <c r="AB65" s="180"/>
      <c r="AC65" s="180"/>
      <c r="AD65" s="180"/>
      <c r="AE65" s="180"/>
      <c r="AF65" s="180"/>
      <c r="AG65" s="180"/>
      <c r="AH65" s="180"/>
      <c r="AI65" s="180"/>
      <c r="AJ65" s="180"/>
      <c r="AK65" s="180"/>
      <c r="AL65" s="180"/>
      <c r="AM65" s="180"/>
      <c r="AN65" s="180"/>
      <c r="AO65" s="180"/>
      <c r="AP65" s="180"/>
      <c r="AQ65" s="180"/>
      <c r="AR65" s="180"/>
      <c r="AS65" s="180"/>
      <c r="AT65" s="180"/>
      <c r="AU65" s="180"/>
      <c r="AV65" s="180"/>
      <c r="AW65" s="180"/>
      <c r="AX65" s="180"/>
      <c r="AY65" s="180"/>
      <c r="AZ65" s="180"/>
      <c r="BA65" s="132"/>
      <c r="BB65" s="132"/>
      <c r="BC65" s="132"/>
      <c r="BD65" s="132"/>
      <c r="BE65" s="132"/>
      <c r="BF65" s="132"/>
      <c r="BG65" s="132"/>
      <c r="BH65" s="132"/>
      <c r="BI65" s="132"/>
      <c r="BJ65" s="132"/>
      <c r="BK65" s="132"/>
      <c r="BL65" s="132"/>
      <c r="BM65" s="193" t="b">
        <f t="shared" si="18"/>
        <v>1</v>
      </c>
      <c r="BN65" s="19" t="b">
        <f t="shared" si="19"/>
        <v>1</v>
      </c>
      <c r="BO65" s="19" t="b">
        <f t="shared" si="20"/>
        <v>1</v>
      </c>
      <c r="BP65" s="19" t="b">
        <f t="shared" si="21"/>
        <v>1</v>
      </c>
      <c r="BQ65" s="19" t="b">
        <f t="shared" si="22"/>
        <v>0</v>
      </c>
      <c r="BR65" s="19" t="b">
        <f t="shared" si="23"/>
        <v>0</v>
      </c>
      <c r="BS65" s="19" t="b">
        <f t="shared" si="24"/>
        <v>0</v>
      </c>
    </row>
    <row r="66" spans="2:71" ht="15.95" customHeight="1" x14ac:dyDescent="0.4">
      <c r="B66" s="248" t="str">
        <f>IF(Calc!$F$26=0,"",IF(OR($C66&gt;Calc!$B$24,MOD($C66-1,Calc!$F$26)&gt;0),"",QUOTIENT($C66-1,Calc!$F$26)+1))</f>
        <v/>
      </c>
      <c r="C66" s="244">
        <v>58</v>
      </c>
      <c r="D66" s="142">
        <f>IF(Planning!$T64="","",Planning!$T64)</f>
        <v>45948</v>
      </c>
      <c r="E66" s="143">
        <f>IF(Planning!$U64="","",Planning!$U64)</f>
        <v>0.64583333333333337</v>
      </c>
      <c r="F66" s="161" t="str">
        <f>Planning!$Q64</f>
        <v>FC Augsburg</v>
      </c>
      <c r="G66" s="162" t="s">
        <v>4</v>
      </c>
      <c r="H66" s="161" t="str">
        <f>Planning!$S64</f>
        <v>SV Werder Bremen</v>
      </c>
      <c r="I66" s="163"/>
      <c r="J66" s="315" t="str">
        <f>Language!$E$90</f>
        <v xml:space="preserve"> - </v>
      </c>
      <c r="K66" s="318"/>
      <c r="L66" s="163"/>
      <c r="M66" s="360" t="str">
        <f>Language!$E$90</f>
        <v xml:space="preserve"> - </v>
      </c>
      <c r="N66" s="318"/>
      <c r="O66" s="163"/>
      <c r="P66" s="360" t="str">
        <f>Language!$E$90</f>
        <v xml:space="preserve"> - </v>
      </c>
      <c r="Q66" s="318"/>
      <c r="R66" s="354" t="str">
        <f t="shared" si="16"/>
        <v/>
      </c>
      <c r="S66" s="357" t="str">
        <f>Language!$E$90</f>
        <v xml:space="preserve"> - </v>
      </c>
      <c r="T66" s="321" t="str">
        <f t="shared" si="17"/>
        <v/>
      </c>
      <c r="U66" s="294"/>
      <c r="V66" s="295"/>
      <c r="X66" s="125"/>
      <c r="Y66" s="193"/>
      <c r="Z66" s="180"/>
      <c r="AA66" s="180"/>
      <c r="AB66" s="180"/>
      <c r="AC66" s="180"/>
      <c r="AD66" s="180"/>
      <c r="AE66" s="180"/>
      <c r="AF66" s="180"/>
      <c r="AG66" s="180"/>
      <c r="AH66" s="180"/>
      <c r="AI66" s="180"/>
      <c r="AJ66" s="180"/>
      <c r="AK66" s="180"/>
      <c r="AL66" s="180"/>
      <c r="AM66" s="180"/>
      <c r="AN66" s="180"/>
      <c r="AO66" s="180"/>
      <c r="AP66" s="180"/>
      <c r="AQ66" s="180"/>
      <c r="AR66" s="180"/>
      <c r="AS66" s="180"/>
      <c r="AT66" s="180"/>
      <c r="AU66" s="180"/>
      <c r="AV66" s="180"/>
      <c r="AW66" s="180"/>
      <c r="AX66" s="180"/>
      <c r="AY66" s="180"/>
      <c r="AZ66" s="180"/>
      <c r="BA66" s="135"/>
      <c r="BB66" s="135"/>
      <c r="BC66" s="135"/>
      <c r="BD66" s="135"/>
      <c r="BE66" s="135"/>
      <c r="BF66" s="135"/>
      <c r="BG66" s="135"/>
      <c r="BH66" s="135"/>
      <c r="BI66" s="135"/>
      <c r="BJ66" s="135"/>
      <c r="BK66" s="135"/>
      <c r="BL66" s="135"/>
      <c r="BM66" s="193" t="b">
        <f t="shared" si="18"/>
        <v>1</v>
      </c>
      <c r="BN66" s="19" t="b">
        <f t="shared" si="19"/>
        <v>1</v>
      </c>
      <c r="BO66" s="19" t="b">
        <f t="shared" si="20"/>
        <v>1</v>
      </c>
      <c r="BP66" s="19" t="b">
        <f t="shared" si="21"/>
        <v>1</v>
      </c>
      <c r="BQ66" s="19" t="b">
        <f t="shared" si="22"/>
        <v>0</v>
      </c>
      <c r="BR66" s="19" t="b">
        <f t="shared" si="23"/>
        <v>0</v>
      </c>
      <c r="BS66" s="19" t="b">
        <f t="shared" si="24"/>
        <v>0</v>
      </c>
    </row>
    <row r="67" spans="2:71" ht="15.95" customHeight="1" x14ac:dyDescent="0.2">
      <c r="B67" s="248" t="str">
        <f>IF(Calc!$F$26=0,"",IF(OR($C67&gt;Calc!$B$24,MOD($C67-1,Calc!$F$26)&gt;0),"",QUOTIENT($C67-1,Calc!$F$26)+1))</f>
        <v/>
      </c>
      <c r="C67" s="244">
        <v>59</v>
      </c>
      <c r="D67" s="142">
        <f>IF(Planning!$T65="","",Planning!$T65)</f>
        <v>45948</v>
      </c>
      <c r="E67" s="143">
        <f>IF(Planning!$U65="","",Planning!$U65)</f>
        <v>0.64583333333333337</v>
      </c>
      <c r="F67" s="161" t="str">
        <f>Planning!$Q65</f>
        <v>TSG Hoffenheim</v>
      </c>
      <c r="G67" s="162" t="s">
        <v>4</v>
      </c>
      <c r="H67" s="161" t="str">
        <f>Planning!$S65</f>
        <v>Eintracht Frankfurt</v>
      </c>
      <c r="I67" s="163"/>
      <c r="J67" s="315" t="str">
        <f>Language!$E$90</f>
        <v xml:space="preserve"> - </v>
      </c>
      <c r="K67" s="318"/>
      <c r="L67" s="163"/>
      <c r="M67" s="360" t="str">
        <f>Language!$E$90</f>
        <v xml:space="preserve"> - </v>
      </c>
      <c r="N67" s="318"/>
      <c r="O67" s="163"/>
      <c r="P67" s="360" t="str">
        <f>Language!$E$90</f>
        <v xml:space="preserve"> - </v>
      </c>
      <c r="Q67" s="318"/>
      <c r="R67" s="354" t="str">
        <f t="shared" si="16"/>
        <v/>
      </c>
      <c r="S67" s="357" t="str">
        <f>Language!$E$90</f>
        <v xml:space="preserve"> - </v>
      </c>
      <c r="T67" s="321" t="str">
        <f t="shared" si="17"/>
        <v/>
      </c>
      <c r="U67" s="294"/>
      <c r="V67" s="295"/>
      <c r="X67" s="125"/>
      <c r="Y67" s="193"/>
      <c r="Z67" s="180"/>
      <c r="AA67" s="180"/>
      <c r="AB67" s="180"/>
      <c r="AC67" s="180"/>
      <c r="AD67" s="180"/>
      <c r="AE67" s="180"/>
      <c r="AF67" s="180"/>
      <c r="AG67" s="180"/>
      <c r="AH67" s="180"/>
      <c r="AI67" s="180"/>
      <c r="AJ67" s="180"/>
      <c r="AK67" s="180"/>
      <c r="AL67" s="180"/>
      <c r="AM67" s="180"/>
      <c r="AN67" s="180"/>
      <c r="AO67" s="180"/>
      <c r="AP67" s="180"/>
      <c r="AQ67" s="180"/>
      <c r="AR67" s="180"/>
      <c r="AS67" s="180"/>
      <c r="AT67" s="180"/>
      <c r="AU67" s="180"/>
      <c r="AV67" s="180"/>
      <c r="AW67" s="180"/>
      <c r="AX67" s="180"/>
      <c r="AY67" s="180"/>
      <c r="AZ67" s="180"/>
      <c r="BA67" s="125"/>
      <c r="BB67" s="125"/>
      <c r="BC67" s="125"/>
      <c r="BD67" s="125"/>
      <c r="BE67" s="125"/>
      <c r="BF67" s="125"/>
      <c r="BG67" s="125"/>
      <c r="BH67" s="125"/>
      <c r="BI67" s="125"/>
      <c r="BJ67" s="125"/>
      <c r="BK67" s="125"/>
      <c r="BL67" s="125"/>
      <c r="BM67" s="193" t="b">
        <f t="shared" si="18"/>
        <v>1</v>
      </c>
      <c r="BN67" s="19" t="b">
        <f t="shared" si="19"/>
        <v>1</v>
      </c>
      <c r="BO67" s="19" t="b">
        <f t="shared" si="20"/>
        <v>1</v>
      </c>
      <c r="BP67" s="19" t="b">
        <f t="shared" si="21"/>
        <v>1</v>
      </c>
      <c r="BQ67" s="19" t="b">
        <f t="shared" si="22"/>
        <v>0</v>
      </c>
      <c r="BR67" s="19" t="b">
        <f t="shared" si="23"/>
        <v>0</v>
      </c>
      <c r="BS67" s="19" t="b">
        <f t="shared" si="24"/>
        <v>0</v>
      </c>
    </row>
    <row r="68" spans="2:71" ht="15.95" customHeight="1" x14ac:dyDescent="0.2">
      <c r="B68" s="248" t="str">
        <f>IF(Calc!$F$26=0,"",IF(OR($C68&gt;Calc!$B$24,MOD($C68-1,Calc!$F$26)&gt;0),"",QUOTIENT($C68-1,Calc!$F$26)+1))</f>
        <v/>
      </c>
      <c r="C68" s="244">
        <v>60</v>
      </c>
      <c r="D68" s="142">
        <f>IF(Planning!$T66="","",Planning!$T66)</f>
        <v>45948</v>
      </c>
      <c r="E68" s="143">
        <f>IF(Planning!$U66="","",Planning!$U66)</f>
        <v>0.64583333333333337</v>
      </c>
      <c r="F68" s="161" t="str">
        <f>Planning!$Q66</f>
        <v>Borussia Mönchengladbach</v>
      </c>
      <c r="G68" s="162" t="s">
        <v>4</v>
      </c>
      <c r="H68" s="161" t="str">
        <f>Planning!$S66</f>
        <v>VfB Stuttgart</v>
      </c>
      <c r="I68" s="163"/>
      <c r="J68" s="315" t="str">
        <f>Language!$E$90</f>
        <v xml:space="preserve"> - </v>
      </c>
      <c r="K68" s="318"/>
      <c r="L68" s="163"/>
      <c r="M68" s="360" t="str">
        <f>Language!$E$90</f>
        <v xml:space="preserve"> - </v>
      </c>
      <c r="N68" s="318"/>
      <c r="O68" s="163"/>
      <c r="P68" s="360" t="str">
        <f>Language!$E$90</f>
        <v xml:space="preserve"> - </v>
      </c>
      <c r="Q68" s="318"/>
      <c r="R68" s="354" t="str">
        <f t="shared" si="16"/>
        <v/>
      </c>
      <c r="S68" s="357" t="str">
        <f>Language!$E$90</f>
        <v xml:space="preserve"> - </v>
      </c>
      <c r="T68" s="321" t="str">
        <f t="shared" si="17"/>
        <v/>
      </c>
      <c r="U68" s="294"/>
      <c r="V68" s="295"/>
      <c r="X68" s="125"/>
      <c r="Y68" s="193"/>
      <c r="Z68" s="180"/>
      <c r="AA68" s="180"/>
      <c r="AB68" s="180"/>
      <c r="AC68" s="180"/>
      <c r="AD68" s="180"/>
      <c r="AE68" s="180"/>
      <c r="AF68" s="180"/>
      <c r="AG68" s="180"/>
      <c r="AH68" s="180"/>
      <c r="AI68" s="180"/>
      <c r="AJ68" s="180"/>
      <c r="AK68" s="180"/>
      <c r="AL68" s="180"/>
      <c r="AM68" s="180"/>
      <c r="AN68" s="180"/>
      <c r="AO68" s="180"/>
      <c r="AP68" s="180"/>
      <c r="AQ68" s="180"/>
      <c r="AR68" s="180"/>
      <c r="AS68" s="180"/>
      <c r="AT68" s="180"/>
      <c r="AU68" s="180"/>
      <c r="AV68" s="180"/>
      <c r="AW68" s="180"/>
      <c r="AX68" s="180"/>
      <c r="AY68" s="180"/>
      <c r="AZ68" s="180"/>
      <c r="BA68" s="125"/>
      <c r="BB68" s="125"/>
      <c r="BC68" s="125"/>
      <c r="BD68" s="125"/>
      <c r="BE68" s="125"/>
      <c r="BF68" s="125"/>
      <c r="BG68" s="125"/>
      <c r="BH68" s="125"/>
      <c r="BI68" s="125"/>
      <c r="BJ68" s="125"/>
      <c r="BK68" s="125"/>
      <c r="BL68" s="125"/>
      <c r="BM68" s="193" t="b">
        <f t="shared" si="18"/>
        <v>1</v>
      </c>
      <c r="BN68" s="19" t="b">
        <f t="shared" si="19"/>
        <v>1</v>
      </c>
      <c r="BO68" s="19" t="b">
        <f t="shared" si="20"/>
        <v>1</v>
      </c>
      <c r="BP68" s="19" t="b">
        <f t="shared" si="21"/>
        <v>1</v>
      </c>
      <c r="BQ68" s="19" t="b">
        <f t="shared" si="22"/>
        <v>0</v>
      </c>
      <c r="BR68" s="19" t="b">
        <f t="shared" si="23"/>
        <v>0</v>
      </c>
      <c r="BS68" s="19" t="b">
        <f t="shared" si="24"/>
        <v>0</v>
      </c>
    </row>
    <row r="69" spans="2:71" ht="15.95" customHeight="1" x14ac:dyDescent="0.2">
      <c r="B69" s="248" t="str">
        <f>IF(Calc!$F$26=0,"",IF(OR($C69&gt;Calc!$B$24,MOD($C69-1,Calc!$F$26)&gt;0),"",QUOTIENT($C69-1,Calc!$F$26)+1))</f>
        <v/>
      </c>
      <c r="C69" s="244">
        <v>61</v>
      </c>
      <c r="D69" s="142">
        <f>IF(Planning!$T67="","",Planning!$T67)</f>
        <v>45948</v>
      </c>
      <c r="E69" s="143">
        <f>IF(Planning!$U67="","",Planning!$U67)</f>
        <v>0.64583333333333337</v>
      </c>
      <c r="F69" s="161" t="str">
        <f>Planning!$Q67</f>
        <v>VfL Wolfsburg</v>
      </c>
      <c r="G69" s="162" t="s">
        <v>4</v>
      </c>
      <c r="H69" s="161" t="str">
        <f>Planning!$S67</f>
        <v>Borussia Dortmund</v>
      </c>
      <c r="I69" s="163"/>
      <c r="J69" s="315" t="str">
        <f>Language!$E$90</f>
        <v xml:space="preserve"> - </v>
      </c>
      <c r="K69" s="318"/>
      <c r="L69" s="163"/>
      <c r="M69" s="360" t="str">
        <f>Language!$E$90</f>
        <v xml:space="preserve"> - </v>
      </c>
      <c r="N69" s="318"/>
      <c r="O69" s="163"/>
      <c r="P69" s="360" t="str">
        <f>Language!$E$90</f>
        <v xml:space="preserve"> - </v>
      </c>
      <c r="Q69" s="318"/>
      <c r="R69" s="354" t="str">
        <f t="shared" si="16"/>
        <v/>
      </c>
      <c r="S69" s="357" t="str">
        <f>Language!$E$90</f>
        <v xml:space="preserve"> - </v>
      </c>
      <c r="T69" s="321" t="str">
        <f t="shared" si="17"/>
        <v/>
      </c>
      <c r="U69" s="294"/>
      <c r="V69" s="295"/>
      <c r="X69" s="125"/>
      <c r="Y69" s="193"/>
      <c r="Z69" s="180"/>
      <c r="AA69" s="180"/>
      <c r="AB69" s="180"/>
      <c r="AC69" s="180"/>
      <c r="AD69" s="180"/>
      <c r="AE69" s="180"/>
      <c r="AF69" s="180"/>
      <c r="AG69" s="180"/>
      <c r="AH69" s="180"/>
      <c r="AI69" s="180"/>
      <c r="AJ69" s="180"/>
      <c r="AK69" s="180"/>
      <c r="AL69" s="180"/>
      <c r="AM69" s="180"/>
      <c r="AN69" s="180"/>
      <c r="AO69" s="180"/>
      <c r="AP69" s="180"/>
      <c r="AQ69" s="180"/>
      <c r="AR69" s="180"/>
      <c r="AS69" s="180"/>
      <c r="AT69" s="180"/>
      <c r="AU69" s="180"/>
      <c r="AV69" s="180"/>
      <c r="AW69" s="180"/>
      <c r="AX69" s="180"/>
      <c r="AY69" s="180"/>
      <c r="AZ69" s="180"/>
      <c r="BA69" s="125"/>
      <c r="BB69" s="125"/>
      <c r="BC69" s="125"/>
      <c r="BD69" s="125"/>
      <c r="BE69" s="125"/>
      <c r="BF69" s="125"/>
      <c r="BG69" s="125"/>
      <c r="BH69" s="125"/>
      <c r="BI69" s="125"/>
      <c r="BJ69" s="125"/>
      <c r="BK69" s="125"/>
      <c r="BL69" s="125"/>
      <c r="BM69" s="193" t="b">
        <f t="shared" si="18"/>
        <v>1</v>
      </c>
      <c r="BN69" s="19" t="b">
        <f t="shared" si="19"/>
        <v>1</v>
      </c>
      <c r="BO69" s="19" t="b">
        <f t="shared" si="20"/>
        <v>1</v>
      </c>
      <c r="BP69" s="19" t="b">
        <f t="shared" si="21"/>
        <v>1</v>
      </c>
      <c r="BQ69" s="19" t="b">
        <f t="shared" si="22"/>
        <v>0</v>
      </c>
      <c r="BR69" s="19" t="b">
        <f t="shared" si="23"/>
        <v>0</v>
      </c>
      <c r="BS69" s="19" t="b">
        <f t="shared" si="24"/>
        <v>0</v>
      </c>
    </row>
    <row r="70" spans="2:71" ht="15.95" customHeight="1" x14ac:dyDescent="0.2">
      <c r="B70" s="248" t="str">
        <f>IF(Calc!$F$26=0,"",IF(OR($C70&gt;Calc!$B$24,MOD($C70-1,Calc!$F$26)&gt;0),"",QUOTIENT($C70-1,Calc!$F$26)+1))</f>
        <v/>
      </c>
      <c r="C70" s="244">
        <v>62</v>
      </c>
      <c r="D70" s="142">
        <f>IF(Planning!$T68="","",Planning!$T68)</f>
        <v>45948</v>
      </c>
      <c r="E70" s="143">
        <f>IF(Planning!$U68="","",Planning!$U68)</f>
        <v>0.64583333333333337</v>
      </c>
      <c r="F70" s="161" t="str">
        <f>Planning!$Q68</f>
        <v>Bayer 04 Leverkusen</v>
      </c>
      <c r="G70" s="162" t="s">
        <v>4</v>
      </c>
      <c r="H70" s="161" t="str">
        <f>Planning!$S68</f>
        <v>1. FC Köln</v>
      </c>
      <c r="I70" s="163"/>
      <c r="J70" s="315" t="str">
        <f>Language!$E$90</f>
        <v xml:space="preserve"> - </v>
      </c>
      <c r="K70" s="318"/>
      <c r="L70" s="163"/>
      <c r="M70" s="360" t="str">
        <f>Language!$E$90</f>
        <v xml:space="preserve"> - </v>
      </c>
      <c r="N70" s="318"/>
      <c r="O70" s="163"/>
      <c r="P70" s="360" t="str">
        <f>Language!$E$90</f>
        <v xml:space="preserve"> - </v>
      </c>
      <c r="Q70" s="318"/>
      <c r="R70" s="354" t="str">
        <f t="shared" si="16"/>
        <v/>
      </c>
      <c r="S70" s="357" t="str">
        <f>Language!$E$90</f>
        <v xml:space="preserve"> - </v>
      </c>
      <c r="T70" s="321" t="str">
        <f t="shared" si="17"/>
        <v/>
      </c>
      <c r="U70" s="294"/>
      <c r="V70" s="295"/>
      <c r="X70" s="125"/>
      <c r="Y70" s="193"/>
      <c r="Z70" s="180"/>
      <c r="AA70" s="180"/>
      <c r="AB70" s="180"/>
      <c r="AC70" s="180"/>
      <c r="AD70" s="180"/>
      <c r="AE70" s="180"/>
      <c r="AF70" s="180"/>
      <c r="AG70" s="180"/>
      <c r="AH70" s="180"/>
      <c r="AI70" s="180"/>
      <c r="AJ70" s="180"/>
      <c r="AK70" s="180"/>
      <c r="AL70" s="180"/>
      <c r="AM70" s="180"/>
      <c r="AN70" s="180"/>
      <c r="AO70" s="180"/>
      <c r="AP70" s="180"/>
      <c r="AQ70" s="180"/>
      <c r="AR70" s="180"/>
      <c r="AS70" s="180"/>
      <c r="AT70" s="180"/>
      <c r="AU70" s="180"/>
      <c r="AV70" s="180"/>
      <c r="AW70" s="180"/>
      <c r="AX70" s="180"/>
      <c r="AY70" s="180"/>
      <c r="AZ70" s="180"/>
      <c r="BA70" s="125"/>
      <c r="BB70" s="125"/>
      <c r="BC70" s="125"/>
      <c r="BD70" s="125"/>
      <c r="BE70" s="125"/>
      <c r="BF70" s="125"/>
      <c r="BG70" s="125"/>
      <c r="BH70" s="125"/>
      <c r="BI70" s="125"/>
      <c r="BJ70" s="125"/>
      <c r="BK70" s="125"/>
      <c r="BL70" s="125"/>
      <c r="BM70" s="193" t="b">
        <f t="shared" si="18"/>
        <v>1</v>
      </c>
      <c r="BN70" s="19" t="b">
        <f t="shared" si="19"/>
        <v>1</v>
      </c>
      <c r="BO70" s="19" t="b">
        <f t="shared" si="20"/>
        <v>1</v>
      </c>
      <c r="BP70" s="19" t="b">
        <f t="shared" si="21"/>
        <v>1</v>
      </c>
      <c r="BQ70" s="19" t="b">
        <f t="shared" si="22"/>
        <v>0</v>
      </c>
      <c r="BR70" s="19" t="b">
        <f t="shared" si="23"/>
        <v>0</v>
      </c>
      <c r="BS70" s="19" t="b">
        <f t="shared" si="24"/>
        <v>0</v>
      </c>
    </row>
    <row r="71" spans="2:71" ht="15.95" customHeight="1" x14ac:dyDescent="0.2">
      <c r="B71" s="248" t="str">
        <f>IF(Calc!$F$26=0,"",IF(OR($C71&gt;Calc!$B$24,MOD($C71-1,Calc!$F$26)&gt;0),"",QUOTIENT($C71-1,Calc!$F$26)+1))</f>
        <v/>
      </c>
      <c r="C71" s="244">
        <v>63</v>
      </c>
      <c r="D71" s="142">
        <f>IF(Planning!$T69="","",Planning!$T69)</f>
        <v>45948</v>
      </c>
      <c r="E71" s="143">
        <f>IF(Planning!$U69="","",Planning!$U69)</f>
        <v>0.64583333333333337</v>
      </c>
      <c r="F71" s="161" t="str">
        <f>Planning!$Q69</f>
        <v>1. FC Union Berlin</v>
      </c>
      <c r="G71" s="162" t="s">
        <v>4</v>
      </c>
      <c r="H71" s="161" t="str">
        <f>Planning!$S69</f>
        <v>1. FSV Mainz 05</v>
      </c>
      <c r="I71" s="163"/>
      <c r="J71" s="315" t="str">
        <f>Language!$E$90</f>
        <v xml:space="preserve"> - </v>
      </c>
      <c r="K71" s="318"/>
      <c r="L71" s="163"/>
      <c r="M71" s="360" t="str">
        <f>Language!$E$90</f>
        <v xml:space="preserve"> - </v>
      </c>
      <c r="N71" s="318"/>
      <c r="O71" s="163"/>
      <c r="P71" s="360" t="str">
        <f>Language!$E$90</f>
        <v xml:space="preserve"> - </v>
      </c>
      <c r="Q71" s="318"/>
      <c r="R71" s="354" t="str">
        <f t="shared" si="16"/>
        <v/>
      </c>
      <c r="S71" s="357" t="str">
        <f>Language!$E$90</f>
        <v xml:space="preserve"> - </v>
      </c>
      <c r="T71" s="321" t="str">
        <f t="shared" si="17"/>
        <v/>
      </c>
      <c r="U71" s="294"/>
      <c r="V71" s="295"/>
      <c r="X71" s="125"/>
      <c r="Y71" s="193"/>
      <c r="Z71" s="180"/>
      <c r="AA71" s="180"/>
      <c r="AB71" s="180"/>
      <c r="AC71" s="180"/>
      <c r="AD71" s="180"/>
      <c r="AE71" s="180"/>
      <c r="AF71" s="180"/>
      <c r="AG71" s="180"/>
      <c r="AH71" s="180"/>
      <c r="AI71" s="180"/>
      <c r="AJ71" s="180"/>
      <c r="AK71" s="180"/>
      <c r="AL71" s="180"/>
      <c r="AM71" s="180"/>
      <c r="AN71" s="180"/>
      <c r="AO71" s="180"/>
      <c r="AP71" s="180"/>
      <c r="AQ71" s="180"/>
      <c r="AR71" s="180"/>
      <c r="AS71" s="180"/>
      <c r="AT71" s="180"/>
      <c r="AU71" s="180"/>
      <c r="AV71" s="180"/>
      <c r="AW71" s="180"/>
      <c r="AX71" s="180"/>
      <c r="AY71" s="180"/>
      <c r="AZ71" s="180"/>
      <c r="BA71" s="125"/>
      <c r="BB71" s="125"/>
      <c r="BC71" s="125"/>
      <c r="BD71" s="125"/>
      <c r="BE71" s="125"/>
      <c r="BF71" s="125"/>
      <c r="BG71" s="125"/>
      <c r="BH71" s="125"/>
      <c r="BI71" s="125"/>
      <c r="BJ71" s="125"/>
      <c r="BK71" s="125"/>
      <c r="BL71" s="125"/>
      <c r="BM71" s="193" t="b">
        <f t="shared" si="18"/>
        <v>1</v>
      </c>
      <c r="BN71" s="19" t="b">
        <f t="shared" si="19"/>
        <v>1</v>
      </c>
      <c r="BO71" s="19" t="b">
        <f t="shared" si="20"/>
        <v>1</v>
      </c>
      <c r="BP71" s="19" t="b">
        <f t="shared" si="21"/>
        <v>1</v>
      </c>
      <c r="BQ71" s="19" t="b">
        <f t="shared" si="22"/>
        <v>0</v>
      </c>
      <c r="BR71" s="19" t="b">
        <f t="shared" si="23"/>
        <v>0</v>
      </c>
      <c r="BS71" s="19" t="b">
        <f t="shared" si="24"/>
        <v>0</v>
      </c>
    </row>
    <row r="72" spans="2:71" ht="15.95" customHeight="1" x14ac:dyDescent="0.2">
      <c r="B72" s="248">
        <f>IF(Calc!$F$26=0,"",IF(OR($C72&gt;Calc!$B$24,MOD($C72-1,Calc!$F$26)&gt;0),"",QUOTIENT($C72-1,Calc!$F$26)+1))</f>
        <v>8</v>
      </c>
      <c r="C72" s="244">
        <v>64</v>
      </c>
      <c r="D72" s="142">
        <f>IF(Planning!$T70="","",Planning!$T70)</f>
        <v>45955</v>
      </c>
      <c r="E72" s="143">
        <f>IF(Planning!$U70="","",Planning!$U70)</f>
        <v>0.64583333333333337</v>
      </c>
      <c r="F72" s="161" t="str">
        <f>Planning!$Q70</f>
        <v>FC St. Pauli</v>
      </c>
      <c r="G72" s="162" t="s">
        <v>4</v>
      </c>
      <c r="H72" s="161" t="str">
        <f>Planning!$S70</f>
        <v>1. FC Heidenheim 1846</v>
      </c>
      <c r="I72" s="163"/>
      <c r="J72" s="315" t="str">
        <f>Language!$E$90</f>
        <v xml:space="preserve"> - </v>
      </c>
      <c r="K72" s="318"/>
      <c r="L72" s="163"/>
      <c r="M72" s="360" t="str">
        <f>Language!$E$90</f>
        <v xml:space="preserve"> - </v>
      </c>
      <c r="N72" s="318"/>
      <c r="O72" s="163"/>
      <c r="P72" s="360" t="str">
        <f>Language!$E$90</f>
        <v xml:space="preserve"> - </v>
      </c>
      <c r="Q72" s="318"/>
      <c r="R72" s="354" t="str">
        <f t="shared" si="16"/>
        <v/>
      </c>
      <c r="S72" s="357" t="str">
        <f>Language!$E$90</f>
        <v xml:space="preserve"> - </v>
      </c>
      <c r="T72" s="321" t="str">
        <f t="shared" si="17"/>
        <v/>
      </c>
      <c r="U72" s="294"/>
      <c r="V72" s="295"/>
      <c r="Y72" s="193"/>
      <c r="Z72" s="180"/>
      <c r="AA72" s="180"/>
      <c r="AB72" s="180"/>
      <c r="AC72" s="180"/>
      <c r="AD72" s="180"/>
      <c r="AE72" s="180"/>
      <c r="AF72" s="180"/>
      <c r="AG72" s="180"/>
      <c r="AH72" s="180"/>
      <c r="AI72" s="180"/>
      <c r="AJ72" s="180"/>
      <c r="AK72" s="180"/>
      <c r="AL72" s="180"/>
      <c r="AM72" s="180"/>
      <c r="AN72" s="180"/>
      <c r="AO72" s="180"/>
      <c r="AP72" s="180"/>
      <c r="AQ72" s="180"/>
      <c r="AR72" s="180"/>
      <c r="AS72" s="180"/>
      <c r="AT72" s="180"/>
      <c r="AU72" s="180"/>
      <c r="AV72" s="180"/>
      <c r="AW72" s="180"/>
      <c r="AX72" s="180"/>
      <c r="AY72" s="180"/>
      <c r="AZ72" s="180"/>
      <c r="BM72" s="193" t="b">
        <f t="shared" si="18"/>
        <v>1</v>
      </c>
      <c r="BN72" s="19" t="b">
        <f t="shared" si="19"/>
        <v>1</v>
      </c>
      <c r="BO72" s="19" t="b">
        <f t="shared" si="20"/>
        <v>1</v>
      </c>
      <c r="BP72" s="19" t="b">
        <f t="shared" si="21"/>
        <v>1</v>
      </c>
      <c r="BQ72" s="19" t="b">
        <f t="shared" si="22"/>
        <v>0</v>
      </c>
      <c r="BR72" s="19" t="b">
        <f t="shared" si="23"/>
        <v>0</v>
      </c>
      <c r="BS72" s="19" t="b">
        <f t="shared" si="24"/>
        <v>0</v>
      </c>
    </row>
    <row r="73" spans="2:71" ht="15.95" customHeight="1" x14ac:dyDescent="0.2">
      <c r="B73" s="248" t="str">
        <f>IF(Calc!$F$26=0,"",IF(OR($C73&gt;Calc!$B$24,MOD($C73-1,Calc!$F$26)&gt;0),"",QUOTIENT($C73-1,Calc!$F$26)+1))</f>
        <v/>
      </c>
      <c r="C73" s="244">
        <v>65</v>
      </c>
      <c r="D73" s="142">
        <f>IF(Planning!$T71="","",Planning!$T71)</f>
        <v>45955</v>
      </c>
      <c r="E73" s="143">
        <f>IF(Planning!$U71="","",Planning!$U71)</f>
        <v>0.64583333333333337</v>
      </c>
      <c r="F73" s="161" t="str">
        <f>Planning!$Q71</f>
        <v>FC Bayern München</v>
      </c>
      <c r="G73" s="162" t="s">
        <v>4</v>
      </c>
      <c r="H73" s="161" t="str">
        <f>Planning!$S71</f>
        <v>Hamburger SV</v>
      </c>
      <c r="I73" s="163"/>
      <c r="J73" s="315" t="str">
        <f>Language!$E$90</f>
        <v xml:space="preserve"> - </v>
      </c>
      <c r="K73" s="318"/>
      <c r="L73" s="163"/>
      <c r="M73" s="360" t="str">
        <f>Language!$E$90</f>
        <v xml:space="preserve"> - </v>
      </c>
      <c r="N73" s="318"/>
      <c r="O73" s="163"/>
      <c r="P73" s="360" t="str">
        <f>Language!$E$90</f>
        <v xml:space="preserve"> - </v>
      </c>
      <c r="Q73" s="318"/>
      <c r="R73" s="354" t="str">
        <f t="shared" si="16"/>
        <v/>
      </c>
      <c r="S73" s="357" t="str">
        <f>Language!$E$90</f>
        <v xml:space="preserve"> - </v>
      </c>
      <c r="T73" s="321" t="str">
        <f t="shared" si="17"/>
        <v/>
      </c>
      <c r="U73" s="294"/>
      <c r="V73" s="295"/>
      <c r="Y73" s="193"/>
      <c r="Z73" s="180"/>
      <c r="AA73" s="180"/>
      <c r="AB73" s="180"/>
      <c r="AC73" s="180"/>
      <c r="AD73" s="180"/>
      <c r="AE73" s="180"/>
      <c r="AF73" s="180"/>
      <c r="AG73" s="180"/>
      <c r="AH73" s="180"/>
      <c r="AI73" s="180"/>
      <c r="AJ73" s="180"/>
      <c r="AK73" s="180"/>
      <c r="AL73" s="180"/>
      <c r="AM73" s="180"/>
      <c r="AN73" s="180"/>
      <c r="AO73" s="180"/>
      <c r="AP73" s="180"/>
      <c r="AQ73" s="180"/>
      <c r="AR73" s="180"/>
      <c r="AS73" s="180"/>
      <c r="AT73" s="180"/>
      <c r="AU73" s="180"/>
      <c r="AV73" s="180"/>
      <c r="AW73" s="180"/>
      <c r="AX73" s="180"/>
      <c r="AY73" s="180"/>
      <c r="AZ73" s="180"/>
      <c r="BM73" s="193" t="b">
        <f t="shared" si="18"/>
        <v>1</v>
      </c>
      <c r="BN73" s="19" t="b">
        <f t="shared" si="19"/>
        <v>1</v>
      </c>
      <c r="BO73" s="19" t="b">
        <f t="shared" si="20"/>
        <v>1</v>
      </c>
      <c r="BP73" s="19" t="b">
        <f t="shared" si="21"/>
        <v>1</v>
      </c>
      <c r="BQ73" s="19" t="b">
        <f t="shared" si="22"/>
        <v>0</v>
      </c>
      <c r="BR73" s="19" t="b">
        <f t="shared" si="23"/>
        <v>0</v>
      </c>
      <c r="BS73" s="19" t="b">
        <f t="shared" si="24"/>
        <v>0</v>
      </c>
    </row>
    <row r="74" spans="2:71" ht="15.95" customHeight="1" x14ac:dyDescent="0.2">
      <c r="B74" s="248" t="str">
        <f>IF(Calc!$F$26=0,"",IF(OR($C74&gt;Calc!$B$24,MOD($C74-1,Calc!$F$26)&gt;0),"",QUOTIENT($C74-1,Calc!$F$26)+1))</f>
        <v/>
      </c>
      <c r="C74" s="244">
        <v>66</v>
      </c>
      <c r="D74" s="142">
        <f>IF(Planning!$T72="","",Planning!$T72)</f>
        <v>45955</v>
      </c>
      <c r="E74" s="143">
        <f>IF(Planning!$U72="","",Planning!$U72)</f>
        <v>0.64583333333333337</v>
      </c>
      <c r="F74" s="161" t="str">
        <f>Planning!$Q72</f>
        <v>RB Leipzig</v>
      </c>
      <c r="G74" s="162" t="s">
        <v>4</v>
      </c>
      <c r="H74" s="161" t="str">
        <f>Planning!$S72</f>
        <v>FC Augsburg</v>
      </c>
      <c r="I74" s="163"/>
      <c r="J74" s="315" t="str">
        <f>Language!$E$90</f>
        <v xml:space="preserve"> - </v>
      </c>
      <c r="K74" s="318"/>
      <c r="L74" s="163"/>
      <c r="M74" s="360" t="str">
        <f>Language!$E$90</f>
        <v xml:space="preserve"> - </v>
      </c>
      <c r="N74" s="318"/>
      <c r="O74" s="163"/>
      <c r="P74" s="360" t="str">
        <f>Language!$E$90</f>
        <v xml:space="preserve"> - </v>
      </c>
      <c r="Q74" s="318"/>
      <c r="R74" s="354" t="str">
        <f t="shared" si="16"/>
        <v/>
      </c>
      <c r="S74" s="357" t="str">
        <f>Language!$E$90</f>
        <v xml:space="preserve"> - </v>
      </c>
      <c r="T74" s="321" t="str">
        <f t="shared" si="17"/>
        <v/>
      </c>
      <c r="U74" s="294"/>
      <c r="V74" s="295"/>
      <c r="Y74" s="193"/>
      <c r="Z74" s="125"/>
      <c r="AA74" s="125"/>
      <c r="AB74" s="125"/>
      <c r="AC74" s="125"/>
      <c r="AD74" s="125"/>
      <c r="AE74" s="125"/>
      <c r="AF74" s="125"/>
      <c r="AG74" s="125"/>
      <c r="AH74" s="125"/>
      <c r="AI74" s="125"/>
      <c r="AJ74" s="125"/>
      <c r="AK74" s="125"/>
      <c r="AL74" s="125"/>
      <c r="AM74" s="125"/>
      <c r="AN74" s="180"/>
      <c r="AO74" s="180"/>
      <c r="AP74" s="180"/>
      <c r="AQ74" s="125"/>
      <c r="AR74" s="125"/>
      <c r="AS74" s="125"/>
      <c r="AT74" s="125"/>
      <c r="AU74" s="125"/>
      <c r="AV74" s="125"/>
      <c r="AW74" s="125"/>
      <c r="AX74" s="125"/>
      <c r="AY74" s="125"/>
      <c r="AZ74" s="125"/>
      <c r="BM74" s="193" t="b">
        <f t="shared" si="18"/>
        <v>1</v>
      </c>
      <c r="BN74" s="19" t="b">
        <f t="shared" si="19"/>
        <v>1</v>
      </c>
      <c r="BO74" s="19" t="b">
        <f t="shared" si="20"/>
        <v>1</v>
      </c>
      <c r="BP74" s="19" t="b">
        <f t="shared" si="21"/>
        <v>1</v>
      </c>
      <c r="BQ74" s="19" t="b">
        <f t="shared" si="22"/>
        <v>0</v>
      </c>
      <c r="BR74" s="19" t="b">
        <f t="shared" si="23"/>
        <v>0</v>
      </c>
      <c r="BS74" s="19" t="b">
        <f t="shared" si="24"/>
        <v>0</v>
      </c>
    </row>
    <row r="75" spans="2:71" ht="15.95" customHeight="1" x14ac:dyDescent="0.2">
      <c r="B75" s="248" t="str">
        <f>IF(Calc!$F$26=0,"",IF(OR($C75&gt;Calc!$B$24,MOD($C75-1,Calc!$F$26)&gt;0),"",QUOTIENT($C75-1,Calc!$F$26)+1))</f>
        <v/>
      </c>
      <c r="C75" s="244">
        <v>67</v>
      </c>
      <c r="D75" s="142">
        <f>IF(Planning!$T73="","",Planning!$T73)</f>
        <v>45955</v>
      </c>
      <c r="E75" s="143">
        <f>IF(Planning!$U73="","",Planning!$U73)</f>
        <v>0.64583333333333337</v>
      </c>
      <c r="F75" s="161" t="str">
        <f>Planning!$Q73</f>
        <v>Eintracht Frankfurt</v>
      </c>
      <c r="G75" s="162" t="s">
        <v>4</v>
      </c>
      <c r="H75" s="161" t="str">
        <f>Planning!$S73</f>
        <v>SC Freiburg</v>
      </c>
      <c r="I75" s="163"/>
      <c r="J75" s="315" t="str">
        <f>Language!$E$90</f>
        <v xml:space="preserve"> - </v>
      </c>
      <c r="K75" s="318"/>
      <c r="L75" s="163"/>
      <c r="M75" s="360" t="str">
        <f>Language!$E$90</f>
        <v xml:space="preserve"> - </v>
      </c>
      <c r="N75" s="318"/>
      <c r="O75" s="163"/>
      <c r="P75" s="360" t="str">
        <f>Language!$E$90</f>
        <v xml:space="preserve"> - </v>
      </c>
      <c r="Q75" s="318"/>
      <c r="R75" s="354" t="str">
        <f t="shared" ref="R75:R138" si="32">IF(BM75,"",(I75&lt;&gt;"")*(K75&lt;&gt;"")*NOT(BN75)*(I75&gt;K75)+(L75&lt;&gt;"")*(N75&lt;&gt;"")*NOT(BO75)*(L75&gt;N75)+(O75&lt;&gt;"")*(Q75&lt;&gt;"")*NOT(BP75)*(O75&gt;Q75))</f>
        <v/>
      </c>
      <c r="S75" s="357" t="str">
        <f>Language!$E$90</f>
        <v xml:space="preserve"> - </v>
      </c>
      <c r="T75" s="321" t="str">
        <f t="shared" ref="T75:T138" si="33">IF(BM75,"",(I75&lt;&gt;"")*(K75&lt;&gt;"")*NOT(BN75)*(I75&lt;K75)+(L75&lt;&gt;"")*(N75&lt;&gt;"")*NOT(BO75)*(L75&lt;N75)+(O75&lt;&gt;"")*(Q75&lt;&gt;"")*NOT(BP75)*(O75&lt;Q75))</f>
        <v/>
      </c>
      <c r="U75" s="294"/>
      <c r="V75" s="295"/>
      <c r="Y75" s="193"/>
      <c r="Z75" s="125"/>
      <c r="AA75" s="125"/>
      <c r="AB75" s="125"/>
      <c r="AC75" s="125"/>
      <c r="AD75" s="125"/>
      <c r="AE75" s="125"/>
      <c r="AF75" s="125"/>
      <c r="AG75" s="125"/>
      <c r="AH75" s="125"/>
      <c r="AI75" s="125"/>
      <c r="AJ75" s="125"/>
      <c r="AK75" s="125"/>
      <c r="AL75" s="125"/>
      <c r="AM75" s="125"/>
      <c r="AN75" s="125"/>
      <c r="AO75" s="125"/>
      <c r="AP75" s="125"/>
      <c r="AQ75" s="180"/>
      <c r="AR75" s="125"/>
      <c r="AS75" s="125"/>
      <c r="AT75" s="125"/>
      <c r="AU75" s="125"/>
      <c r="AV75" s="125"/>
      <c r="AW75" s="125"/>
      <c r="AX75" s="125"/>
      <c r="AY75" s="125"/>
      <c r="AZ75" s="125"/>
      <c r="BM75" s="193" t="b">
        <f t="shared" ref="BM75:BM138" si="34">OR(F75="",H75="",AND(OR(I75="",K75="",BN75),OR(L75="",N75="",BO75),OR(O75="",Q75="",BP75)))</f>
        <v>1</v>
      </c>
      <c r="BN75" s="19" t="b">
        <f t="shared" ref="BN75:BN138" si="35">ABS(I75-K75)&lt;2</f>
        <v>1</v>
      </c>
      <c r="BO75" s="19" t="b">
        <f t="shared" ref="BO75:BO138" si="36">ABS(L75-N75)&lt;2</f>
        <v>1</v>
      </c>
      <c r="BP75" s="19" t="b">
        <f t="shared" ref="BP75:BP138" si="37">ABS(O75-Q75)&lt;2</f>
        <v>1</v>
      </c>
      <c r="BQ75" s="19" t="b">
        <f t="shared" ref="BQ75:BQ138" si="38">AND(BN75,I75&lt;&gt;"",K75&lt;&gt;"")</f>
        <v>0</v>
      </c>
      <c r="BR75" s="19" t="b">
        <f t="shared" ref="BR75:BR138" si="39">AND(BO75,L75&lt;&gt;"",N75&lt;&gt;"")</f>
        <v>0</v>
      </c>
      <c r="BS75" s="19" t="b">
        <f t="shared" ref="BS75:BS138" si="40">AND(BP75,O75&lt;&gt;"",Q75&lt;&gt;"")</f>
        <v>0</v>
      </c>
    </row>
    <row r="76" spans="2:71" ht="15.95" customHeight="1" x14ac:dyDescent="0.2">
      <c r="B76" s="248" t="str">
        <f>IF(Calc!$F$26=0,"",IF(OR($C76&gt;Calc!$B$24,MOD($C76-1,Calc!$F$26)&gt;0),"",QUOTIENT($C76-1,Calc!$F$26)+1))</f>
        <v/>
      </c>
      <c r="C76" s="244">
        <v>68</v>
      </c>
      <c r="D76" s="142">
        <f>IF(Planning!$T74="","",Planning!$T74)</f>
        <v>45955</v>
      </c>
      <c r="E76" s="143">
        <f>IF(Planning!$U74="","",Planning!$U74)</f>
        <v>0.64583333333333337</v>
      </c>
      <c r="F76" s="161" t="str">
        <f>Planning!$Q74</f>
        <v>SV Werder Bremen</v>
      </c>
      <c r="G76" s="162" t="s">
        <v>4</v>
      </c>
      <c r="H76" s="161" t="str">
        <f>Planning!$S74</f>
        <v>Borussia Mönchengladbach</v>
      </c>
      <c r="I76" s="163"/>
      <c r="J76" s="315" t="str">
        <f>Language!$E$90</f>
        <v xml:space="preserve"> - </v>
      </c>
      <c r="K76" s="318"/>
      <c r="L76" s="163"/>
      <c r="M76" s="360" t="str">
        <f>Language!$E$90</f>
        <v xml:space="preserve"> - </v>
      </c>
      <c r="N76" s="318"/>
      <c r="O76" s="163"/>
      <c r="P76" s="360" t="str">
        <f>Language!$E$90</f>
        <v xml:space="preserve"> - </v>
      </c>
      <c r="Q76" s="318"/>
      <c r="R76" s="354" t="str">
        <f t="shared" si="32"/>
        <v/>
      </c>
      <c r="S76" s="357" t="str">
        <f>Language!$E$90</f>
        <v xml:space="preserve"> - </v>
      </c>
      <c r="T76" s="321" t="str">
        <f t="shared" si="33"/>
        <v/>
      </c>
      <c r="U76" s="294"/>
      <c r="V76" s="295"/>
      <c r="Y76" s="193"/>
      <c r="Z76" s="125"/>
      <c r="AA76" s="125"/>
      <c r="AB76" s="125"/>
      <c r="AC76" s="125"/>
      <c r="AD76" s="125"/>
      <c r="AE76" s="125"/>
      <c r="AF76" s="125"/>
      <c r="AG76" s="125"/>
      <c r="AH76" s="125"/>
      <c r="AI76" s="125"/>
      <c r="AJ76" s="125"/>
      <c r="AK76" s="125"/>
      <c r="AL76" s="125"/>
      <c r="AM76" s="125"/>
      <c r="AN76" s="125"/>
      <c r="AO76" s="125"/>
      <c r="AP76" s="125"/>
      <c r="AQ76" s="125"/>
      <c r="AR76" s="180"/>
      <c r="AS76" s="125"/>
      <c r="AT76" s="125"/>
      <c r="AU76" s="125"/>
      <c r="AV76" s="125"/>
      <c r="AW76" s="125"/>
      <c r="AX76" s="125"/>
      <c r="AY76" s="125"/>
      <c r="AZ76" s="125"/>
      <c r="BM76" s="193" t="b">
        <f t="shared" si="34"/>
        <v>1</v>
      </c>
      <c r="BN76" s="19" t="b">
        <f t="shared" si="35"/>
        <v>1</v>
      </c>
      <c r="BO76" s="19" t="b">
        <f t="shared" si="36"/>
        <v>1</v>
      </c>
      <c r="BP76" s="19" t="b">
        <f t="shared" si="37"/>
        <v>1</v>
      </c>
      <c r="BQ76" s="19" t="b">
        <f t="shared" si="38"/>
        <v>0</v>
      </c>
      <c r="BR76" s="19" t="b">
        <f t="shared" si="39"/>
        <v>0</v>
      </c>
      <c r="BS76" s="19" t="b">
        <f t="shared" si="40"/>
        <v>0</v>
      </c>
    </row>
    <row r="77" spans="2:71" ht="15.95" customHeight="1" x14ac:dyDescent="0.2">
      <c r="B77" s="248" t="str">
        <f>IF(Calc!$F$26=0,"",IF(OR($C77&gt;Calc!$B$24,MOD($C77-1,Calc!$F$26)&gt;0),"",QUOTIENT($C77-1,Calc!$F$26)+1))</f>
        <v/>
      </c>
      <c r="C77" s="244">
        <v>69</v>
      </c>
      <c r="D77" s="142">
        <f>IF(Planning!$T75="","",Planning!$T75)</f>
        <v>45955</v>
      </c>
      <c r="E77" s="143">
        <f>IF(Planning!$U75="","",Planning!$U75)</f>
        <v>0.64583333333333337</v>
      </c>
      <c r="F77" s="161" t="str">
        <f>Planning!$Q75</f>
        <v>Borussia Dortmund</v>
      </c>
      <c r="G77" s="162" t="s">
        <v>4</v>
      </c>
      <c r="H77" s="161" t="str">
        <f>Planning!$S75</f>
        <v>TSG Hoffenheim</v>
      </c>
      <c r="I77" s="163"/>
      <c r="J77" s="315" t="str">
        <f>Language!$E$90</f>
        <v xml:space="preserve"> - </v>
      </c>
      <c r="K77" s="318"/>
      <c r="L77" s="163"/>
      <c r="M77" s="360" t="str">
        <f>Language!$E$90</f>
        <v xml:space="preserve"> - </v>
      </c>
      <c r="N77" s="318"/>
      <c r="O77" s="163"/>
      <c r="P77" s="360" t="str">
        <f>Language!$E$90</f>
        <v xml:space="preserve"> - </v>
      </c>
      <c r="Q77" s="318"/>
      <c r="R77" s="354" t="str">
        <f t="shared" si="32"/>
        <v/>
      </c>
      <c r="S77" s="357" t="str">
        <f>Language!$E$90</f>
        <v xml:space="preserve"> - </v>
      </c>
      <c r="T77" s="321" t="str">
        <f t="shared" si="33"/>
        <v/>
      </c>
      <c r="U77" s="294"/>
      <c r="V77" s="295"/>
      <c r="Y77" s="193"/>
      <c r="Z77" s="125"/>
      <c r="AA77" s="125"/>
      <c r="AB77" s="125"/>
      <c r="AC77" s="125"/>
      <c r="AD77" s="125"/>
      <c r="AE77" s="125"/>
      <c r="AF77" s="125"/>
      <c r="AG77" s="125"/>
      <c r="AH77" s="125"/>
      <c r="AI77" s="125"/>
      <c r="AJ77" s="125"/>
      <c r="AK77" s="125"/>
      <c r="AL77" s="125"/>
      <c r="AM77" s="125"/>
      <c r="AN77" s="125"/>
      <c r="AO77" s="125"/>
      <c r="AP77" s="125"/>
      <c r="AQ77" s="125"/>
      <c r="AR77" s="125"/>
      <c r="AS77" s="180"/>
      <c r="AT77" s="125"/>
      <c r="AU77" s="125"/>
      <c r="AV77" s="125"/>
      <c r="AW77" s="125"/>
      <c r="AX77" s="125"/>
      <c r="AY77" s="125"/>
      <c r="AZ77" s="125"/>
      <c r="BM77" s="193" t="b">
        <f t="shared" si="34"/>
        <v>1</v>
      </c>
      <c r="BN77" s="19" t="b">
        <f t="shared" si="35"/>
        <v>1</v>
      </c>
      <c r="BO77" s="19" t="b">
        <f t="shared" si="36"/>
        <v>1</v>
      </c>
      <c r="BP77" s="19" t="b">
        <f t="shared" si="37"/>
        <v>1</v>
      </c>
      <c r="BQ77" s="19" t="b">
        <f t="shared" si="38"/>
        <v>0</v>
      </c>
      <c r="BR77" s="19" t="b">
        <f t="shared" si="39"/>
        <v>0</v>
      </c>
      <c r="BS77" s="19" t="b">
        <f t="shared" si="40"/>
        <v>0</v>
      </c>
    </row>
    <row r="78" spans="2:71" ht="15.95" customHeight="1" x14ac:dyDescent="0.2">
      <c r="B78" s="248" t="str">
        <f>IF(Calc!$F$26=0,"",IF(OR($C78&gt;Calc!$B$24,MOD($C78-1,Calc!$F$26)&gt;0),"",QUOTIENT($C78-1,Calc!$F$26)+1))</f>
        <v/>
      </c>
      <c r="C78" s="244">
        <v>70</v>
      </c>
      <c r="D78" s="142">
        <f>IF(Planning!$T76="","",Planning!$T76)</f>
        <v>45955</v>
      </c>
      <c r="E78" s="143">
        <f>IF(Planning!$U76="","",Planning!$U76)</f>
        <v>0.64583333333333337</v>
      </c>
      <c r="F78" s="161" t="str">
        <f>Planning!$Q76</f>
        <v>VfB Stuttgart</v>
      </c>
      <c r="G78" s="162" t="s">
        <v>4</v>
      </c>
      <c r="H78" s="161" t="str">
        <f>Planning!$S76</f>
        <v>Bayer 04 Leverkusen</v>
      </c>
      <c r="I78" s="163"/>
      <c r="J78" s="315" t="str">
        <f>Language!$E$90</f>
        <v xml:space="preserve"> - </v>
      </c>
      <c r="K78" s="318"/>
      <c r="L78" s="163"/>
      <c r="M78" s="360" t="str">
        <f>Language!$E$90</f>
        <v xml:space="preserve"> - </v>
      </c>
      <c r="N78" s="318"/>
      <c r="O78" s="163"/>
      <c r="P78" s="360" t="str">
        <f>Language!$E$90</f>
        <v xml:space="preserve"> - </v>
      </c>
      <c r="Q78" s="318"/>
      <c r="R78" s="354" t="str">
        <f t="shared" si="32"/>
        <v/>
      </c>
      <c r="S78" s="357" t="str">
        <f>Language!$E$90</f>
        <v xml:space="preserve"> - </v>
      </c>
      <c r="T78" s="321" t="str">
        <f t="shared" si="33"/>
        <v/>
      </c>
      <c r="U78" s="294"/>
      <c r="V78" s="295"/>
      <c r="Y78" s="193"/>
      <c r="Z78" s="125"/>
      <c r="AA78" s="125"/>
      <c r="AB78" s="125"/>
      <c r="AC78" s="125"/>
      <c r="AD78" s="125"/>
      <c r="AE78" s="125"/>
      <c r="AF78" s="125"/>
      <c r="AG78" s="125"/>
      <c r="AH78" s="125"/>
      <c r="AI78" s="125"/>
      <c r="AJ78" s="125"/>
      <c r="AK78" s="125"/>
      <c r="AL78" s="125"/>
      <c r="AM78" s="125"/>
      <c r="AN78" s="125"/>
      <c r="AO78" s="125"/>
      <c r="AP78" s="125"/>
      <c r="AQ78" s="125"/>
      <c r="AR78" s="125"/>
      <c r="AS78" s="125"/>
      <c r="AT78" s="180"/>
      <c r="AU78" s="125"/>
      <c r="AV78" s="125"/>
      <c r="AW78" s="125"/>
      <c r="AX78" s="125"/>
      <c r="AY78" s="125"/>
      <c r="AZ78" s="125"/>
      <c r="BM78" s="193" t="b">
        <f t="shared" si="34"/>
        <v>1</v>
      </c>
      <c r="BN78" s="19" t="b">
        <f t="shared" si="35"/>
        <v>1</v>
      </c>
      <c r="BO78" s="19" t="b">
        <f t="shared" si="36"/>
        <v>1</v>
      </c>
      <c r="BP78" s="19" t="b">
        <f t="shared" si="37"/>
        <v>1</v>
      </c>
      <c r="BQ78" s="19" t="b">
        <f t="shared" si="38"/>
        <v>0</v>
      </c>
      <c r="BR78" s="19" t="b">
        <f t="shared" si="39"/>
        <v>0</v>
      </c>
      <c r="BS78" s="19" t="b">
        <f t="shared" si="40"/>
        <v>0</v>
      </c>
    </row>
    <row r="79" spans="2:71" ht="15.95" customHeight="1" x14ac:dyDescent="0.2">
      <c r="B79" s="248" t="str">
        <f>IF(Calc!$F$26=0,"",IF(OR($C79&gt;Calc!$B$24,MOD($C79-1,Calc!$F$26)&gt;0),"",QUOTIENT($C79-1,Calc!$F$26)+1))</f>
        <v/>
      </c>
      <c r="C79" s="244">
        <v>71</v>
      </c>
      <c r="D79" s="142">
        <f>IF(Planning!$T77="","",Planning!$T77)</f>
        <v>45955</v>
      </c>
      <c r="E79" s="143">
        <f>IF(Planning!$U77="","",Planning!$U77)</f>
        <v>0.64583333333333337</v>
      </c>
      <c r="F79" s="161" t="str">
        <f>Planning!$Q77</f>
        <v>1. FSV Mainz 05</v>
      </c>
      <c r="G79" s="162" t="s">
        <v>4</v>
      </c>
      <c r="H79" s="161" t="str">
        <f>Planning!$S77</f>
        <v>VfL Wolfsburg</v>
      </c>
      <c r="I79" s="163"/>
      <c r="J79" s="315" t="str">
        <f>Language!$E$90</f>
        <v xml:space="preserve"> - </v>
      </c>
      <c r="K79" s="318"/>
      <c r="L79" s="163"/>
      <c r="M79" s="360" t="str">
        <f>Language!$E$90</f>
        <v xml:space="preserve"> - </v>
      </c>
      <c r="N79" s="318"/>
      <c r="O79" s="163"/>
      <c r="P79" s="360" t="str">
        <f>Language!$E$90</f>
        <v xml:space="preserve"> - </v>
      </c>
      <c r="Q79" s="318"/>
      <c r="R79" s="354" t="str">
        <f t="shared" si="32"/>
        <v/>
      </c>
      <c r="S79" s="357" t="str">
        <f>Language!$E$90</f>
        <v xml:space="preserve"> - </v>
      </c>
      <c r="T79" s="321" t="str">
        <f t="shared" si="33"/>
        <v/>
      </c>
      <c r="U79" s="294"/>
      <c r="V79" s="295"/>
      <c r="Y79" s="193"/>
      <c r="Z79" s="125"/>
      <c r="AA79" s="125"/>
      <c r="AB79" s="125"/>
      <c r="AC79" s="125"/>
      <c r="AD79" s="125"/>
      <c r="AE79" s="125"/>
      <c r="AF79" s="125"/>
      <c r="AG79" s="125"/>
      <c r="AH79" s="125"/>
      <c r="AI79" s="125"/>
      <c r="AJ79" s="125"/>
      <c r="AK79" s="125"/>
      <c r="AL79" s="125"/>
      <c r="AM79" s="125"/>
      <c r="AN79" s="125"/>
      <c r="AO79" s="125"/>
      <c r="AP79" s="125"/>
      <c r="AQ79" s="125"/>
      <c r="AR79" s="125"/>
      <c r="AS79" s="125"/>
      <c r="AT79" s="125"/>
      <c r="AU79" s="180"/>
      <c r="AV79" s="125"/>
      <c r="AW79" s="125"/>
      <c r="AX79" s="125"/>
      <c r="AY79" s="125"/>
      <c r="AZ79" s="125"/>
      <c r="BM79" s="193" t="b">
        <f t="shared" si="34"/>
        <v>1</v>
      </c>
      <c r="BN79" s="19" t="b">
        <f t="shared" si="35"/>
        <v>1</v>
      </c>
      <c r="BO79" s="19" t="b">
        <f t="shared" si="36"/>
        <v>1</v>
      </c>
      <c r="BP79" s="19" t="b">
        <f t="shared" si="37"/>
        <v>1</v>
      </c>
      <c r="BQ79" s="19" t="b">
        <f t="shared" si="38"/>
        <v>0</v>
      </c>
      <c r="BR79" s="19" t="b">
        <f t="shared" si="39"/>
        <v>0</v>
      </c>
      <c r="BS79" s="19" t="b">
        <f t="shared" si="40"/>
        <v>0</v>
      </c>
    </row>
    <row r="80" spans="2:71" ht="15.95" customHeight="1" x14ac:dyDescent="0.2">
      <c r="B80" s="248" t="str">
        <f>IF(Calc!$F$26=0,"",IF(OR($C80&gt;Calc!$B$24,MOD($C80-1,Calc!$F$26)&gt;0),"",QUOTIENT($C80-1,Calc!$F$26)+1))</f>
        <v/>
      </c>
      <c r="C80" s="244">
        <v>72</v>
      </c>
      <c r="D80" s="142">
        <f>IF(Planning!$T78="","",Planning!$T78)</f>
        <v>45955</v>
      </c>
      <c r="E80" s="143">
        <f>IF(Planning!$U78="","",Planning!$U78)</f>
        <v>0.64583333333333337</v>
      </c>
      <c r="F80" s="161" t="str">
        <f>Planning!$Q78</f>
        <v>1. FC Köln</v>
      </c>
      <c r="G80" s="162" t="s">
        <v>4</v>
      </c>
      <c r="H80" s="161" t="str">
        <f>Planning!$S78</f>
        <v>1. FC Union Berlin</v>
      </c>
      <c r="I80" s="163"/>
      <c r="J80" s="315" t="str">
        <f>Language!$E$90</f>
        <v xml:space="preserve"> - </v>
      </c>
      <c r="K80" s="318"/>
      <c r="L80" s="163"/>
      <c r="M80" s="360" t="str">
        <f>Language!$E$90</f>
        <v xml:space="preserve"> - </v>
      </c>
      <c r="N80" s="318"/>
      <c r="O80" s="163"/>
      <c r="P80" s="360" t="str">
        <f>Language!$E$90</f>
        <v xml:space="preserve"> - </v>
      </c>
      <c r="Q80" s="318"/>
      <c r="R80" s="354" t="str">
        <f t="shared" si="32"/>
        <v/>
      </c>
      <c r="S80" s="357" t="str">
        <f>Language!$E$90</f>
        <v xml:space="preserve"> - </v>
      </c>
      <c r="T80" s="321" t="str">
        <f t="shared" si="33"/>
        <v/>
      </c>
      <c r="U80" s="294"/>
      <c r="V80" s="295"/>
      <c r="Y80" s="193"/>
      <c r="Z80" s="125"/>
      <c r="AA80" s="125"/>
      <c r="AB80" s="125"/>
      <c r="AC80" s="125"/>
      <c r="AD80" s="125"/>
      <c r="AE80" s="125"/>
      <c r="AF80" s="125"/>
      <c r="AG80" s="125"/>
      <c r="AH80" s="125"/>
      <c r="AI80" s="125"/>
      <c r="AJ80" s="125"/>
      <c r="AK80" s="125"/>
      <c r="AL80" s="125"/>
      <c r="AM80" s="125"/>
      <c r="AN80" s="125"/>
      <c r="AO80" s="125"/>
      <c r="AP80" s="125"/>
      <c r="AQ80" s="125"/>
      <c r="AR80" s="125"/>
      <c r="AS80" s="125"/>
      <c r="AT80" s="125"/>
      <c r="AU80" s="125"/>
      <c r="AV80" s="180"/>
      <c r="AW80" s="125"/>
      <c r="AX80" s="125"/>
      <c r="AY80" s="125"/>
      <c r="AZ80" s="125"/>
      <c r="BM80" s="193" t="b">
        <f t="shared" si="34"/>
        <v>1</v>
      </c>
      <c r="BN80" s="19" t="b">
        <f t="shared" si="35"/>
        <v>1</v>
      </c>
      <c r="BO80" s="19" t="b">
        <f t="shared" si="36"/>
        <v>1</v>
      </c>
      <c r="BP80" s="19" t="b">
        <f t="shared" si="37"/>
        <v>1</v>
      </c>
      <c r="BQ80" s="19" t="b">
        <f t="shared" si="38"/>
        <v>0</v>
      </c>
      <c r="BR80" s="19" t="b">
        <f t="shared" si="39"/>
        <v>0</v>
      </c>
      <c r="BS80" s="19" t="b">
        <f t="shared" si="40"/>
        <v>0</v>
      </c>
    </row>
    <row r="81" spans="2:71" ht="15.75" x14ac:dyDescent="0.2">
      <c r="B81" s="248">
        <f>IF(Calc!$F$26=0,"",IF(OR($C81&gt;Calc!$B$24,MOD($C81-1,Calc!$F$26)&gt;0),"",QUOTIENT($C81-1,Calc!$F$26)+1))</f>
        <v>9</v>
      </c>
      <c r="C81" s="244">
        <v>73</v>
      </c>
      <c r="D81" s="142">
        <f>IF(Planning!$T79="","",Planning!$T79)</f>
        <v>45962</v>
      </c>
      <c r="E81" s="143">
        <f>IF(Planning!$U79="","",Planning!$U79)</f>
        <v>0.64583333333333337</v>
      </c>
      <c r="F81" s="161" t="str">
        <f>Planning!$Q79</f>
        <v>1. FC Heidenheim 1846</v>
      </c>
      <c r="G81" s="162" t="s">
        <v>4</v>
      </c>
      <c r="H81" s="161" t="str">
        <f>Planning!$S79</f>
        <v>FC Bayern München</v>
      </c>
      <c r="I81" s="163"/>
      <c r="J81" s="315" t="str">
        <f>Language!$E$90</f>
        <v xml:space="preserve"> - </v>
      </c>
      <c r="K81" s="318"/>
      <c r="L81" s="163"/>
      <c r="M81" s="360" t="str">
        <f>Language!$E$90</f>
        <v xml:space="preserve"> - </v>
      </c>
      <c r="N81" s="318"/>
      <c r="O81" s="163"/>
      <c r="P81" s="360" t="str">
        <f>Language!$E$90</f>
        <v xml:space="preserve"> - </v>
      </c>
      <c r="Q81" s="318"/>
      <c r="R81" s="354" t="str">
        <f t="shared" si="32"/>
        <v/>
      </c>
      <c r="S81" s="357" t="str">
        <f>Language!$E$90</f>
        <v xml:space="preserve"> - </v>
      </c>
      <c r="T81" s="321" t="str">
        <f t="shared" si="33"/>
        <v/>
      </c>
      <c r="U81" s="294"/>
      <c r="V81" s="295"/>
      <c r="Y81" s="193"/>
      <c r="Z81" s="125"/>
      <c r="AA81" s="125"/>
      <c r="AB81" s="125"/>
      <c r="AC81" s="125"/>
      <c r="AD81" s="125"/>
      <c r="AE81" s="125"/>
      <c r="AF81" s="125"/>
      <c r="AG81" s="125"/>
      <c r="AH81" s="125"/>
      <c r="AI81" s="125"/>
      <c r="AJ81" s="125"/>
      <c r="AK81" s="125"/>
      <c r="AL81" s="125"/>
      <c r="AM81" s="125"/>
      <c r="AN81" s="125"/>
      <c r="AO81" s="125"/>
      <c r="AP81" s="125"/>
      <c r="AQ81" s="125"/>
      <c r="AR81" s="125"/>
      <c r="AS81" s="125"/>
      <c r="AT81" s="125"/>
      <c r="AU81" s="125"/>
      <c r="AV81" s="125"/>
      <c r="AW81" s="180"/>
      <c r="AX81" s="125"/>
      <c r="AY81" s="125"/>
      <c r="AZ81" s="125"/>
      <c r="BM81" s="193" t="b">
        <f t="shared" si="34"/>
        <v>1</v>
      </c>
      <c r="BN81" s="19" t="b">
        <f t="shared" si="35"/>
        <v>1</v>
      </c>
      <c r="BO81" s="19" t="b">
        <f t="shared" si="36"/>
        <v>1</v>
      </c>
      <c r="BP81" s="19" t="b">
        <f t="shared" si="37"/>
        <v>1</v>
      </c>
      <c r="BQ81" s="19" t="b">
        <f t="shared" si="38"/>
        <v>0</v>
      </c>
      <c r="BR81" s="19" t="b">
        <f t="shared" si="39"/>
        <v>0</v>
      </c>
      <c r="BS81" s="19" t="b">
        <f t="shared" si="40"/>
        <v>0</v>
      </c>
    </row>
    <row r="82" spans="2:71" ht="15.75" x14ac:dyDescent="0.2">
      <c r="B82" s="248" t="str">
        <f>IF(Calc!$F$26=0,"",IF(OR($C82&gt;Calc!$B$24,MOD($C82-1,Calc!$F$26)&gt;0),"",QUOTIENT($C82-1,Calc!$F$26)+1))</f>
        <v/>
      </c>
      <c r="C82" s="244">
        <v>74</v>
      </c>
      <c r="D82" s="142">
        <f>IF(Planning!$T80="","",Planning!$T80)</f>
        <v>45962</v>
      </c>
      <c r="E82" s="143">
        <f>IF(Planning!$U80="","",Planning!$U80)</f>
        <v>0.64583333333333337</v>
      </c>
      <c r="F82" s="161" t="str">
        <f>Planning!$Q80</f>
        <v>FC Augsburg</v>
      </c>
      <c r="G82" s="162" t="s">
        <v>4</v>
      </c>
      <c r="H82" s="161" t="str">
        <f>Planning!$S80</f>
        <v>FC St. Pauli</v>
      </c>
      <c r="I82" s="163"/>
      <c r="J82" s="315" t="str">
        <f>Language!$E$90</f>
        <v xml:space="preserve"> - </v>
      </c>
      <c r="K82" s="318"/>
      <c r="L82" s="163"/>
      <c r="M82" s="360" t="str">
        <f>Language!$E$90</f>
        <v xml:space="preserve"> - </v>
      </c>
      <c r="N82" s="318"/>
      <c r="O82" s="163"/>
      <c r="P82" s="360" t="str">
        <f>Language!$E$90</f>
        <v xml:space="preserve"> - </v>
      </c>
      <c r="Q82" s="318"/>
      <c r="R82" s="354" t="str">
        <f t="shared" si="32"/>
        <v/>
      </c>
      <c r="S82" s="357" t="str">
        <f>Language!$E$90</f>
        <v xml:space="preserve"> - </v>
      </c>
      <c r="T82" s="321" t="str">
        <f t="shared" si="33"/>
        <v/>
      </c>
      <c r="U82" s="294"/>
      <c r="V82" s="295"/>
      <c r="Y82" s="193"/>
      <c r="Z82" s="125"/>
      <c r="AA82" s="125"/>
      <c r="AB82" s="125"/>
      <c r="AC82" s="125"/>
      <c r="AD82" s="125"/>
      <c r="AE82" s="125"/>
      <c r="AF82" s="125"/>
      <c r="AG82" s="125"/>
      <c r="AH82" s="125"/>
      <c r="AI82" s="125"/>
      <c r="AJ82" s="125"/>
      <c r="AK82" s="125"/>
      <c r="AL82" s="125"/>
      <c r="AM82" s="125"/>
      <c r="AN82" s="125"/>
      <c r="AO82" s="125"/>
      <c r="AP82" s="125"/>
      <c r="AQ82" s="125"/>
      <c r="AR82" s="125"/>
      <c r="AS82" s="125"/>
      <c r="AT82" s="125"/>
      <c r="AU82" s="125"/>
      <c r="AV82" s="125"/>
      <c r="AW82" s="125"/>
      <c r="AX82" s="180"/>
      <c r="AY82" s="125"/>
      <c r="AZ82" s="125"/>
      <c r="BM82" s="193" t="b">
        <f t="shared" si="34"/>
        <v>1</v>
      </c>
      <c r="BN82" s="19" t="b">
        <f t="shared" si="35"/>
        <v>1</v>
      </c>
      <c r="BO82" s="19" t="b">
        <f t="shared" si="36"/>
        <v>1</v>
      </c>
      <c r="BP82" s="19" t="b">
        <f t="shared" si="37"/>
        <v>1</v>
      </c>
      <c r="BQ82" s="19" t="b">
        <f t="shared" si="38"/>
        <v>0</v>
      </c>
      <c r="BR82" s="19" t="b">
        <f t="shared" si="39"/>
        <v>0</v>
      </c>
      <c r="BS82" s="19" t="b">
        <f t="shared" si="40"/>
        <v>0</v>
      </c>
    </row>
    <row r="83" spans="2:71" ht="15.75" x14ac:dyDescent="0.2">
      <c r="B83" s="248" t="str">
        <f>IF(Calc!$F$26=0,"",IF(OR($C83&gt;Calc!$B$24,MOD($C83-1,Calc!$F$26)&gt;0),"",QUOTIENT($C83-1,Calc!$F$26)+1))</f>
        <v/>
      </c>
      <c r="C83" s="244">
        <v>75</v>
      </c>
      <c r="D83" s="142">
        <f>IF(Planning!$T81="","",Planning!$T81)</f>
        <v>45962</v>
      </c>
      <c r="E83" s="143">
        <f>IF(Planning!$U81="","",Planning!$U81)</f>
        <v>0.64583333333333337</v>
      </c>
      <c r="F83" s="161" t="str">
        <f>Planning!$Q81</f>
        <v>Hamburger SV</v>
      </c>
      <c r="G83" s="162" t="s">
        <v>4</v>
      </c>
      <c r="H83" s="161" t="str">
        <f>Planning!$S81</f>
        <v>Eintracht Frankfurt</v>
      </c>
      <c r="I83" s="163"/>
      <c r="J83" s="315" t="str">
        <f>Language!$E$90</f>
        <v xml:space="preserve"> - </v>
      </c>
      <c r="K83" s="318"/>
      <c r="L83" s="163"/>
      <c r="M83" s="360" t="str">
        <f>Language!$E$90</f>
        <v xml:space="preserve"> - </v>
      </c>
      <c r="N83" s="318"/>
      <c r="O83" s="163"/>
      <c r="P83" s="360" t="str">
        <f>Language!$E$90</f>
        <v xml:space="preserve"> - </v>
      </c>
      <c r="Q83" s="318"/>
      <c r="R83" s="354" t="str">
        <f t="shared" si="32"/>
        <v/>
      </c>
      <c r="S83" s="357" t="str">
        <f>Language!$E$90</f>
        <v xml:space="preserve"> - </v>
      </c>
      <c r="T83" s="321" t="str">
        <f t="shared" si="33"/>
        <v/>
      </c>
      <c r="U83" s="294"/>
      <c r="V83" s="295"/>
      <c r="Y83" s="193"/>
      <c r="Z83" s="125"/>
      <c r="AA83" s="125"/>
      <c r="AB83" s="125"/>
      <c r="AC83" s="125"/>
      <c r="AD83" s="125"/>
      <c r="AE83" s="125"/>
      <c r="AF83" s="125"/>
      <c r="AG83" s="125"/>
      <c r="AH83" s="125"/>
      <c r="AI83" s="125"/>
      <c r="AJ83" s="125"/>
      <c r="AK83" s="125"/>
      <c r="AL83" s="125"/>
      <c r="AM83" s="125"/>
      <c r="AN83" s="125"/>
      <c r="AO83" s="125"/>
      <c r="AP83" s="125"/>
      <c r="AQ83" s="125"/>
      <c r="AR83" s="125"/>
      <c r="AS83" s="125"/>
      <c r="AT83" s="125"/>
      <c r="AU83" s="125"/>
      <c r="AV83" s="125"/>
      <c r="AW83" s="125"/>
      <c r="AX83" s="125"/>
      <c r="AY83" s="180"/>
      <c r="AZ83" s="125"/>
      <c r="BM83" s="193" t="b">
        <f t="shared" si="34"/>
        <v>1</v>
      </c>
      <c r="BN83" s="19" t="b">
        <f t="shared" si="35"/>
        <v>1</v>
      </c>
      <c r="BO83" s="19" t="b">
        <f t="shared" si="36"/>
        <v>1</v>
      </c>
      <c r="BP83" s="19" t="b">
        <f t="shared" si="37"/>
        <v>1</v>
      </c>
      <c r="BQ83" s="19" t="b">
        <f t="shared" si="38"/>
        <v>0</v>
      </c>
      <c r="BR83" s="19" t="b">
        <f t="shared" si="39"/>
        <v>0</v>
      </c>
      <c r="BS83" s="19" t="b">
        <f t="shared" si="40"/>
        <v>0</v>
      </c>
    </row>
    <row r="84" spans="2:71" ht="15.75" x14ac:dyDescent="0.2">
      <c r="B84" s="248" t="str">
        <f>IF(Calc!$F$26=0,"",IF(OR($C84&gt;Calc!$B$24,MOD($C84-1,Calc!$F$26)&gt;0),"",QUOTIENT($C84-1,Calc!$F$26)+1))</f>
        <v/>
      </c>
      <c r="C84" s="244">
        <v>76</v>
      </c>
      <c r="D84" s="142">
        <f>IF(Planning!$T82="","",Planning!$T82)</f>
        <v>45962</v>
      </c>
      <c r="E84" s="143">
        <f>IF(Planning!$U82="","",Planning!$U82)</f>
        <v>0.64583333333333337</v>
      </c>
      <c r="F84" s="161" t="str">
        <f>Planning!$Q82</f>
        <v>Borussia Mönchengladbach</v>
      </c>
      <c r="G84" s="162" t="s">
        <v>4</v>
      </c>
      <c r="H84" s="161" t="str">
        <f>Planning!$S82</f>
        <v>RB Leipzig</v>
      </c>
      <c r="I84" s="163"/>
      <c r="J84" s="315" t="str">
        <f>Language!$E$90</f>
        <v xml:space="preserve"> - </v>
      </c>
      <c r="K84" s="318"/>
      <c r="L84" s="163"/>
      <c r="M84" s="360" t="str">
        <f>Language!$E$90</f>
        <v xml:space="preserve"> - </v>
      </c>
      <c r="N84" s="318"/>
      <c r="O84" s="163"/>
      <c r="P84" s="360" t="str">
        <f>Language!$E$90</f>
        <v xml:space="preserve"> - </v>
      </c>
      <c r="Q84" s="318"/>
      <c r="R84" s="354" t="str">
        <f t="shared" si="32"/>
        <v/>
      </c>
      <c r="S84" s="357" t="str">
        <f>Language!$E$90</f>
        <v xml:space="preserve"> - </v>
      </c>
      <c r="T84" s="321" t="str">
        <f t="shared" si="33"/>
        <v/>
      </c>
      <c r="U84" s="294"/>
      <c r="V84" s="295"/>
      <c r="Y84" s="193"/>
      <c r="Z84" s="125"/>
      <c r="AA84" s="125"/>
      <c r="AB84" s="125"/>
      <c r="AC84" s="125"/>
      <c r="AD84" s="125"/>
      <c r="AE84" s="125"/>
      <c r="AF84" s="125"/>
      <c r="AG84" s="125"/>
      <c r="AH84" s="125"/>
      <c r="AI84" s="125"/>
      <c r="AJ84" s="125"/>
      <c r="AK84" s="125"/>
      <c r="AL84" s="125"/>
      <c r="AM84" s="125"/>
      <c r="AN84" s="125"/>
      <c r="AO84" s="125"/>
      <c r="AP84" s="125"/>
      <c r="AQ84" s="125"/>
      <c r="AR84" s="125"/>
      <c r="AS84" s="125"/>
      <c r="AT84" s="125"/>
      <c r="AU84" s="125"/>
      <c r="AV84" s="125"/>
      <c r="AW84" s="125"/>
      <c r="AX84" s="125"/>
      <c r="AY84" s="125"/>
      <c r="AZ84" s="180"/>
      <c r="BM84" s="193" t="b">
        <f t="shared" si="34"/>
        <v>1</v>
      </c>
      <c r="BN84" s="19" t="b">
        <f t="shared" si="35"/>
        <v>1</v>
      </c>
      <c r="BO84" s="19" t="b">
        <f t="shared" si="36"/>
        <v>1</v>
      </c>
      <c r="BP84" s="19" t="b">
        <f t="shared" si="37"/>
        <v>1</v>
      </c>
      <c r="BQ84" s="19" t="b">
        <f t="shared" si="38"/>
        <v>0</v>
      </c>
      <c r="BR84" s="19" t="b">
        <f t="shared" si="39"/>
        <v>0</v>
      </c>
      <c r="BS84" s="19" t="b">
        <f t="shared" si="40"/>
        <v>0</v>
      </c>
    </row>
    <row r="85" spans="2:71" ht="15.75" x14ac:dyDescent="0.2">
      <c r="B85" s="248" t="str">
        <f>IF(Calc!$F$26=0,"",IF(OR($C85&gt;Calc!$B$24,MOD($C85-1,Calc!$F$26)&gt;0),"",QUOTIENT($C85-1,Calc!$F$26)+1))</f>
        <v/>
      </c>
      <c r="C85" s="244">
        <v>77</v>
      </c>
      <c r="D85" s="142">
        <f>IF(Planning!$T83="","",Planning!$T83)</f>
        <v>45962</v>
      </c>
      <c r="E85" s="143">
        <f>IF(Planning!$U83="","",Planning!$U83)</f>
        <v>0.64583333333333337</v>
      </c>
      <c r="F85" s="161" t="str">
        <f>Planning!$Q83</f>
        <v>SC Freiburg</v>
      </c>
      <c r="G85" s="162" t="s">
        <v>4</v>
      </c>
      <c r="H85" s="161" t="str">
        <f>Planning!$S83</f>
        <v>Borussia Dortmund</v>
      </c>
      <c r="I85" s="163"/>
      <c r="J85" s="315" t="str">
        <f>Language!$E$90</f>
        <v xml:space="preserve"> - </v>
      </c>
      <c r="K85" s="318"/>
      <c r="L85" s="163"/>
      <c r="M85" s="360" t="str">
        <f>Language!$E$90</f>
        <v xml:space="preserve"> - </v>
      </c>
      <c r="N85" s="318"/>
      <c r="O85" s="163"/>
      <c r="P85" s="360" t="str">
        <f>Language!$E$90</f>
        <v xml:space="preserve"> - </v>
      </c>
      <c r="Q85" s="318"/>
      <c r="R85" s="354" t="str">
        <f t="shared" si="32"/>
        <v/>
      </c>
      <c r="S85" s="357" t="str">
        <f>Language!$E$90</f>
        <v xml:space="preserve"> - </v>
      </c>
      <c r="T85" s="321" t="str">
        <f t="shared" si="33"/>
        <v/>
      </c>
      <c r="U85" s="294"/>
      <c r="V85" s="295"/>
      <c r="BM85" s="193" t="b">
        <f t="shared" si="34"/>
        <v>1</v>
      </c>
      <c r="BN85" s="19" t="b">
        <f t="shared" si="35"/>
        <v>1</v>
      </c>
      <c r="BO85" s="19" t="b">
        <f t="shared" si="36"/>
        <v>1</v>
      </c>
      <c r="BP85" s="19" t="b">
        <f t="shared" si="37"/>
        <v>1</v>
      </c>
      <c r="BQ85" s="19" t="b">
        <f t="shared" si="38"/>
        <v>0</v>
      </c>
      <c r="BR85" s="19" t="b">
        <f t="shared" si="39"/>
        <v>0</v>
      </c>
      <c r="BS85" s="19" t="b">
        <f t="shared" si="40"/>
        <v>0</v>
      </c>
    </row>
    <row r="86" spans="2:71" ht="15.75" x14ac:dyDescent="0.2">
      <c r="B86" s="248" t="str">
        <f>IF(Calc!$F$26=0,"",IF(OR($C86&gt;Calc!$B$24,MOD($C86-1,Calc!$F$26)&gt;0),"",QUOTIENT($C86-1,Calc!$F$26)+1))</f>
        <v/>
      </c>
      <c r="C86" s="244">
        <v>78</v>
      </c>
      <c r="D86" s="142">
        <f>IF(Planning!$T84="","",Planning!$T84)</f>
        <v>45962</v>
      </c>
      <c r="E86" s="143">
        <f>IF(Planning!$U84="","",Planning!$U84)</f>
        <v>0.64583333333333337</v>
      </c>
      <c r="F86" s="161" t="str">
        <f>Planning!$Q84</f>
        <v>Bayer 04 Leverkusen</v>
      </c>
      <c r="G86" s="162" t="s">
        <v>4</v>
      </c>
      <c r="H86" s="161" t="str">
        <f>Planning!$S84</f>
        <v>SV Werder Bremen</v>
      </c>
      <c r="I86" s="163"/>
      <c r="J86" s="315" t="str">
        <f>Language!$E$90</f>
        <v xml:space="preserve"> - </v>
      </c>
      <c r="K86" s="318"/>
      <c r="L86" s="163"/>
      <c r="M86" s="360" t="str">
        <f>Language!$E$90</f>
        <v xml:space="preserve"> - </v>
      </c>
      <c r="N86" s="318"/>
      <c r="O86" s="163"/>
      <c r="P86" s="360" t="str">
        <f>Language!$E$90</f>
        <v xml:space="preserve"> - </v>
      </c>
      <c r="Q86" s="318"/>
      <c r="R86" s="354" t="str">
        <f t="shared" si="32"/>
        <v/>
      </c>
      <c r="S86" s="357" t="str">
        <f>Language!$E$90</f>
        <v xml:space="preserve"> - </v>
      </c>
      <c r="T86" s="321" t="str">
        <f t="shared" si="33"/>
        <v/>
      </c>
      <c r="U86" s="294"/>
      <c r="V86" s="295"/>
      <c r="BM86" s="193" t="b">
        <f t="shared" si="34"/>
        <v>1</v>
      </c>
      <c r="BN86" s="19" t="b">
        <f t="shared" si="35"/>
        <v>1</v>
      </c>
      <c r="BO86" s="19" t="b">
        <f t="shared" si="36"/>
        <v>1</v>
      </c>
      <c r="BP86" s="19" t="b">
        <f t="shared" si="37"/>
        <v>1</v>
      </c>
      <c r="BQ86" s="19" t="b">
        <f t="shared" si="38"/>
        <v>0</v>
      </c>
      <c r="BR86" s="19" t="b">
        <f t="shared" si="39"/>
        <v>0</v>
      </c>
      <c r="BS86" s="19" t="b">
        <f t="shared" si="40"/>
        <v>0</v>
      </c>
    </row>
    <row r="87" spans="2:71" ht="15.75" x14ac:dyDescent="0.2">
      <c r="B87" s="248" t="str">
        <f>IF(Calc!$F$26=0,"",IF(OR($C87&gt;Calc!$B$24,MOD($C87-1,Calc!$F$26)&gt;0),"",QUOTIENT($C87-1,Calc!$F$26)+1))</f>
        <v/>
      </c>
      <c r="C87" s="244">
        <v>79</v>
      </c>
      <c r="D87" s="142">
        <f>IF(Planning!$T85="","",Planning!$T85)</f>
        <v>45962</v>
      </c>
      <c r="E87" s="143">
        <f>IF(Planning!$U85="","",Planning!$U85)</f>
        <v>0.64583333333333337</v>
      </c>
      <c r="F87" s="161" t="str">
        <f>Planning!$Q85</f>
        <v>TSG Hoffenheim</v>
      </c>
      <c r="G87" s="162" t="s">
        <v>4</v>
      </c>
      <c r="H87" s="161" t="str">
        <f>Planning!$S85</f>
        <v>1. FSV Mainz 05</v>
      </c>
      <c r="I87" s="163"/>
      <c r="J87" s="315" t="str">
        <f>Language!$E$90</f>
        <v xml:space="preserve"> - </v>
      </c>
      <c r="K87" s="318"/>
      <c r="L87" s="163"/>
      <c r="M87" s="360" t="str">
        <f>Language!$E$90</f>
        <v xml:space="preserve"> - </v>
      </c>
      <c r="N87" s="318"/>
      <c r="O87" s="163"/>
      <c r="P87" s="360" t="str">
        <f>Language!$E$90</f>
        <v xml:space="preserve"> - </v>
      </c>
      <c r="Q87" s="318"/>
      <c r="R87" s="354" t="str">
        <f t="shared" si="32"/>
        <v/>
      </c>
      <c r="S87" s="357" t="str">
        <f>Language!$E$90</f>
        <v xml:space="preserve"> - </v>
      </c>
      <c r="T87" s="321" t="str">
        <f t="shared" si="33"/>
        <v/>
      </c>
      <c r="U87" s="294"/>
      <c r="V87" s="295"/>
      <c r="BM87" s="193" t="b">
        <f t="shared" si="34"/>
        <v>1</v>
      </c>
      <c r="BN87" s="19" t="b">
        <f t="shared" si="35"/>
        <v>1</v>
      </c>
      <c r="BO87" s="19" t="b">
        <f t="shared" si="36"/>
        <v>1</v>
      </c>
      <c r="BP87" s="19" t="b">
        <f t="shared" si="37"/>
        <v>1</v>
      </c>
      <c r="BQ87" s="19" t="b">
        <f t="shared" si="38"/>
        <v>0</v>
      </c>
      <c r="BR87" s="19" t="b">
        <f t="shared" si="39"/>
        <v>0</v>
      </c>
      <c r="BS87" s="19" t="b">
        <f t="shared" si="40"/>
        <v>0</v>
      </c>
    </row>
    <row r="88" spans="2:71" ht="15.75" x14ac:dyDescent="0.2">
      <c r="B88" s="248" t="str">
        <f>IF(Calc!$F$26=0,"",IF(OR($C88&gt;Calc!$B$24,MOD($C88-1,Calc!$F$26)&gt;0),"",QUOTIENT($C88-1,Calc!$F$26)+1))</f>
        <v/>
      </c>
      <c r="C88" s="244">
        <v>80</v>
      </c>
      <c r="D88" s="142">
        <f>IF(Planning!$T86="","",Planning!$T86)</f>
        <v>45962</v>
      </c>
      <c r="E88" s="143">
        <f>IF(Planning!$U86="","",Planning!$U86)</f>
        <v>0.64583333333333337</v>
      </c>
      <c r="F88" s="161" t="str">
        <f>Planning!$Q86</f>
        <v>1. FC Union Berlin</v>
      </c>
      <c r="G88" s="162" t="s">
        <v>4</v>
      </c>
      <c r="H88" s="161" t="str">
        <f>Planning!$S86</f>
        <v>VfB Stuttgart</v>
      </c>
      <c r="I88" s="163"/>
      <c r="J88" s="315" t="str">
        <f>Language!$E$90</f>
        <v xml:space="preserve"> - </v>
      </c>
      <c r="K88" s="318"/>
      <c r="L88" s="163"/>
      <c r="M88" s="360" t="str">
        <f>Language!$E$90</f>
        <v xml:space="preserve"> - </v>
      </c>
      <c r="N88" s="318"/>
      <c r="O88" s="163"/>
      <c r="P88" s="360" t="str">
        <f>Language!$E$90</f>
        <v xml:space="preserve"> - </v>
      </c>
      <c r="Q88" s="318"/>
      <c r="R88" s="354" t="str">
        <f t="shared" si="32"/>
        <v/>
      </c>
      <c r="S88" s="357" t="str">
        <f>Language!$E$90</f>
        <v xml:space="preserve"> - </v>
      </c>
      <c r="T88" s="321" t="str">
        <f t="shared" si="33"/>
        <v/>
      </c>
      <c r="U88" s="294"/>
      <c r="V88" s="295"/>
      <c r="BM88" s="193" t="b">
        <f t="shared" si="34"/>
        <v>1</v>
      </c>
      <c r="BN88" s="19" t="b">
        <f t="shared" si="35"/>
        <v>1</v>
      </c>
      <c r="BO88" s="19" t="b">
        <f t="shared" si="36"/>
        <v>1</v>
      </c>
      <c r="BP88" s="19" t="b">
        <f t="shared" si="37"/>
        <v>1</v>
      </c>
      <c r="BQ88" s="19" t="b">
        <f t="shared" si="38"/>
        <v>0</v>
      </c>
      <c r="BR88" s="19" t="b">
        <f t="shared" si="39"/>
        <v>0</v>
      </c>
      <c r="BS88" s="19" t="b">
        <f t="shared" si="40"/>
        <v>0</v>
      </c>
    </row>
    <row r="89" spans="2:71" ht="15.75" x14ac:dyDescent="0.2">
      <c r="B89" s="248" t="str">
        <f>IF(Calc!$F$26=0,"",IF(OR($C89&gt;Calc!$B$24,MOD($C89-1,Calc!$F$26)&gt;0),"",QUOTIENT($C89-1,Calc!$F$26)+1))</f>
        <v/>
      </c>
      <c r="C89" s="244">
        <v>81</v>
      </c>
      <c r="D89" s="142">
        <f>IF(Planning!$T87="","",Planning!$T87)</f>
        <v>45962</v>
      </c>
      <c r="E89" s="143">
        <f>IF(Planning!$U87="","",Planning!$U87)</f>
        <v>0.64583333333333337</v>
      </c>
      <c r="F89" s="161" t="str">
        <f>Planning!$Q87</f>
        <v>VfL Wolfsburg</v>
      </c>
      <c r="G89" s="162" t="s">
        <v>4</v>
      </c>
      <c r="H89" s="161" t="str">
        <f>Planning!$S87</f>
        <v>1. FC Köln</v>
      </c>
      <c r="I89" s="163"/>
      <c r="J89" s="315" t="str">
        <f>Language!$E$90</f>
        <v xml:space="preserve"> - </v>
      </c>
      <c r="K89" s="318"/>
      <c r="L89" s="163"/>
      <c r="M89" s="360" t="str">
        <f>Language!$E$90</f>
        <v xml:space="preserve"> - </v>
      </c>
      <c r="N89" s="318"/>
      <c r="O89" s="163"/>
      <c r="P89" s="360" t="str">
        <f>Language!$E$90</f>
        <v xml:space="preserve"> - </v>
      </c>
      <c r="Q89" s="318"/>
      <c r="R89" s="354" t="str">
        <f t="shared" si="32"/>
        <v/>
      </c>
      <c r="S89" s="357" t="str">
        <f>Language!$E$90</f>
        <v xml:space="preserve"> - </v>
      </c>
      <c r="T89" s="321" t="str">
        <f t="shared" si="33"/>
        <v/>
      </c>
      <c r="U89" s="294"/>
      <c r="V89" s="295"/>
      <c r="BM89" s="193" t="b">
        <f t="shared" si="34"/>
        <v>1</v>
      </c>
      <c r="BN89" s="19" t="b">
        <f t="shared" si="35"/>
        <v>1</v>
      </c>
      <c r="BO89" s="19" t="b">
        <f t="shared" si="36"/>
        <v>1</v>
      </c>
      <c r="BP89" s="19" t="b">
        <f t="shared" si="37"/>
        <v>1</v>
      </c>
      <c r="BQ89" s="19" t="b">
        <f t="shared" si="38"/>
        <v>0</v>
      </c>
      <c r="BR89" s="19" t="b">
        <f t="shared" si="39"/>
        <v>0</v>
      </c>
      <c r="BS89" s="19" t="b">
        <f t="shared" si="40"/>
        <v>0</v>
      </c>
    </row>
    <row r="90" spans="2:71" ht="15.75" x14ac:dyDescent="0.2">
      <c r="B90" s="248">
        <f>IF(Calc!$F$26=0,"",IF(OR($C90&gt;Calc!$B$24,MOD($C90-1,Calc!$F$26)&gt;0),"",QUOTIENT($C90-1,Calc!$F$26)+1))</f>
        <v>10</v>
      </c>
      <c r="C90" s="244">
        <v>82</v>
      </c>
      <c r="D90" s="142">
        <f>IF(Planning!$T88="","",Planning!$T88)</f>
        <v>45969</v>
      </c>
      <c r="E90" s="143">
        <f>IF(Planning!$U88="","",Planning!$U88)</f>
        <v>0.64583333333333337</v>
      </c>
      <c r="F90" s="161" t="str">
        <f>Planning!$Q88</f>
        <v>FC Augsburg</v>
      </c>
      <c r="G90" s="162" t="s">
        <v>4</v>
      </c>
      <c r="H90" s="161" t="str">
        <f>Planning!$S88</f>
        <v>1. FC Heidenheim 1846</v>
      </c>
      <c r="I90" s="163"/>
      <c r="J90" s="315" t="str">
        <f>Language!$E$90</f>
        <v xml:space="preserve"> - </v>
      </c>
      <c r="K90" s="318"/>
      <c r="L90" s="163"/>
      <c r="M90" s="360" t="str">
        <f>Language!$E$90</f>
        <v xml:space="preserve"> - </v>
      </c>
      <c r="N90" s="318"/>
      <c r="O90" s="163"/>
      <c r="P90" s="360" t="str">
        <f>Language!$E$90</f>
        <v xml:space="preserve"> - </v>
      </c>
      <c r="Q90" s="318"/>
      <c r="R90" s="354" t="str">
        <f t="shared" si="32"/>
        <v/>
      </c>
      <c r="S90" s="357" t="str">
        <f>Language!$E$90</f>
        <v xml:space="preserve"> - </v>
      </c>
      <c r="T90" s="321" t="str">
        <f t="shared" si="33"/>
        <v/>
      </c>
      <c r="U90" s="294"/>
      <c r="V90" s="295"/>
      <c r="BM90" s="193" t="b">
        <f t="shared" si="34"/>
        <v>1</v>
      </c>
      <c r="BN90" s="19" t="b">
        <f t="shared" si="35"/>
        <v>1</v>
      </c>
      <c r="BO90" s="19" t="b">
        <f t="shared" si="36"/>
        <v>1</v>
      </c>
      <c r="BP90" s="19" t="b">
        <f t="shared" si="37"/>
        <v>1</v>
      </c>
      <c r="BQ90" s="19" t="b">
        <f t="shared" si="38"/>
        <v>0</v>
      </c>
      <c r="BR90" s="19" t="b">
        <f t="shared" si="39"/>
        <v>0</v>
      </c>
      <c r="BS90" s="19" t="b">
        <f t="shared" si="40"/>
        <v>0</v>
      </c>
    </row>
    <row r="91" spans="2:71" ht="15.75" x14ac:dyDescent="0.2">
      <c r="B91" s="248" t="str">
        <f>IF(Calc!$F$26=0,"",IF(OR($C91&gt;Calc!$B$24,MOD($C91-1,Calc!$F$26)&gt;0),"",QUOTIENT($C91-1,Calc!$F$26)+1))</f>
        <v/>
      </c>
      <c r="C91" s="244">
        <v>83</v>
      </c>
      <c r="D91" s="142">
        <f>IF(Planning!$T89="","",Planning!$T89)</f>
        <v>45969</v>
      </c>
      <c r="E91" s="143">
        <f>IF(Planning!$U89="","",Planning!$U89)</f>
        <v>0.64583333333333337</v>
      </c>
      <c r="F91" s="161" t="str">
        <f>Planning!$Q89</f>
        <v>Eintracht Frankfurt</v>
      </c>
      <c r="G91" s="162" t="s">
        <v>4</v>
      </c>
      <c r="H91" s="161" t="str">
        <f>Planning!$S89</f>
        <v>FC Bayern München</v>
      </c>
      <c r="I91" s="163"/>
      <c r="J91" s="315" t="str">
        <f>Language!$E$90</f>
        <v xml:space="preserve"> - </v>
      </c>
      <c r="K91" s="318"/>
      <c r="L91" s="163"/>
      <c r="M91" s="360" t="str">
        <f>Language!$E$90</f>
        <v xml:space="preserve"> - </v>
      </c>
      <c r="N91" s="318"/>
      <c r="O91" s="163"/>
      <c r="P91" s="360" t="str">
        <f>Language!$E$90</f>
        <v xml:space="preserve"> - </v>
      </c>
      <c r="Q91" s="318"/>
      <c r="R91" s="354" t="str">
        <f t="shared" si="32"/>
        <v/>
      </c>
      <c r="S91" s="357" t="str">
        <f>Language!$E$90</f>
        <v xml:space="preserve"> - </v>
      </c>
      <c r="T91" s="321" t="str">
        <f t="shared" si="33"/>
        <v/>
      </c>
      <c r="U91" s="294"/>
      <c r="V91" s="295"/>
      <c r="BM91" s="193" t="b">
        <f t="shared" si="34"/>
        <v>1</v>
      </c>
      <c r="BN91" s="19" t="b">
        <f t="shared" si="35"/>
        <v>1</v>
      </c>
      <c r="BO91" s="19" t="b">
        <f t="shared" si="36"/>
        <v>1</v>
      </c>
      <c r="BP91" s="19" t="b">
        <f t="shared" si="37"/>
        <v>1</v>
      </c>
      <c r="BQ91" s="19" t="b">
        <f t="shared" si="38"/>
        <v>0</v>
      </c>
      <c r="BR91" s="19" t="b">
        <f t="shared" si="39"/>
        <v>0</v>
      </c>
      <c r="BS91" s="19" t="b">
        <f t="shared" si="40"/>
        <v>0</v>
      </c>
    </row>
    <row r="92" spans="2:71" ht="15.75" x14ac:dyDescent="0.2">
      <c r="B92" s="248" t="str">
        <f>IF(Calc!$F$26=0,"",IF(OR($C92&gt;Calc!$B$24,MOD($C92-1,Calc!$F$26)&gt;0),"",QUOTIENT($C92-1,Calc!$F$26)+1))</f>
        <v/>
      </c>
      <c r="C92" s="244">
        <v>84</v>
      </c>
      <c r="D92" s="142">
        <f>IF(Planning!$T90="","",Planning!$T90)</f>
        <v>45969</v>
      </c>
      <c r="E92" s="143">
        <f>IF(Planning!$U90="","",Planning!$U90)</f>
        <v>0.64583333333333337</v>
      </c>
      <c r="F92" s="161" t="str">
        <f>Planning!$Q90</f>
        <v>FC St. Pauli</v>
      </c>
      <c r="G92" s="162" t="s">
        <v>4</v>
      </c>
      <c r="H92" s="161" t="str">
        <f>Planning!$S90</f>
        <v>Borussia Mönchengladbach</v>
      </c>
      <c r="I92" s="163"/>
      <c r="J92" s="315" t="str">
        <f>Language!$E$90</f>
        <v xml:space="preserve"> - </v>
      </c>
      <c r="K92" s="318"/>
      <c r="L92" s="163"/>
      <c r="M92" s="360" t="str">
        <f>Language!$E$90</f>
        <v xml:space="preserve"> - </v>
      </c>
      <c r="N92" s="318"/>
      <c r="O92" s="163"/>
      <c r="P92" s="360" t="str">
        <f>Language!$E$90</f>
        <v xml:space="preserve"> - </v>
      </c>
      <c r="Q92" s="318"/>
      <c r="R92" s="354" t="str">
        <f t="shared" si="32"/>
        <v/>
      </c>
      <c r="S92" s="357" t="str">
        <f>Language!$E$90</f>
        <v xml:space="preserve"> - </v>
      </c>
      <c r="T92" s="321" t="str">
        <f t="shared" si="33"/>
        <v/>
      </c>
      <c r="U92" s="294"/>
      <c r="V92" s="295"/>
      <c r="BM92" s="193" t="b">
        <f t="shared" si="34"/>
        <v>1</v>
      </c>
      <c r="BN92" s="19" t="b">
        <f t="shared" si="35"/>
        <v>1</v>
      </c>
      <c r="BO92" s="19" t="b">
        <f t="shared" si="36"/>
        <v>1</v>
      </c>
      <c r="BP92" s="19" t="b">
        <f t="shared" si="37"/>
        <v>1</v>
      </c>
      <c r="BQ92" s="19" t="b">
        <f t="shared" si="38"/>
        <v>0</v>
      </c>
      <c r="BR92" s="19" t="b">
        <f t="shared" si="39"/>
        <v>0</v>
      </c>
      <c r="BS92" s="19" t="b">
        <f t="shared" si="40"/>
        <v>0</v>
      </c>
    </row>
    <row r="93" spans="2:71" ht="15.75" x14ac:dyDescent="0.2">
      <c r="B93" s="248" t="str">
        <f>IF(Calc!$F$26=0,"",IF(OR($C93&gt;Calc!$B$24,MOD($C93-1,Calc!$F$26)&gt;0),"",QUOTIENT($C93-1,Calc!$F$26)+1))</f>
        <v/>
      </c>
      <c r="C93" s="244">
        <v>85</v>
      </c>
      <c r="D93" s="142">
        <f>IF(Planning!$T91="","",Planning!$T91)</f>
        <v>45969</v>
      </c>
      <c r="E93" s="143">
        <f>IF(Planning!$U91="","",Planning!$U91)</f>
        <v>0.64583333333333337</v>
      </c>
      <c r="F93" s="161" t="str">
        <f>Planning!$Q91</f>
        <v>Borussia Dortmund</v>
      </c>
      <c r="G93" s="162" t="s">
        <v>4</v>
      </c>
      <c r="H93" s="161" t="str">
        <f>Planning!$S91</f>
        <v>Hamburger SV</v>
      </c>
      <c r="I93" s="163"/>
      <c r="J93" s="315" t="str">
        <f>Language!$E$90</f>
        <v xml:space="preserve"> - </v>
      </c>
      <c r="K93" s="318"/>
      <c r="L93" s="163"/>
      <c r="M93" s="360" t="str">
        <f>Language!$E$90</f>
        <v xml:space="preserve"> - </v>
      </c>
      <c r="N93" s="318"/>
      <c r="O93" s="163"/>
      <c r="P93" s="360" t="str">
        <f>Language!$E$90</f>
        <v xml:space="preserve"> - </v>
      </c>
      <c r="Q93" s="318"/>
      <c r="R93" s="354" t="str">
        <f t="shared" si="32"/>
        <v/>
      </c>
      <c r="S93" s="357" t="str">
        <f>Language!$E$90</f>
        <v xml:space="preserve"> - </v>
      </c>
      <c r="T93" s="321" t="str">
        <f t="shared" si="33"/>
        <v/>
      </c>
      <c r="U93" s="294"/>
      <c r="V93" s="295"/>
      <c r="BM93" s="193" t="b">
        <f t="shared" si="34"/>
        <v>1</v>
      </c>
      <c r="BN93" s="19" t="b">
        <f t="shared" si="35"/>
        <v>1</v>
      </c>
      <c r="BO93" s="19" t="b">
        <f t="shared" si="36"/>
        <v>1</v>
      </c>
      <c r="BP93" s="19" t="b">
        <f t="shared" si="37"/>
        <v>1</v>
      </c>
      <c r="BQ93" s="19" t="b">
        <f t="shared" si="38"/>
        <v>0</v>
      </c>
      <c r="BR93" s="19" t="b">
        <f t="shared" si="39"/>
        <v>0</v>
      </c>
      <c r="BS93" s="19" t="b">
        <f t="shared" si="40"/>
        <v>0</v>
      </c>
    </row>
    <row r="94" spans="2:71" ht="15.75" x14ac:dyDescent="0.2">
      <c r="B94" s="248" t="str">
        <f>IF(Calc!$F$26=0,"",IF(OR($C94&gt;Calc!$B$24,MOD($C94-1,Calc!$F$26)&gt;0),"",QUOTIENT($C94-1,Calc!$F$26)+1))</f>
        <v/>
      </c>
      <c r="C94" s="244">
        <v>86</v>
      </c>
      <c r="D94" s="142">
        <f>IF(Planning!$T92="","",Planning!$T92)</f>
        <v>45969</v>
      </c>
      <c r="E94" s="143">
        <f>IF(Planning!$U92="","",Planning!$U92)</f>
        <v>0.64583333333333337</v>
      </c>
      <c r="F94" s="161" t="str">
        <f>Planning!$Q92</f>
        <v>RB Leipzig</v>
      </c>
      <c r="G94" s="162" t="s">
        <v>4</v>
      </c>
      <c r="H94" s="161" t="str">
        <f>Planning!$S92</f>
        <v>Bayer 04 Leverkusen</v>
      </c>
      <c r="I94" s="163"/>
      <c r="J94" s="315" t="str">
        <f>Language!$E$90</f>
        <v xml:space="preserve"> - </v>
      </c>
      <c r="K94" s="318"/>
      <c r="L94" s="163"/>
      <c r="M94" s="360" t="str">
        <f>Language!$E$90</f>
        <v xml:space="preserve"> - </v>
      </c>
      <c r="N94" s="318"/>
      <c r="O94" s="163"/>
      <c r="P94" s="360" t="str">
        <f>Language!$E$90</f>
        <v xml:space="preserve"> - </v>
      </c>
      <c r="Q94" s="318"/>
      <c r="R94" s="354" t="str">
        <f t="shared" si="32"/>
        <v/>
      </c>
      <c r="S94" s="357" t="str">
        <f>Language!$E$90</f>
        <v xml:space="preserve"> - </v>
      </c>
      <c r="T94" s="321" t="str">
        <f t="shared" si="33"/>
        <v/>
      </c>
      <c r="U94" s="294"/>
      <c r="V94" s="295"/>
      <c r="BM94" s="193" t="b">
        <f t="shared" si="34"/>
        <v>1</v>
      </c>
      <c r="BN94" s="19" t="b">
        <f t="shared" si="35"/>
        <v>1</v>
      </c>
      <c r="BO94" s="19" t="b">
        <f t="shared" si="36"/>
        <v>1</v>
      </c>
      <c r="BP94" s="19" t="b">
        <f t="shared" si="37"/>
        <v>1</v>
      </c>
      <c r="BQ94" s="19" t="b">
        <f t="shared" si="38"/>
        <v>0</v>
      </c>
      <c r="BR94" s="19" t="b">
        <f t="shared" si="39"/>
        <v>0</v>
      </c>
      <c r="BS94" s="19" t="b">
        <f t="shared" si="40"/>
        <v>0</v>
      </c>
    </row>
    <row r="95" spans="2:71" ht="15.75" x14ac:dyDescent="0.2">
      <c r="B95" s="248" t="str">
        <f>IF(Calc!$F$26=0,"",IF(OR($C95&gt;Calc!$B$24,MOD($C95-1,Calc!$F$26)&gt;0),"",QUOTIENT($C95-1,Calc!$F$26)+1))</f>
        <v/>
      </c>
      <c r="C95" s="244">
        <v>87</v>
      </c>
      <c r="D95" s="142">
        <f>IF(Planning!$T93="","",Planning!$T93)</f>
        <v>45969</v>
      </c>
      <c r="E95" s="143">
        <f>IF(Planning!$U93="","",Planning!$U93)</f>
        <v>0.64583333333333337</v>
      </c>
      <c r="F95" s="161" t="str">
        <f>Planning!$Q93</f>
        <v>1. FSV Mainz 05</v>
      </c>
      <c r="G95" s="162" t="s">
        <v>4</v>
      </c>
      <c r="H95" s="161" t="str">
        <f>Planning!$S93</f>
        <v>SC Freiburg</v>
      </c>
      <c r="I95" s="163"/>
      <c r="J95" s="315" t="str">
        <f>Language!$E$90</f>
        <v xml:space="preserve"> - </v>
      </c>
      <c r="K95" s="318"/>
      <c r="L95" s="163"/>
      <c r="M95" s="360" t="str">
        <f>Language!$E$90</f>
        <v xml:space="preserve"> - </v>
      </c>
      <c r="N95" s="318"/>
      <c r="O95" s="163"/>
      <c r="P95" s="360" t="str">
        <f>Language!$E$90</f>
        <v xml:space="preserve"> - </v>
      </c>
      <c r="Q95" s="318"/>
      <c r="R95" s="354" t="str">
        <f t="shared" si="32"/>
        <v/>
      </c>
      <c r="S95" s="357" t="str">
        <f>Language!$E$90</f>
        <v xml:space="preserve"> - </v>
      </c>
      <c r="T95" s="321" t="str">
        <f t="shared" si="33"/>
        <v/>
      </c>
      <c r="U95" s="294"/>
      <c r="V95" s="295"/>
      <c r="BM95" s="193" t="b">
        <f t="shared" si="34"/>
        <v>1</v>
      </c>
      <c r="BN95" s="19" t="b">
        <f t="shared" si="35"/>
        <v>1</v>
      </c>
      <c r="BO95" s="19" t="b">
        <f t="shared" si="36"/>
        <v>1</v>
      </c>
      <c r="BP95" s="19" t="b">
        <f t="shared" si="37"/>
        <v>1</v>
      </c>
      <c r="BQ95" s="19" t="b">
        <f t="shared" si="38"/>
        <v>0</v>
      </c>
      <c r="BR95" s="19" t="b">
        <f t="shared" si="39"/>
        <v>0</v>
      </c>
      <c r="BS95" s="19" t="b">
        <f t="shared" si="40"/>
        <v>0</v>
      </c>
    </row>
    <row r="96" spans="2:71" ht="15.75" x14ac:dyDescent="0.2">
      <c r="B96" s="248" t="str">
        <f>IF(Calc!$F$26=0,"",IF(OR($C96&gt;Calc!$B$24,MOD($C96-1,Calc!$F$26)&gt;0),"",QUOTIENT($C96-1,Calc!$F$26)+1))</f>
        <v/>
      </c>
      <c r="C96" s="244">
        <v>88</v>
      </c>
      <c r="D96" s="142">
        <f>IF(Planning!$T94="","",Planning!$T94)</f>
        <v>45969</v>
      </c>
      <c r="E96" s="143">
        <f>IF(Planning!$U94="","",Planning!$U94)</f>
        <v>0.64583333333333337</v>
      </c>
      <c r="F96" s="161" t="str">
        <f>Planning!$Q94</f>
        <v>SV Werder Bremen</v>
      </c>
      <c r="G96" s="162" t="s">
        <v>4</v>
      </c>
      <c r="H96" s="161" t="str">
        <f>Planning!$S94</f>
        <v>1. FC Union Berlin</v>
      </c>
      <c r="I96" s="163"/>
      <c r="J96" s="315" t="str">
        <f>Language!$E$90</f>
        <v xml:space="preserve"> - </v>
      </c>
      <c r="K96" s="318"/>
      <c r="L96" s="163"/>
      <c r="M96" s="360" t="str">
        <f>Language!$E$90</f>
        <v xml:space="preserve"> - </v>
      </c>
      <c r="N96" s="318"/>
      <c r="O96" s="163"/>
      <c r="P96" s="360" t="str">
        <f>Language!$E$90</f>
        <v xml:space="preserve"> - </v>
      </c>
      <c r="Q96" s="318"/>
      <c r="R96" s="354" t="str">
        <f t="shared" si="32"/>
        <v/>
      </c>
      <c r="S96" s="357" t="str">
        <f>Language!$E$90</f>
        <v xml:space="preserve"> - </v>
      </c>
      <c r="T96" s="321" t="str">
        <f t="shared" si="33"/>
        <v/>
      </c>
      <c r="U96" s="294"/>
      <c r="V96" s="295"/>
      <c r="BM96" s="193" t="b">
        <f t="shared" si="34"/>
        <v>1</v>
      </c>
      <c r="BN96" s="19" t="b">
        <f t="shared" si="35"/>
        <v>1</v>
      </c>
      <c r="BO96" s="19" t="b">
        <f t="shared" si="36"/>
        <v>1</v>
      </c>
      <c r="BP96" s="19" t="b">
        <f t="shared" si="37"/>
        <v>1</v>
      </c>
      <c r="BQ96" s="19" t="b">
        <f t="shared" si="38"/>
        <v>0</v>
      </c>
      <c r="BR96" s="19" t="b">
        <f t="shared" si="39"/>
        <v>0</v>
      </c>
      <c r="BS96" s="19" t="b">
        <f t="shared" si="40"/>
        <v>0</v>
      </c>
    </row>
    <row r="97" spans="2:71" ht="15.75" x14ac:dyDescent="0.2">
      <c r="B97" s="248" t="str">
        <f>IF(Calc!$F$26=0,"",IF(OR($C97&gt;Calc!$B$24,MOD($C97-1,Calc!$F$26)&gt;0),"",QUOTIENT($C97-1,Calc!$F$26)+1))</f>
        <v/>
      </c>
      <c r="C97" s="244">
        <v>89</v>
      </c>
      <c r="D97" s="142">
        <f>IF(Planning!$T95="","",Planning!$T95)</f>
        <v>45969</v>
      </c>
      <c r="E97" s="143">
        <f>IF(Planning!$U95="","",Planning!$U95)</f>
        <v>0.64583333333333337</v>
      </c>
      <c r="F97" s="161" t="str">
        <f>Planning!$Q95</f>
        <v>1. FC Köln</v>
      </c>
      <c r="G97" s="162" t="s">
        <v>4</v>
      </c>
      <c r="H97" s="161" t="str">
        <f>Planning!$S95</f>
        <v>TSG Hoffenheim</v>
      </c>
      <c r="I97" s="163"/>
      <c r="J97" s="315" t="str">
        <f>Language!$E$90</f>
        <v xml:space="preserve"> - </v>
      </c>
      <c r="K97" s="318"/>
      <c r="L97" s="163"/>
      <c r="M97" s="360" t="str">
        <f>Language!$E$90</f>
        <v xml:space="preserve"> - </v>
      </c>
      <c r="N97" s="318"/>
      <c r="O97" s="163"/>
      <c r="P97" s="360" t="str">
        <f>Language!$E$90</f>
        <v xml:space="preserve"> - </v>
      </c>
      <c r="Q97" s="318"/>
      <c r="R97" s="354" t="str">
        <f t="shared" si="32"/>
        <v/>
      </c>
      <c r="S97" s="357" t="str">
        <f>Language!$E$90</f>
        <v xml:space="preserve"> - </v>
      </c>
      <c r="T97" s="321" t="str">
        <f t="shared" si="33"/>
        <v/>
      </c>
      <c r="U97" s="294"/>
      <c r="V97" s="295"/>
      <c r="BM97" s="193" t="b">
        <f t="shared" si="34"/>
        <v>1</v>
      </c>
      <c r="BN97" s="19" t="b">
        <f t="shared" si="35"/>
        <v>1</v>
      </c>
      <c r="BO97" s="19" t="b">
        <f t="shared" si="36"/>
        <v>1</v>
      </c>
      <c r="BP97" s="19" t="b">
        <f t="shared" si="37"/>
        <v>1</v>
      </c>
      <c r="BQ97" s="19" t="b">
        <f t="shared" si="38"/>
        <v>0</v>
      </c>
      <c r="BR97" s="19" t="b">
        <f t="shared" si="39"/>
        <v>0</v>
      </c>
      <c r="BS97" s="19" t="b">
        <f t="shared" si="40"/>
        <v>0</v>
      </c>
    </row>
    <row r="98" spans="2:71" ht="15.75" x14ac:dyDescent="0.2">
      <c r="B98" s="248" t="str">
        <f>IF(Calc!$F$26=0,"",IF(OR($C98&gt;Calc!$B$24,MOD($C98-1,Calc!$F$26)&gt;0),"",QUOTIENT($C98-1,Calc!$F$26)+1))</f>
        <v/>
      </c>
      <c r="C98" s="244">
        <v>90</v>
      </c>
      <c r="D98" s="142">
        <f>IF(Planning!$T96="","",Planning!$T96)</f>
        <v>45969</v>
      </c>
      <c r="E98" s="143">
        <f>IF(Planning!$U96="","",Planning!$U96)</f>
        <v>0.64583333333333337</v>
      </c>
      <c r="F98" s="161" t="str">
        <f>Planning!$Q96</f>
        <v>VfB Stuttgart</v>
      </c>
      <c r="G98" s="162" t="s">
        <v>4</v>
      </c>
      <c r="H98" s="161" t="str">
        <f>Planning!$S96</f>
        <v>VfL Wolfsburg</v>
      </c>
      <c r="I98" s="163"/>
      <c r="J98" s="315" t="str">
        <f>Language!$E$90</f>
        <v xml:space="preserve"> - </v>
      </c>
      <c r="K98" s="318"/>
      <c r="L98" s="163"/>
      <c r="M98" s="360" t="str">
        <f>Language!$E$90</f>
        <v xml:space="preserve"> - </v>
      </c>
      <c r="N98" s="318"/>
      <c r="O98" s="163"/>
      <c r="P98" s="360" t="str">
        <f>Language!$E$90</f>
        <v xml:space="preserve"> - </v>
      </c>
      <c r="Q98" s="318"/>
      <c r="R98" s="354" t="str">
        <f t="shared" si="32"/>
        <v/>
      </c>
      <c r="S98" s="357" t="str">
        <f>Language!$E$90</f>
        <v xml:space="preserve"> - </v>
      </c>
      <c r="T98" s="321" t="str">
        <f t="shared" si="33"/>
        <v/>
      </c>
      <c r="U98" s="294"/>
      <c r="V98" s="295"/>
      <c r="BM98" s="193" t="b">
        <f t="shared" si="34"/>
        <v>1</v>
      </c>
      <c r="BN98" s="19" t="b">
        <f t="shared" si="35"/>
        <v>1</v>
      </c>
      <c r="BO98" s="19" t="b">
        <f t="shared" si="36"/>
        <v>1</v>
      </c>
      <c r="BP98" s="19" t="b">
        <f t="shared" si="37"/>
        <v>1</v>
      </c>
      <c r="BQ98" s="19" t="b">
        <f t="shared" si="38"/>
        <v>0</v>
      </c>
      <c r="BR98" s="19" t="b">
        <f t="shared" si="39"/>
        <v>0</v>
      </c>
      <c r="BS98" s="19" t="b">
        <f t="shared" si="40"/>
        <v>0</v>
      </c>
    </row>
    <row r="99" spans="2:71" ht="15.75" x14ac:dyDescent="0.2">
      <c r="B99" s="248">
        <f>IF(Calc!$F$26=0,"",IF(OR($C99&gt;Calc!$B$24,MOD($C99-1,Calc!$F$26)&gt;0),"",QUOTIENT($C99-1,Calc!$F$26)+1))</f>
        <v>11</v>
      </c>
      <c r="C99" s="244">
        <v>91</v>
      </c>
      <c r="D99" s="142">
        <f>IF(Planning!$T97="","",Planning!$T97)</f>
        <v>45983</v>
      </c>
      <c r="E99" s="143">
        <f>IF(Planning!$U97="","",Planning!$U97)</f>
        <v>0.64583333333333337</v>
      </c>
      <c r="F99" s="161" t="str">
        <f>Planning!$Q97</f>
        <v>1. FC Heidenheim 1846</v>
      </c>
      <c r="G99" s="162" t="s">
        <v>4</v>
      </c>
      <c r="H99" s="161" t="str">
        <f>Planning!$S97</f>
        <v>Eintracht Frankfurt</v>
      </c>
      <c r="I99" s="163"/>
      <c r="J99" s="315" t="str">
        <f>Language!$E$90</f>
        <v xml:space="preserve"> - </v>
      </c>
      <c r="K99" s="318"/>
      <c r="L99" s="163"/>
      <c r="M99" s="360" t="str">
        <f>Language!$E$90</f>
        <v xml:space="preserve"> - </v>
      </c>
      <c r="N99" s="318"/>
      <c r="O99" s="163"/>
      <c r="P99" s="360" t="str">
        <f>Language!$E$90</f>
        <v xml:space="preserve"> - </v>
      </c>
      <c r="Q99" s="318"/>
      <c r="R99" s="354" t="str">
        <f t="shared" si="32"/>
        <v/>
      </c>
      <c r="S99" s="357" t="str">
        <f>Language!$E$90</f>
        <v xml:space="preserve"> - </v>
      </c>
      <c r="T99" s="321" t="str">
        <f t="shared" si="33"/>
        <v/>
      </c>
      <c r="U99" s="294"/>
      <c r="V99" s="295"/>
      <c r="BM99" s="193" t="b">
        <f t="shared" si="34"/>
        <v>1</v>
      </c>
      <c r="BN99" s="19" t="b">
        <f t="shared" si="35"/>
        <v>1</v>
      </c>
      <c r="BO99" s="19" t="b">
        <f t="shared" si="36"/>
        <v>1</v>
      </c>
      <c r="BP99" s="19" t="b">
        <f t="shared" si="37"/>
        <v>1</v>
      </c>
      <c r="BQ99" s="19" t="b">
        <f t="shared" si="38"/>
        <v>0</v>
      </c>
      <c r="BR99" s="19" t="b">
        <f t="shared" si="39"/>
        <v>0</v>
      </c>
      <c r="BS99" s="19" t="b">
        <f t="shared" si="40"/>
        <v>0</v>
      </c>
    </row>
    <row r="100" spans="2:71" ht="15.75" x14ac:dyDescent="0.2">
      <c r="B100" s="248" t="str">
        <f>IF(Calc!$F$26=0,"",IF(OR($C100&gt;Calc!$B$24,MOD($C100-1,Calc!$F$26)&gt;0),"",QUOTIENT($C100-1,Calc!$F$26)+1))</f>
        <v/>
      </c>
      <c r="C100" s="244">
        <v>92</v>
      </c>
      <c r="D100" s="142">
        <f>IF(Planning!$T98="","",Planning!$T98)</f>
        <v>45983</v>
      </c>
      <c r="E100" s="143">
        <f>IF(Planning!$U98="","",Planning!$U98)</f>
        <v>0.64583333333333337</v>
      </c>
      <c r="F100" s="161" t="str">
        <f>Planning!$Q98</f>
        <v>Borussia Mönchengladbach</v>
      </c>
      <c r="G100" s="162" t="s">
        <v>4</v>
      </c>
      <c r="H100" s="161" t="str">
        <f>Planning!$S98</f>
        <v>FC Augsburg</v>
      </c>
      <c r="I100" s="163"/>
      <c r="J100" s="315" t="str">
        <f>Language!$E$90</f>
        <v xml:space="preserve"> - </v>
      </c>
      <c r="K100" s="318"/>
      <c r="L100" s="163"/>
      <c r="M100" s="360" t="str">
        <f>Language!$E$90</f>
        <v xml:space="preserve"> - </v>
      </c>
      <c r="N100" s="318"/>
      <c r="O100" s="163"/>
      <c r="P100" s="360" t="str">
        <f>Language!$E$90</f>
        <v xml:space="preserve"> - </v>
      </c>
      <c r="Q100" s="318"/>
      <c r="R100" s="354" t="str">
        <f t="shared" si="32"/>
        <v/>
      </c>
      <c r="S100" s="357" t="str">
        <f>Language!$E$90</f>
        <v xml:space="preserve"> - </v>
      </c>
      <c r="T100" s="321" t="str">
        <f t="shared" si="33"/>
        <v/>
      </c>
      <c r="U100" s="294"/>
      <c r="V100" s="295"/>
      <c r="BM100" s="193" t="b">
        <f t="shared" si="34"/>
        <v>1</v>
      </c>
      <c r="BN100" s="19" t="b">
        <f t="shared" si="35"/>
        <v>1</v>
      </c>
      <c r="BO100" s="19" t="b">
        <f t="shared" si="36"/>
        <v>1</v>
      </c>
      <c r="BP100" s="19" t="b">
        <f t="shared" si="37"/>
        <v>1</v>
      </c>
      <c r="BQ100" s="19" t="b">
        <f t="shared" si="38"/>
        <v>0</v>
      </c>
      <c r="BR100" s="19" t="b">
        <f t="shared" si="39"/>
        <v>0</v>
      </c>
      <c r="BS100" s="19" t="b">
        <f t="shared" si="40"/>
        <v>0</v>
      </c>
    </row>
    <row r="101" spans="2:71" ht="15.75" x14ac:dyDescent="0.2">
      <c r="B101" s="248" t="str">
        <f>IF(Calc!$F$26=0,"",IF(OR($C101&gt;Calc!$B$24,MOD($C101-1,Calc!$F$26)&gt;0),"",QUOTIENT($C101-1,Calc!$F$26)+1))</f>
        <v/>
      </c>
      <c r="C101" s="244">
        <v>93</v>
      </c>
      <c r="D101" s="142">
        <f>IF(Planning!$T99="","",Planning!$T99)</f>
        <v>45983</v>
      </c>
      <c r="E101" s="143">
        <f>IF(Planning!$U99="","",Planning!$U99)</f>
        <v>0.64583333333333337</v>
      </c>
      <c r="F101" s="161" t="str">
        <f>Planning!$Q99</f>
        <v>FC Bayern München</v>
      </c>
      <c r="G101" s="162" t="s">
        <v>4</v>
      </c>
      <c r="H101" s="161" t="str">
        <f>Planning!$S99</f>
        <v>Borussia Dortmund</v>
      </c>
      <c r="I101" s="163"/>
      <c r="J101" s="315" t="str">
        <f>Language!$E$90</f>
        <v xml:space="preserve"> - </v>
      </c>
      <c r="K101" s="318"/>
      <c r="L101" s="163"/>
      <c r="M101" s="360" t="str">
        <f>Language!$E$90</f>
        <v xml:space="preserve"> - </v>
      </c>
      <c r="N101" s="318"/>
      <c r="O101" s="163"/>
      <c r="P101" s="360" t="str">
        <f>Language!$E$90</f>
        <v xml:space="preserve"> - </v>
      </c>
      <c r="Q101" s="318"/>
      <c r="R101" s="354" t="str">
        <f t="shared" si="32"/>
        <v/>
      </c>
      <c r="S101" s="357" t="str">
        <f>Language!$E$90</f>
        <v xml:space="preserve"> - </v>
      </c>
      <c r="T101" s="321" t="str">
        <f t="shared" si="33"/>
        <v/>
      </c>
      <c r="U101" s="294"/>
      <c r="V101" s="295"/>
      <c r="BM101" s="193" t="b">
        <f t="shared" si="34"/>
        <v>1</v>
      </c>
      <c r="BN101" s="19" t="b">
        <f t="shared" si="35"/>
        <v>1</v>
      </c>
      <c r="BO101" s="19" t="b">
        <f t="shared" si="36"/>
        <v>1</v>
      </c>
      <c r="BP101" s="19" t="b">
        <f t="shared" si="37"/>
        <v>1</v>
      </c>
      <c r="BQ101" s="19" t="b">
        <f t="shared" si="38"/>
        <v>0</v>
      </c>
      <c r="BR101" s="19" t="b">
        <f t="shared" si="39"/>
        <v>0</v>
      </c>
      <c r="BS101" s="19" t="b">
        <f t="shared" si="40"/>
        <v>0</v>
      </c>
    </row>
    <row r="102" spans="2:71" ht="15.75" x14ac:dyDescent="0.2">
      <c r="B102" s="248" t="str">
        <f>IF(Calc!$F$26=0,"",IF(OR($C102&gt;Calc!$B$24,MOD($C102-1,Calc!$F$26)&gt;0),"",QUOTIENT($C102-1,Calc!$F$26)+1))</f>
        <v/>
      </c>
      <c r="C102" s="244">
        <v>94</v>
      </c>
      <c r="D102" s="142">
        <f>IF(Planning!$T100="","",Planning!$T100)</f>
        <v>45983</v>
      </c>
      <c r="E102" s="143">
        <f>IF(Planning!$U100="","",Planning!$U100)</f>
        <v>0.64583333333333337</v>
      </c>
      <c r="F102" s="161" t="str">
        <f>Planning!$Q100</f>
        <v>Bayer 04 Leverkusen</v>
      </c>
      <c r="G102" s="162" t="s">
        <v>4</v>
      </c>
      <c r="H102" s="161" t="str">
        <f>Planning!$S100</f>
        <v>FC St. Pauli</v>
      </c>
      <c r="I102" s="163"/>
      <c r="J102" s="315" t="str">
        <f>Language!$E$90</f>
        <v xml:space="preserve"> - </v>
      </c>
      <c r="K102" s="318"/>
      <c r="L102" s="163"/>
      <c r="M102" s="360" t="str">
        <f>Language!$E$90</f>
        <v xml:space="preserve"> - </v>
      </c>
      <c r="N102" s="318"/>
      <c r="O102" s="163"/>
      <c r="P102" s="360" t="str">
        <f>Language!$E$90</f>
        <v xml:space="preserve"> - </v>
      </c>
      <c r="Q102" s="318"/>
      <c r="R102" s="354" t="str">
        <f t="shared" si="32"/>
        <v/>
      </c>
      <c r="S102" s="357" t="str">
        <f>Language!$E$90</f>
        <v xml:space="preserve"> - </v>
      </c>
      <c r="T102" s="321" t="str">
        <f t="shared" si="33"/>
        <v/>
      </c>
      <c r="U102" s="294"/>
      <c r="V102" s="295"/>
      <c r="BM102" s="193" t="b">
        <f t="shared" si="34"/>
        <v>1</v>
      </c>
      <c r="BN102" s="19" t="b">
        <f t="shared" si="35"/>
        <v>1</v>
      </c>
      <c r="BO102" s="19" t="b">
        <f t="shared" si="36"/>
        <v>1</v>
      </c>
      <c r="BP102" s="19" t="b">
        <f t="shared" si="37"/>
        <v>1</v>
      </c>
      <c r="BQ102" s="19" t="b">
        <f t="shared" si="38"/>
        <v>0</v>
      </c>
      <c r="BR102" s="19" t="b">
        <f t="shared" si="39"/>
        <v>0</v>
      </c>
      <c r="BS102" s="19" t="b">
        <f t="shared" si="40"/>
        <v>0</v>
      </c>
    </row>
    <row r="103" spans="2:71" ht="15.75" x14ac:dyDescent="0.2">
      <c r="B103" s="248" t="str">
        <f>IF(Calc!$F$26=0,"",IF(OR($C103&gt;Calc!$B$24,MOD($C103-1,Calc!$F$26)&gt;0),"",QUOTIENT($C103-1,Calc!$F$26)+1))</f>
        <v/>
      </c>
      <c r="C103" s="244">
        <v>95</v>
      </c>
      <c r="D103" s="142">
        <f>IF(Planning!$T101="","",Planning!$T101)</f>
        <v>45983</v>
      </c>
      <c r="E103" s="143">
        <f>IF(Planning!$U101="","",Planning!$U101)</f>
        <v>0.64583333333333337</v>
      </c>
      <c r="F103" s="161" t="str">
        <f>Planning!$Q101</f>
        <v>Hamburger SV</v>
      </c>
      <c r="G103" s="162" t="s">
        <v>4</v>
      </c>
      <c r="H103" s="161" t="str">
        <f>Planning!$S101</f>
        <v>1. FSV Mainz 05</v>
      </c>
      <c r="I103" s="163"/>
      <c r="J103" s="315" t="str">
        <f>Language!$E$90</f>
        <v xml:space="preserve"> - </v>
      </c>
      <c r="K103" s="318"/>
      <c r="L103" s="163"/>
      <c r="M103" s="360" t="str">
        <f>Language!$E$90</f>
        <v xml:space="preserve"> - </v>
      </c>
      <c r="N103" s="318"/>
      <c r="O103" s="163"/>
      <c r="P103" s="360" t="str">
        <f>Language!$E$90</f>
        <v xml:space="preserve"> - </v>
      </c>
      <c r="Q103" s="318"/>
      <c r="R103" s="354" t="str">
        <f t="shared" si="32"/>
        <v/>
      </c>
      <c r="S103" s="357" t="str">
        <f>Language!$E$90</f>
        <v xml:space="preserve"> - </v>
      </c>
      <c r="T103" s="321" t="str">
        <f t="shared" si="33"/>
        <v/>
      </c>
      <c r="U103" s="294"/>
      <c r="V103" s="295"/>
      <c r="BM103" s="193" t="b">
        <f t="shared" si="34"/>
        <v>1</v>
      </c>
      <c r="BN103" s="19" t="b">
        <f t="shared" si="35"/>
        <v>1</v>
      </c>
      <c r="BO103" s="19" t="b">
        <f t="shared" si="36"/>
        <v>1</v>
      </c>
      <c r="BP103" s="19" t="b">
        <f t="shared" si="37"/>
        <v>1</v>
      </c>
      <c r="BQ103" s="19" t="b">
        <f t="shared" si="38"/>
        <v>0</v>
      </c>
      <c r="BR103" s="19" t="b">
        <f t="shared" si="39"/>
        <v>0</v>
      </c>
      <c r="BS103" s="19" t="b">
        <f t="shared" si="40"/>
        <v>0</v>
      </c>
    </row>
    <row r="104" spans="2:71" ht="15.75" x14ac:dyDescent="0.2">
      <c r="B104" s="248" t="str">
        <f>IF(Calc!$F$26=0,"",IF(OR($C104&gt;Calc!$B$24,MOD($C104-1,Calc!$F$26)&gt;0),"",QUOTIENT($C104-1,Calc!$F$26)+1))</f>
        <v/>
      </c>
      <c r="C104" s="244">
        <v>96</v>
      </c>
      <c r="D104" s="142">
        <f>IF(Planning!$T102="","",Planning!$T102)</f>
        <v>45983</v>
      </c>
      <c r="E104" s="143">
        <f>IF(Planning!$U102="","",Planning!$U102)</f>
        <v>0.64583333333333337</v>
      </c>
      <c r="F104" s="161" t="str">
        <f>Planning!$Q102</f>
        <v>1. FC Union Berlin</v>
      </c>
      <c r="G104" s="162" t="s">
        <v>4</v>
      </c>
      <c r="H104" s="161" t="str">
        <f>Planning!$S102</f>
        <v>RB Leipzig</v>
      </c>
      <c r="I104" s="163"/>
      <c r="J104" s="315" t="str">
        <f>Language!$E$90</f>
        <v xml:space="preserve"> - </v>
      </c>
      <c r="K104" s="318"/>
      <c r="L104" s="163"/>
      <c r="M104" s="360" t="str">
        <f>Language!$E$90</f>
        <v xml:space="preserve"> - </v>
      </c>
      <c r="N104" s="318"/>
      <c r="O104" s="163"/>
      <c r="P104" s="360" t="str">
        <f>Language!$E$90</f>
        <v xml:space="preserve"> - </v>
      </c>
      <c r="Q104" s="318"/>
      <c r="R104" s="354" t="str">
        <f t="shared" si="32"/>
        <v/>
      </c>
      <c r="S104" s="357" t="str">
        <f>Language!$E$90</f>
        <v xml:space="preserve"> - </v>
      </c>
      <c r="T104" s="321" t="str">
        <f t="shared" si="33"/>
        <v/>
      </c>
      <c r="U104" s="294"/>
      <c r="V104" s="295"/>
      <c r="BM104" s="193" t="b">
        <f t="shared" si="34"/>
        <v>1</v>
      </c>
      <c r="BN104" s="19" t="b">
        <f t="shared" si="35"/>
        <v>1</v>
      </c>
      <c r="BO104" s="19" t="b">
        <f t="shared" si="36"/>
        <v>1</v>
      </c>
      <c r="BP104" s="19" t="b">
        <f t="shared" si="37"/>
        <v>1</v>
      </c>
      <c r="BQ104" s="19" t="b">
        <f t="shared" si="38"/>
        <v>0</v>
      </c>
      <c r="BR104" s="19" t="b">
        <f t="shared" si="39"/>
        <v>0</v>
      </c>
      <c r="BS104" s="19" t="b">
        <f t="shared" si="40"/>
        <v>0</v>
      </c>
    </row>
    <row r="105" spans="2:71" ht="15.75" x14ac:dyDescent="0.2">
      <c r="B105" s="248" t="str">
        <f>IF(Calc!$F$26=0,"",IF(OR($C105&gt;Calc!$B$24,MOD($C105-1,Calc!$F$26)&gt;0),"",QUOTIENT($C105-1,Calc!$F$26)+1))</f>
        <v/>
      </c>
      <c r="C105" s="244">
        <v>97</v>
      </c>
      <c r="D105" s="142">
        <f>IF(Planning!$T103="","",Planning!$T103)</f>
        <v>45983</v>
      </c>
      <c r="E105" s="143">
        <f>IF(Planning!$U103="","",Planning!$U103)</f>
        <v>0.64583333333333337</v>
      </c>
      <c r="F105" s="161" t="str">
        <f>Planning!$Q103</f>
        <v>SC Freiburg</v>
      </c>
      <c r="G105" s="162" t="s">
        <v>4</v>
      </c>
      <c r="H105" s="161" t="str">
        <f>Planning!$S103</f>
        <v>1. FC Köln</v>
      </c>
      <c r="I105" s="163"/>
      <c r="J105" s="315" t="str">
        <f>Language!$E$90</f>
        <v xml:space="preserve"> - </v>
      </c>
      <c r="K105" s="318"/>
      <c r="L105" s="163"/>
      <c r="M105" s="360" t="str">
        <f>Language!$E$90</f>
        <v xml:space="preserve"> - </v>
      </c>
      <c r="N105" s="318"/>
      <c r="O105" s="163"/>
      <c r="P105" s="360" t="str">
        <f>Language!$E$90</f>
        <v xml:space="preserve"> - </v>
      </c>
      <c r="Q105" s="318"/>
      <c r="R105" s="354" t="str">
        <f t="shared" si="32"/>
        <v/>
      </c>
      <c r="S105" s="357" t="str">
        <f>Language!$E$90</f>
        <v xml:space="preserve"> - </v>
      </c>
      <c r="T105" s="321" t="str">
        <f t="shared" si="33"/>
        <v/>
      </c>
      <c r="U105" s="294"/>
      <c r="V105" s="295"/>
      <c r="BM105" s="193" t="b">
        <f t="shared" si="34"/>
        <v>1</v>
      </c>
      <c r="BN105" s="19" t="b">
        <f t="shared" si="35"/>
        <v>1</v>
      </c>
      <c r="BO105" s="19" t="b">
        <f t="shared" si="36"/>
        <v>1</v>
      </c>
      <c r="BP105" s="19" t="b">
        <f t="shared" si="37"/>
        <v>1</v>
      </c>
      <c r="BQ105" s="19" t="b">
        <f t="shared" si="38"/>
        <v>0</v>
      </c>
      <c r="BR105" s="19" t="b">
        <f t="shared" si="39"/>
        <v>0</v>
      </c>
      <c r="BS105" s="19" t="b">
        <f t="shared" si="40"/>
        <v>0</v>
      </c>
    </row>
    <row r="106" spans="2:71" ht="15.75" x14ac:dyDescent="0.2">
      <c r="B106" s="248" t="str">
        <f>IF(Calc!$F$26=0,"",IF(OR($C106&gt;Calc!$B$24,MOD($C106-1,Calc!$F$26)&gt;0),"",QUOTIENT($C106-1,Calc!$F$26)+1))</f>
        <v/>
      </c>
      <c r="C106" s="244">
        <v>98</v>
      </c>
      <c r="D106" s="142">
        <f>IF(Planning!$T104="","",Planning!$T104)</f>
        <v>45983</v>
      </c>
      <c r="E106" s="143">
        <f>IF(Planning!$U104="","",Planning!$U104)</f>
        <v>0.64583333333333337</v>
      </c>
      <c r="F106" s="161" t="str">
        <f>Planning!$Q104</f>
        <v>VfL Wolfsburg</v>
      </c>
      <c r="G106" s="162" t="s">
        <v>4</v>
      </c>
      <c r="H106" s="161" t="str">
        <f>Planning!$S104</f>
        <v>SV Werder Bremen</v>
      </c>
      <c r="I106" s="163"/>
      <c r="J106" s="315" t="str">
        <f>Language!$E$90</f>
        <v xml:space="preserve"> - </v>
      </c>
      <c r="K106" s="318"/>
      <c r="L106" s="163"/>
      <c r="M106" s="360" t="str">
        <f>Language!$E$90</f>
        <v xml:space="preserve"> - </v>
      </c>
      <c r="N106" s="318"/>
      <c r="O106" s="163"/>
      <c r="P106" s="360" t="str">
        <f>Language!$E$90</f>
        <v xml:space="preserve"> - </v>
      </c>
      <c r="Q106" s="318"/>
      <c r="R106" s="354" t="str">
        <f t="shared" si="32"/>
        <v/>
      </c>
      <c r="S106" s="357" t="str">
        <f>Language!$E$90</f>
        <v xml:space="preserve"> - </v>
      </c>
      <c r="T106" s="321" t="str">
        <f t="shared" si="33"/>
        <v/>
      </c>
      <c r="U106" s="294"/>
      <c r="V106" s="295"/>
      <c r="BM106" s="193" t="b">
        <f t="shared" si="34"/>
        <v>1</v>
      </c>
      <c r="BN106" s="19" t="b">
        <f t="shared" si="35"/>
        <v>1</v>
      </c>
      <c r="BO106" s="19" t="b">
        <f t="shared" si="36"/>
        <v>1</v>
      </c>
      <c r="BP106" s="19" t="b">
        <f t="shared" si="37"/>
        <v>1</v>
      </c>
      <c r="BQ106" s="19" t="b">
        <f t="shared" si="38"/>
        <v>0</v>
      </c>
      <c r="BR106" s="19" t="b">
        <f t="shared" si="39"/>
        <v>0</v>
      </c>
      <c r="BS106" s="19" t="b">
        <f t="shared" si="40"/>
        <v>0</v>
      </c>
    </row>
    <row r="107" spans="2:71" ht="15.75" x14ac:dyDescent="0.2">
      <c r="B107" s="248" t="str">
        <f>IF(Calc!$F$26=0,"",IF(OR($C107&gt;Calc!$B$24,MOD($C107-1,Calc!$F$26)&gt;0),"",QUOTIENT($C107-1,Calc!$F$26)+1))</f>
        <v/>
      </c>
      <c r="C107" s="244">
        <v>99</v>
      </c>
      <c r="D107" s="142">
        <f>IF(Planning!$T105="","",Planning!$T105)</f>
        <v>45983</v>
      </c>
      <c r="E107" s="143">
        <f>IF(Planning!$U105="","",Planning!$U105)</f>
        <v>0.64583333333333337</v>
      </c>
      <c r="F107" s="161" t="str">
        <f>Planning!$Q105</f>
        <v>TSG Hoffenheim</v>
      </c>
      <c r="G107" s="162" t="s">
        <v>4</v>
      </c>
      <c r="H107" s="161" t="str">
        <f>Planning!$S105</f>
        <v>VfB Stuttgart</v>
      </c>
      <c r="I107" s="163"/>
      <c r="J107" s="315" t="str">
        <f>Language!$E$90</f>
        <v xml:space="preserve"> - </v>
      </c>
      <c r="K107" s="318"/>
      <c r="L107" s="163"/>
      <c r="M107" s="360" t="str">
        <f>Language!$E$90</f>
        <v xml:space="preserve"> - </v>
      </c>
      <c r="N107" s="318"/>
      <c r="O107" s="163"/>
      <c r="P107" s="360" t="str">
        <f>Language!$E$90</f>
        <v xml:space="preserve"> - </v>
      </c>
      <c r="Q107" s="318"/>
      <c r="R107" s="354" t="str">
        <f t="shared" si="32"/>
        <v/>
      </c>
      <c r="S107" s="357" t="str">
        <f>Language!$E$90</f>
        <v xml:space="preserve"> - </v>
      </c>
      <c r="T107" s="321" t="str">
        <f t="shared" si="33"/>
        <v/>
      </c>
      <c r="U107" s="294"/>
      <c r="V107" s="295"/>
      <c r="BM107" s="193" t="b">
        <f t="shared" si="34"/>
        <v>1</v>
      </c>
      <c r="BN107" s="19" t="b">
        <f t="shared" si="35"/>
        <v>1</v>
      </c>
      <c r="BO107" s="19" t="b">
        <f t="shared" si="36"/>
        <v>1</v>
      </c>
      <c r="BP107" s="19" t="b">
        <f t="shared" si="37"/>
        <v>1</v>
      </c>
      <c r="BQ107" s="19" t="b">
        <f t="shared" si="38"/>
        <v>0</v>
      </c>
      <c r="BR107" s="19" t="b">
        <f t="shared" si="39"/>
        <v>0</v>
      </c>
      <c r="BS107" s="19" t="b">
        <f t="shared" si="40"/>
        <v>0</v>
      </c>
    </row>
    <row r="108" spans="2:71" ht="15.75" x14ac:dyDescent="0.2">
      <c r="B108" s="248">
        <f>IF(Calc!$F$26=0,"",IF(OR($C108&gt;Calc!$B$24,MOD($C108-1,Calc!$F$26)&gt;0),"",QUOTIENT($C108-1,Calc!$F$26)+1))</f>
        <v>12</v>
      </c>
      <c r="C108" s="244">
        <v>100</v>
      </c>
      <c r="D108" s="142">
        <f>IF(Planning!$T106="","",Planning!$T106)</f>
        <v>45990</v>
      </c>
      <c r="E108" s="143">
        <f>IF(Planning!$U106="","",Planning!$U106)</f>
        <v>0.64583333333333337</v>
      </c>
      <c r="F108" s="161" t="str">
        <f>Planning!$Q106</f>
        <v>Borussia Mönchengladbach</v>
      </c>
      <c r="G108" s="162" t="s">
        <v>4</v>
      </c>
      <c r="H108" s="161" t="str">
        <f>Planning!$S106</f>
        <v>1. FC Heidenheim 1846</v>
      </c>
      <c r="I108" s="163"/>
      <c r="J108" s="315" t="str">
        <f>Language!$E$90</f>
        <v xml:space="preserve"> - </v>
      </c>
      <c r="K108" s="318"/>
      <c r="L108" s="163"/>
      <c r="M108" s="360" t="str">
        <f>Language!$E$90</f>
        <v xml:space="preserve"> - </v>
      </c>
      <c r="N108" s="318"/>
      <c r="O108" s="163"/>
      <c r="P108" s="360" t="str">
        <f>Language!$E$90</f>
        <v xml:space="preserve"> - </v>
      </c>
      <c r="Q108" s="318"/>
      <c r="R108" s="354" t="str">
        <f t="shared" si="32"/>
        <v/>
      </c>
      <c r="S108" s="357" t="str">
        <f>Language!$E$90</f>
        <v xml:space="preserve"> - </v>
      </c>
      <c r="T108" s="321" t="str">
        <f t="shared" si="33"/>
        <v/>
      </c>
      <c r="U108" s="294"/>
      <c r="V108" s="295"/>
      <c r="BM108" s="193" t="b">
        <f t="shared" si="34"/>
        <v>1</v>
      </c>
      <c r="BN108" s="19" t="b">
        <f t="shared" si="35"/>
        <v>1</v>
      </c>
      <c r="BO108" s="19" t="b">
        <f t="shared" si="36"/>
        <v>1</v>
      </c>
      <c r="BP108" s="19" t="b">
        <f t="shared" si="37"/>
        <v>1</v>
      </c>
      <c r="BQ108" s="19" t="b">
        <f t="shared" si="38"/>
        <v>0</v>
      </c>
      <c r="BR108" s="19" t="b">
        <f t="shared" si="39"/>
        <v>0</v>
      </c>
      <c r="BS108" s="19" t="b">
        <f t="shared" si="40"/>
        <v>0</v>
      </c>
    </row>
    <row r="109" spans="2:71" ht="15.75" x14ac:dyDescent="0.2">
      <c r="B109" s="248" t="str">
        <f>IF(Calc!$F$26=0,"",IF(OR($C109&gt;Calc!$B$24,MOD($C109-1,Calc!$F$26)&gt;0),"",QUOTIENT($C109-1,Calc!$F$26)+1))</f>
        <v/>
      </c>
      <c r="C109" s="244">
        <v>101</v>
      </c>
      <c r="D109" s="142">
        <f>IF(Planning!$T107="","",Planning!$T107)</f>
        <v>45990</v>
      </c>
      <c r="E109" s="143">
        <f>IF(Planning!$U107="","",Planning!$U107)</f>
        <v>0.64583333333333337</v>
      </c>
      <c r="F109" s="161" t="str">
        <f>Planning!$Q107</f>
        <v>Borussia Dortmund</v>
      </c>
      <c r="G109" s="162" t="s">
        <v>4</v>
      </c>
      <c r="H109" s="161" t="str">
        <f>Planning!$S107</f>
        <v>Eintracht Frankfurt</v>
      </c>
      <c r="I109" s="163"/>
      <c r="J109" s="315" t="str">
        <f>Language!$E$90</f>
        <v xml:space="preserve"> - </v>
      </c>
      <c r="K109" s="318"/>
      <c r="L109" s="163"/>
      <c r="M109" s="360" t="str">
        <f>Language!$E$90</f>
        <v xml:space="preserve"> - </v>
      </c>
      <c r="N109" s="318"/>
      <c r="O109" s="163"/>
      <c r="P109" s="360" t="str">
        <f>Language!$E$90</f>
        <v xml:space="preserve"> - </v>
      </c>
      <c r="Q109" s="318"/>
      <c r="R109" s="354" t="str">
        <f t="shared" si="32"/>
        <v/>
      </c>
      <c r="S109" s="357" t="str">
        <f>Language!$E$90</f>
        <v xml:space="preserve"> - </v>
      </c>
      <c r="T109" s="321" t="str">
        <f t="shared" si="33"/>
        <v/>
      </c>
      <c r="U109" s="294"/>
      <c r="V109" s="295"/>
      <c r="BM109" s="193" t="b">
        <f t="shared" si="34"/>
        <v>1</v>
      </c>
      <c r="BN109" s="19" t="b">
        <f t="shared" si="35"/>
        <v>1</v>
      </c>
      <c r="BO109" s="19" t="b">
        <f t="shared" si="36"/>
        <v>1</v>
      </c>
      <c r="BP109" s="19" t="b">
        <f t="shared" si="37"/>
        <v>1</v>
      </c>
      <c r="BQ109" s="19" t="b">
        <f t="shared" si="38"/>
        <v>0</v>
      </c>
      <c r="BR109" s="19" t="b">
        <f t="shared" si="39"/>
        <v>0</v>
      </c>
      <c r="BS109" s="19" t="b">
        <f t="shared" si="40"/>
        <v>0</v>
      </c>
    </row>
    <row r="110" spans="2:71" ht="15.75" x14ac:dyDescent="0.2">
      <c r="B110" s="248" t="str">
        <f>IF(Calc!$F$26=0,"",IF(OR($C110&gt;Calc!$B$24,MOD($C110-1,Calc!$F$26)&gt;0),"",QUOTIENT($C110-1,Calc!$F$26)+1))</f>
        <v/>
      </c>
      <c r="C110" s="244">
        <v>102</v>
      </c>
      <c r="D110" s="142">
        <f>IF(Planning!$T108="","",Planning!$T108)</f>
        <v>45990</v>
      </c>
      <c r="E110" s="143">
        <f>IF(Planning!$U108="","",Planning!$U108)</f>
        <v>0.64583333333333337</v>
      </c>
      <c r="F110" s="161" t="str">
        <f>Planning!$Q108</f>
        <v>FC Augsburg</v>
      </c>
      <c r="G110" s="162" t="s">
        <v>4</v>
      </c>
      <c r="H110" s="161" t="str">
        <f>Planning!$S108</f>
        <v>Bayer 04 Leverkusen</v>
      </c>
      <c r="I110" s="163"/>
      <c r="J110" s="315" t="str">
        <f>Language!$E$90</f>
        <v xml:space="preserve"> - </v>
      </c>
      <c r="K110" s="318"/>
      <c r="L110" s="163"/>
      <c r="M110" s="360" t="str">
        <f>Language!$E$90</f>
        <v xml:space="preserve"> - </v>
      </c>
      <c r="N110" s="318"/>
      <c r="O110" s="163"/>
      <c r="P110" s="360" t="str">
        <f>Language!$E$90</f>
        <v xml:space="preserve"> - </v>
      </c>
      <c r="Q110" s="318"/>
      <c r="R110" s="354" t="str">
        <f t="shared" si="32"/>
        <v/>
      </c>
      <c r="S110" s="357" t="str">
        <f>Language!$E$90</f>
        <v xml:space="preserve"> - </v>
      </c>
      <c r="T110" s="321" t="str">
        <f t="shared" si="33"/>
        <v/>
      </c>
      <c r="U110" s="294"/>
      <c r="V110" s="295"/>
      <c r="BM110" s="193" t="b">
        <f t="shared" si="34"/>
        <v>1</v>
      </c>
      <c r="BN110" s="19" t="b">
        <f t="shared" si="35"/>
        <v>1</v>
      </c>
      <c r="BO110" s="19" t="b">
        <f t="shared" si="36"/>
        <v>1</v>
      </c>
      <c r="BP110" s="19" t="b">
        <f t="shared" si="37"/>
        <v>1</v>
      </c>
      <c r="BQ110" s="19" t="b">
        <f t="shared" si="38"/>
        <v>0</v>
      </c>
      <c r="BR110" s="19" t="b">
        <f t="shared" si="39"/>
        <v>0</v>
      </c>
      <c r="BS110" s="19" t="b">
        <f t="shared" si="40"/>
        <v>0</v>
      </c>
    </row>
    <row r="111" spans="2:71" ht="15.75" x14ac:dyDescent="0.2">
      <c r="B111" s="248" t="str">
        <f>IF(Calc!$F$26=0,"",IF(OR($C111&gt;Calc!$B$24,MOD($C111-1,Calc!$F$26)&gt;0),"",QUOTIENT($C111-1,Calc!$F$26)+1))</f>
        <v/>
      </c>
      <c r="C111" s="244">
        <v>103</v>
      </c>
      <c r="D111" s="142">
        <f>IF(Planning!$T109="","",Planning!$T109)</f>
        <v>45990</v>
      </c>
      <c r="E111" s="143">
        <f>IF(Planning!$U109="","",Planning!$U109)</f>
        <v>0.64583333333333337</v>
      </c>
      <c r="F111" s="161" t="str">
        <f>Planning!$Q109</f>
        <v>1. FSV Mainz 05</v>
      </c>
      <c r="G111" s="162" t="s">
        <v>4</v>
      </c>
      <c r="H111" s="161" t="str">
        <f>Planning!$S109</f>
        <v>FC Bayern München</v>
      </c>
      <c r="I111" s="163"/>
      <c r="J111" s="315" t="str">
        <f>Language!$E$90</f>
        <v xml:space="preserve"> - </v>
      </c>
      <c r="K111" s="318"/>
      <c r="L111" s="163"/>
      <c r="M111" s="360" t="str">
        <f>Language!$E$90</f>
        <v xml:space="preserve"> - </v>
      </c>
      <c r="N111" s="318"/>
      <c r="O111" s="163"/>
      <c r="P111" s="360" t="str">
        <f>Language!$E$90</f>
        <v xml:space="preserve"> - </v>
      </c>
      <c r="Q111" s="318"/>
      <c r="R111" s="354" t="str">
        <f t="shared" si="32"/>
        <v/>
      </c>
      <c r="S111" s="357" t="str">
        <f>Language!$E$90</f>
        <v xml:space="preserve"> - </v>
      </c>
      <c r="T111" s="321" t="str">
        <f t="shared" si="33"/>
        <v/>
      </c>
      <c r="U111" s="294"/>
      <c r="V111" s="295"/>
      <c r="BM111" s="193" t="b">
        <f t="shared" si="34"/>
        <v>1</v>
      </c>
      <c r="BN111" s="19" t="b">
        <f t="shared" si="35"/>
        <v>1</v>
      </c>
      <c r="BO111" s="19" t="b">
        <f t="shared" si="36"/>
        <v>1</v>
      </c>
      <c r="BP111" s="19" t="b">
        <f t="shared" si="37"/>
        <v>1</v>
      </c>
      <c r="BQ111" s="19" t="b">
        <f t="shared" si="38"/>
        <v>0</v>
      </c>
      <c r="BR111" s="19" t="b">
        <f t="shared" si="39"/>
        <v>0</v>
      </c>
      <c r="BS111" s="19" t="b">
        <f t="shared" si="40"/>
        <v>0</v>
      </c>
    </row>
    <row r="112" spans="2:71" ht="15.75" x14ac:dyDescent="0.2">
      <c r="B112" s="248" t="str">
        <f>IF(Calc!$F$26=0,"",IF(OR($C112&gt;Calc!$B$24,MOD($C112-1,Calc!$F$26)&gt;0),"",QUOTIENT($C112-1,Calc!$F$26)+1))</f>
        <v/>
      </c>
      <c r="C112" s="244">
        <v>104</v>
      </c>
      <c r="D112" s="142">
        <f>IF(Planning!$T110="","",Planning!$T110)</f>
        <v>45990</v>
      </c>
      <c r="E112" s="143">
        <f>IF(Planning!$U110="","",Planning!$U110)</f>
        <v>0.64583333333333337</v>
      </c>
      <c r="F112" s="161" t="str">
        <f>Planning!$Q110</f>
        <v>FC St. Pauli</v>
      </c>
      <c r="G112" s="162" t="s">
        <v>4</v>
      </c>
      <c r="H112" s="161" t="str">
        <f>Planning!$S110</f>
        <v>1. FC Union Berlin</v>
      </c>
      <c r="I112" s="163"/>
      <c r="J112" s="315" t="str">
        <f>Language!$E$90</f>
        <v xml:space="preserve"> - </v>
      </c>
      <c r="K112" s="318"/>
      <c r="L112" s="163"/>
      <c r="M112" s="360" t="str">
        <f>Language!$E$90</f>
        <v xml:space="preserve"> - </v>
      </c>
      <c r="N112" s="318"/>
      <c r="O112" s="163"/>
      <c r="P112" s="360" t="str">
        <f>Language!$E$90</f>
        <v xml:space="preserve"> - </v>
      </c>
      <c r="Q112" s="318"/>
      <c r="R112" s="354" t="str">
        <f t="shared" si="32"/>
        <v/>
      </c>
      <c r="S112" s="357" t="str">
        <f>Language!$E$90</f>
        <v xml:space="preserve"> - </v>
      </c>
      <c r="T112" s="321" t="str">
        <f t="shared" si="33"/>
        <v/>
      </c>
      <c r="U112" s="294"/>
      <c r="V112" s="295"/>
      <c r="BM112" s="193" t="b">
        <f t="shared" si="34"/>
        <v>1</v>
      </c>
      <c r="BN112" s="19" t="b">
        <f t="shared" si="35"/>
        <v>1</v>
      </c>
      <c r="BO112" s="19" t="b">
        <f t="shared" si="36"/>
        <v>1</v>
      </c>
      <c r="BP112" s="19" t="b">
        <f t="shared" si="37"/>
        <v>1</v>
      </c>
      <c r="BQ112" s="19" t="b">
        <f t="shared" si="38"/>
        <v>0</v>
      </c>
      <c r="BR112" s="19" t="b">
        <f t="shared" si="39"/>
        <v>0</v>
      </c>
      <c r="BS112" s="19" t="b">
        <f t="shared" si="40"/>
        <v>0</v>
      </c>
    </row>
    <row r="113" spans="2:71" ht="15.75" x14ac:dyDescent="0.2">
      <c r="B113" s="248" t="str">
        <f>IF(Calc!$F$26=0,"",IF(OR($C113&gt;Calc!$B$24,MOD($C113-1,Calc!$F$26)&gt;0),"",QUOTIENT($C113-1,Calc!$F$26)+1))</f>
        <v/>
      </c>
      <c r="C113" s="244">
        <v>105</v>
      </c>
      <c r="D113" s="142">
        <f>IF(Planning!$T111="","",Planning!$T111)</f>
        <v>45990</v>
      </c>
      <c r="E113" s="143">
        <f>IF(Planning!$U111="","",Planning!$U111)</f>
        <v>0.64583333333333337</v>
      </c>
      <c r="F113" s="161" t="str">
        <f>Planning!$Q111</f>
        <v>1. FC Köln</v>
      </c>
      <c r="G113" s="162" t="s">
        <v>4</v>
      </c>
      <c r="H113" s="161" t="str">
        <f>Planning!$S111</f>
        <v>Hamburger SV</v>
      </c>
      <c r="I113" s="163"/>
      <c r="J113" s="315" t="str">
        <f>Language!$E$90</f>
        <v xml:space="preserve"> - </v>
      </c>
      <c r="K113" s="318"/>
      <c r="L113" s="163"/>
      <c r="M113" s="360" t="str">
        <f>Language!$E$90</f>
        <v xml:space="preserve"> - </v>
      </c>
      <c r="N113" s="318"/>
      <c r="O113" s="163"/>
      <c r="P113" s="360" t="str">
        <f>Language!$E$90</f>
        <v xml:space="preserve"> - </v>
      </c>
      <c r="Q113" s="318"/>
      <c r="R113" s="354" t="str">
        <f t="shared" si="32"/>
        <v/>
      </c>
      <c r="S113" s="357" t="str">
        <f>Language!$E$90</f>
        <v xml:space="preserve"> - </v>
      </c>
      <c r="T113" s="321" t="str">
        <f t="shared" si="33"/>
        <v/>
      </c>
      <c r="U113" s="294"/>
      <c r="V113" s="295"/>
      <c r="BM113" s="193" t="b">
        <f t="shared" si="34"/>
        <v>1</v>
      </c>
      <c r="BN113" s="19" t="b">
        <f t="shared" si="35"/>
        <v>1</v>
      </c>
      <c r="BO113" s="19" t="b">
        <f t="shared" si="36"/>
        <v>1</v>
      </c>
      <c r="BP113" s="19" t="b">
        <f t="shared" si="37"/>
        <v>1</v>
      </c>
      <c r="BQ113" s="19" t="b">
        <f t="shared" si="38"/>
        <v>0</v>
      </c>
      <c r="BR113" s="19" t="b">
        <f t="shared" si="39"/>
        <v>0</v>
      </c>
      <c r="BS113" s="19" t="b">
        <f t="shared" si="40"/>
        <v>0</v>
      </c>
    </row>
    <row r="114" spans="2:71" ht="15.75" x14ac:dyDescent="0.2">
      <c r="B114" s="248" t="str">
        <f>IF(Calc!$F$26=0,"",IF(OR($C114&gt;Calc!$B$24,MOD($C114-1,Calc!$F$26)&gt;0),"",QUOTIENT($C114-1,Calc!$F$26)+1))</f>
        <v/>
      </c>
      <c r="C114" s="244">
        <v>106</v>
      </c>
      <c r="D114" s="142">
        <f>IF(Planning!$T112="","",Planning!$T112)</f>
        <v>45990</v>
      </c>
      <c r="E114" s="143">
        <f>IF(Planning!$U112="","",Planning!$U112)</f>
        <v>0.64583333333333337</v>
      </c>
      <c r="F114" s="161" t="str">
        <f>Planning!$Q112</f>
        <v>RB Leipzig</v>
      </c>
      <c r="G114" s="162" t="s">
        <v>4</v>
      </c>
      <c r="H114" s="161" t="str">
        <f>Planning!$S112</f>
        <v>VfL Wolfsburg</v>
      </c>
      <c r="I114" s="163"/>
      <c r="J114" s="315" t="str">
        <f>Language!$E$90</f>
        <v xml:space="preserve"> - </v>
      </c>
      <c r="K114" s="318"/>
      <c r="L114" s="163"/>
      <c r="M114" s="360" t="str">
        <f>Language!$E$90</f>
        <v xml:space="preserve"> - </v>
      </c>
      <c r="N114" s="318"/>
      <c r="O114" s="163"/>
      <c r="P114" s="360" t="str">
        <f>Language!$E$90</f>
        <v xml:space="preserve"> - </v>
      </c>
      <c r="Q114" s="318"/>
      <c r="R114" s="354" t="str">
        <f t="shared" si="32"/>
        <v/>
      </c>
      <c r="S114" s="357" t="str">
        <f>Language!$E$90</f>
        <v xml:space="preserve"> - </v>
      </c>
      <c r="T114" s="321" t="str">
        <f t="shared" si="33"/>
        <v/>
      </c>
      <c r="U114" s="294"/>
      <c r="V114" s="295"/>
      <c r="BM114" s="193" t="b">
        <f t="shared" si="34"/>
        <v>1</v>
      </c>
      <c r="BN114" s="19" t="b">
        <f t="shared" si="35"/>
        <v>1</v>
      </c>
      <c r="BO114" s="19" t="b">
        <f t="shared" si="36"/>
        <v>1</v>
      </c>
      <c r="BP114" s="19" t="b">
        <f t="shared" si="37"/>
        <v>1</v>
      </c>
      <c r="BQ114" s="19" t="b">
        <f t="shared" si="38"/>
        <v>0</v>
      </c>
      <c r="BR114" s="19" t="b">
        <f t="shared" si="39"/>
        <v>0</v>
      </c>
      <c r="BS114" s="19" t="b">
        <f t="shared" si="40"/>
        <v>0</v>
      </c>
    </row>
    <row r="115" spans="2:71" ht="15.75" x14ac:dyDescent="0.2">
      <c r="B115" s="248" t="str">
        <f>IF(Calc!$F$26=0,"",IF(OR($C115&gt;Calc!$B$24,MOD($C115-1,Calc!$F$26)&gt;0),"",QUOTIENT($C115-1,Calc!$F$26)+1))</f>
        <v/>
      </c>
      <c r="C115" s="244">
        <v>107</v>
      </c>
      <c r="D115" s="142">
        <f>IF(Planning!$T113="","",Planning!$T113)</f>
        <v>45990</v>
      </c>
      <c r="E115" s="143">
        <f>IF(Planning!$U113="","",Planning!$U113)</f>
        <v>0.64583333333333337</v>
      </c>
      <c r="F115" s="161" t="str">
        <f>Planning!$Q113</f>
        <v>VfB Stuttgart</v>
      </c>
      <c r="G115" s="162" t="s">
        <v>4</v>
      </c>
      <c r="H115" s="161" t="str">
        <f>Planning!$S113</f>
        <v>SC Freiburg</v>
      </c>
      <c r="I115" s="163"/>
      <c r="J115" s="315" t="str">
        <f>Language!$E$90</f>
        <v xml:space="preserve"> - </v>
      </c>
      <c r="K115" s="318"/>
      <c r="L115" s="163"/>
      <c r="M115" s="360" t="str">
        <f>Language!$E$90</f>
        <v xml:space="preserve"> - </v>
      </c>
      <c r="N115" s="318"/>
      <c r="O115" s="163"/>
      <c r="P115" s="360" t="str">
        <f>Language!$E$90</f>
        <v xml:space="preserve"> - </v>
      </c>
      <c r="Q115" s="318"/>
      <c r="R115" s="354" t="str">
        <f t="shared" si="32"/>
        <v/>
      </c>
      <c r="S115" s="357" t="str">
        <f>Language!$E$90</f>
        <v xml:space="preserve"> - </v>
      </c>
      <c r="T115" s="321" t="str">
        <f t="shared" si="33"/>
        <v/>
      </c>
      <c r="U115" s="294"/>
      <c r="V115" s="295"/>
      <c r="BM115" s="193" t="b">
        <f t="shared" si="34"/>
        <v>1</v>
      </c>
      <c r="BN115" s="19" t="b">
        <f t="shared" si="35"/>
        <v>1</v>
      </c>
      <c r="BO115" s="19" t="b">
        <f t="shared" si="36"/>
        <v>1</v>
      </c>
      <c r="BP115" s="19" t="b">
        <f t="shared" si="37"/>
        <v>1</v>
      </c>
      <c r="BQ115" s="19" t="b">
        <f t="shared" si="38"/>
        <v>0</v>
      </c>
      <c r="BR115" s="19" t="b">
        <f t="shared" si="39"/>
        <v>0</v>
      </c>
      <c r="BS115" s="19" t="b">
        <f t="shared" si="40"/>
        <v>0</v>
      </c>
    </row>
    <row r="116" spans="2:71" ht="15.75" x14ac:dyDescent="0.2">
      <c r="B116" s="248" t="str">
        <f>IF(Calc!$F$26=0,"",IF(OR($C116&gt;Calc!$B$24,MOD($C116-1,Calc!$F$26)&gt;0),"",QUOTIENT($C116-1,Calc!$F$26)+1))</f>
        <v/>
      </c>
      <c r="C116" s="244">
        <v>108</v>
      </c>
      <c r="D116" s="142">
        <f>IF(Planning!$T114="","",Planning!$T114)</f>
        <v>45990</v>
      </c>
      <c r="E116" s="143">
        <f>IF(Planning!$U114="","",Planning!$U114)</f>
        <v>0.64583333333333337</v>
      </c>
      <c r="F116" s="161" t="str">
        <f>Planning!$Q114</f>
        <v>SV Werder Bremen</v>
      </c>
      <c r="G116" s="162" t="s">
        <v>4</v>
      </c>
      <c r="H116" s="161" t="str">
        <f>Planning!$S114</f>
        <v>TSG Hoffenheim</v>
      </c>
      <c r="I116" s="163"/>
      <c r="J116" s="315" t="str">
        <f>Language!$E$90</f>
        <v xml:space="preserve"> - </v>
      </c>
      <c r="K116" s="318"/>
      <c r="L116" s="163"/>
      <c r="M116" s="360" t="str">
        <f>Language!$E$90</f>
        <v xml:space="preserve"> - </v>
      </c>
      <c r="N116" s="318"/>
      <c r="O116" s="163"/>
      <c r="P116" s="360" t="str">
        <f>Language!$E$90</f>
        <v xml:space="preserve"> - </v>
      </c>
      <c r="Q116" s="318"/>
      <c r="R116" s="354" t="str">
        <f t="shared" si="32"/>
        <v/>
      </c>
      <c r="S116" s="357" t="str">
        <f>Language!$E$90</f>
        <v xml:space="preserve"> - </v>
      </c>
      <c r="T116" s="321" t="str">
        <f t="shared" si="33"/>
        <v/>
      </c>
      <c r="U116" s="294"/>
      <c r="V116" s="295"/>
      <c r="BM116" s="193" t="b">
        <f t="shared" si="34"/>
        <v>1</v>
      </c>
      <c r="BN116" s="19" t="b">
        <f t="shared" si="35"/>
        <v>1</v>
      </c>
      <c r="BO116" s="19" t="b">
        <f t="shared" si="36"/>
        <v>1</v>
      </c>
      <c r="BP116" s="19" t="b">
        <f t="shared" si="37"/>
        <v>1</v>
      </c>
      <c r="BQ116" s="19" t="b">
        <f t="shared" si="38"/>
        <v>0</v>
      </c>
      <c r="BR116" s="19" t="b">
        <f t="shared" si="39"/>
        <v>0</v>
      </c>
      <c r="BS116" s="19" t="b">
        <f t="shared" si="40"/>
        <v>0</v>
      </c>
    </row>
    <row r="117" spans="2:71" ht="15.75" x14ac:dyDescent="0.2">
      <c r="B117" s="248">
        <f>IF(Calc!$F$26=0,"",IF(OR($C117&gt;Calc!$B$24,MOD($C117-1,Calc!$F$26)&gt;0),"",QUOTIENT($C117-1,Calc!$F$26)+1))</f>
        <v>13</v>
      </c>
      <c r="C117" s="244">
        <v>109</v>
      </c>
      <c r="D117" s="142">
        <f>IF(Planning!$T115="","",Planning!$T115)</f>
        <v>45997</v>
      </c>
      <c r="E117" s="143">
        <f>IF(Planning!$U115="","",Planning!$U115)</f>
        <v>0.64583333333333337</v>
      </c>
      <c r="F117" s="161" t="str">
        <f>Planning!$Q115</f>
        <v>1. FC Heidenheim 1846</v>
      </c>
      <c r="G117" s="162" t="s">
        <v>4</v>
      </c>
      <c r="H117" s="161" t="str">
        <f>Planning!$S115</f>
        <v>Borussia Dortmund</v>
      </c>
      <c r="I117" s="163"/>
      <c r="J117" s="315" t="str">
        <f>Language!$E$90</f>
        <v xml:space="preserve"> - </v>
      </c>
      <c r="K117" s="318"/>
      <c r="L117" s="163"/>
      <c r="M117" s="360" t="str">
        <f>Language!$E$90</f>
        <v xml:space="preserve"> - </v>
      </c>
      <c r="N117" s="318"/>
      <c r="O117" s="163"/>
      <c r="P117" s="360" t="str">
        <f>Language!$E$90</f>
        <v xml:space="preserve"> - </v>
      </c>
      <c r="Q117" s="318"/>
      <c r="R117" s="354" t="str">
        <f t="shared" si="32"/>
        <v/>
      </c>
      <c r="S117" s="357" t="str">
        <f>Language!$E$90</f>
        <v xml:space="preserve"> - </v>
      </c>
      <c r="T117" s="321" t="str">
        <f t="shared" si="33"/>
        <v/>
      </c>
      <c r="U117" s="294"/>
      <c r="V117" s="295"/>
      <c r="BM117" s="193" t="b">
        <f t="shared" si="34"/>
        <v>1</v>
      </c>
      <c r="BN117" s="19" t="b">
        <f t="shared" si="35"/>
        <v>1</v>
      </c>
      <c r="BO117" s="19" t="b">
        <f t="shared" si="36"/>
        <v>1</v>
      </c>
      <c r="BP117" s="19" t="b">
        <f t="shared" si="37"/>
        <v>1</v>
      </c>
      <c r="BQ117" s="19" t="b">
        <f t="shared" si="38"/>
        <v>0</v>
      </c>
      <c r="BR117" s="19" t="b">
        <f t="shared" si="39"/>
        <v>0</v>
      </c>
      <c r="BS117" s="19" t="b">
        <f t="shared" si="40"/>
        <v>0</v>
      </c>
    </row>
    <row r="118" spans="2:71" ht="15.75" x14ac:dyDescent="0.2">
      <c r="B118" s="248" t="str">
        <f>IF(Calc!$F$26=0,"",IF(OR($C118&gt;Calc!$B$24,MOD($C118-1,Calc!$F$26)&gt;0),"",QUOTIENT($C118-1,Calc!$F$26)+1))</f>
        <v/>
      </c>
      <c r="C118" s="244">
        <v>110</v>
      </c>
      <c r="D118" s="142">
        <f>IF(Planning!$T116="","",Planning!$T116)</f>
        <v>45997</v>
      </c>
      <c r="E118" s="143">
        <f>IF(Planning!$U116="","",Planning!$U116)</f>
        <v>0.64583333333333337</v>
      </c>
      <c r="F118" s="161" t="str">
        <f>Planning!$Q116</f>
        <v>Bayer 04 Leverkusen</v>
      </c>
      <c r="G118" s="162" t="s">
        <v>4</v>
      </c>
      <c r="H118" s="161" t="str">
        <f>Planning!$S116</f>
        <v>Borussia Mönchengladbach</v>
      </c>
      <c r="I118" s="163"/>
      <c r="J118" s="315" t="str">
        <f>Language!$E$90</f>
        <v xml:space="preserve"> - </v>
      </c>
      <c r="K118" s="318"/>
      <c r="L118" s="163"/>
      <c r="M118" s="360" t="str">
        <f>Language!$E$90</f>
        <v xml:space="preserve"> - </v>
      </c>
      <c r="N118" s="318"/>
      <c r="O118" s="163"/>
      <c r="P118" s="360" t="str">
        <f>Language!$E$90</f>
        <v xml:space="preserve"> - </v>
      </c>
      <c r="Q118" s="318"/>
      <c r="R118" s="354" t="str">
        <f t="shared" si="32"/>
        <v/>
      </c>
      <c r="S118" s="357" t="str">
        <f>Language!$E$90</f>
        <v xml:space="preserve"> - </v>
      </c>
      <c r="T118" s="321" t="str">
        <f t="shared" si="33"/>
        <v/>
      </c>
      <c r="U118" s="294"/>
      <c r="V118" s="295"/>
      <c r="BM118" s="193" t="b">
        <f t="shared" si="34"/>
        <v>1</v>
      </c>
      <c r="BN118" s="19" t="b">
        <f t="shared" si="35"/>
        <v>1</v>
      </c>
      <c r="BO118" s="19" t="b">
        <f t="shared" si="36"/>
        <v>1</v>
      </c>
      <c r="BP118" s="19" t="b">
        <f t="shared" si="37"/>
        <v>1</v>
      </c>
      <c r="BQ118" s="19" t="b">
        <f t="shared" si="38"/>
        <v>0</v>
      </c>
      <c r="BR118" s="19" t="b">
        <f t="shared" si="39"/>
        <v>0</v>
      </c>
      <c r="BS118" s="19" t="b">
        <f t="shared" si="40"/>
        <v>0</v>
      </c>
    </row>
    <row r="119" spans="2:71" ht="15.75" x14ac:dyDescent="0.2">
      <c r="B119" s="248" t="str">
        <f>IF(Calc!$F$26=0,"",IF(OR($C119&gt;Calc!$B$24,MOD($C119-1,Calc!$F$26)&gt;0),"",QUOTIENT($C119-1,Calc!$F$26)+1))</f>
        <v/>
      </c>
      <c r="C119" s="244">
        <v>111</v>
      </c>
      <c r="D119" s="142">
        <f>IF(Planning!$T117="","",Planning!$T117)</f>
        <v>45997</v>
      </c>
      <c r="E119" s="143">
        <f>IF(Planning!$U117="","",Planning!$U117)</f>
        <v>0.64583333333333337</v>
      </c>
      <c r="F119" s="161" t="str">
        <f>Planning!$Q117</f>
        <v>Eintracht Frankfurt</v>
      </c>
      <c r="G119" s="162" t="s">
        <v>4</v>
      </c>
      <c r="H119" s="161" t="str">
        <f>Planning!$S117</f>
        <v>1. FSV Mainz 05</v>
      </c>
      <c r="I119" s="163"/>
      <c r="J119" s="315" t="str">
        <f>Language!$E$90</f>
        <v xml:space="preserve"> - </v>
      </c>
      <c r="K119" s="318"/>
      <c r="L119" s="163"/>
      <c r="M119" s="360" t="str">
        <f>Language!$E$90</f>
        <v xml:space="preserve"> - </v>
      </c>
      <c r="N119" s="318"/>
      <c r="O119" s="163"/>
      <c r="P119" s="360" t="str">
        <f>Language!$E$90</f>
        <v xml:space="preserve"> - </v>
      </c>
      <c r="Q119" s="318"/>
      <c r="R119" s="354" t="str">
        <f t="shared" si="32"/>
        <v/>
      </c>
      <c r="S119" s="357" t="str">
        <f>Language!$E$90</f>
        <v xml:space="preserve"> - </v>
      </c>
      <c r="T119" s="321" t="str">
        <f t="shared" si="33"/>
        <v/>
      </c>
      <c r="U119" s="294"/>
      <c r="V119" s="295"/>
      <c r="BM119" s="193" t="b">
        <f t="shared" si="34"/>
        <v>1</v>
      </c>
      <c r="BN119" s="19" t="b">
        <f t="shared" si="35"/>
        <v>1</v>
      </c>
      <c r="BO119" s="19" t="b">
        <f t="shared" si="36"/>
        <v>1</v>
      </c>
      <c r="BP119" s="19" t="b">
        <f t="shared" si="37"/>
        <v>1</v>
      </c>
      <c r="BQ119" s="19" t="b">
        <f t="shared" si="38"/>
        <v>0</v>
      </c>
      <c r="BR119" s="19" t="b">
        <f t="shared" si="39"/>
        <v>0</v>
      </c>
      <c r="BS119" s="19" t="b">
        <f t="shared" si="40"/>
        <v>0</v>
      </c>
    </row>
    <row r="120" spans="2:71" ht="15.75" x14ac:dyDescent="0.2">
      <c r="B120" s="248" t="str">
        <f>IF(Calc!$F$26=0,"",IF(OR($C120&gt;Calc!$B$24,MOD($C120-1,Calc!$F$26)&gt;0),"",QUOTIENT($C120-1,Calc!$F$26)+1))</f>
        <v/>
      </c>
      <c r="C120" s="244">
        <v>112</v>
      </c>
      <c r="D120" s="142">
        <f>IF(Planning!$T118="","",Planning!$T118)</f>
        <v>45997</v>
      </c>
      <c r="E120" s="143">
        <f>IF(Planning!$U118="","",Planning!$U118)</f>
        <v>0.64583333333333337</v>
      </c>
      <c r="F120" s="161" t="str">
        <f>Planning!$Q118</f>
        <v>1. FC Union Berlin</v>
      </c>
      <c r="G120" s="162" t="s">
        <v>4</v>
      </c>
      <c r="H120" s="161" t="str">
        <f>Planning!$S118</f>
        <v>FC Augsburg</v>
      </c>
      <c r="I120" s="163"/>
      <c r="J120" s="315" t="str">
        <f>Language!$E$90</f>
        <v xml:space="preserve"> - </v>
      </c>
      <c r="K120" s="318"/>
      <c r="L120" s="163"/>
      <c r="M120" s="360" t="str">
        <f>Language!$E$90</f>
        <v xml:space="preserve"> - </v>
      </c>
      <c r="N120" s="318"/>
      <c r="O120" s="163"/>
      <c r="P120" s="360" t="str">
        <f>Language!$E$90</f>
        <v xml:space="preserve"> - </v>
      </c>
      <c r="Q120" s="318"/>
      <c r="R120" s="354" t="str">
        <f t="shared" si="32"/>
        <v/>
      </c>
      <c r="S120" s="357" t="str">
        <f>Language!$E$90</f>
        <v xml:space="preserve"> - </v>
      </c>
      <c r="T120" s="321" t="str">
        <f t="shared" si="33"/>
        <v/>
      </c>
      <c r="U120" s="294"/>
      <c r="V120" s="295"/>
      <c r="BM120" s="193" t="b">
        <f t="shared" si="34"/>
        <v>1</v>
      </c>
      <c r="BN120" s="19" t="b">
        <f t="shared" si="35"/>
        <v>1</v>
      </c>
      <c r="BO120" s="19" t="b">
        <f t="shared" si="36"/>
        <v>1</v>
      </c>
      <c r="BP120" s="19" t="b">
        <f t="shared" si="37"/>
        <v>1</v>
      </c>
      <c r="BQ120" s="19" t="b">
        <f t="shared" si="38"/>
        <v>0</v>
      </c>
      <c r="BR120" s="19" t="b">
        <f t="shared" si="39"/>
        <v>0</v>
      </c>
      <c r="BS120" s="19" t="b">
        <f t="shared" si="40"/>
        <v>0</v>
      </c>
    </row>
    <row r="121" spans="2:71" ht="15.75" x14ac:dyDescent="0.2">
      <c r="B121" s="248" t="str">
        <f>IF(Calc!$F$26=0,"",IF(OR($C121&gt;Calc!$B$24,MOD($C121-1,Calc!$F$26)&gt;0),"",QUOTIENT($C121-1,Calc!$F$26)+1))</f>
        <v/>
      </c>
      <c r="C121" s="244">
        <v>113</v>
      </c>
      <c r="D121" s="142">
        <f>IF(Planning!$T119="","",Planning!$T119)</f>
        <v>45997</v>
      </c>
      <c r="E121" s="143">
        <f>IF(Planning!$U119="","",Planning!$U119)</f>
        <v>0.64583333333333337</v>
      </c>
      <c r="F121" s="161" t="str">
        <f>Planning!$Q119</f>
        <v>FC Bayern München</v>
      </c>
      <c r="G121" s="162" t="s">
        <v>4</v>
      </c>
      <c r="H121" s="161" t="str">
        <f>Planning!$S119</f>
        <v>1. FC Köln</v>
      </c>
      <c r="I121" s="163"/>
      <c r="J121" s="315" t="str">
        <f>Language!$E$90</f>
        <v xml:space="preserve"> - </v>
      </c>
      <c r="K121" s="318"/>
      <c r="L121" s="163"/>
      <c r="M121" s="360" t="str">
        <f>Language!$E$90</f>
        <v xml:space="preserve"> - </v>
      </c>
      <c r="N121" s="318"/>
      <c r="O121" s="163"/>
      <c r="P121" s="360" t="str">
        <f>Language!$E$90</f>
        <v xml:space="preserve"> - </v>
      </c>
      <c r="Q121" s="318"/>
      <c r="R121" s="354" t="str">
        <f t="shared" si="32"/>
        <v/>
      </c>
      <c r="S121" s="357" t="str">
        <f>Language!$E$90</f>
        <v xml:space="preserve"> - </v>
      </c>
      <c r="T121" s="321" t="str">
        <f t="shared" si="33"/>
        <v/>
      </c>
      <c r="U121" s="294"/>
      <c r="V121" s="295"/>
      <c r="BM121" s="193" t="b">
        <f t="shared" si="34"/>
        <v>1</v>
      </c>
      <c r="BN121" s="19" t="b">
        <f t="shared" si="35"/>
        <v>1</v>
      </c>
      <c r="BO121" s="19" t="b">
        <f t="shared" si="36"/>
        <v>1</v>
      </c>
      <c r="BP121" s="19" t="b">
        <f t="shared" si="37"/>
        <v>1</v>
      </c>
      <c r="BQ121" s="19" t="b">
        <f t="shared" si="38"/>
        <v>0</v>
      </c>
      <c r="BR121" s="19" t="b">
        <f t="shared" si="39"/>
        <v>0</v>
      </c>
      <c r="BS121" s="19" t="b">
        <f t="shared" si="40"/>
        <v>0</v>
      </c>
    </row>
    <row r="122" spans="2:71" ht="15.75" x14ac:dyDescent="0.2">
      <c r="B122" s="248" t="str">
        <f>IF(Calc!$F$26=0,"",IF(OR($C122&gt;Calc!$B$24,MOD($C122-1,Calc!$F$26)&gt;0),"",QUOTIENT($C122-1,Calc!$F$26)+1))</f>
        <v/>
      </c>
      <c r="C122" s="244">
        <v>114</v>
      </c>
      <c r="D122" s="142">
        <f>IF(Planning!$T120="","",Planning!$T120)</f>
        <v>45997</v>
      </c>
      <c r="E122" s="143">
        <f>IF(Planning!$U120="","",Planning!$U120)</f>
        <v>0.64583333333333337</v>
      </c>
      <c r="F122" s="161" t="str">
        <f>Planning!$Q120</f>
        <v>VfL Wolfsburg</v>
      </c>
      <c r="G122" s="162" t="s">
        <v>4</v>
      </c>
      <c r="H122" s="161" t="str">
        <f>Planning!$S120</f>
        <v>FC St. Pauli</v>
      </c>
      <c r="I122" s="163"/>
      <c r="J122" s="315" t="str">
        <f>Language!$E$90</f>
        <v xml:space="preserve"> - </v>
      </c>
      <c r="K122" s="318"/>
      <c r="L122" s="163"/>
      <c r="M122" s="360" t="str">
        <f>Language!$E$90</f>
        <v xml:space="preserve"> - </v>
      </c>
      <c r="N122" s="318"/>
      <c r="O122" s="163"/>
      <c r="P122" s="360" t="str">
        <f>Language!$E$90</f>
        <v xml:space="preserve"> - </v>
      </c>
      <c r="Q122" s="318"/>
      <c r="R122" s="354" t="str">
        <f t="shared" si="32"/>
        <v/>
      </c>
      <c r="S122" s="357" t="str">
        <f>Language!$E$90</f>
        <v xml:space="preserve"> - </v>
      </c>
      <c r="T122" s="321" t="str">
        <f t="shared" si="33"/>
        <v/>
      </c>
      <c r="U122" s="294"/>
      <c r="V122" s="295"/>
      <c r="BM122" s="193" t="b">
        <f t="shared" si="34"/>
        <v>1</v>
      </c>
      <c r="BN122" s="19" t="b">
        <f t="shared" si="35"/>
        <v>1</v>
      </c>
      <c r="BO122" s="19" t="b">
        <f t="shared" si="36"/>
        <v>1</v>
      </c>
      <c r="BP122" s="19" t="b">
        <f t="shared" si="37"/>
        <v>1</v>
      </c>
      <c r="BQ122" s="19" t="b">
        <f t="shared" si="38"/>
        <v>0</v>
      </c>
      <c r="BR122" s="19" t="b">
        <f t="shared" si="39"/>
        <v>0</v>
      </c>
      <c r="BS122" s="19" t="b">
        <f t="shared" si="40"/>
        <v>0</v>
      </c>
    </row>
    <row r="123" spans="2:71" ht="15.75" x14ac:dyDescent="0.2">
      <c r="B123" s="248" t="str">
        <f>IF(Calc!$F$26=0,"",IF(OR($C123&gt;Calc!$B$24,MOD($C123-1,Calc!$F$26)&gt;0),"",QUOTIENT($C123-1,Calc!$F$26)+1))</f>
        <v/>
      </c>
      <c r="C123" s="244">
        <v>115</v>
      </c>
      <c r="D123" s="142">
        <f>IF(Planning!$T121="","",Planning!$T121)</f>
        <v>45997</v>
      </c>
      <c r="E123" s="143">
        <f>IF(Planning!$U121="","",Planning!$U121)</f>
        <v>0.64583333333333337</v>
      </c>
      <c r="F123" s="161" t="str">
        <f>Planning!$Q121</f>
        <v>Hamburger SV</v>
      </c>
      <c r="G123" s="162" t="s">
        <v>4</v>
      </c>
      <c r="H123" s="161" t="str">
        <f>Planning!$S121</f>
        <v>VfB Stuttgart</v>
      </c>
      <c r="I123" s="163"/>
      <c r="J123" s="315" t="str">
        <f>Language!$E$90</f>
        <v xml:space="preserve"> - </v>
      </c>
      <c r="K123" s="318"/>
      <c r="L123" s="163"/>
      <c r="M123" s="360" t="str">
        <f>Language!$E$90</f>
        <v xml:space="preserve"> - </v>
      </c>
      <c r="N123" s="318"/>
      <c r="O123" s="163"/>
      <c r="P123" s="360" t="str">
        <f>Language!$E$90</f>
        <v xml:space="preserve"> - </v>
      </c>
      <c r="Q123" s="318"/>
      <c r="R123" s="354" t="str">
        <f t="shared" si="32"/>
        <v/>
      </c>
      <c r="S123" s="357" t="str">
        <f>Language!$E$90</f>
        <v xml:space="preserve"> - </v>
      </c>
      <c r="T123" s="321" t="str">
        <f t="shared" si="33"/>
        <v/>
      </c>
      <c r="U123" s="294"/>
      <c r="V123" s="295"/>
      <c r="BM123" s="193" t="b">
        <f t="shared" si="34"/>
        <v>1</v>
      </c>
      <c r="BN123" s="19" t="b">
        <f t="shared" si="35"/>
        <v>1</v>
      </c>
      <c r="BO123" s="19" t="b">
        <f t="shared" si="36"/>
        <v>1</v>
      </c>
      <c r="BP123" s="19" t="b">
        <f t="shared" si="37"/>
        <v>1</v>
      </c>
      <c r="BQ123" s="19" t="b">
        <f t="shared" si="38"/>
        <v>0</v>
      </c>
      <c r="BR123" s="19" t="b">
        <f t="shared" si="39"/>
        <v>0</v>
      </c>
      <c r="BS123" s="19" t="b">
        <f t="shared" si="40"/>
        <v>0</v>
      </c>
    </row>
    <row r="124" spans="2:71" ht="15.75" x14ac:dyDescent="0.2">
      <c r="B124" s="248" t="str">
        <f>IF(Calc!$F$26=0,"",IF(OR($C124&gt;Calc!$B$24,MOD($C124-1,Calc!$F$26)&gt;0),"",QUOTIENT($C124-1,Calc!$F$26)+1))</f>
        <v/>
      </c>
      <c r="C124" s="244">
        <v>116</v>
      </c>
      <c r="D124" s="142">
        <f>IF(Planning!$T122="","",Planning!$T122)</f>
        <v>45997</v>
      </c>
      <c r="E124" s="143">
        <f>IF(Planning!$U122="","",Planning!$U122)</f>
        <v>0.64583333333333337</v>
      </c>
      <c r="F124" s="161" t="str">
        <f>Planning!$Q122</f>
        <v>TSG Hoffenheim</v>
      </c>
      <c r="G124" s="162" t="s">
        <v>4</v>
      </c>
      <c r="H124" s="161" t="str">
        <f>Planning!$S122</f>
        <v>RB Leipzig</v>
      </c>
      <c r="I124" s="163"/>
      <c r="J124" s="315" t="str">
        <f>Language!$E$90</f>
        <v xml:space="preserve"> - </v>
      </c>
      <c r="K124" s="318"/>
      <c r="L124" s="163"/>
      <c r="M124" s="360" t="str">
        <f>Language!$E$90</f>
        <v xml:space="preserve"> - </v>
      </c>
      <c r="N124" s="318"/>
      <c r="O124" s="163"/>
      <c r="P124" s="360" t="str">
        <f>Language!$E$90</f>
        <v xml:space="preserve"> - </v>
      </c>
      <c r="Q124" s="318"/>
      <c r="R124" s="354" t="str">
        <f t="shared" si="32"/>
        <v/>
      </c>
      <c r="S124" s="357" t="str">
        <f>Language!$E$90</f>
        <v xml:space="preserve"> - </v>
      </c>
      <c r="T124" s="321" t="str">
        <f t="shared" si="33"/>
        <v/>
      </c>
      <c r="U124" s="294"/>
      <c r="V124" s="295"/>
      <c r="BM124" s="193" t="b">
        <f t="shared" si="34"/>
        <v>1</v>
      </c>
      <c r="BN124" s="19" t="b">
        <f t="shared" si="35"/>
        <v>1</v>
      </c>
      <c r="BO124" s="19" t="b">
        <f t="shared" si="36"/>
        <v>1</v>
      </c>
      <c r="BP124" s="19" t="b">
        <f t="shared" si="37"/>
        <v>1</v>
      </c>
      <c r="BQ124" s="19" t="b">
        <f t="shared" si="38"/>
        <v>0</v>
      </c>
      <c r="BR124" s="19" t="b">
        <f t="shared" si="39"/>
        <v>0</v>
      </c>
      <c r="BS124" s="19" t="b">
        <f t="shared" si="40"/>
        <v>0</v>
      </c>
    </row>
    <row r="125" spans="2:71" ht="15.75" x14ac:dyDescent="0.2">
      <c r="B125" s="248" t="str">
        <f>IF(Calc!$F$26=0,"",IF(OR($C125&gt;Calc!$B$24,MOD($C125-1,Calc!$F$26)&gt;0),"",QUOTIENT($C125-1,Calc!$F$26)+1))</f>
        <v/>
      </c>
      <c r="C125" s="244">
        <v>117</v>
      </c>
      <c r="D125" s="142">
        <f>IF(Planning!$T123="","",Planning!$T123)</f>
        <v>45997</v>
      </c>
      <c r="E125" s="143">
        <f>IF(Planning!$U123="","",Planning!$U123)</f>
        <v>0.64583333333333337</v>
      </c>
      <c r="F125" s="161" t="str">
        <f>Planning!$Q123</f>
        <v>SC Freiburg</v>
      </c>
      <c r="G125" s="162" t="s">
        <v>4</v>
      </c>
      <c r="H125" s="161" t="str">
        <f>Planning!$S123</f>
        <v>SV Werder Bremen</v>
      </c>
      <c r="I125" s="163"/>
      <c r="J125" s="315" t="str">
        <f>Language!$E$90</f>
        <v xml:space="preserve"> - </v>
      </c>
      <c r="K125" s="318"/>
      <c r="L125" s="163"/>
      <c r="M125" s="360" t="str">
        <f>Language!$E$90</f>
        <v xml:space="preserve"> - </v>
      </c>
      <c r="N125" s="318"/>
      <c r="O125" s="163"/>
      <c r="P125" s="360" t="str">
        <f>Language!$E$90</f>
        <v xml:space="preserve"> - </v>
      </c>
      <c r="Q125" s="318"/>
      <c r="R125" s="354" t="str">
        <f t="shared" si="32"/>
        <v/>
      </c>
      <c r="S125" s="357" t="str">
        <f>Language!$E$90</f>
        <v xml:space="preserve"> - </v>
      </c>
      <c r="T125" s="321" t="str">
        <f t="shared" si="33"/>
        <v/>
      </c>
      <c r="U125" s="294"/>
      <c r="V125" s="295"/>
      <c r="BM125" s="193" t="b">
        <f t="shared" si="34"/>
        <v>1</v>
      </c>
      <c r="BN125" s="19" t="b">
        <f t="shared" si="35"/>
        <v>1</v>
      </c>
      <c r="BO125" s="19" t="b">
        <f t="shared" si="36"/>
        <v>1</v>
      </c>
      <c r="BP125" s="19" t="b">
        <f t="shared" si="37"/>
        <v>1</v>
      </c>
      <c r="BQ125" s="19" t="b">
        <f t="shared" si="38"/>
        <v>0</v>
      </c>
      <c r="BR125" s="19" t="b">
        <f t="shared" si="39"/>
        <v>0</v>
      </c>
      <c r="BS125" s="19" t="b">
        <f t="shared" si="40"/>
        <v>0</v>
      </c>
    </row>
    <row r="126" spans="2:71" ht="15.75" x14ac:dyDescent="0.2">
      <c r="B126" s="248">
        <f>IF(Calc!$F$26=0,"",IF(OR($C126&gt;Calc!$B$24,MOD($C126-1,Calc!$F$26)&gt;0),"",QUOTIENT($C126-1,Calc!$F$26)+1))</f>
        <v>14</v>
      </c>
      <c r="C126" s="244">
        <v>118</v>
      </c>
      <c r="D126" s="142">
        <f>IF(Planning!$T124="","",Planning!$T124)</f>
        <v>46004</v>
      </c>
      <c r="E126" s="143">
        <f>IF(Planning!$U124="","",Planning!$U124)</f>
        <v>0.64583333333333337</v>
      </c>
      <c r="F126" s="161" t="str">
        <f>Planning!$Q124</f>
        <v>Bayer 04 Leverkusen</v>
      </c>
      <c r="G126" s="162" t="s">
        <v>4</v>
      </c>
      <c r="H126" s="161" t="str">
        <f>Planning!$S124</f>
        <v>1. FC Heidenheim 1846</v>
      </c>
      <c r="I126" s="163"/>
      <c r="J126" s="315" t="str">
        <f>Language!$E$90</f>
        <v xml:space="preserve"> - </v>
      </c>
      <c r="K126" s="318"/>
      <c r="L126" s="163"/>
      <c r="M126" s="360" t="str">
        <f>Language!$E$90</f>
        <v xml:space="preserve"> - </v>
      </c>
      <c r="N126" s="318"/>
      <c r="O126" s="163"/>
      <c r="P126" s="360" t="str">
        <f>Language!$E$90</f>
        <v xml:space="preserve"> - </v>
      </c>
      <c r="Q126" s="318"/>
      <c r="R126" s="354" t="str">
        <f t="shared" si="32"/>
        <v/>
      </c>
      <c r="S126" s="357" t="str">
        <f>Language!$E$90</f>
        <v xml:space="preserve"> - </v>
      </c>
      <c r="T126" s="321" t="str">
        <f t="shared" si="33"/>
        <v/>
      </c>
      <c r="U126" s="294"/>
      <c r="V126" s="295"/>
      <c r="BM126" s="193" t="b">
        <f t="shared" si="34"/>
        <v>1</v>
      </c>
      <c r="BN126" s="19" t="b">
        <f t="shared" si="35"/>
        <v>1</v>
      </c>
      <c r="BO126" s="19" t="b">
        <f t="shared" si="36"/>
        <v>1</v>
      </c>
      <c r="BP126" s="19" t="b">
        <f t="shared" si="37"/>
        <v>1</v>
      </c>
      <c r="BQ126" s="19" t="b">
        <f t="shared" si="38"/>
        <v>0</v>
      </c>
      <c r="BR126" s="19" t="b">
        <f t="shared" si="39"/>
        <v>0</v>
      </c>
      <c r="BS126" s="19" t="b">
        <f t="shared" si="40"/>
        <v>0</v>
      </c>
    </row>
    <row r="127" spans="2:71" ht="15.75" x14ac:dyDescent="0.2">
      <c r="B127" s="248" t="str">
        <f>IF(Calc!$F$26=0,"",IF(OR($C127&gt;Calc!$B$24,MOD($C127-1,Calc!$F$26)&gt;0),"",QUOTIENT($C127-1,Calc!$F$26)+1))</f>
        <v/>
      </c>
      <c r="C127" s="244">
        <v>119</v>
      </c>
      <c r="D127" s="142">
        <f>IF(Planning!$T125="","",Planning!$T125)</f>
        <v>46004</v>
      </c>
      <c r="E127" s="143">
        <f>IF(Planning!$U125="","",Planning!$U125)</f>
        <v>0.64583333333333337</v>
      </c>
      <c r="F127" s="161" t="str">
        <f>Planning!$Q125</f>
        <v>1. FSV Mainz 05</v>
      </c>
      <c r="G127" s="162" t="s">
        <v>4</v>
      </c>
      <c r="H127" s="161" t="str">
        <f>Planning!$S125</f>
        <v>Borussia Dortmund</v>
      </c>
      <c r="I127" s="163"/>
      <c r="J127" s="315" t="str">
        <f>Language!$E$90</f>
        <v xml:space="preserve"> - </v>
      </c>
      <c r="K127" s="318"/>
      <c r="L127" s="163"/>
      <c r="M127" s="360" t="str">
        <f>Language!$E$90</f>
        <v xml:space="preserve"> - </v>
      </c>
      <c r="N127" s="318"/>
      <c r="O127" s="163"/>
      <c r="P127" s="360" t="str">
        <f>Language!$E$90</f>
        <v xml:space="preserve"> - </v>
      </c>
      <c r="Q127" s="318"/>
      <c r="R127" s="354" t="str">
        <f t="shared" si="32"/>
        <v/>
      </c>
      <c r="S127" s="357" t="str">
        <f>Language!$E$90</f>
        <v xml:space="preserve"> - </v>
      </c>
      <c r="T127" s="321" t="str">
        <f t="shared" si="33"/>
        <v/>
      </c>
      <c r="U127" s="294"/>
      <c r="V127" s="295"/>
      <c r="BM127" s="193" t="b">
        <f t="shared" si="34"/>
        <v>1</v>
      </c>
      <c r="BN127" s="19" t="b">
        <f t="shared" si="35"/>
        <v>1</v>
      </c>
      <c r="BO127" s="19" t="b">
        <f t="shared" si="36"/>
        <v>1</v>
      </c>
      <c r="BP127" s="19" t="b">
        <f t="shared" si="37"/>
        <v>1</v>
      </c>
      <c r="BQ127" s="19" t="b">
        <f t="shared" si="38"/>
        <v>0</v>
      </c>
      <c r="BR127" s="19" t="b">
        <f t="shared" si="39"/>
        <v>0</v>
      </c>
      <c r="BS127" s="19" t="b">
        <f t="shared" si="40"/>
        <v>0</v>
      </c>
    </row>
    <row r="128" spans="2:71" ht="15.75" x14ac:dyDescent="0.2">
      <c r="B128" s="248" t="str">
        <f>IF(Calc!$F$26=0,"",IF(OR($C128&gt;Calc!$B$24,MOD($C128-1,Calc!$F$26)&gt;0),"",QUOTIENT($C128-1,Calc!$F$26)+1))</f>
        <v/>
      </c>
      <c r="C128" s="244">
        <v>120</v>
      </c>
      <c r="D128" s="142">
        <f>IF(Planning!$T126="","",Planning!$T126)</f>
        <v>46004</v>
      </c>
      <c r="E128" s="143">
        <f>IF(Planning!$U126="","",Planning!$U126)</f>
        <v>0.64583333333333337</v>
      </c>
      <c r="F128" s="161" t="str">
        <f>Planning!$Q126</f>
        <v>Borussia Mönchengladbach</v>
      </c>
      <c r="G128" s="162" t="s">
        <v>4</v>
      </c>
      <c r="H128" s="161" t="str">
        <f>Planning!$S126</f>
        <v>1. FC Union Berlin</v>
      </c>
      <c r="I128" s="163"/>
      <c r="J128" s="315" t="str">
        <f>Language!$E$90</f>
        <v xml:space="preserve"> - </v>
      </c>
      <c r="K128" s="318"/>
      <c r="L128" s="163"/>
      <c r="M128" s="360" t="str">
        <f>Language!$E$90</f>
        <v xml:space="preserve"> - </v>
      </c>
      <c r="N128" s="318"/>
      <c r="O128" s="163"/>
      <c r="P128" s="360" t="str">
        <f>Language!$E$90</f>
        <v xml:space="preserve"> - </v>
      </c>
      <c r="Q128" s="318"/>
      <c r="R128" s="354" t="str">
        <f t="shared" si="32"/>
        <v/>
      </c>
      <c r="S128" s="357" t="str">
        <f>Language!$E$90</f>
        <v xml:space="preserve"> - </v>
      </c>
      <c r="T128" s="321" t="str">
        <f t="shared" si="33"/>
        <v/>
      </c>
      <c r="U128" s="294"/>
      <c r="V128" s="295"/>
      <c r="BM128" s="193" t="b">
        <f t="shared" si="34"/>
        <v>1</v>
      </c>
      <c r="BN128" s="19" t="b">
        <f t="shared" si="35"/>
        <v>1</v>
      </c>
      <c r="BO128" s="19" t="b">
        <f t="shared" si="36"/>
        <v>1</v>
      </c>
      <c r="BP128" s="19" t="b">
        <f t="shared" si="37"/>
        <v>1</v>
      </c>
      <c r="BQ128" s="19" t="b">
        <f t="shared" si="38"/>
        <v>0</v>
      </c>
      <c r="BR128" s="19" t="b">
        <f t="shared" si="39"/>
        <v>0</v>
      </c>
      <c r="BS128" s="19" t="b">
        <f t="shared" si="40"/>
        <v>0</v>
      </c>
    </row>
    <row r="129" spans="2:71" ht="15.75" x14ac:dyDescent="0.2">
      <c r="B129" s="248" t="str">
        <f>IF(Calc!$F$26=0,"",IF(OR($C129&gt;Calc!$B$24,MOD($C129-1,Calc!$F$26)&gt;0),"",QUOTIENT($C129-1,Calc!$F$26)+1))</f>
        <v/>
      </c>
      <c r="C129" s="244">
        <v>121</v>
      </c>
      <c r="D129" s="142">
        <f>IF(Planning!$T127="","",Planning!$T127)</f>
        <v>46004</v>
      </c>
      <c r="E129" s="143">
        <f>IF(Planning!$U127="","",Planning!$U127)</f>
        <v>0.64583333333333337</v>
      </c>
      <c r="F129" s="161" t="str">
        <f>Planning!$Q127</f>
        <v>1. FC Köln</v>
      </c>
      <c r="G129" s="162" t="s">
        <v>4</v>
      </c>
      <c r="H129" s="161" t="str">
        <f>Planning!$S127</f>
        <v>Eintracht Frankfurt</v>
      </c>
      <c r="I129" s="163"/>
      <c r="J129" s="315" t="str">
        <f>Language!$E$90</f>
        <v xml:space="preserve"> - </v>
      </c>
      <c r="K129" s="318"/>
      <c r="L129" s="163"/>
      <c r="M129" s="360" t="str">
        <f>Language!$E$90</f>
        <v xml:space="preserve"> - </v>
      </c>
      <c r="N129" s="318"/>
      <c r="O129" s="163"/>
      <c r="P129" s="360" t="str">
        <f>Language!$E$90</f>
        <v xml:space="preserve"> - </v>
      </c>
      <c r="Q129" s="318"/>
      <c r="R129" s="354" t="str">
        <f t="shared" si="32"/>
        <v/>
      </c>
      <c r="S129" s="357" t="str">
        <f>Language!$E$90</f>
        <v xml:space="preserve"> - </v>
      </c>
      <c r="T129" s="321" t="str">
        <f t="shared" si="33"/>
        <v/>
      </c>
      <c r="U129" s="294"/>
      <c r="V129" s="295"/>
      <c r="BM129" s="193" t="b">
        <f t="shared" si="34"/>
        <v>1</v>
      </c>
      <c r="BN129" s="19" t="b">
        <f t="shared" si="35"/>
        <v>1</v>
      </c>
      <c r="BO129" s="19" t="b">
        <f t="shared" si="36"/>
        <v>1</v>
      </c>
      <c r="BP129" s="19" t="b">
        <f t="shared" si="37"/>
        <v>1</v>
      </c>
      <c r="BQ129" s="19" t="b">
        <f t="shared" si="38"/>
        <v>0</v>
      </c>
      <c r="BR129" s="19" t="b">
        <f t="shared" si="39"/>
        <v>0</v>
      </c>
      <c r="BS129" s="19" t="b">
        <f t="shared" si="40"/>
        <v>0</v>
      </c>
    </row>
    <row r="130" spans="2:71" ht="15.75" x14ac:dyDescent="0.2">
      <c r="B130" s="248" t="str">
        <f>IF(Calc!$F$26=0,"",IF(OR($C130&gt;Calc!$B$24,MOD($C130-1,Calc!$F$26)&gt;0),"",QUOTIENT($C130-1,Calc!$F$26)+1))</f>
        <v/>
      </c>
      <c r="C130" s="244">
        <v>122</v>
      </c>
      <c r="D130" s="142">
        <f>IF(Planning!$T128="","",Planning!$T128)</f>
        <v>46004</v>
      </c>
      <c r="E130" s="143">
        <f>IF(Planning!$U128="","",Planning!$U128)</f>
        <v>0.64583333333333337</v>
      </c>
      <c r="F130" s="161" t="str">
        <f>Planning!$Q128</f>
        <v>FC Augsburg</v>
      </c>
      <c r="G130" s="162" t="s">
        <v>4</v>
      </c>
      <c r="H130" s="161" t="str">
        <f>Planning!$S128</f>
        <v>VfL Wolfsburg</v>
      </c>
      <c r="I130" s="163"/>
      <c r="J130" s="315" t="str">
        <f>Language!$E$90</f>
        <v xml:space="preserve"> - </v>
      </c>
      <c r="K130" s="318"/>
      <c r="L130" s="163"/>
      <c r="M130" s="360" t="str">
        <f>Language!$E$90</f>
        <v xml:space="preserve"> - </v>
      </c>
      <c r="N130" s="318"/>
      <c r="O130" s="163"/>
      <c r="P130" s="360" t="str">
        <f>Language!$E$90</f>
        <v xml:space="preserve"> - </v>
      </c>
      <c r="Q130" s="318"/>
      <c r="R130" s="354" t="str">
        <f t="shared" si="32"/>
        <v/>
      </c>
      <c r="S130" s="357" t="str">
        <f>Language!$E$90</f>
        <v xml:space="preserve"> - </v>
      </c>
      <c r="T130" s="321" t="str">
        <f t="shared" si="33"/>
        <v/>
      </c>
      <c r="U130" s="294"/>
      <c r="V130" s="295"/>
      <c r="BM130" s="193" t="b">
        <f t="shared" si="34"/>
        <v>1</v>
      </c>
      <c r="BN130" s="19" t="b">
        <f t="shared" si="35"/>
        <v>1</v>
      </c>
      <c r="BO130" s="19" t="b">
        <f t="shared" si="36"/>
        <v>1</v>
      </c>
      <c r="BP130" s="19" t="b">
        <f t="shared" si="37"/>
        <v>1</v>
      </c>
      <c r="BQ130" s="19" t="b">
        <f t="shared" si="38"/>
        <v>0</v>
      </c>
      <c r="BR130" s="19" t="b">
        <f t="shared" si="39"/>
        <v>0</v>
      </c>
      <c r="BS130" s="19" t="b">
        <f t="shared" si="40"/>
        <v>0</v>
      </c>
    </row>
    <row r="131" spans="2:71" ht="15.75" x14ac:dyDescent="0.2">
      <c r="B131" s="248" t="str">
        <f>IF(Calc!$F$26=0,"",IF(OR($C131&gt;Calc!$B$24,MOD($C131-1,Calc!$F$26)&gt;0),"",QUOTIENT($C131-1,Calc!$F$26)+1))</f>
        <v/>
      </c>
      <c r="C131" s="244">
        <v>123</v>
      </c>
      <c r="D131" s="142">
        <f>IF(Planning!$T129="","",Planning!$T129)</f>
        <v>46004</v>
      </c>
      <c r="E131" s="143">
        <f>IF(Planning!$U129="","",Planning!$U129)</f>
        <v>0.64583333333333337</v>
      </c>
      <c r="F131" s="161" t="str">
        <f>Planning!$Q129</f>
        <v>VfB Stuttgart</v>
      </c>
      <c r="G131" s="162" t="s">
        <v>4</v>
      </c>
      <c r="H131" s="161" t="str">
        <f>Planning!$S129</f>
        <v>FC Bayern München</v>
      </c>
      <c r="I131" s="163"/>
      <c r="J131" s="315" t="str">
        <f>Language!$E$90</f>
        <v xml:space="preserve"> - </v>
      </c>
      <c r="K131" s="318"/>
      <c r="L131" s="163"/>
      <c r="M131" s="360" t="str">
        <f>Language!$E$90</f>
        <v xml:space="preserve"> - </v>
      </c>
      <c r="N131" s="318"/>
      <c r="O131" s="163"/>
      <c r="P131" s="360" t="str">
        <f>Language!$E$90</f>
        <v xml:space="preserve"> - </v>
      </c>
      <c r="Q131" s="318"/>
      <c r="R131" s="354" t="str">
        <f t="shared" si="32"/>
        <v/>
      </c>
      <c r="S131" s="357" t="str">
        <f>Language!$E$90</f>
        <v xml:space="preserve"> - </v>
      </c>
      <c r="T131" s="321" t="str">
        <f t="shared" si="33"/>
        <v/>
      </c>
      <c r="U131" s="294"/>
      <c r="V131" s="295"/>
      <c r="BM131" s="193" t="b">
        <f t="shared" si="34"/>
        <v>1</v>
      </c>
      <c r="BN131" s="19" t="b">
        <f t="shared" si="35"/>
        <v>1</v>
      </c>
      <c r="BO131" s="19" t="b">
        <f t="shared" si="36"/>
        <v>1</v>
      </c>
      <c r="BP131" s="19" t="b">
        <f t="shared" si="37"/>
        <v>1</v>
      </c>
      <c r="BQ131" s="19" t="b">
        <f t="shared" si="38"/>
        <v>0</v>
      </c>
      <c r="BR131" s="19" t="b">
        <f t="shared" si="39"/>
        <v>0</v>
      </c>
      <c r="BS131" s="19" t="b">
        <f t="shared" si="40"/>
        <v>0</v>
      </c>
    </row>
    <row r="132" spans="2:71" ht="15.75" x14ac:dyDescent="0.2">
      <c r="B132" s="248" t="str">
        <f>IF(Calc!$F$26=0,"",IF(OR($C132&gt;Calc!$B$24,MOD($C132-1,Calc!$F$26)&gt;0),"",QUOTIENT($C132-1,Calc!$F$26)+1))</f>
        <v/>
      </c>
      <c r="C132" s="244">
        <v>124</v>
      </c>
      <c r="D132" s="142">
        <f>IF(Planning!$T130="","",Planning!$T130)</f>
        <v>46004</v>
      </c>
      <c r="E132" s="143">
        <f>IF(Planning!$U130="","",Planning!$U130)</f>
        <v>0.64583333333333337</v>
      </c>
      <c r="F132" s="161" t="str">
        <f>Planning!$Q130</f>
        <v>FC St. Pauli</v>
      </c>
      <c r="G132" s="162" t="s">
        <v>4</v>
      </c>
      <c r="H132" s="161" t="str">
        <f>Planning!$S130</f>
        <v>TSG Hoffenheim</v>
      </c>
      <c r="I132" s="163"/>
      <c r="J132" s="315" t="str">
        <f>Language!$E$90</f>
        <v xml:space="preserve"> - </v>
      </c>
      <c r="K132" s="318"/>
      <c r="L132" s="163"/>
      <c r="M132" s="360" t="str">
        <f>Language!$E$90</f>
        <v xml:space="preserve"> - </v>
      </c>
      <c r="N132" s="318"/>
      <c r="O132" s="163"/>
      <c r="P132" s="360" t="str">
        <f>Language!$E$90</f>
        <v xml:space="preserve"> - </v>
      </c>
      <c r="Q132" s="318"/>
      <c r="R132" s="354" t="str">
        <f t="shared" si="32"/>
        <v/>
      </c>
      <c r="S132" s="357" t="str">
        <f>Language!$E$90</f>
        <v xml:space="preserve"> - </v>
      </c>
      <c r="T132" s="321" t="str">
        <f t="shared" si="33"/>
        <v/>
      </c>
      <c r="U132" s="294"/>
      <c r="V132" s="295"/>
      <c r="BM132" s="193" t="b">
        <f t="shared" si="34"/>
        <v>1</v>
      </c>
      <c r="BN132" s="19" t="b">
        <f t="shared" si="35"/>
        <v>1</v>
      </c>
      <c r="BO132" s="19" t="b">
        <f t="shared" si="36"/>
        <v>1</v>
      </c>
      <c r="BP132" s="19" t="b">
        <f t="shared" si="37"/>
        <v>1</v>
      </c>
      <c r="BQ132" s="19" t="b">
        <f t="shared" si="38"/>
        <v>0</v>
      </c>
      <c r="BR132" s="19" t="b">
        <f t="shared" si="39"/>
        <v>0</v>
      </c>
      <c r="BS132" s="19" t="b">
        <f t="shared" si="40"/>
        <v>0</v>
      </c>
    </row>
    <row r="133" spans="2:71" ht="15.75" x14ac:dyDescent="0.2">
      <c r="B133" s="248" t="str">
        <f>IF(Calc!$F$26=0,"",IF(OR($C133&gt;Calc!$B$24,MOD($C133-1,Calc!$F$26)&gt;0),"",QUOTIENT($C133-1,Calc!$F$26)+1))</f>
        <v/>
      </c>
      <c r="C133" s="244">
        <v>125</v>
      </c>
      <c r="D133" s="142">
        <f>IF(Planning!$T131="","",Planning!$T131)</f>
        <v>46004</v>
      </c>
      <c r="E133" s="143">
        <f>IF(Planning!$U131="","",Planning!$U131)</f>
        <v>0.64583333333333337</v>
      </c>
      <c r="F133" s="161" t="str">
        <f>Planning!$Q131</f>
        <v>SV Werder Bremen</v>
      </c>
      <c r="G133" s="162" t="s">
        <v>4</v>
      </c>
      <c r="H133" s="161" t="str">
        <f>Planning!$S131</f>
        <v>Hamburger SV</v>
      </c>
      <c r="I133" s="163"/>
      <c r="J133" s="315" t="str">
        <f>Language!$E$90</f>
        <v xml:space="preserve"> - </v>
      </c>
      <c r="K133" s="318"/>
      <c r="L133" s="163"/>
      <c r="M133" s="360" t="str">
        <f>Language!$E$90</f>
        <v xml:space="preserve"> - </v>
      </c>
      <c r="N133" s="318"/>
      <c r="O133" s="163"/>
      <c r="P133" s="360" t="str">
        <f>Language!$E$90</f>
        <v xml:space="preserve"> - </v>
      </c>
      <c r="Q133" s="318"/>
      <c r="R133" s="354" t="str">
        <f t="shared" si="32"/>
        <v/>
      </c>
      <c r="S133" s="357" t="str">
        <f>Language!$E$90</f>
        <v xml:space="preserve"> - </v>
      </c>
      <c r="T133" s="321" t="str">
        <f t="shared" si="33"/>
        <v/>
      </c>
      <c r="U133" s="294"/>
      <c r="V133" s="295"/>
      <c r="BM133" s="193" t="b">
        <f t="shared" si="34"/>
        <v>1</v>
      </c>
      <c r="BN133" s="19" t="b">
        <f t="shared" si="35"/>
        <v>1</v>
      </c>
      <c r="BO133" s="19" t="b">
        <f t="shared" si="36"/>
        <v>1</v>
      </c>
      <c r="BP133" s="19" t="b">
        <f t="shared" si="37"/>
        <v>1</v>
      </c>
      <c r="BQ133" s="19" t="b">
        <f t="shared" si="38"/>
        <v>0</v>
      </c>
      <c r="BR133" s="19" t="b">
        <f t="shared" si="39"/>
        <v>0</v>
      </c>
      <c r="BS133" s="19" t="b">
        <f t="shared" si="40"/>
        <v>0</v>
      </c>
    </row>
    <row r="134" spans="2:71" ht="15.75" x14ac:dyDescent="0.2">
      <c r="B134" s="248" t="str">
        <f>IF(Calc!$F$26=0,"",IF(OR($C134&gt;Calc!$B$24,MOD($C134-1,Calc!$F$26)&gt;0),"",QUOTIENT($C134-1,Calc!$F$26)+1))</f>
        <v/>
      </c>
      <c r="C134" s="244">
        <v>126</v>
      </c>
      <c r="D134" s="142">
        <f>IF(Planning!$T132="","",Planning!$T132)</f>
        <v>46004</v>
      </c>
      <c r="E134" s="143">
        <f>IF(Planning!$U132="","",Planning!$U132)</f>
        <v>0.64583333333333337</v>
      </c>
      <c r="F134" s="161" t="str">
        <f>Planning!$Q132</f>
        <v>RB Leipzig</v>
      </c>
      <c r="G134" s="162" t="s">
        <v>4</v>
      </c>
      <c r="H134" s="161" t="str">
        <f>Planning!$S132</f>
        <v>SC Freiburg</v>
      </c>
      <c r="I134" s="163"/>
      <c r="J134" s="315" t="str">
        <f>Language!$E$90</f>
        <v xml:space="preserve"> - </v>
      </c>
      <c r="K134" s="318"/>
      <c r="L134" s="163"/>
      <c r="M134" s="360" t="str">
        <f>Language!$E$90</f>
        <v xml:space="preserve"> - </v>
      </c>
      <c r="N134" s="318"/>
      <c r="O134" s="163"/>
      <c r="P134" s="360" t="str">
        <f>Language!$E$90</f>
        <v xml:space="preserve"> - </v>
      </c>
      <c r="Q134" s="318"/>
      <c r="R134" s="354" t="str">
        <f t="shared" si="32"/>
        <v/>
      </c>
      <c r="S134" s="357" t="str">
        <f>Language!$E$90</f>
        <v xml:space="preserve"> - </v>
      </c>
      <c r="T134" s="321" t="str">
        <f t="shared" si="33"/>
        <v/>
      </c>
      <c r="U134" s="294"/>
      <c r="V134" s="295"/>
      <c r="BM134" s="193" t="b">
        <f t="shared" si="34"/>
        <v>1</v>
      </c>
      <c r="BN134" s="19" t="b">
        <f t="shared" si="35"/>
        <v>1</v>
      </c>
      <c r="BO134" s="19" t="b">
        <f t="shared" si="36"/>
        <v>1</v>
      </c>
      <c r="BP134" s="19" t="b">
        <f t="shared" si="37"/>
        <v>1</v>
      </c>
      <c r="BQ134" s="19" t="b">
        <f t="shared" si="38"/>
        <v>0</v>
      </c>
      <c r="BR134" s="19" t="b">
        <f t="shared" si="39"/>
        <v>0</v>
      </c>
      <c r="BS134" s="19" t="b">
        <f t="shared" si="40"/>
        <v>0</v>
      </c>
    </row>
    <row r="135" spans="2:71" ht="15.75" x14ac:dyDescent="0.2">
      <c r="B135" s="248">
        <f>IF(Calc!$F$26=0,"",IF(OR($C135&gt;Calc!$B$24,MOD($C135-1,Calc!$F$26)&gt;0),"",QUOTIENT($C135-1,Calc!$F$26)+1))</f>
        <v>15</v>
      </c>
      <c r="C135" s="244">
        <v>127</v>
      </c>
      <c r="D135" s="142">
        <f>IF(Planning!$T133="","",Planning!$T133)</f>
        <v>46011</v>
      </c>
      <c r="E135" s="143">
        <f>IF(Planning!$U133="","",Planning!$U133)</f>
        <v>0.64583333333333337</v>
      </c>
      <c r="F135" s="161" t="str">
        <f>Planning!$Q133</f>
        <v>1. FC Heidenheim 1846</v>
      </c>
      <c r="G135" s="162" t="s">
        <v>4</v>
      </c>
      <c r="H135" s="161" t="str">
        <f>Planning!$S133</f>
        <v>1. FSV Mainz 05</v>
      </c>
      <c r="I135" s="163"/>
      <c r="J135" s="315" t="str">
        <f>Language!$E$90</f>
        <v xml:space="preserve"> - </v>
      </c>
      <c r="K135" s="318"/>
      <c r="L135" s="163"/>
      <c r="M135" s="360" t="str">
        <f>Language!$E$90</f>
        <v xml:space="preserve"> - </v>
      </c>
      <c r="N135" s="318"/>
      <c r="O135" s="163"/>
      <c r="P135" s="360" t="str">
        <f>Language!$E$90</f>
        <v xml:space="preserve"> - </v>
      </c>
      <c r="Q135" s="318"/>
      <c r="R135" s="354" t="str">
        <f t="shared" si="32"/>
        <v/>
      </c>
      <c r="S135" s="357" t="str">
        <f>Language!$E$90</f>
        <v xml:space="preserve"> - </v>
      </c>
      <c r="T135" s="321" t="str">
        <f t="shared" si="33"/>
        <v/>
      </c>
      <c r="U135" s="294"/>
      <c r="V135" s="295"/>
      <c r="BM135" s="193" t="b">
        <f t="shared" si="34"/>
        <v>1</v>
      </c>
      <c r="BN135" s="19" t="b">
        <f t="shared" si="35"/>
        <v>1</v>
      </c>
      <c r="BO135" s="19" t="b">
        <f t="shared" si="36"/>
        <v>1</v>
      </c>
      <c r="BP135" s="19" t="b">
        <f t="shared" si="37"/>
        <v>1</v>
      </c>
      <c r="BQ135" s="19" t="b">
        <f t="shared" si="38"/>
        <v>0</v>
      </c>
      <c r="BR135" s="19" t="b">
        <f t="shared" si="39"/>
        <v>0</v>
      </c>
      <c r="BS135" s="19" t="b">
        <f t="shared" si="40"/>
        <v>0</v>
      </c>
    </row>
    <row r="136" spans="2:71" ht="15.75" x14ac:dyDescent="0.2">
      <c r="B136" s="248" t="str">
        <f>IF(Calc!$F$26=0,"",IF(OR($C136&gt;Calc!$B$24,MOD($C136-1,Calc!$F$26)&gt;0),"",QUOTIENT($C136-1,Calc!$F$26)+1))</f>
        <v/>
      </c>
      <c r="C136" s="244">
        <v>128</v>
      </c>
      <c r="D136" s="142">
        <f>IF(Planning!$T134="","",Planning!$T134)</f>
        <v>46011</v>
      </c>
      <c r="E136" s="143">
        <f>IF(Planning!$U134="","",Planning!$U134)</f>
        <v>0.64583333333333337</v>
      </c>
      <c r="F136" s="161" t="str">
        <f>Planning!$Q134</f>
        <v>1. FC Union Berlin</v>
      </c>
      <c r="G136" s="162" t="s">
        <v>4</v>
      </c>
      <c r="H136" s="161" t="str">
        <f>Planning!$S134</f>
        <v>Bayer 04 Leverkusen</v>
      </c>
      <c r="I136" s="163"/>
      <c r="J136" s="315" t="str">
        <f>Language!$E$90</f>
        <v xml:space="preserve"> - </v>
      </c>
      <c r="K136" s="318"/>
      <c r="L136" s="163"/>
      <c r="M136" s="360" t="str">
        <f>Language!$E$90</f>
        <v xml:space="preserve"> - </v>
      </c>
      <c r="N136" s="318"/>
      <c r="O136" s="163"/>
      <c r="P136" s="360" t="str">
        <f>Language!$E$90</f>
        <v xml:space="preserve"> - </v>
      </c>
      <c r="Q136" s="318"/>
      <c r="R136" s="354" t="str">
        <f t="shared" si="32"/>
        <v/>
      </c>
      <c r="S136" s="357" t="str">
        <f>Language!$E$90</f>
        <v xml:space="preserve"> - </v>
      </c>
      <c r="T136" s="321" t="str">
        <f t="shared" si="33"/>
        <v/>
      </c>
      <c r="U136" s="294"/>
      <c r="V136" s="295"/>
      <c r="BM136" s="193" t="b">
        <f t="shared" si="34"/>
        <v>1</v>
      </c>
      <c r="BN136" s="19" t="b">
        <f t="shared" si="35"/>
        <v>1</v>
      </c>
      <c r="BO136" s="19" t="b">
        <f t="shared" si="36"/>
        <v>1</v>
      </c>
      <c r="BP136" s="19" t="b">
        <f t="shared" si="37"/>
        <v>1</v>
      </c>
      <c r="BQ136" s="19" t="b">
        <f t="shared" si="38"/>
        <v>0</v>
      </c>
      <c r="BR136" s="19" t="b">
        <f t="shared" si="39"/>
        <v>0</v>
      </c>
      <c r="BS136" s="19" t="b">
        <f t="shared" si="40"/>
        <v>0</v>
      </c>
    </row>
    <row r="137" spans="2:71" ht="15.75" x14ac:dyDescent="0.2">
      <c r="B137" s="248" t="str">
        <f>IF(Calc!$F$26=0,"",IF(OR($C137&gt;Calc!$B$24,MOD($C137-1,Calc!$F$26)&gt;0),"",QUOTIENT($C137-1,Calc!$F$26)+1))</f>
        <v/>
      </c>
      <c r="C137" s="244">
        <v>129</v>
      </c>
      <c r="D137" s="142">
        <f>IF(Planning!$T135="","",Planning!$T135)</f>
        <v>46011</v>
      </c>
      <c r="E137" s="143">
        <f>IF(Planning!$U135="","",Planning!$U135)</f>
        <v>0.64583333333333337</v>
      </c>
      <c r="F137" s="161" t="str">
        <f>Planning!$Q135</f>
        <v>Borussia Dortmund</v>
      </c>
      <c r="G137" s="162" t="s">
        <v>4</v>
      </c>
      <c r="H137" s="161" t="str">
        <f>Planning!$S135</f>
        <v>1. FC Köln</v>
      </c>
      <c r="I137" s="163"/>
      <c r="J137" s="315" t="str">
        <f>Language!$E$90</f>
        <v xml:space="preserve"> - </v>
      </c>
      <c r="K137" s="318"/>
      <c r="L137" s="163"/>
      <c r="M137" s="360" t="str">
        <f>Language!$E$90</f>
        <v xml:space="preserve"> - </v>
      </c>
      <c r="N137" s="318"/>
      <c r="O137" s="163"/>
      <c r="P137" s="360" t="str">
        <f>Language!$E$90</f>
        <v xml:space="preserve"> - </v>
      </c>
      <c r="Q137" s="318"/>
      <c r="R137" s="354" t="str">
        <f t="shared" si="32"/>
        <v/>
      </c>
      <c r="S137" s="357" t="str">
        <f>Language!$E$90</f>
        <v xml:space="preserve"> - </v>
      </c>
      <c r="T137" s="321" t="str">
        <f t="shared" si="33"/>
        <v/>
      </c>
      <c r="U137" s="294"/>
      <c r="V137" s="295"/>
      <c r="BM137" s="193" t="b">
        <f t="shared" si="34"/>
        <v>1</v>
      </c>
      <c r="BN137" s="19" t="b">
        <f t="shared" si="35"/>
        <v>1</v>
      </c>
      <c r="BO137" s="19" t="b">
        <f t="shared" si="36"/>
        <v>1</v>
      </c>
      <c r="BP137" s="19" t="b">
        <f t="shared" si="37"/>
        <v>1</v>
      </c>
      <c r="BQ137" s="19" t="b">
        <f t="shared" si="38"/>
        <v>0</v>
      </c>
      <c r="BR137" s="19" t="b">
        <f t="shared" si="39"/>
        <v>0</v>
      </c>
      <c r="BS137" s="19" t="b">
        <f t="shared" si="40"/>
        <v>0</v>
      </c>
    </row>
    <row r="138" spans="2:71" ht="15.75" x14ac:dyDescent="0.2">
      <c r="B138" s="248" t="str">
        <f>IF(Calc!$F$26=0,"",IF(OR($C138&gt;Calc!$B$24,MOD($C138-1,Calc!$F$26)&gt;0),"",QUOTIENT($C138-1,Calc!$F$26)+1))</f>
        <v/>
      </c>
      <c r="C138" s="244">
        <v>130</v>
      </c>
      <c r="D138" s="142">
        <f>IF(Planning!$T136="","",Planning!$T136)</f>
        <v>46011</v>
      </c>
      <c r="E138" s="143">
        <f>IF(Planning!$U136="","",Planning!$U136)</f>
        <v>0.64583333333333337</v>
      </c>
      <c r="F138" s="161" t="str">
        <f>Planning!$Q136</f>
        <v>VfL Wolfsburg</v>
      </c>
      <c r="G138" s="162" t="s">
        <v>4</v>
      </c>
      <c r="H138" s="161" t="str">
        <f>Planning!$S136</f>
        <v>Borussia Mönchengladbach</v>
      </c>
      <c r="I138" s="163"/>
      <c r="J138" s="315" t="str">
        <f>Language!$E$90</f>
        <v xml:space="preserve"> - </v>
      </c>
      <c r="K138" s="318"/>
      <c r="L138" s="163"/>
      <c r="M138" s="360" t="str">
        <f>Language!$E$90</f>
        <v xml:space="preserve"> - </v>
      </c>
      <c r="N138" s="318"/>
      <c r="O138" s="163"/>
      <c r="P138" s="360" t="str">
        <f>Language!$E$90</f>
        <v xml:space="preserve"> - </v>
      </c>
      <c r="Q138" s="318"/>
      <c r="R138" s="354" t="str">
        <f t="shared" si="32"/>
        <v/>
      </c>
      <c r="S138" s="357" t="str">
        <f>Language!$E$90</f>
        <v xml:space="preserve"> - </v>
      </c>
      <c r="T138" s="321" t="str">
        <f t="shared" si="33"/>
        <v/>
      </c>
      <c r="U138" s="294"/>
      <c r="V138" s="295"/>
      <c r="BM138" s="193" t="b">
        <f t="shared" si="34"/>
        <v>1</v>
      </c>
      <c r="BN138" s="19" t="b">
        <f t="shared" si="35"/>
        <v>1</v>
      </c>
      <c r="BO138" s="19" t="b">
        <f t="shared" si="36"/>
        <v>1</v>
      </c>
      <c r="BP138" s="19" t="b">
        <f t="shared" si="37"/>
        <v>1</v>
      </c>
      <c r="BQ138" s="19" t="b">
        <f t="shared" si="38"/>
        <v>0</v>
      </c>
      <c r="BR138" s="19" t="b">
        <f t="shared" si="39"/>
        <v>0</v>
      </c>
      <c r="BS138" s="19" t="b">
        <f t="shared" si="40"/>
        <v>0</v>
      </c>
    </row>
    <row r="139" spans="2:71" ht="15.75" x14ac:dyDescent="0.2">
      <c r="B139" s="248" t="str">
        <f>IF(Calc!$F$26=0,"",IF(OR($C139&gt;Calc!$B$24,MOD($C139-1,Calc!$F$26)&gt;0),"",QUOTIENT($C139-1,Calc!$F$26)+1))</f>
        <v/>
      </c>
      <c r="C139" s="244">
        <v>131</v>
      </c>
      <c r="D139" s="142">
        <f>IF(Planning!$T137="","",Planning!$T137)</f>
        <v>46011</v>
      </c>
      <c r="E139" s="143">
        <f>IF(Planning!$U137="","",Planning!$U137)</f>
        <v>0.64583333333333337</v>
      </c>
      <c r="F139" s="161" t="str">
        <f>Planning!$Q137</f>
        <v>Eintracht Frankfurt</v>
      </c>
      <c r="G139" s="162" t="s">
        <v>4</v>
      </c>
      <c r="H139" s="161" t="str">
        <f>Planning!$S137</f>
        <v>VfB Stuttgart</v>
      </c>
      <c r="I139" s="163"/>
      <c r="J139" s="315" t="str">
        <f>Language!$E$90</f>
        <v xml:space="preserve"> - </v>
      </c>
      <c r="K139" s="318"/>
      <c r="L139" s="163"/>
      <c r="M139" s="360" t="str">
        <f>Language!$E$90</f>
        <v xml:space="preserve"> - </v>
      </c>
      <c r="N139" s="318"/>
      <c r="O139" s="163"/>
      <c r="P139" s="360" t="str">
        <f>Language!$E$90</f>
        <v xml:space="preserve"> - </v>
      </c>
      <c r="Q139" s="318"/>
      <c r="R139" s="354" t="str">
        <f t="shared" ref="R139:R202" si="41">IF(BM139,"",(I139&lt;&gt;"")*(K139&lt;&gt;"")*NOT(BN139)*(I139&gt;K139)+(L139&lt;&gt;"")*(N139&lt;&gt;"")*NOT(BO139)*(L139&gt;N139)+(O139&lt;&gt;"")*(Q139&lt;&gt;"")*NOT(BP139)*(O139&gt;Q139))</f>
        <v/>
      </c>
      <c r="S139" s="357" t="str">
        <f>Language!$E$90</f>
        <v xml:space="preserve"> - </v>
      </c>
      <c r="T139" s="321" t="str">
        <f t="shared" ref="T139:T202" si="42">IF(BM139,"",(I139&lt;&gt;"")*(K139&lt;&gt;"")*NOT(BN139)*(I139&lt;K139)+(L139&lt;&gt;"")*(N139&lt;&gt;"")*NOT(BO139)*(L139&lt;N139)+(O139&lt;&gt;"")*(Q139&lt;&gt;"")*NOT(BP139)*(O139&lt;Q139))</f>
        <v/>
      </c>
      <c r="U139" s="294"/>
      <c r="V139" s="295"/>
      <c r="BM139" s="193" t="b">
        <f t="shared" ref="BM139:BM202" si="43">OR(F139="",H139="",AND(OR(I139="",K139="",BN139),OR(L139="",N139="",BO139),OR(O139="",Q139="",BP139)))</f>
        <v>1</v>
      </c>
      <c r="BN139" s="19" t="b">
        <f t="shared" ref="BN139:BN202" si="44">ABS(I139-K139)&lt;2</f>
        <v>1</v>
      </c>
      <c r="BO139" s="19" t="b">
        <f t="shared" ref="BO139:BO202" si="45">ABS(L139-N139)&lt;2</f>
        <v>1</v>
      </c>
      <c r="BP139" s="19" t="b">
        <f t="shared" ref="BP139:BP202" si="46">ABS(O139-Q139)&lt;2</f>
        <v>1</v>
      </c>
      <c r="BQ139" s="19" t="b">
        <f t="shared" ref="BQ139:BQ202" si="47">AND(BN139,I139&lt;&gt;"",K139&lt;&gt;"")</f>
        <v>0</v>
      </c>
      <c r="BR139" s="19" t="b">
        <f t="shared" ref="BR139:BR202" si="48">AND(BO139,L139&lt;&gt;"",N139&lt;&gt;"")</f>
        <v>0</v>
      </c>
      <c r="BS139" s="19" t="b">
        <f t="shared" ref="BS139:BS202" si="49">AND(BP139,O139&lt;&gt;"",Q139&lt;&gt;"")</f>
        <v>0</v>
      </c>
    </row>
    <row r="140" spans="2:71" ht="15.75" x14ac:dyDescent="0.2">
      <c r="B140" s="248" t="str">
        <f>IF(Calc!$F$26=0,"",IF(OR($C140&gt;Calc!$B$24,MOD($C140-1,Calc!$F$26)&gt;0),"",QUOTIENT($C140-1,Calc!$F$26)+1))</f>
        <v/>
      </c>
      <c r="C140" s="244">
        <v>132</v>
      </c>
      <c r="D140" s="142">
        <f>IF(Planning!$T138="","",Planning!$T138)</f>
        <v>46011</v>
      </c>
      <c r="E140" s="143">
        <f>IF(Planning!$U138="","",Planning!$U138)</f>
        <v>0.64583333333333337</v>
      </c>
      <c r="F140" s="161" t="str">
        <f>Planning!$Q138</f>
        <v>TSG Hoffenheim</v>
      </c>
      <c r="G140" s="162" t="s">
        <v>4</v>
      </c>
      <c r="H140" s="161" t="str">
        <f>Planning!$S138</f>
        <v>FC Augsburg</v>
      </c>
      <c r="I140" s="163"/>
      <c r="J140" s="315" t="str">
        <f>Language!$E$90</f>
        <v xml:space="preserve"> - </v>
      </c>
      <c r="K140" s="318"/>
      <c r="L140" s="163"/>
      <c r="M140" s="360" t="str">
        <f>Language!$E$90</f>
        <v xml:space="preserve"> - </v>
      </c>
      <c r="N140" s="318"/>
      <c r="O140" s="163"/>
      <c r="P140" s="360" t="str">
        <f>Language!$E$90</f>
        <v xml:space="preserve"> - </v>
      </c>
      <c r="Q140" s="318"/>
      <c r="R140" s="354" t="str">
        <f t="shared" si="41"/>
        <v/>
      </c>
      <c r="S140" s="357" t="str">
        <f>Language!$E$90</f>
        <v xml:space="preserve"> - </v>
      </c>
      <c r="T140" s="321" t="str">
        <f t="shared" si="42"/>
        <v/>
      </c>
      <c r="U140" s="294"/>
      <c r="V140" s="295"/>
      <c r="BM140" s="193" t="b">
        <f t="shared" si="43"/>
        <v>1</v>
      </c>
      <c r="BN140" s="19" t="b">
        <f t="shared" si="44"/>
        <v>1</v>
      </c>
      <c r="BO140" s="19" t="b">
        <f t="shared" si="45"/>
        <v>1</v>
      </c>
      <c r="BP140" s="19" t="b">
        <f t="shared" si="46"/>
        <v>1</v>
      </c>
      <c r="BQ140" s="19" t="b">
        <f t="shared" si="47"/>
        <v>0</v>
      </c>
      <c r="BR140" s="19" t="b">
        <f t="shared" si="48"/>
        <v>0</v>
      </c>
      <c r="BS140" s="19" t="b">
        <f t="shared" si="49"/>
        <v>0</v>
      </c>
    </row>
    <row r="141" spans="2:71" ht="15.75" x14ac:dyDescent="0.2">
      <c r="B141" s="248" t="str">
        <f>IF(Calc!$F$26=0,"",IF(OR($C141&gt;Calc!$B$24,MOD($C141-1,Calc!$F$26)&gt;0),"",QUOTIENT($C141-1,Calc!$F$26)+1))</f>
        <v/>
      </c>
      <c r="C141" s="244">
        <v>133</v>
      </c>
      <c r="D141" s="142">
        <f>IF(Planning!$T139="","",Planning!$T139)</f>
        <v>46011</v>
      </c>
      <c r="E141" s="143">
        <f>IF(Planning!$U139="","",Planning!$U139)</f>
        <v>0.64583333333333337</v>
      </c>
      <c r="F141" s="161" t="str">
        <f>Planning!$Q139</f>
        <v>FC Bayern München</v>
      </c>
      <c r="G141" s="162" t="s">
        <v>4</v>
      </c>
      <c r="H141" s="161" t="str">
        <f>Planning!$S139</f>
        <v>SV Werder Bremen</v>
      </c>
      <c r="I141" s="163"/>
      <c r="J141" s="315" t="str">
        <f>Language!$E$90</f>
        <v xml:space="preserve"> - </v>
      </c>
      <c r="K141" s="318"/>
      <c r="L141" s="163"/>
      <c r="M141" s="360" t="str">
        <f>Language!$E$90</f>
        <v xml:space="preserve"> - </v>
      </c>
      <c r="N141" s="318"/>
      <c r="O141" s="163"/>
      <c r="P141" s="360" t="str">
        <f>Language!$E$90</f>
        <v xml:space="preserve"> - </v>
      </c>
      <c r="Q141" s="318"/>
      <c r="R141" s="354" t="str">
        <f t="shared" si="41"/>
        <v/>
      </c>
      <c r="S141" s="357" t="str">
        <f>Language!$E$90</f>
        <v xml:space="preserve"> - </v>
      </c>
      <c r="T141" s="321" t="str">
        <f t="shared" si="42"/>
        <v/>
      </c>
      <c r="U141" s="294"/>
      <c r="V141" s="295"/>
      <c r="BM141" s="193" t="b">
        <f t="shared" si="43"/>
        <v>1</v>
      </c>
      <c r="BN141" s="19" t="b">
        <f t="shared" si="44"/>
        <v>1</v>
      </c>
      <c r="BO141" s="19" t="b">
        <f t="shared" si="45"/>
        <v>1</v>
      </c>
      <c r="BP141" s="19" t="b">
        <f t="shared" si="46"/>
        <v>1</v>
      </c>
      <c r="BQ141" s="19" t="b">
        <f t="shared" si="47"/>
        <v>0</v>
      </c>
      <c r="BR141" s="19" t="b">
        <f t="shared" si="48"/>
        <v>0</v>
      </c>
      <c r="BS141" s="19" t="b">
        <f t="shared" si="49"/>
        <v>0</v>
      </c>
    </row>
    <row r="142" spans="2:71" ht="15.75" x14ac:dyDescent="0.2">
      <c r="B142" s="248" t="str">
        <f>IF(Calc!$F$26=0,"",IF(OR($C142&gt;Calc!$B$24,MOD($C142-1,Calc!$F$26)&gt;0),"",QUOTIENT($C142-1,Calc!$F$26)+1))</f>
        <v/>
      </c>
      <c r="C142" s="244">
        <v>134</v>
      </c>
      <c r="D142" s="142">
        <f>IF(Planning!$T140="","",Planning!$T140)</f>
        <v>46011</v>
      </c>
      <c r="E142" s="143">
        <f>IF(Planning!$U140="","",Planning!$U140)</f>
        <v>0.64583333333333337</v>
      </c>
      <c r="F142" s="161" t="str">
        <f>Planning!$Q140</f>
        <v>SC Freiburg</v>
      </c>
      <c r="G142" s="162" t="s">
        <v>4</v>
      </c>
      <c r="H142" s="161" t="str">
        <f>Planning!$S140</f>
        <v>FC St. Pauli</v>
      </c>
      <c r="I142" s="163"/>
      <c r="J142" s="315" t="str">
        <f>Language!$E$90</f>
        <v xml:space="preserve"> - </v>
      </c>
      <c r="K142" s="318"/>
      <c r="L142" s="163"/>
      <c r="M142" s="360" t="str">
        <f>Language!$E$90</f>
        <v xml:space="preserve"> - </v>
      </c>
      <c r="N142" s="318"/>
      <c r="O142" s="163"/>
      <c r="P142" s="360" t="str">
        <f>Language!$E$90</f>
        <v xml:space="preserve"> - </v>
      </c>
      <c r="Q142" s="318"/>
      <c r="R142" s="354" t="str">
        <f t="shared" si="41"/>
        <v/>
      </c>
      <c r="S142" s="357" t="str">
        <f>Language!$E$90</f>
        <v xml:space="preserve"> - </v>
      </c>
      <c r="T142" s="321" t="str">
        <f t="shared" si="42"/>
        <v/>
      </c>
      <c r="U142" s="294"/>
      <c r="V142" s="295"/>
      <c r="BM142" s="193" t="b">
        <f t="shared" si="43"/>
        <v>1</v>
      </c>
      <c r="BN142" s="19" t="b">
        <f t="shared" si="44"/>
        <v>1</v>
      </c>
      <c r="BO142" s="19" t="b">
        <f t="shared" si="45"/>
        <v>1</v>
      </c>
      <c r="BP142" s="19" t="b">
        <f t="shared" si="46"/>
        <v>1</v>
      </c>
      <c r="BQ142" s="19" t="b">
        <f t="shared" si="47"/>
        <v>0</v>
      </c>
      <c r="BR142" s="19" t="b">
        <f t="shared" si="48"/>
        <v>0</v>
      </c>
      <c r="BS142" s="19" t="b">
        <f t="shared" si="49"/>
        <v>0</v>
      </c>
    </row>
    <row r="143" spans="2:71" ht="15.75" x14ac:dyDescent="0.2">
      <c r="B143" s="248" t="str">
        <f>IF(Calc!$F$26=0,"",IF(OR($C143&gt;Calc!$B$24,MOD($C143-1,Calc!$F$26)&gt;0),"",QUOTIENT($C143-1,Calc!$F$26)+1))</f>
        <v/>
      </c>
      <c r="C143" s="244">
        <v>135</v>
      </c>
      <c r="D143" s="142">
        <f>IF(Planning!$T141="","",Planning!$T141)</f>
        <v>46011</v>
      </c>
      <c r="E143" s="143">
        <f>IF(Planning!$U141="","",Planning!$U141)</f>
        <v>0.64583333333333337</v>
      </c>
      <c r="F143" s="161" t="str">
        <f>Planning!$Q141</f>
        <v>Hamburger SV</v>
      </c>
      <c r="G143" s="162" t="s">
        <v>4</v>
      </c>
      <c r="H143" s="161" t="str">
        <f>Planning!$S141</f>
        <v>RB Leipzig</v>
      </c>
      <c r="I143" s="163"/>
      <c r="J143" s="315" t="str">
        <f>Language!$E$90</f>
        <v xml:space="preserve"> - </v>
      </c>
      <c r="K143" s="318"/>
      <c r="L143" s="163"/>
      <c r="M143" s="360" t="str">
        <f>Language!$E$90</f>
        <v xml:space="preserve"> - </v>
      </c>
      <c r="N143" s="318"/>
      <c r="O143" s="163"/>
      <c r="P143" s="360" t="str">
        <f>Language!$E$90</f>
        <v xml:space="preserve"> - </v>
      </c>
      <c r="Q143" s="318"/>
      <c r="R143" s="354" t="str">
        <f t="shared" si="41"/>
        <v/>
      </c>
      <c r="S143" s="357" t="str">
        <f>Language!$E$90</f>
        <v xml:space="preserve"> - </v>
      </c>
      <c r="T143" s="321" t="str">
        <f t="shared" si="42"/>
        <v/>
      </c>
      <c r="U143" s="294"/>
      <c r="V143" s="295"/>
      <c r="BM143" s="193" t="b">
        <f t="shared" si="43"/>
        <v>1</v>
      </c>
      <c r="BN143" s="19" t="b">
        <f t="shared" si="44"/>
        <v>1</v>
      </c>
      <c r="BO143" s="19" t="b">
        <f t="shared" si="45"/>
        <v>1</v>
      </c>
      <c r="BP143" s="19" t="b">
        <f t="shared" si="46"/>
        <v>1</v>
      </c>
      <c r="BQ143" s="19" t="b">
        <f t="shared" si="47"/>
        <v>0</v>
      </c>
      <c r="BR143" s="19" t="b">
        <f t="shared" si="48"/>
        <v>0</v>
      </c>
      <c r="BS143" s="19" t="b">
        <f t="shared" si="49"/>
        <v>0</v>
      </c>
    </row>
    <row r="144" spans="2:71" ht="15.75" x14ac:dyDescent="0.2">
      <c r="B144" s="248">
        <f>IF(Calc!$F$26=0,"",IF(OR($C144&gt;Calc!$B$24,MOD($C144-1,Calc!$F$26)&gt;0),"",QUOTIENT($C144-1,Calc!$F$26)+1))</f>
        <v>16</v>
      </c>
      <c r="C144" s="244">
        <v>136</v>
      </c>
      <c r="D144" s="142">
        <f>IF(Planning!$T142="","",Planning!$T142)</f>
        <v>46032</v>
      </c>
      <c r="E144" s="143">
        <f>IF(Planning!$U142="","",Planning!$U142)</f>
        <v>0.64583333333333337</v>
      </c>
      <c r="F144" s="161" t="str">
        <f>Planning!$Q142</f>
        <v>1. FC Union Berlin</v>
      </c>
      <c r="G144" s="162" t="s">
        <v>4</v>
      </c>
      <c r="H144" s="161" t="str">
        <f>Planning!$S142</f>
        <v>1. FC Heidenheim 1846</v>
      </c>
      <c r="I144" s="163"/>
      <c r="J144" s="315" t="str">
        <f>Language!$E$90</f>
        <v xml:space="preserve"> - </v>
      </c>
      <c r="K144" s="318"/>
      <c r="L144" s="163"/>
      <c r="M144" s="360" t="str">
        <f>Language!$E$90</f>
        <v xml:space="preserve"> - </v>
      </c>
      <c r="N144" s="318"/>
      <c r="O144" s="163"/>
      <c r="P144" s="360" t="str">
        <f>Language!$E$90</f>
        <v xml:space="preserve"> - </v>
      </c>
      <c r="Q144" s="318"/>
      <c r="R144" s="354" t="str">
        <f t="shared" si="41"/>
        <v/>
      </c>
      <c r="S144" s="357" t="str">
        <f>Language!$E$90</f>
        <v xml:space="preserve"> - </v>
      </c>
      <c r="T144" s="321" t="str">
        <f t="shared" si="42"/>
        <v/>
      </c>
      <c r="U144" s="294"/>
      <c r="V144" s="295"/>
      <c r="BM144" s="193" t="b">
        <f t="shared" si="43"/>
        <v>1</v>
      </c>
      <c r="BN144" s="19" t="b">
        <f t="shared" si="44"/>
        <v>1</v>
      </c>
      <c r="BO144" s="19" t="b">
        <f t="shared" si="45"/>
        <v>1</v>
      </c>
      <c r="BP144" s="19" t="b">
        <f t="shared" si="46"/>
        <v>1</v>
      </c>
      <c r="BQ144" s="19" t="b">
        <f t="shared" si="47"/>
        <v>0</v>
      </c>
      <c r="BR144" s="19" t="b">
        <f t="shared" si="48"/>
        <v>0</v>
      </c>
      <c r="BS144" s="19" t="b">
        <f t="shared" si="49"/>
        <v>0</v>
      </c>
    </row>
    <row r="145" spans="2:71" ht="15.75" x14ac:dyDescent="0.2">
      <c r="B145" s="248" t="str">
        <f>IF(Calc!$F$26=0,"",IF(OR($C145&gt;Calc!$B$24,MOD($C145-1,Calc!$F$26)&gt;0),"",QUOTIENT($C145-1,Calc!$F$26)+1))</f>
        <v/>
      </c>
      <c r="C145" s="244">
        <v>137</v>
      </c>
      <c r="D145" s="142">
        <f>IF(Planning!$T143="","",Planning!$T143)</f>
        <v>46032</v>
      </c>
      <c r="E145" s="143">
        <f>IF(Planning!$U143="","",Planning!$U143)</f>
        <v>0.64583333333333337</v>
      </c>
      <c r="F145" s="161" t="str">
        <f>Planning!$Q143</f>
        <v>1. FC Köln</v>
      </c>
      <c r="G145" s="162" t="s">
        <v>4</v>
      </c>
      <c r="H145" s="161" t="str">
        <f>Planning!$S143</f>
        <v>1. FSV Mainz 05</v>
      </c>
      <c r="I145" s="163"/>
      <c r="J145" s="315" t="str">
        <f>Language!$E$90</f>
        <v xml:space="preserve"> - </v>
      </c>
      <c r="K145" s="318"/>
      <c r="L145" s="163"/>
      <c r="M145" s="360" t="str">
        <f>Language!$E$90</f>
        <v xml:space="preserve"> - </v>
      </c>
      <c r="N145" s="318"/>
      <c r="O145" s="163"/>
      <c r="P145" s="360" t="str">
        <f>Language!$E$90</f>
        <v xml:space="preserve"> - </v>
      </c>
      <c r="Q145" s="318"/>
      <c r="R145" s="354" t="str">
        <f t="shared" si="41"/>
        <v/>
      </c>
      <c r="S145" s="357" t="str">
        <f>Language!$E$90</f>
        <v xml:space="preserve"> - </v>
      </c>
      <c r="T145" s="321" t="str">
        <f t="shared" si="42"/>
        <v/>
      </c>
      <c r="U145" s="294"/>
      <c r="V145" s="295"/>
      <c r="BM145" s="193" t="b">
        <f t="shared" si="43"/>
        <v>1</v>
      </c>
      <c r="BN145" s="19" t="b">
        <f t="shared" si="44"/>
        <v>1</v>
      </c>
      <c r="BO145" s="19" t="b">
        <f t="shared" si="45"/>
        <v>1</v>
      </c>
      <c r="BP145" s="19" t="b">
        <f t="shared" si="46"/>
        <v>1</v>
      </c>
      <c r="BQ145" s="19" t="b">
        <f t="shared" si="47"/>
        <v>0</v>
      </c>
      <c r="BR145" s="19" t="b">
        <f t="shared" si="48"/>
        <v>0</v>
      </c>
      <c r="BS145" s="19" t="b">
        <f t="shared" si="49"/>
        <v>0</v>
      </c>
    </row>
    <row r="146" spans="2:71" ht="15.75" x14ac:dyDescent="0.2">
      <c r="B146" s="248" t="str">
        <f>IF(Calc!$F$26=0,"",IF(OR($C146&gt;Calc!$B$24,MOD($C146-1,Calc!$F$26)&gt;0),"",QUOTIENT($C146-1,Calc!$F$26)+1))</f>
        <v/>
      </c>
      <c r="C146" s="244">
        <v>138</v>
      </c>
      <c r="D146" s="142">
        <f>IF(Planning!$T144="","",Planning!$T144)</f>
        <v>46032</v>
      </c>
      <c r="E146" s="143">
        <f>IF(Planning!$U144="","",Planning!$U144)</f>
        <v>0.64583333333333337</v>
      </c>
      <c r="F146" s="161" t="str">
        <f>Planning!$Q144</f>
        <v>Bayer 04 Leverkusen</v>
      </c>
      <c r="G146" s="162" t="s">
        <v>4</v>
      </c>
      <c r="H146" s="161" t="str">
        <f>Planning!$S144</f>
        <v>VfL Wolfsburg</v>
      </c>
      <c r="I146" s="163"/>
      <c r="J146" s="315" t="str">
        <f>Language!$E$90</f>
        <v xml:space="preserve"> - </v>
      </c>
      <c r="K146" s="318"/>
      <c r="L146" s="163"/>
      <c r="M146" s="360" t="str">
        <f>Language!$E$90</f>
        <v xml:space="preserve"> - </v>
      </c>
      <c r="N146" s="318"/>
      <c r="O146" s="163"/>
      <c r="P146" s="360" t="str">
        <f>Language!$E$90</f>
        <v xml:space="preserve"> - </v>
      </c>
      <c r="Q146" s="318"/>
      <c r="R146" s="354" t="str">
        <f t="shared" si="41"/>
        <v/>
      </c>
      <c r="S146" s="357" t="str">
        <f>Language!$E$90</f>
        <v xml:space="preserve"> - </v>
      </c>
      <c r="T146" s="321" t="str">
        <f t="shared" si="42"/>
        <v/>
      </c>
      <c r="U146" s="294"/>
      <c r="V146" s="295"/>
      <c r="BM146" s="193" t="b">
        <f t="shared" si="43"/>
        <v>1</v>
      </c>
      <c r="BN146" s="19" t="b">
        <f t="shared" si="44"/>
        <v>1</v>
      </c>
      <c r="BO146" s="19" t="b">
        <f t="shared" si="45"/>
        <v>1</v>
      </c>
      <c r="BP146" s="19" t="b">
        <f t="shared" si="46"/>
        <v>1</v>
      </c>
      <c r="BQ146" s="19" t="b">
        <f t="shared" si="47"/>
        <v>0</v>
      </c>
      <c r="BR146" s="19" t="b">
        <f t="shared" si="48"/>
        <v>0</v>
      </c>
      <c r="BS146" s="19" t="b">
        <f t="shared" si="49"/>
        <v>0</v>
      </c>
    </row>
    <row r="147" spans="2:71" ht="15.75" x14ac:dyDescent="0.2">
      <c r="B147" s="248" t="str">
        <f>IF(Calc!$F$26=0,"",IF(OR($C147&gt;Calc!$B$24,MOD($C147-1,Calc!$F$26)&gt;0),"",QUOTIENT($C147-1,Calc!$F$26)+1))</f>
        <v/>
      </c>
      <c r="C147" s="244">
        <v>139</v>
      </c>
      <c r="D147" s="142">
        <f>IF(Planning!$T145="","",Planning!$T145)</f>
        <v>46032</v>
      </c>
      <c r="E147" s="143">
        <f>IF(Planning!$U145="","",Planning!$U145)</f>
        <v>0.64583333333333337</v>
      </c>
      <c r="F147" s="161" t="str">
        <f>Planning!$Q145</f>
        <v>VfB Stuttgart</v>
      </c>
      <c r="G147" s="162" t="s">
        <v>4</v>
      </c>
      <c r="H147" s="161" t="str">
        <f>Planning!$S145</f>
        <v>Borussia Dortmund</v>
      </c>
      <c r="I147" s="163"/>
      <c r="J147" s="315" t="str">
        <f>Language!$E$90</f>
        <v xml:space="preserve"> - </v>
      </c>
      <c r="K147" s="318"/>
      <c r="L147" s="163"/>
      <c r="M147" s="360" t="str">
        <f>Language!$E$90</f>
        <v xml:space="preserve"> - </v>
      </c>
      <c r="N147" s="318"/>
      <c r="O147" s="163"/>
      <c r="P147" s="360" t="str">
        <f>Language!$E$90</f>
        <v xml:space="preserve"> - </v>
      </c>
      <c r="Q147" s="318"/>
      <c r="R147" s="354" t="str">
        <f t="shared" si="41"/>
        <v/>
      </c>
      <c r="S147" s="357" t="str">
        <f>Language!$E$90</f>
        <v xml:space="preserve"> - </v>
      </c>
      <c r="T147" s="321" t="str">
        <f t="shared" si="42"/>
        <v/>
      </c>
      <c r="U147" s="294"/>
      <c r="V147" s="295"/>
      <c r="BM147" s="193" t="b">
        <f t="shared" si="43"/>
        <v>1</v>
      </c>
      <c r="BN147" s="19" t="b">
        <f t="shared" si="44"/>
        <v>1</v>
      </c>
      <c r="BO147" s="19" t="b">
        <f t="shared" si="45"/>
        <v>1</v>
      </c>
      <c r="BP147" s="19" t="b">
        <f t="shared" si="46"/>
        <v>1</v>
      </c>
      <c r="BQ147" s="19" t="b">
        <f t="shared" si="47"/>
        <v>0</v>
      </c>
      <c r="BR147" s="19" t="b">
        <f t="shared" si="48"/>
        <v>0</v>
      </c>
      <c r="BS147" s="19" t="b">
        <f t="shared" si="49"/>
        <v>0</v>
      </c>
    </row>
    <row r="148" spans="2:71" ht="15.75" x14ac:dyDescent="0.2">
      <c r="B148" s="248" t="str">
        <f>IF(Calc!$F$26=0,"",IF(OR($C148&gt;Calc!$B$24,MOD($C148-1,Calc!$F$26)&gt;0),"",QUOTIENT($C148-1,Calc!$F$26)+1))</f>
        <v/>
      </c>
      <c r="C148" s="244">
        <v>140</v>
      </c>
      <c r="D148" s="142">
        <f>IF(Planning!$T146="","",Planning!$T146)</f>
        <v>46032</v>
      </c>
      <c r="E148" s="143">
        <f>IF(Planning!$U146="","",Planning!$U146)</f>
        <v>0.64583333333333337</v>
      </c>
      <c r="F148" s="161" t="str">
        <f>Planning!$Q146</f>
        <v>Borussia Mönchengladbach</v>
      </c>
      <c r="G148" s="162" t="s">
        <v>4</v>
      </c>
      <c r="H148" s="161" t="str">
        <f>Planning!$S146</f>
        <v>TSG Hoffenheim</v>
      </c>
      <c r="I148" s="163"/>
      <c r="J148" s="315" t="str">
        <f>Language!$E$90</f>
        <v xml:space="preserve"> - </v>
      </c>
      <c r="K148" s="318"/>
      <c r="L148" s="163"/>
      <c r="M148" s="360" t="str">
        <f>Language!$E$90</f>
        <v xml:space="preserve"> - </v>
      </c>
      <c r="N148" s="318"/>
      <c r="O148" s="163"/>
      <c r="P148" s="360" t="str">
        <f>Language!$E$90</f>
        <v xml:space="preserve"> - </v>
      </c>
      <c r="Q148" s="318"/>
      <c r="R148" s="354" t="str">
        <f t="shared" si="41"/>
        <v/>
      </c>
      <c r="S148" s="357" t="str">
        <f>Language!$E$90</f>
        <v xml:space="preserve"> - </v>
      </c>
      <c r="T148" s="321" t="str">
        <f t="shared" si="42"/>
        <v/>
      </c>
      <c r="U148" s="294"/>
      <c r="V148" s="295"/>
      <c r="BM148" s="193" t="b">
        <f t="shared" si="43"/>
        <v>1</v>
      </c>
      <c r="BN148" s="19" t="b">
        <f t="shared" si="44"/>
        <v>1</v>
      </c>
      <c r="BO148" s="19" t="b">
        <f t="shared" si="45"/>
        <v>1</v>
      </c>
      <c r="BP148" s="19" t="b">
        <f t="shared" si="46"/>
        <v>1</v>
      </c>
      <c r="BQ148" s="19" t="b">
        <f t="shared" si="47"/>
        <v>0</v>
      </c>
      <c r="BR148" s="19" t="b">
        <f t="shared" si="48"/>
        <v>0</v>
      </c>
      <c r="BS148" s="19" t="b">
        <f t="shared" si="49"/>
        <v>0</v>
      </c>
    </row>
    <row r="149" spans="2:71" ht="15.75" x14ac:dyDescent="0.2">
      <c r="B149" s="248" t="str">
        <f>IF(Calc!$F$26=0,"",IF(OR($C149&gt;Calc!$B$24,MOD($C149-1,Calc!$F$26)&gt;0),"",QUOTIENT($C149-1,Calc!$F$26)+1))</f>
        <v/>
      </c>
      <c r="C149" s="244">
        <v>141</v>
      </c>
      <c r="D149" s="142">
        <f>IF(Planning!$T147="","",Planning!$T147)</f>
        <v>46032</v>
      </c>
      <c r="E149" s="143">
        <f>IF(Planning!$U147="","",Planning!$U147)</f>
        <v>0.64583333333333337</v>
      </c>
      <c r="F149" s="161" t="str">
        <f>Planning!$Q147</f>
        <v>SV Werder Bremen</v>
      </c>
      <c r="G149" s="162" t="s">
        <v>4</v>
      </c>
      <c r="H149" s="161" t="str">
        <f>Planning!$S147</f>
        <v>Eintracht Frankfurt</v>
      </c>
      <c r="I149" s="163"/>
      <c r="J149" s="315" t="str">
        <f>Language!$E$90</f>
        <v xml:space="preserve"> - </v>
      </c>
      <c r="K149" s="318"/>
      <c r="L149" s="163"/>
      <c r="M149" s="360" t="str">
        <f>Language!$E$90</f>
        <v xml:space="preserve"> - </v>
      </c>
      <c r="N149" s="318"/>
      <c r="O149" s="163"/>
      <c r="P149" s="360" t="str">
        <f>Language!$E$90</f>
        <v xml:space="preserve"> - </v>
      </c>
      <c r="Q149" s="318"/>
      <c r="R149" s="354" t="str">
        <f t="shared" si="41"/>
        <v/>
      </c>
      <c r="S149" s="357" t="str">
        <f>Language!$E$90</f>
        <v xml:space="preserve"> - </v>
      </c>
      <c r="T149" s="321" t="str">
        <f t="shared" si="42"/>
        <v/>
      </c>
      <c r="U149" s="294"/>
      <c r="V149" s="295"/>
      <c r="BM149" s="193" t="b">
        <f t="shared" si="43"/>
        <v>1</v>
      </c>
      <c r="BN149" s="19" t="b">
        <f t="shared" si="44"/>
        <v>1</v>
      </c>
      <c r="BO149" s="19" t="b">
        <f t="shared" si="45"/>
        <v>1</v>
      </c>
      <c r="BP149" s="19" t="b">
        <f t="shared" si="46"/>
        <v>1</v>
      </c>
      <c r="BQ149" s="19" t="b">
        <f t="shared" si="47"/>
        <v>0</v>
      </c>
      <c r="BR149" s="19" t="b">
        <f t="shared" si="48"/>
        <v>0</v>
      </c>
      <c r="BS149" s="19" t="b">
        <f t="shared" si="49"/>
        <v>0</v>
      </c>
    </row>
    <row r="150" spans="2:71" ht="15.75" x14ac:dyDescent="0.2">
      <c r="B150" s="248" t="str">
        <f>IF(Calc!$F$26=0,"",IF(OR($C150&gt;Calc!$B$24,MOD($C150-1,Calc!$F$26)&gt;0),"",QUOTIENT($C150-1,Calc!$F$26)+1))</f>
        <v/>
      </c>
      <c r="C150" s="244">
        <v>142</v>
      </c>
      <c r="D150" s="142">
        <f>IF(Planning!$T148="","",Planning!$T148)</f>
        <v>46032</v>
      </c>
      <c r="E150" s="143">
        <f>IF(Planning!$U148="","",Planning!$U148)</f>
        <v>0.64583333333333337</v>
      </c>
      <c r="F150" s="161" t="str">
        <f>Planning!$Q148</f>
        <v>FC Augsburg</v>
      </c>
      <c r="G150" s="162" t="s">
        <v>4</v>
      </c>
      <c r="H150" s="161" t="str">
        <f>Planning!$S148</f>
        <v>SC Freiburg</v>
      </c>
      <c r="I150" s="163"/>
      <c r="J150" s="315" t="str">
        <f>Language!$E$90</f>
        <v xml:space="preserve"> - </v>
      </c>
      <c r="K150" s="318"/>
      <c r="L150" s="163"/>
      <c r="M150" s="360" t="str">
        <f>Language!$E$90</f>
        <v xml:space="preserve"> - </v>
      </c>
      <c r="N150" s="318"/>
      <c r="O150" s="163"/>
      <c r="P150" s="360" t="str">
        <f>Language!$E$90</f>
        <v xml:space="preserve"> - </v>
      </c>
      <c r="Q150" s="318"/>
      <c r="R150" s="354" t="str">
        <f t="shared" si="41"/>
        <v/>
      </c>
      <c r="S150" s="357" t="str">
        <f>Language!$E$90</f>
        <v xml:space="preserve"> - </v>
      </c>
      <c r="T150" s="321" t="str">
        <f t="shared" si="42"/>
        <v/>
      </c>
      <c r="U150" s="294"/>
      <c r="V150" s="295"/>
      <c r="BM150" s="193" t="b">
        <f t="shared" si="43"/>
        <v>1</v>
      </c>
      <c r="BN150" s="19" t="b">
        <f t="shared" si="44"/>
        <v>1</v>
      </c>
      <c r="BO150" s="19" t="b">
        <f t="shared" si="45"/>
        <v>1</v>
      </c>
      <c r="BP150" s="19" t="b">
        <f t="shared" si="46"/>
        <v>1</v>
      </c>
      <c r="BQ150" s="19" t="b">
        <f t="shared" si="47"/>
        <v>0</v>
      </c>
      <c r="BR150" s="19" t="b">
        <f t="shared" si="48"/>
        <v>0</v>
      </c>
      <c r="BS150" s="19" t="b">
        <f t="shared" si="49"/>
        <v>0</v>
      </c>
    </row>
    <row r="151" spans="2:71" ht="15.75" x14ac:dyDescent="0.2">
      <c r="B151" s="248" t="str">
        <f>IF(Calc!$F$26=0,"",IF(OR($C151&gt;Calc!$B$24,MOD($C151-1,Calc!$F$26)&gt;0),"",QUOTIENT($C151-1,Calc!$F$26)+1))</f>
        <v/>
      </c>
      <c r="C151" s="244">
        <v>143</v>
      </c>
      <c r="D151" s="142">
        <f>IF(Planning!$T149="","",Planning!$T149)</f>
        <v>46032</v>
      </c>
      <c r="E151" s="143">
        <f>IF(Planning!$U149="","",Planning!$U149)</f>
        <v>0.64583333333333337</v>
      </c>
      <c r="F151" s="161" t="str">
        <f>Planning!$Q149</f>
        <v>RB Leipzig</v>
      </c>
      <c r="G151" s="162" t="s">
        <v>4</v>
      </c>
      <c r="H151" s="161" t="str">
        <f>Planning!$S149</f>
        <v>FC Bayern München</v>
      </c>
      <c r="I151" s="163"/>
      <c r="J151" s="315" t="str">
        <f>Language!$E$90</f>
        <v xml:space="preserve"> - </v>
      </c>
      <c r="K151" s="318"/>
      <c r="L151" s="163"/>
      <c r="M151" s="360" t="str">
        <f>Language!$E$90</f>
        <v xml:space="preserve"> - </v>
      </c>
      <c r="N151" s="318"/>
      <c r="O151" s="163"/>
      <c r="P151" s="360" t="str">
        <f>Language!$E$90</f>
        <v xml:space="preserve"> - </v>
      </c>
      <c r="Q151" s="318"/>
      <c r="R151" s="354" t="str">
        <f t="shared" si="41"/>
        <v/>
      </c>
      <c r="S151" s="357" t="str">
        <f>Language!$E$90</f>
        <v xml:space="preserve"> - </v>
      </c>
      <c r="T151" s="321" t="str">
        <f t="shared" si="42"/>
        <v/>
      </c>
      <c r="U151" s="294"/>
      <c r="V151" s="295"/>
      <c r="BM151" s="193" t="b">
        <f t="shared" si="43"/>
        <v>1</v>
      </c>
      <c r="BN151" s="19" t="b">
        <f t="shared" si="44"/>
        <v>1</v>
      </c>
      <c r="BO151" s="19" t="b">
        <f t="shared" si="45"/>
        <v>1</v>
      </c>
      <c r="BP151" s="19" t="b">
        <f t="shared" si="46"/>
        <v>1</v>
      </c>
      <c r="BQ151" s="19" t="b">
        <f t="shared" si="47"/>
        <v>0</v>
      </c>
      <c r="BR151" s="19" t="b">
        <f t="shared" si="48"/>
        <v>0</v>
      </c>
      <c r="BS151" s="19" t="b">
        <f t="shared" si="49"/>
        <v>0</v>
      </c>
    </row>
    <row r="152" spans="2:71" ht="15.75" x14ac:dyDescent="0.2">
      <c r="B152" s="248" t="str">
        <f>IF(Calc!$F$26=0,"",IF(OR($C152&gt;Calc!$B$24,MOD($C152-1,Calc!$F$26)&gt;0),"",QUOTIENT($C152-1,Calc!$F$26)+1))</f>
        <v/>
      </c>
      <c r="C152" s="244">
        <v>144</v>
      </c>
      <c r="D152" s="142">
        <f>IF(Planning!$T150="","",Planning!$T150)</f>
        <v>46032</v>
      </c>
      <c r="E152" s="143">
        <f>IF(Planning!$U150="","",Planning!$U150)</f>
        <v>0.64583333333333337</v>
      </c>
      <c r="F152" s="161" t="str">
        <f>Planning!$Q150</f>
        <v>FC St. Pauli</v>
      </c>
      <c r="G152" s="162" t="s">
        <v>4</v>
      </c>
      <c r="H152" s="161" t="str">
        <f>Planning!$S150</f>
        <v>Hamburger SV</v>
      </c>
      <c r="I152" s="163"/>
      <c r="J152" s="315" t="str">
        <f>Language!$E$90</f>
        <v xml:space="preserve"> - </v>
      </c>
      <c r="K152" s="318"/>
      <c r="L152" s="163"/>
      <c r="M152" s="360" t="str">
        <f>Language!$E$90</f>
        <v xml:space="preserve"> - </v>
      </c>
      <c r="N152" s="318"/>
      <c r="O152" s="163"/>
      <c r="P152" s="360" t="str">
        <f>Language!$E$90</f>
        <v xml:space="preserve"> - </v>
      </c>
      <c r="Q152" s="318"/>
      <c r="R152" s="354" t="str">
        <f t="shared" si="41"/>
        <v/>
      </c>
      <c r="S152" s="357" t="str">
        <f>Language!$E$90</f>
        <v xml:space="preserve"> - </v>
      </c>
      <c r="T152" s="321" t="str">
        <f t="shared" si="42"/>
        <v/>
      </c>
      <c r="U152" s="294"/>
      <c r="V152" s="295"/>
      <c r="BM152" s="193" t="b">
        <f t="shared" si="43"/>
        <v>1</v>
      </c>
      <c r="BN152" s="19" t="b">
        <f t="shared" si="44"/>
        <v>1</v>
      </c>
      <c r="BO152" s="19" t="b">
        <f t="shared" si="45"/>
        <v>1</v>
      </c>
      <c r="BP152" s="19" t="b">
        <f t="shared" si="46"/>
        <v>1</v>
      </c>
      <c r="BQ152" s="19" t="b">
        <f t="shared" si="47"/>
        <v>0</v>
      </c>
      <c r="BR152" s="19" t="b">
        <f t="shared" si="48"/>
        <v>0</v>
      </c>
      <c r="BS152" s="19" t="b">
        <f t="shared" si="49"/>
        <v>0</v>
      </c>
    </row>
    <row r="153" spans="2:71" ht="15.75" x14ac:dyDescent="0.2">
      <c r="B153" s="248">
        <f>IF(Calc!$F$26=0,"",IF(OR($C153&gt;Calc!$B$24,MOD($C153-1,Calc!$F$26)&gt;0),"",QUOTIENT($C153-1,Calc!$F$26)+1))</f>
        <v>17</v>
      </c>
      <c r="C153" s="244">
        <v>145</v>
      </c>
      <c r="D153" s="142">
        <f>IF(Planning!$T151="","",Planning!$T151)</f>
        <v>46035</v>
      </c>
      <c r="E153" s="143">
        <f>IF(Planning!$U151="","",Planning!$U151)</f>
        <v>0.85416666666666663</v>
      </c>
      <c r="F153" s="161" t="str">
        <f>Planning!$Q151</f>
        <v>1. FC Heidenheim 1846</v>
      </c>
      <c r="G153" s="162" t="s">
        <v>4</v>
      </c>
      <c r="H153" s="161" t="str">
        <f>Planning!$S151</f>
        <v>1. FC Köln</v>
      </c>
      <c r="I153" s="163"/>
      <c r="J153" s="315" t="str">
        <f>Language!$E$90</f>
        <v xml:space="preserve"> - </v>
      </c>
      <c r="K153" s="318"/>
      <c r="L153" s="163"/>
      <c r="M153" s="360" t="str">
        <f>Language!$E$90</f>
        <v xml:space="preserve"> - </v>
      </c>
      <c r="N153" s="318"/>
      <c r="O153" s="163"/>
      <c r="P153" s="360" t="str">
        <f>Language!$E$90</f>
        <v xml:space="preserve"> - </v>
      </c>
      <c r="Q153" s="318"/>
      <c r="R153" s="354" t="str">
        <f t="shared" si="41"/>
        <v/>
      </c>
      <c r="S153" s="357" t="str">
        <f>Language!$E$90</f>
        <v xml:space="preserve"> - </v>
      </c>
      <c r="T153" s="321" t="str">
        <f t="shared" si="42"/>
        <v/>
      </c>
      <c r="U153" s="294"/>
      <c r="V153" s="295"/>
      <c r="BM153" s="193" t="b">
        <f t="shared" si="43"/>
        <v>1</v>
      </c>
      <c r="BN153" s="19" t="b">
        <f t="shared" si="44"/>
        <v>1</v>
      </c>
      <c r="BO153" s="19" t="b">
        <f t="shared" si="45"/>
        <v>1</v>
      </c>
      <c r="BP153" s="19" t="b">
        <f t="shared" si="46"/>
        <v>1</v>
      </c>
      <c r="BQ153" s="19" t="b">
        <f t="shared" si="47"/>
        <v>0</v>
      </c>
      <c r="BR153" s="19" t="b">
        <f t="shared" si="48"/>
        <v>0</v>
      </c>
      <c r="BS153" s="19" t="b">
        <f t="shared" si="49"/>
        <v>0</v>
      </c>
    </row>
    <row r="154" spans="2:71" ht="15.75" x14ac:dyDescent="0.2">
      <c r="B154" s="248" t="str">
        <f>IF(Calc!$F$26=0,"",IF(OR($C154&gt;Calc!$B$24,MOD($C154-1,Calc!$F$26)&gt;0),"",QUOTIENT($C154-1,Calc!$F$26)+1))</f>
        <v/>
      </c>
      <c r="C154" s="244">
        <v>146</v>
      </c>
      <c r="D154" s="142">
        <f>IF(Planning!$T152="","",Planning!$T152)</f>
        <v>46035</v>
      </c>
      <c r="E154" s="143">
        <f>IF(Planning!$U152="","",Planning!$U152)</f>
        <v>0.85416666666666663</v>
      </c>
      <c r="F154" s="161" t="str">
        <f>Planning!$Q152</f>
        <v>VfL Wolfsburg</v>
      </c>
      <c r="G154" s="162" t="s">
        <v>4</v>
      </c>
      <c r="H154" s="161" t="str">
        <f>Planning!$S152</f>
        <v>1. FC Union Berlin</v>
      </c>
      <c r="I154" s="163"/>
      <c r="J154" s="315" t="str">
        <f>Language!$E$90</f>
        <v xml:space="preserve"> - </v>
      </c>
      <c r="K154" s="318"/>
      <c r="L154" s="163"/>
      <c r="M154" s="360" t="str">
        <f>Language!$E$90</f>
        <v xml:space="preserve"> - </v>
      </c>
      <c r="N154" s="318"/>
      <c r="O154" s="163"/>
      <c r="P154" s="360" t="str">
        <f>Language!$E$90</f>
        <v xml:space="preserve"> - </v>
      </c>
      <c r="Q154" s="318"/>
      <c r="R154" s="354" t="str">
        <f t="shared" si="41"/>
        <v/>
      </c>
      <c r="S154" s="357" t="str">
        <f>Language!$E$90</f>
        <v xml:space="preserve"> - </v>
      </c>
      <c r="T154" s="321" t="str">
        <f t="shared" si="42"/>
        <v/>
      </c>
      <c r="U154" s="294"/>
      <c r="V154" s="295"/>
      <c r="BM154" s="193" t="b">
        <f t="shared" si="43"/>
        <v>1</v>
      </c>
      <c r="BN154" s="19" t="b">
        <f t="shared" si="44"/>
        <v>1</v>
      </c>
      <c r="BO154" s="19" t="b">
        <f t="shared" si="45"/>
        <v>1</v>
      </c>
      <c r="BP154" s="19" t="b">
        <f t="shared" si="46"/>
        <v>1</v>
      </c>
      <c r="BQ154" s="19" t="b">
        <f t="shared" si="47"/>
        <v>0</v>
      </c>
      <c r="BR154" s="19" t="b">
        <f t="shared" si="48"/>
        <v>0</v>
      </c>
      <c r="BS154" s="19" t="b">
        <f t="shared" si="49"/>
        <v>0</v>
      </c>
    </row>
    <row r="155" spans="2:71" ht="15.75" x14ac:dyDescent="0.2">
      <c r="B155" s="248" t="str">
        <f>IF(Calc!$F$26=0,"",IF(OR($C155&gt;Calc!$B$24,MOD($C155-1,Calc!$F$26)&gt;0),"",QUOTIENT($C155-1,Calc!$F$26)+1))</f>
        <v/>
      </c>
      <c r="C155" s="244">
        <v>147</v>
      </c>
      <c r="D155" s="142">
        <f>IF(Planning!$T153="","",Planning!$T153)</f>
        <v>46035</v>
      </c>
      <c r="E155" s="143">
        <f>IF(Planning!$U153="","",Planning!$U153)</f>
        <v>0.85416666666666663</v>
      </c>
      <c r="F155" s="161" t="str">
        <f>Planning!$Q153</f>
        <v>1. FSV Mainz 05</v>
      </c>
      <c r="G155" s="162" t="s">
        <v>4</v>
      </c>
      <c r="H155" s="161" t="str">
        <f>Planning!$S153</f>
        <v>VfB Stuttgart</v>
      </c>
      <c r="I155" s="163"/>
      <c r="J155" s="315" t="str">
        <f>Language!$E$90</f>
        <v xml:space="preserve"> - </v>
      </c>
      <c r="K155" s="318"/>
      <c r="L155" s="163"/>
      <c r="M155" s="360" t="str">
        <f>Language!$E$90</f>
        <v xml:space="preserve"> - </v>
      </c>
      <c r="N155" s="318"/>
      <c r="O155" s="163"/>
      <c r="P155" s="360" t="str">
        <f>Language!$E$90</f>
        <v xml:space="preserve"> - </v>
      </c>
      <c r="Q155" s="318"/>
      <c r="R155" s="354" t="str">
        <f t="shared" si="41"/>
        <v/>
      </c>
      <c r="S155" s="357" t="str">
        <f>Language!$E$90</f>
        <v xml:space="preserve"> - </v>
      </c>
      <c r="T155" s="321" t="str">
        <f t="shared" si="42"/>
        <v/>
      </c>
      <c r="U155" s="294"/>
      <c r="V155" s="295"/>
      <c r="BM155" s="193" t="b">
        <f t="shared" si="43"/>
        <v>1</v>
      </c>
      <c r="BN155" s="19" t="b">
        <f t="shared" si="44"/>
        <v>1</v>
      </c>
      <c r="BO155" s="19" t="b">
        <f t="shared" si="45"/>
        <v>1</v>
      </c>
      <c r="BP155" s="19" t="b">
        <f t="shared" si="46"/>
        <v>1</v>
      </c>
      <c r="BQ155" s="19" t="b">
        <f t="shared" si="47"/>
        <v>0</v>
      </c>
      <c r="BR155" s="19" t="b">
        <f t="shared" si="48"/>
        <v>0</v>
      </c>
      <c r="BS155" s="19" t="b">
        <f t="shared" si="49"/>
        <v>0</v>
      </c>
    </row>
    <row r="156" spans="2:71" ht="15.75" x14ac:dyDescent="0.2">
      <c r="B156" s="248" t="str">
        <f>IF(Calc!$F$26=0,"",IF(OR($C156&gt;Calc!$B$24,MOD($C156-1,Calc!$F$26)&gt;0),"",QUOTIENT($C156-1,Calc!$F$26)+1))</f>
        <v/>
      </c>
      <c r="C156" s="244">
        <v>148</v>
      </c>
      <c r="D156" s="142">
        <f>IF(Planning!$T154="","",Planning!$T154)</f>
        <v>46035</v>
      </c>
      <c r="E156" s="143">
        <f>IF(Planning!$U154="","",Planning!$U154)</f>
        <v>0.85416666666666663</v>
      </c>
      <c r="F156" s="161" t="str">
        <f>Planning!$Q154</f>
        <v>TSG Hoffenheim</v>
      </c>
      <c r="G156" s="162" t="s">
        <v>4</v>
      </c>
      <c r="H156" s="161" t="str">
        <f>Planning!$S154</f>
        <v>Bayer 04 Leverkusen</v>
      </c>
      <c r="I156" s="163"/>
      <c r="J156" s="315" t="str">
        <f>Language!$E$90</f>
        <v xml:space="preserve"> - </v>
      </c>
      <c r="K156" s="318"/>
      <c r="L156" s="163"/>
      <c r="M156" s="360" t="str">
        <f>Language!$E$90</f>
        <v xml:space="preserve"> - </v>
      </c>
      <c r="N156" s="318"/>
      <c r="O156" s="163"/>
      <c r="P156" s="360" t="str">
        <f>Language!$E$90</f>
        <v xml:space="preserve"> - </v>
      </c>
      <c r="Q156" s="318"/>
      <c r="R156" s="354" t="str">
        <f t="shared" si="41"/>
        <v/>
      </c>
      <c r="S156" s="357" t="str">
        <f>Language!$E$90</f>
        <v xml:space="preserve"> - </v>
      </c>
      <c r="T156" s="321" t="str">
        <f t="shared" si="42"/>
        <v/>
      </c>
      <c r="U156" s="294"/>
      <c r="V156" s="295"/>
      <c r="BM156" s="193" t="b">
        <f t="shared" si="43"/>
        <v>1</v>
      </c>
      <c r="BN156" s="19" t="b">
        <f t="shared" si="44"/>
        <v>1</v>
      </c>
      <c r="BO156" s="19" t="b">
        <f t="shared" si="45"/>
        <v>1</v>
      </c>
      <c r="BP156" s="19" t="b">
        <f t="shared" si="46"/>
        <v>1</v>
      </c>
      <c r="BQ156" s="19" t="b">
        <f t="shared" si="47"/>
        <v>0</v>
      </c>
      <c r="BR156" s="19" t="b">
        <f t="shared" si="48"/>
        <v>0</v>
      </c>
      <c r="BS156" s="19" t="b">
        <f t="shared" si="49"/>
        <v>0</v>
      </c>
    </row>
    <row r="157" spans="2:71" ht="15.75" x14ac:dyDescent="0.2">
      <c r="B157" s="248" t="str">
        <f>IF(Calc!$F$26=0,"",IF(OR($C157&gt;Calc!$B$24,MOD($C157-1,Calc!$F$26)&gt;0),"",QUOTIENT($C157-1,Calc!$F$26)+1))</f>
        <v/>
      </c>
      <c r="C157" s="244">
        <v>149</v>
      </c>
      <c r="D157" s="142">
        <f>IF(Planning!$T155="","",Planning!$T155)</f>
        <v>46035</v>
      </c>
      <c r="E157" s="143">
        <f>IF(Planning!$U155="","",Planning!$U155)</f>
        <v>0.85416666666666663</v>
      </c>
      <c r="F157" s="161" t="str">
        <f>Planning!$Q155</f>
        <v>Borussia Dortmund</v>
      </c>
      <c r="G157" s="162" t="s">
        <v>4</v>
      </c>
      <c r="H157" s="161" t="str">
        <f>Planning!$S155</f>
        <v>SV Werder Bremen</v>
      </c>
      <c r="I157" s="163"/>
      <c r="J157" s="315" t="str">
        <f>Language!$E$90</f>
        <v xml:space="preserve"> - </v>
      </c>
      <c r="K157" s="318"/>
      <c r="L157" s="163"/>
      <c r="M157" s="360" t="str">
        <f>Language!$E$90</f>
        <v xml:space="preserve"> - </v>
      </c>
      <c r="N157" s="318"/>
      <c r="O157" s="163"/>
      <c r="P157" s="360" t="str">
        <f>Language!$E$90</f>
        <v xml:space="preserve"> - </v>
      </c>
      <c r="Q157" s="318"/>
      <c r="R157" s="354" t="str">
        <f t="shared" si="41"/>
        <v/>
      </c>
      <c r="S157" s="357" t="str">
        <f>Language!$E$90</f>
        <v xml:space="preserve"> - </v>
      </c>
      <c r="T157" s="321" t="str">
        <f t="shared" si="42"/>
        <v/>
      </c>
      <c r="U157" s="294"/>
      <c r="V157" s="295"/>
      <c r="BM157" s="193" t="b">
        <f t="shared" si="43"/>
        <v>1</v>
      </c>
      <c r="BN157" s="19" t="b">
        <f t="shared" si="44"/>
        <v>1</v>
      </c>
      <c r="BO157" s="19" t="b">
        <f t="shared" si="45"/>
        <v>1</v>
      </c>
      <c r="BP157" s="19" t="b">
        <f t="shared" si="46"/>
        <v>1</v>
      </c>
      <c r="BQ157" s="19" t="b">
        <f t="shared" si="47"/>
        <v>0</v>
      </c>
      <c r="BR157" s="19" t="b">
        <f t="shared" si="48"/>
        <v>0</v>
      </c>
      <c r="BS157" s="19" t="b">
        <f t="shared" si="49"/>
        <v>0</v>
      </c>
    </row>
    <row r="158" spans="2:71" ht="15.75" x14ac:dyDescent="0.2">
      <c r="B158" s="248" t="str">
        <f>IF(Calc!$F$26=0,"",IF(OR($C158&gt;Calc!$B$24,MOD($C158-1,Calc!$F$26)&gt;0),"",QUOTIENT($C158-1,Calc!$F$26)+1))</f>
        <v/>
      </c>
      <c r="C158" s="244">
        <v>150</v>
      </c>
      <c r="D158" s="142">
        <f>IF(Planning!$T156="","",Planning!$T156)</f>
        <v>46035</v>
      </c>
      <c r="E158" s="143">
        <f>IF(Planning!$U156="","",Planning!$U156)</f>
        <v>0.85416666666666663</v>
      </c>
      <c r="F158" s="161" t="str">
        <f>Planning!$Q156</f>
        <v>SC Freiburg</v>
      </c>
      <c r="G158" s="162" t="s">
        <v>4</v>
      </c>
      <c r="H158" s="161" t="str">
        <f>Planning!$S156</f>
        <v>Borussia Mönchengladbach</v>
      </c>
      <c r="I158" s="163"/>
      <c r="J158" s="315" t="str">
        <f>Language!$E$90</f>
        <v xml:space="preserve"> - </v>
      </c>
      <c r="K158" s="318"/>
      <c r="L158" s="163"/>
      <c r="M158" s="360" t="str">
        <f>Language!$E$90</f>
        <v xml:space="preserve"> - </v>
      </c>
      <c r="N158" s="318"/>
      <c r="O158" s="163"/>
      <c r="P158" s="360" t="str">
        <f>Language!$E$90</f>
        <v xml:space="preserve"> - </v>
      </c>
      <c r="Q158" s="318"/>
      <c r="R158" s="354" t="str">
        <f t="shared" si="41"/>
        <v/>
      </c>
      <c r="S158" s="357" t="str">
        <f>Language!$E$90</f>
        <v xml:space="preserve"> - </v>
      </c>
      <c r="T158" s="321" t="str">
        <f t="shared" si="42"/>
        <v/>
      </c>
      <c r="U158" s="294"/>
      <c r="V158" s="295"/>
      <c r="BM158" s="193" t="b">
        <f t="shared" si="43"/>
        <v>1</v>
      </c>
      <c r="BN158" s="19" t="b">
        <f t="shared" si="44"/>
        <v>1</v>
      </c>
      <c r="BO158" s="19" t="b">
        <f t="shared" si="45"/>
        <v>1</v>
      </c>
      <c r="BP158" s="19" t="b">
        <f t="shared" si="46"/>
        <v>1</v>
      </c>
      <c r="BQ158" s="19" t="b">
        <f t="shared" si="47"/>
        <v>0</v>
      </c>
      <c r="BR158" s="19" t="b">
        <f t="shared" si="48"/>
        <v>0</v>
      </c>
      <c r="BS158" s="19" t="b">
        <f t="shared" si="49"/>
        <v>0</v>
      </c>
    </row>
    <row r="159" spans="2:71" ht="15.75" x14ac:dyDescent="0.2">
      <c r="B159" s="248" t="str">
        <f>IF(Calc!$F$26=0,"",IF(OR($C159&gt;Calc!$B$24,MOD($C159-1,Calc!$F$26)&gt;0),"",QUOTIENT($C159-1,Calc!$F$26)+1))</f>
        <v/>
      </c>
      <c r="C159" s="244">
        <v>151</v>
      </c>
      <c r="D159" s="142">
        <f>IF(Planning!$T157="","",Planning!$T157)</f>
        <v>46035</v>
      </c>
      <c r="E159" s="143">
        <f>IF(Planning!$U157="","",Planning!$U157)</f>
        <v>0.85416666666666663</v>
      </c>
      <c r="F159" s="161" t="str">
        <f>Planning!$Q157</f>
        <v>Eintracht Frankfurt</v>
      </c>
      <c r="G159" s="162" t="s">
        <v>4</v>
      </c>
      <c r="H159" s="161" t="str">
        <f>Planning!$S157</f>
        <v>RB Leipzig</v>
      </c>
      <c r="I159" s="163"/>
      <c r="J159" s="315" t="str">
        <f>Language!$E$90</f>
        <v xml:space="preserve"> - </v>
      </c>
      <c r="K159" s="318"/>
      <c r="L159" s="163"/>
      <c r="M159" s="360" t="str">
        <f>Language!$E$90</f>
        <v xml:space="preserve"> - </v>
      </c>
      <c r="N159" s="318"/>
      <c r="O159" s="163"/>
      <c r="P159" s="360" t="str">
        <f>Language!$E$90</f>
        <v xml:space="preserve"> - </v>
      </c>
      <c r="Q159" s="318"/>
      <c r="R159" s="354" t="str">
        <f t="shared" si="41"/>
        <v/>
      </c>
      <c r="S159" s="357" t="str">
        <f>Language!$E$90</f>
        <v xml:space="preserve"> - </v>
      </c>
      <c r="T159" s="321" t="str">
        <f t="shared" si="42"/>
        <v/>
      </c>
      <c r="U159" s="294"/>
      <c r="V159" s="295"/>
      <c r="BM159" s="193" t="b">
        <f t="shared" si="43"/>
        <v>1</v>
      </c>
      <c r="BN159" s="19" t="b">
        <f t="shared" si="44"/>
        <v>1</v>
      </c>
      <c r="BO159" s="19" t="b">
        <f t="shared" si="45"/>
        <v>1</v>
      </c>
      <c r="BP159" s="19" t="b">
        <f t="shared" si="46"/>
        <v>1</v>
      </c>
      <c r="BQ159" s="19" t="b">
        <f t="shared" si="47"/>
        <v>0</v>
      </c>
      <c r="BR159" s="19" t="b">
        <f t="shared" si="48"/>
        <v>0</v>
      </c>
      <c r="BS159" s="19" t="b">
        <f t="shared" si="49"/>
        <v>0</v>
      </c>
    </row>
    <row r="160" spans="2:71" ht="15.75" x14ac:dyDescent="0.2">
      <c r="B160" s="248" t="str">
        <f>IF(Calc!$F$26=0,"",IF(OR($C160&gt;Calc!$B$24,MOD($C160-1,Calc!$F$26)&gt;0),"",QUOTIENT($C160-1,Calc!$F$26)+1))</f>
        <v/>
      </c>
      <c r="C160" s="244">
        <v>152</v>
      </c>
      <c r="D160" s="142">
        <f>IF(Planning!$T158="","",Planning!$T158)</f>
        <v>46035</v>
      </c>
      <c r="E160" s="143">
        <f>IF(Planning!$U158="","",Planning!$U158)</f>
        <v>0.85416666666666663</v>
      </c>
      <c r="F160" s="161" t="str">
        <f>Planning!$Q158</f>
        <v>Hamburger SV</v>
      </c>
      <c r="G160" s="162" t="s">
        <v>4</v>
      </c>
      <c r="H160" s="161" t="str">
        <f>Planning!$S158</f>
        <v>FC Augsburg</v>
      </c>
      <c r="I160" s="163"/>
      <c r="J160" s="315" t="str">
        <f>Language!$E$90</f>
        <v xml:space="preserve"> - </v>
      </c>
      <c r="K160" s="318"/>
      <c r="L160" s="163"/>
      <c r="M160" s="360" t="str">
        <f>Language!$E$90</f>
        <v xml:space="preserve"> - </v>
      </c>
      <c r="N160" s="318"/>
      <c r="O160" s="163"/>
      <c r="P160" s="360" t="str">
        <f>Language!$E$90</f>
        <v xml:space="preserve"> - </v>
      </c>
      <c r="Q160" s="318"/>
      <c r="R160" s="354" t="str">
        <f t="shared" si="41"/>
        <v/>
      </c>
      <c r="S160" s="357" t="str">
        <f>Language!$E$90</f>
        <v xml:space="preserve"> - </v>
      </c>
      <c r="T160" s="321" t="str">
        <f t="shared" si="42"/>
        <v/>
      </c>
      <c r="U160" s="294"/>
      <c r="V160" s="295"/>
      <c r="BM160" s="193" t="b">
        <f t="shared" si="43"/>
        <v>1</v>
      </c>
      <c r="BN160" s="19" t="b">
        <f t="shared" si="44"/>
        <v>1</v>
      </c>
      <c r="BO160" s="19" t="b">
        <f t="shared" si="45"/>
        <v>1</v>
      </c>
      <c r="BP160" s="19" t="b">
        <f t="shared" si="46"/>
        <v>1</v>
      </c>
      <c r="BQ160" s="19" t="b">
        <f t="shared" si="47"/>
        <v>0</v>
      </c>
      <c r="BR160" s="19" t="b">
        <f t="shared" si="48"/>
        <v>0</v>
      </c>
      <c r="BS160" s="19" t="b">
        <f t="shared" si="49"/>
        <v>0</v>
      </c>
    </row>
    <row r="161" spans="2:71" ht="15.75" x14ac:dyDescent="0.2">
      <c r="B161" s="248" t="str">
        <f>IF(Calc!$F$26=0,"",IF(OR($C161&gt;Calc!$B$24,MOD($C161-1,Calc!$F$26)&gt;0),"",QUOTIENT($C161-1,Calc!$F$26)+1))</f>
        <v/>
      </c>
      <c r="C161" s="244">
        <v>153</v>
      </c>
      <c r="D161" s="142">
        <f>IF(Planning!$T159="","",Planning!$T159)</f>
        <v>46035</v>
      </c>
      <c r="E161" s="143">
        <f>IF(Planning!$U159="","",Planning!$U159)</f>
        <v>0.85416666666666663</v>
      </c>
      <c r="F161" s="161" t="str">
        <f>Planning!$Q159</f>
        <v>FC Bayern München</v>
      </c>
      <c r="G161" s="162" t="s">
        <v>4</v>
      </c>
      <c r="H161" s="161" t="str">
        <f>Planning!$S159</f>
        <v>FC St. Pauli</v>
      </c>
      <c r="I161" s="163"/>
      <c r="J161" s="315" t="str">
        <f>Language!$E$90</f>
        <v xml:space="preserve"> - </v>
      </c>
      <c r="K161" s="318"/>
      <c r="L161" s="163"/>
      <c r="M161" s="360" t="str">
        <f>Language!$E$90</f>
        <v xml:space="preserve"> - </v>
      </c>
      <c r="N161" s="318"/>
      <c r="O161" s="163"/>
      <c r="P161" s="360" t="str">
        <f>Language!$E$90</f>
        <v xml:space="preserve"> - </v>
      </c>
      <c r="Q161" s="318"/>
      <c r="R161" s="354" t="str">
        <f t="shared" si="41"/>
        <v/>
      </c>
      <c r="S161" s="357" t="str">
        <f>Language!$E$90</f>
        <v xml:space="preserve"> - </v>
      </c>
      <c r="T161" s="321" t="str">
        <f t="shared" si="42"/>
        <v/>
      </c>
      <c r="U161" s="294"/>
      <c r="V161" s="295"/>
      <c r="BM161" s="193" t="b">
        <f t="shared" si="43"/>
        <v>1</v>
      </c>
      <c r="BN161" s="19" t="b">
        <f t="shared" si="44"/>
        <v>1</v>
      </c>
      <c r="BO161" s="19" t="b">
        <f t="shared" si="45"/>
        <v>1</v>
      </c>
      <c r="BP161" s="19" t="b">
        <f t="shared" si="46"/>
        <v>1</v>
      </c>
      <c r="BQ161" s="19" t="b">
        <f t="shared" si="47"/>
        <v>0</v>
      </c>
      <c r="BR161" s="19" t="b">
        <f t="shared" si="48"/>
        <v>0</v>
      </c>
      <c r="BS161" s="19" t="b">
        <f t="shared" si="49"/>
        <v>0</v>
      </c>
    </row>
    <row r="162" spans="2:71" ht="15.75" x14ac:dyDescent="0.2">
      <c r="B162" s="248">
        <f>IF(Calc!$F$26=0,"",IF(OR($C162&gt;Calc!$B$24,MOD($C162-1,Calc!$F$26)&gt;0),"",QUOTIENT($C162-1,Calc!$F$26)+1))</f>
        <v>18</v>
      </c>
      <c r="C162" s="244">
        <v>154</v>
      </c>
      <c r="D162" s="142">
        <f>IF(Planning!$T160="","",Planning!$T160)</f>
        <v>46039</v>
      </c>
      <c r="E162" s="143">
        <f>IF(Planning!$U160="","",Planning!$U160)</f>
        <v>0.64583333333333337</v>
      </c>
      <c r="F162" s="161" t="str">
        <f>Planning!$Q160</f>
        <v>VfL Wolfsburg</v>
      </c>
      <c r="G162" s="162" t="s">
        <v>4</v>
      </c>
      <c r="H162" s="161" t="str">
        <f>Planning!$S160</f>
        <v>1. FC Heidenheim 1846</v>
      </c>
      <c r="I162" s="163"/>
      <c r="J162" s="315" t="str">
        <f>Language!$E$90</f>
        <v xml:space="preserve"> - </v>
      </c>
      <c r="K162" s="318"/>
      <c r="L162" s="163"/>
      <c r="M162" s="360" t="str">
        <f>Language!$E$90</f>
        <v xml:space="preserve"> - </v>
      </c>
      <c r="N162" s="318"/>
      <c r="O162" s="163"/>
      <c r="P162" s="360" t="str">
        <f>Language!$E$90</f>
        <v xml:space="preserve"> - </v>
      </c>
      <c r="Q162" s="318"/>
      <c r="R162" s="354" t="str">
        <f t="shared" si="41"/>
        <v/>
      </c>
      <c r="S162" s="357" t="str">
        <f>Language!$E$90</f>
        <v xml:space="preserve"> - </v>
      </c>
      <c r="T162" s="321" t="str">
        <f t="shared" si="42"/>
        <v/>
      </c>
      <c r="U162" s="294"/>
      <c r="V162" s="295"/>
      <c r="BM162" s="193" t="b">
        <f t="shared" si="43"/>
        <v>1</v>
      </c>
      <c r="BN162" s="19" t="b">
        <f t="shared" si="44"/>
        <v>1</v>
      </c>
      <c r="BO162" s="19" t="b">
        <f t="shared" si="45"/>
        <v>1</v>
      </c>
      <c r="BP162" s="19" t="b">
        <f t="shared" si="46"/>
        <v>1</v>
      </c>
      <c r="BQ162" s="19" t="b">
        <f t="shared" si="47"/>
        <v>0</v>
      </c>
      <c r="BR162" s="19" t="b">
        <f t="shared" si="48"/>
        <v>0</v>
      </c>
      <c r="BS162" s="19" t="b">
        <f t="shared" si="49"/>
        <v>0</v>
      </c>
    </row>
    <row r="163" spans="2:71" ht="15.75" x14ac:dyDescent="0.2">
      <c r="B163" s="248" t="str">
        <f>IF(Calc!$F$26=0,"",IF(OR($C163&gt;Calc!$B$24,MOD($C163-1,Calc!$F$26)&gt;0),"",QUOTIENT($C163-1,Calc!$F$26)+1))</f>
        <v/>
      </c>
      <c r="C163" s="244">
        <v>155</v>
      </c>
      <c r="D163" s="142">
        <f>IF(Planning!$T161="","",Planning!$T161)</f>
        <v>46039</v>
      </c>
      <c r="E163" s="143">
        <f>IF(Planning!$U161="","",Planning!$U161)</f>
        <v>0.64583333333333337</v>
      </c>
      <c r="F163" s="161" t="str">
        <f>Planning!$Q161</f>
        <v>1. FC Köln</v>
      </c>
      <c r="G163" s="162" t="s">
        <v>4</v>
      </c>
      <c r="H163" s="161" t="str">
        <f>Planning!$S161</f>
        <v>VfB Stuttgart</v>
      </c>
      <c r="I163" s="163"/>
      <c r="J163" s="315" t="str">
        <f>Language!$E$90</f>
        <v xml:space="preserve"> - </v>
      </c>
      <c r="K163" s="318"/>
      <c r="L163" s="163"/>
      <c r="M163" s="360" t="str">
        <f>Language!$E$90</f>
        <v xml:space="preserve"> - </v>
      </c>
      <c r="N163" s="318"/>
      <c r="O163" s="163"/>
      <c r="P163" s="360" t="str">
        <f>Language!$E$90</f>
        <v xml:space="preserve"> - </v>
      </c>
      <c r="Q163" s="318"/>
      <c r="R163" s="354" t="str">
        <f t="shared" si="41"/>
        <v/>
      </c>
      <c r="S163" s="357" t="str">
        <f>Language!$E$90</f>
        <v xml:space="preserve"> - </v>
      </c>
      <c r="T163" s="321" t="str">
        <f t="shared" si="42"/>
        <v/>
      </c>
      <c r="U163" s="294"/>
      <c r="V163" s="295"/>
      <c r="BM163" s="193" t="b">
        <f t="shared" si="43"/>
        <v>1</v>
      </c>
      <c r="BN163" s="19" t="b">
        <f t="shared" si="44"/>
        <v>1</v>
      </c>
      <c r="BO163" s="19" t="b">
        <f t="shared" si="45"/>
        <v>1</v>
      </c>
      <c r="BP163" s="19" t="b">
        <f t="shared" si="46"/>
        <v>1</v>
      </c>
      <c r="BQ163" s="19" t="b">
        <f t="shared" si="47"/>
        <v>0</v>
      </c>
      <c r="BR163" s="19" t="b">
        <f t="shared" si="48"/>
        <v>0</v>
      </c>
      <c r="BS163" s="19" t="b">
        <f t="shared" si="49"/>
        <v>0</v>
      </c>
    </row>
    <row r="164" spans="2:71" ht="15.75" x14ac:dyDescent="0.2">
      <c r="B164" s="248" t="str">
        <f>IF(Calc!$F$26=0,"",IF(OR($C164&gt;Calc!$B$24,MOD($C164-1,Calc!$F$26)&gt;0),"",QUOTIENT($C164-1,Calc!$F$26)+1))</f>
        <v/>
      </c>
      <c r="C164" s="244">
        <v>156</v>
      </c>
      <c r="D164" s="142">
        <f>IF(Planning!$T162="","",Planning!$T162)</f>
        <v>46039</v>
      </c>
      <c r="E164" s="143">
        <f>IF(Planning!$U162="","",Planning!$U162)</f>
        <v>0.64583333333333337</v>
      </c>
      <c r="F164" s="161" t="str">
        <f>Planning!$Q162</f>
        <v>TSG Hoffenheim</v>
      </c>
      <c r="G164" s="162" t="s">
        <v>4</v>
      </c>
      <c r="H164" s="161" t="str">
        <f>Planning!$S162</f>
        <v>1. FC Union Berlin</v>
      </c>
      <c r="I164" s="163"/>
      <c r="J164" s="315" t="str">
        <f>Language!$E$90</f>
        <v xml:space="preserve"> - </v>
      </c>
      <c r="K164" s="318"/>
      <c r="L164" s="163"/>
      <c r="M164" s="360" t="str">
        <f>Language!$E$90</f>
        <v xml:space="preserve"> - </v>
      </c>
      <c r="N164" s="318"/>
      <c r="O164" s="163"/>
      <c r="P164" s="360" t="str">
        <f>Language!$E$90</f>
        <v xml:space="preserve"> - </v>
      </c>
      <c r="Q164" s="318"/>
      <c r="R164" s="354" t="str">
        <f t="shared" si="41"/>
        <v/>
      </c>
      <c r="S164" s="357" t="str">
        <f>Language!$E$90</f>
        <v xml:space="preserve"> - </v>
      </c>
      <c r="T164" s="321" t="str">
        <f t="shared" si="42"/>
        <v/>
      </c>
      <c r="U164" s="294"/>
      <c r="V164" s="295"/>
      <c r="BM164" s="193" t="b">
        <f t="shared" si="43"/>
        <v>1</v>
      </c>
      <c r="BN164" s="19" t="b">
        <f t="shared" si="44"/>
        <v>1</v>
      </c>
      <c r="BO164" s="19" t="b">
        <f t="shared" si="45"/>
        <v>1</v>
      </c>
      <c r="BP164" s="19" t="b">
        <f t="shared" si="46"/>
        <v>1</v>
      </c>
      <c r="BQ164" s="19" t="b">
        <f t="shared" si="47"/>
        <v>0</v>
      </c>
      <c r="BR164" s="19" t="b">
        <f t="shared" si="48"/>
        <v>0</v>
      </c>
      <c r="BS164" s="19" t="b">
        <f t="shared" si="49"/>
        <v>0</v>
      </c>
    </row>
    <row r="165" spans="2:71" ht="15.75" x14ac:dyDescent="0.2">
      <c r="B165" s="248" t="str">
        <f>IF(Calc!$F$26=0,"",IF(OR($C165&gt;Calc!$B$24,MOD($C165-1,Calc!$F$26)&gt;0),"",QUOTIENT($C165-1,Calc!$F$26)+1))</f>
        <v/>
      </c>
      <c r="C165" s="244">
        <v>157</v>
      </c>
      <c r="D165" s="142">
        <f>IF(Planning!$T163="","",Planning!$T163)</f>
        <v>46039</v>
      </c>
      <c r="E165" s="143">
        <f>IF(Planning!$U163="","",Planning!$U163)</f>
        <v>0.64583333333333337</v>
      </c>
      <c r="F165" s="161" t="str">
        <f>Planning!$Q163</f>
        <v>1. FSV Mainz 05</v>
      </c>
      <c r="G165" s="162" t="s">
        <v>4</v>
      </c>
      <c r="H165" s="161" t="str">
        <f>Planning!$S163</f>
        <v>SV Werder Bremen</v>
      </c>
      <c r="I165" s="163"/>
      <c r="J165" s="315" t="str">
        <f>Language!$E$90</f>
        <v xml:space="preserve"> - </v>
      </c>
      <c r="K165" s="318"/>
      <c r="L165" s="163"/>
      <c r="M165" s="360" t="str">
        <f>Language!$E$90</f>
        <v xml:space="preserve"> - </v>
      </c>
      <c r="N165" s="318"/>
      <c r="O165" s="163"/>
      <c r="P165" s="360" t="str">
        <f>Language!$E$90</f>
        <v xml:space="preserve"> - </v>
      </c>
      <c r="Q165" s="318"/>
      <c r="R165" s="354" t="str">
        <f t="shared" si="41"/>
        <v/>
      </c>
      <c r="S165" s="357" t="str">
        <f>Language!$E$90</f>
        <v xml:space="preserve"> - </v>
      </c>
      <c r="T165" s="321" t="str">
        <f t="shared" si="42"/>
        <v/>
      </c>
      <c r="U165" s="294"/>
      <c r="V165" s="295"/>
      <c r="BM165" s="193" t="b">
        <f t="shared" si="43"/>
        <v>1</v>
      </c>
      <c r="BN165" s="19" t="b">
        <f t="shared" si="44"/>
        <v>1</v>
      </c>
      <c r="BO165" s="19" t="b">
        <f t="shared" si="45"/>
        <v>1</v>
      </c>
      <c r="BP165" s="19" t="b">
        <f t="shared" si="46"/>
        <v>1</v>
      </c>
      <c r="BQ165" s="19" t="b">
        <f t="shared" si="47"/>
        <v>0</v>
      </c>
      <c r="BR165" s="19" t="b">
        <f t="shared" si="48"/>
        <v>0</v>
      </c>
      <c r="BS165" s="19" t="b">
        <f t="shared" si="49"/>
        <v>0</v>
      </c>
    </row>
    <row r="166" spans="2:71" ht="15.75" x14ac:dyDescent="0.2">
      <c r="B166" s="248" t="str">
        <f>IF(Calc!$F$26=0,"",IF(OR($C166&gt;Calc!$B$24,MOD($C166-1,Calc!$F$26)&gt;0),"",QUOTIENT($C166-1,Calc!$F$26)+1))</f>
        <v/>
      </c>
      <c r="C166" s="244">
        <v>158</v>
      </c>
      <c r="D166" s="142">
        <f>IF(Planning!$T164="","",Planning!$T164)</f>
        <v>46039</v>
      </c>
      <c r="E166" s="143">
        <f>IF(Planning!$U164="","",Planning!$U164)</f>
        <v>0.64583333333333337</v>
      </c>
      <c r="F166" s="161" t="str">
        <f>Planning!$Q164</f>
        <v>SC Freiburg</v>
      </c>
      <c r="G166" s="162" t="s">
        <v>4</v>
      </c>
      <c r="H166" s="161" t="str">
        <f>Planning!$S164</f>
        <v>Bayer 04 Leverkusen</v>
      </c>
      <c r="I166" s="163"/>
      <c r="J166" s="315" t="str">
        <f>Language!$E$90</f>
        <v xml:space="preserve"> - </v>
      </c>
      <c r="K166" s="318"/>
      <c r="L166" s="163"/>
      <c r="M166" s="360" t="str">
        <f>Language!$E$90</f>
        <v xml:space="preserve"> - </v>
      </c>
      <c r="N166" s="318"/>
      <c r="O166" s="163"/>
      <c r="P166" s="360" t="str">
        <f>Language!$E$90</f>
        <v xml:space="preserve"> - </v>
      </c>
      <c r="Q166" s="318"/>
      <c r="R166" s="354" t="str">
        <f t="shared" si="41"/>
        <v/>
      </c>
      <c r="S166" s="357" t="str">
        <f>Language!$E$90</f>
        <v xml:space="preserve"> - </v>
      </c>
      <c r="T166" s="321" t="str">
        <f t="shared" si="42"/>
        <v/>
      </c>
      <c r="U166" s="294"/>
      <c r="V166" s="295"/>
      <c r="BM166" s="193" t="b">
        <f t="shared" si="43"/>
        <v>1</v>
      </c>
      <c r="BN166" s="19" t="b">
        <f t="shared" si="44"/>
        <v>1</v>
      </c>
      <c r="BO166" s="19" t="b">
        <f t="shared" si="45"/>
        <v>1</v>
      </c>
      <c r="BP166" s="19" t="b">
        <f t="shared" si="46"/>
        <v>1</v>
      </c>
      <c r="BQ166" s="19" t="b">
        <f t="shared" si="47"/>
        <v>0</v>
      </c>
      <c r="BR166" s="19" t="b">
        <f t="shared" si="48"/>
        <v>0</v>
      </c>
      <c r="BS166" s="19" t="b">
        <f t="shared" si="49"/>
        <v>0</v>
      </c>
    </row>
    <row r="167" spans="2:71" ht="15.75" x14ac:dyDescent="0.2">
      <c r="B167" s="248" t="str">
        <f>IF(Calc!$F$26=0,"",IF(OR($C167&gt;Calc!$B$24,MOD($C167-1,Calc!$F$26)&gt;0),"",QUOTIENT($C167-1,Calc!$F$26)+1))</f>
        <v/>
      </c>
      <c r="C167" s="244">
        <v>159</v>
      </c>
      <c r="D167" s="142">
        <f>IF(Planning!$T165="","",Planning!$T165)</f>
        <v>46039</v>
      </c>
      <c r="E167" s="143">
        <f>IF(Planning!$U165="","",Planning!$U165)</f>
        <v>0.64583333333333337</v>
      </c>
      <c r="F167" s="161" t="str">
        <f>Planning!$Q165</f>
        <v>Borussia Dortmund</v>
      </c>
      <c r="G167" s="162" t="s">
        <v>4</v>
      </c>
      <c r="H167" s="161" t="str">
        <f>Planning!$S165</f>
        <v>RB Leipzig</v>
      </c>
      <c r="I167" s="163"/>
      <c r="J167" s="315" t="str">
        <f>Language!$E$90</f>
        <v xml:space="preserve"> - </v>
      </c>
      <c r="K167" s="318"/>
      <c r="L167" s="163"/>
      <c r="M167" s="360" t="str">
        <f>Language!$E$90</f>
        <v xml:space="preserve"> - </v>
      </c>
      <c r="N167" s="318"/>
      <c r="O167" s="163"/>
      <c r="P167" s="360" t="str">
        <f>Language!$E$90</f>
        <v xml:space="preserve"> - </v>
      </c>
      <c r="Q167" s="318"/>
      <c r="R167" s="354" t="str">
        <f t="shared" si="41"/>
        <v/>
      </c>
      <c r="S167" s="357" t="str">
        <f>Language!$E$90</f>
        <v xml:space="preserve"> - </v>
      </c>
      <c r="T167" s="321" t="str">
        <f t="shared" si="42"/>
        <v/>
      </c>
      <c r="U167" s="294"/>
      <c r="V167" s="295"/>
      <c r="BM167" s="193" t="b">
        <f t="shared" si="43"/>
        <v>1</v>
      </c>
      <c r="BN167" s="19" t="b">
        <f t="shared" si="44"/>
        <v>1</v>
      </c>
      <c r="BO167" s="19" t="b">
        <f t="shared" si="45"/>
        <v>1</v>
      </c>
      <c r="BP167" s="19" t="b">
        <f t="shared" si="46"/>
        <v>1</v>
      </c>
      <c r="BQ167" s="19" t="b">
        <f t="shared" si="47"/>
        <v>0</v>
      </c>
      <c r="BR167" s="19" t="b">
        <f t="shared" si="48"/>
        <v>0</v>
      </c>
      <c r="BS167" s="19" t="b">
        <f t="shared" si="49"/>
        <v>0</v>
      </c>
    </row>
    <row r="168" spans="2:71" ht="15.75" x14ac:dyDescent="0.2">
      <c r="B168" s="248" t="str">
        <f>IF(Calc!$F$26=0,"",IF(OR($C168&gt;Calc!$B$24,MOD($C168-1,Calc!$F$26)&gt;0),"",QUOTIENT($C168-1,Calc!$F$26)+1))</f>
        <v/>
      </c>
      <c r="C168" s="244">
        <v>160</v>
      </c>
      <c r="D168" s="142">
        <f>IF(Planning!$T166="","",Planning!$T166)</f>
        <v>46039</v>
      </c>
      <c r="E168" s="143">
        <f>IF(Planning!$U166="","",Planning!$U166)</f>
        <v>0.64583333333333337</v>
      </c>
      <c r="F168" s="161" t="str">
        <f>Planning!$Q166</f>
        <v>Hamburger SV</v>
      </c>
      <c r="G168" s="162" t="s">
        <v>4</v>
      </c>
      <c r="H168" s="161" t="str">
        <f>Planning!$S166</f>
        <v>Borussia Mönchengladbach</v>
      </c>
      <c r="I168" s="163"/>
      <c r="J168" s="315" t="str">
        <f>Language!$E$90</f>
        <v xml:space="preserve"> - </v>
      </c>
      <c r="K168" s="318"/>
      <c r="L168" s="163"/>
      <c r="M168" s="360" t="str">
        <f>Language!$E$90</f>
        <v xml:space="preserve"> - </v>
      </c>
      <c r="N168" s="318"/>
      <c r="O168" s="163"/>
      <c r="P168" s="360" t="str">
        <f>Language!$E$90</f>
        <v xml:space="preserve"> - </v>
      </c>
      <c r="Q168" s="318"/>
      <c r="R168" s="354" t="str">
        <f t="shared" si="41"/>
        <v/>
      </c>
      <c r="S168" s="357" t="str">
        <f>Language!$E$90</f>
        <v xml:space="preserve"> - </v>
      </c>
      <c r="T168" s="321" t="str">
        <f t="shared" si="42"/>
        <v/>
      </c>
      <c r="U168" s="294"/>
      <c r="V168" s="295"/>
      <c r="BM168" s="193" t="b">
        <f t="shared" si="43"/>
        <v>1</v>
      </c>
      <c r="BN168" s="19" t="b">
        <f t="shared" si="44"/>
        <v>1</v>
      </c>
      <c r="BO168" s="19" t="b">
        <f t="shared" si="45"/>
        <v>1</v>
      </c>
      <c r="BP168" s="19" t="b">
        <f t="shared" si="46"/>
        <v>1</v>
      </c>
      <c r="BQ168" s="19" t="b">
        <f t="shared" si="47"/>
        <v>0</v>
      </c>
      <c r="BR168" s="19" t="b">
        <f t="shared" si="48"/>
        <v>0</v>
      </c>
      <c r="BS168" s="19" t="b">
        <f t="shared" si="49"/>
        <v>0</v>
      </c>
    </row>
    <row r="169" spans="2:71" ht="15.75" x14ac:dyDescent="0.2">
      <c r="B169" s="248" t="str">
        <f>IF(Calc!$F$26=0,"",IF(OR($C169&gt;Calc!$B$24,MOD($C169-1,Calc!$F$26)&gt;0),"",QUOTIENT($C169-1,Calc!$F$26)+1))</f>
        <v/>
      </c>
      <c r="C169" s="244">
        <v>161</v>
      </c>
      <c r="D169" s="142">
        <f>IF(Planning!$T167="","",Planning!$T167)</f>
        <v>46039</v>
      </c>
      <c r="E169" s="143">
        <f>IF(Planning!$U167="","",Planning!$U167)</f>
        <v>0.64583333333333337</v>
      </c>
      <c r="F169" s="161" t="str">
        <f>Planning!$Q167</f>
        <v>Eintracht Frankfurt</v>
      </c>
      <c r="G169" s="162" t="s">
        <v>4</v>
      </c>
      <c r="H169" s="161" t="str">
        <f>Planning!$S167</f>
        <v>FC St. Pauli</v>
      </c>
      <c r="I169" s="163"/>
      <c r="J169" s="315" t="str">
        <f>Language!$E$90</f>
        <v xml:space="preserve"> - </v>
      </c>
      <c r="K169" s="318"/>
      <c r="L169" s="163"/>
      <c r="M169" s="360" t="str">
        <f>Language!$E$90</f>
        <v xml:space="preserve"> - </v>
      </c>
      <c r="N169" s="318"/>
      <c r="O169" s="163"/>
      <c r="P169" s="360" t="str">
        <f>Language!$E$90</f>
        <v xml:space="preserve"> - </v>
      </c>
      <c r="Q169" s="318"/>
      <c r="R169" s="354" t="str">
        <f t="shared" si="41"/>
        <v/>
      </c>
      <c r="S169" s="357" t="str">
        <f>Language!$E$90</f>
        <v xml:space="preserve"> - </v>
      </c>
      <c r="T169" s="321" t="str">
        <f t="shared" si="42"/>
        <v/>
      </c>
      <c r="U169" s="294"/>
      <c r="V169" s="295"/>
      <c r="BM169" s="193" t="b">
        <f t="shared" si="43"/>
        <v>1</v>
      </c>
      <c r="BN169" s="19" t="b">
        <f t="shared" si="44"/>
        <v>1</v>
      </c>
      <c r="BO169" s="19" t="b">
        <f t="shared" si="45"/>
        <v>1</v>
      </c>
      <c r="BP169" s="19" t="b">
        <f t="shared" si="46"/>
        <v>1</v>
      </c>
      <c r="BQ169" s="19" t="b">
        <f t="shared" si="47"/>
        <v>0</v>
      </c>
      <c r="BR169" s="19" t="b">
        <f t="shared" si="48"/>
        <v>0</v>
      </c>
      <c r="BS169" s="19" t="b">
        <f t="shared" si="49"/>
        <v>0</v>
      </c>
    </row>
    <row r="170" spans="2:71" ht="15.75" x14ac:dyDescent="0.2">
      <c r="B170" s="248" t="str">
        <f>IF(Calc!$F$26=0,"",IF(OR($C170&gt;Calc!$B$24,MOD($C170-1,Calc!$F$26)&gt;0),"",QUOTIENT($C170-1,Calc!$F$26)+1))</f>
        <v/>
      </c>
      <c r="C170" s="244">
        <v>162</v>
      </c>
      <c r="D170" s="142">
        <f>IF(Planning!$T168="","",Planning!$T168)</f>
        <v>46039</v>
      </c>
      <c r="E170" s="143">
        <f>IF(Planning!$U168="","",Planning!$U168)</f>
        <v>0.64583333333333337</v>
      </c>
      <c r="F170" s="161" t="str">
        <f>Planning!$Q168</f>
        <v>FC Bayern München</v>
      </c>
      <c r="G170" s="162" t="s">
        <v>4</v>
      </c>
      <c r="H170" s="161" t="str">
        <f>Planning!$S168</f>
        <v>FC Augsburg</v>
      </c>
      <c r="I170" s="163"/>
      <c r="J170" s="315" t="str">
        <f>Language!$E$90</f>
        <v xml:space="preserve"> - </v>
      </c>
      <c r="K170" s="318"/>
      <c r="L170" s="163"/>
      <c r="M170" s="360" t="str">
        <f>Language!$E$90</f>
        <v xml:space="preserve"> - </v>
      </c>
      <c r="N170" s="318"/>
      <c r="O170" s="163"/>
      <c r="P170" s="360" t="str">
        <f>Language!$E$90</f>
        <v xml:space="preserve"> - </v>
      </c>
      <c r="Q170" s="318"/>
      <c r="R170" s="354" t="str">
        <f t="shared" si="41"/>
        <v/>
      </c>
      <c r="S170" s="357" t="str">
        <f>Language!$E$90</f>
        <v xml:space="preserve"> - </v>
      </c>
      <c r="T170" s="321" t="str">
        <f t="shared" si="42"/>
        <v/>
      </c>
      <c r="U170" s="294"/>
      <c r="V170" s="295"/>
      <c r="BM170" s="193" t="b">
        <f t="shared" si="43"/>
        <v>1</v>
      </c>
      <c r="BN170" s="19" t="b">
        <f t="shared" si="44"/>
        <v>1</v>
      </c>
      <c r="BO170" s="19" t="b">
        <f t="shared" si="45"/>
        <v>1</v>
      </c>
      <c r="BP170" s="19" t="b">
        <f t="shared" si="46"/>
        <v>1</v>
      </c>
      <c r="BQ170" s="19" t="b">
        <f t="shared" si="47"/>
        <v>0</v>
      </c>
      <c r="BR170" s="19" t="b">
        <f t="shared" si="48"/>
        <v>0</v>
      </c>
      <c r="BS170" s="19" t="b">
        <f t="shared" si="49"/>
        <v>0</v>
      </c>
    </row>
    <row r="171" spans="2:71" ht="15.75" x14ac:dyDescent="0.2">
      <c r="B171" s="248">
        <f>IF(Calc!$F$26=0,"",IF(OR($C171&gt;Calc!$B$24,MOD($C171-1,Calc!$F$26)&gt;0),"",QUOTIENT($C171-1,Calc!$F$26)+1))</f>
        <v>19</v>
      </c>
      <c r="C171" s="244">
        <v>163</v>
      </c>
      <c r="D171" s="142">
        <f>IF(Planning!$T169="","",Planning!$T169)</f>
        <v>46046</v>
      </c>
      <c r="E171" s="143">
        <f>IF(Planning!$U169="","",Planning!$U169)</f>
        <v>0.64583333333333337</v>
      </c>
      <c r="F171" s="161" t="str">
        <f>Planning!$Q169</f>
        <v>1. FC Heidenheim 1846</v>
      </c>
      <c r="G171" s="162" t="s">
        <v>4</v>
      </c>
      <c r="H171" s="161" t="str">
        <f>Planning!$S169</f>
        <v>VfB Stuttgart</v>
      </c>
      <c r="I171" s="163"/>
      <c r="J171" s="315" t="str">
        <f>Language!$E$90</f>
        <v xml:space="preserve"> - </v>
      </c>
      <c r="K171" s="318"/>
      <c r="L171" s="163"/>
      <c r="M171" s="360" t="str">
        <f>Language!$E$90</f>
        <v xml:space="preserve"> - </v>
      </c>
      <c r="N171" s="318"/>
      <c r="O171" s="163"/>
      <c r="P171" s="360" t="str">
        <f>Language!$E$90</f>
        <v xml:space="preserve"> - </v>
      </c>
      <c r="Q171" s="318"/>
      <c r="R171" s="354" t="str">
        <f t="shared" si="41"/>
        <v/>
      </c>
      <c r="S171" s="357" t="str">
        <f>Language!$E$90</f>
        <v xml:space="preserve"> - </v>
      </c>
      <c r="T171" s="321" t="str">
        <f t="shared" si="42"/>
        <v/>
      </c>
      <c r="U171" s="294"/>
      <c r="V171" s="295"/>
      <c r="BM171" s="193" t="b">
        <f t="shared" si="43"/>
        <v>1</v>
      </c>
      <c r="BN171" s="19" t="b">
        <f t="shared" si="44"/>
        <v>1</v>
      </c>
      <c r="BO171" s="19" t="b">
        <f t="shared" si="45"/>
        <v>1</v>
      </c>
      <c r="BP171" s="19" t="b">
        <f t="shared" si="46"/>
        <v>1</v>
      </c>
      <c r="BQ171" s="19" t="b">
        <f t="shared" si="47"/>
        <v>0</v>
      </c>
      <c r="BR171" s="19" t="b">
        <f t="shared" si="48"/>
        <v>0</v>
      </c>
      <c r="BS171" s="19" t="b">
        <f t="shared" si="49"/>
        <v>0</v>
      </c>
    </row>
    <row r="172" spans="2:71" ht="15.75" x14ac:dyDescent="0.2">
      <c r="B172" s="248" t="str">
        <f>IF(Calc!$F$26=0,"",IF(OR($C172&gt;Calc!$B$24,MOD($C172-1,Calc!$F$26)&gt;0),"",QUOTIENT($C172-1,Calc!$F$26)+1))</f>
        <v/>
      </c>
      <c r="C172" s="244">
        <v>164</v>
      </c>
      <c r="D172" s="142">
        <f>IF(Planning!$T170="","",Planning!$T170)</f>
        <v>46046</v>
      </c>
      <c r="E172" s="143">
        <f>IF(Planning!$U170="","",Planning!$U170)</f>
        <v>0.64583333333333337</v>
      </c>
      <c r="F172" s="161" t="str">
        <f>Planning!$Q170</f>
        <v>VfL Wolfsburg</v>
      </c>
      <c r="G172" s="162" t="s">
        <v>4</v>
      </c>
      <c r="H172" s="161" t="str">
        <f>Planning!$S170</f>
        <v>TSG Hoffenheim</v>
      </c>
      <c r="I172" s="163"/>
      <c r="J172" s="315" t="str">
        <f>Language!$E$90</f>
        <v xml:space="preserve"> - </v>
      </c>
      <c r="K172" s="318"/>
      <c r="L172" s="163"/>
      <c r="M172" s="360" t="str">
        <f>Language!$E$90</f>
        <v xml:space="preserve"> - </v>
      </c>
      <c r="N172" s="318"/>
      <c r="O172" s="163"/>
      <c r="P172" s="360" t="str">
        <f>Language!$E$90</f>
        <v xml:space="preserve"> - </v>
      </c>
      <c r="Q172" s="318"/>
      <c r="R172" s="354" t="str">
        <f t="shared" si="41"/>
        <v/>
      </c>
      <c r="S172" s="357" t="str">
        <f>Language!$E$90</f>
        <v xml:space="preserve"> - </v>
      </c>
      <c r="T172" s="321" t="str">
        <f t="shared" si="42"/>
        <v/>
      </c>
      <c r="U172" s="294"/>
      <c r="V172" s="295"/>
      <c r="BM172" s="193" t="b">
        <f t="shared" si="43"/>
        <v>1</v>
      </c>
      <c r="BN172" s="19" t="b">
        <f t="shared" si="44"/>
        <v>1</v>
      </c>
      <c r="BO172" s="19" t="b">
        <f t="shared" si="45"/>
        <v>1</v>
      </c>
      <c r="BP172" s="19" t="b">
        <f t="shared" si="46"/>
        <v>1</v>
      </c>
      <c r="BQ172" s="19" t="b">
        <f t="shared" si="47"/>
        <v>0</v>
      </c>
      <c r="BR172" s="19" t="b">
        <f t="shared" si="48"/>
        <v>0</v>
      </c>
      <c r="BS172" s="19" t="b">
        <f t="shared" si="49"/>
        <v>0</v>
      </c>
    </row>
    <row r="173" spans="2:71" ht="15.75" x14ac:dyDescent="0.2">
      <c r="B173" s="248" t="str">
        <f>IF(Calc!$F$26=0,"",IF(OR($C173&gt;Calc!$B$24,MOD($C173-1,Calc!$F$26)&gt;0),"",QUOTIENT($C173-1,Calc!$F$26)+1))</f>
        <v/>
      </c>
      <c r="C173" s="244">
        <v>165</v>
      </c>
      <c r="D173" s="142">
        <f>IF(Planning!$T171="","",Planning!$T171)</f>
        <v>46046</v>
      </c>
      <c r="E173" s="143">
        <f>IF(Planning!$U171="","",Planning!$U171)</f>
        <v>0.64583333333333337</v>
      </c>
      <c r="F173" s="161" t="str">
        <f>Planning!$Q171</f>
        <v>SV Werder Bremen</v>
      </c>
      <c r="G173" s="162" t="s">
        <v>4</v>
      </c>
      <c r="H173" s="161" t="str">
        <f>Planning!$S171</f>
        <v>1. FC Köln</v>
      </c>
      <c r="I173" s="163"/>
      <c r="J173" s="315" t="str">
        <f>Language!$E$90</f>
        <v xml:space="preserve"> - </v>
      </c>
      <c r="K173" s="318"/>
      <c r="L173" s="163"/>
      <c r="M173" s="360" t="str">
        <f>Language!$E$90</f>
        <v xml:space="preserve"> - </v>
      </c>
      <c r="N173" s="318"/>
      <c r="O173" s="163"/>
      <c r="P173" s="360" t="str">
        <f>Language!$E$90</f>
        <v xml:space="preserve"> - </v>
      </c>
      <c r="Q173" s="318"/>
      <c r="R173" s="354" t="str">
        <f t="shared" si="41"/>
        <v/>
      </c>
      <c r="S173" s="357" t="str">
        <f>Language!$E$90</f>
        <v xml:space="preserve"> - </v>
      </c>
      <c r="T173" s="321" t="str">
        <f t="shared" si="42"/>
        <v/>
      </c>
      <c r="U173" s="294"/>
      <c r="V173" s="295"/>
      <c r="BM173" s="193" t="b">
        <f t="shared" si="43"/>
        <v>1</v>
      </c>
      <c r="BN173" s="19" t="b">
        <f t="shared" si="44"/>
        <v>1</v>
      </c>
      <c r="BO173" s="19" t="b">
        <f t="shared" si="45"/>
        <v>1</v>
      </c>
      <c r="BP173" s="19" t="b">
        <f t="shared" si="46"/>
        <v>1</v>
      </c>
      <c r="BQ173" s="19" t="b">
        <f t="shared" si="47"/>
        <v>0</v>
      </c>
      <c r="BR173" s="19" t="b">
        <f t="shared" si="48"/>
        <v>0</v>
      </c>
      <c r="BS173" s="19" t="b">
        <f t="shared" si="49"/>
        <v>0</v>
      </c>
    </row>
    <row r="174" spans="2:71" ht="15.75" x14ac:dyDescent="0.2">
      <c r="B174" s="248" t="str">
        <f>IF(Calc!$F$26=0,"",IF(OR($C174&gt;Calc!$B$24,MOD($C174-1,Calc!$F$26)&gt;0),"",QUOTIENT($C174-1,Calc!$F$26)+1))</f>
        <v/>
      </c>
      <c r="C174" s="244">
        <v>166</v>
      </c>
      <c r="D174" s="142">
        <f>IF(Planning!$T172="","",Planning!$T172)</f>
        <v>46046</v>
      </c>
      <c r="E174" s="143">
        <f>IF(Planning!$U172="","",Planning!$U172)</f>
        <v>0.64583333333333337</v>
      </c>
      <c r="F174" s="161" t="str">
        <f>Planning!$Q172</f>
        <v>1. FC Union Berlin</v>
      </c>
      <c r="G174" s="162" t="s">
        <v>4</v>
      </c>
      <c r="H174" s="161" t="str">
        <f>Planning!$S172</f>
        <v>SC Freiburg</v>
      </c>
      <c r="I174" s="163"/>
      <c r="J174" s="315" t="str">
        <f>Language!$E$90</f>
        <v xml:space="preserve"> - </v>
      </c>
      <c r="K174" s="318"/>
      <c r="L174" s="163"/>
      <c r="M174" s="360" t="str">
        <f>Language!$E$90</f>
        <v xml:space="preserve"> - </v>
      </c>
      <c r="N174" s="318"/>
      <c r="O174" s="163"/>
      <c r="P174" s="360" t="str">
        <f>Language!$E$90</f>
        <v xml:space="preserve"> - </v>
      </c>
      <c r="Q174" s="318"/>
      <c r="R174" s="354" t="str">
        <f t="shared" si="41"/>
        <v/>
      </c>
      <c r="S174" s="357" t="str">
        <f>Language!$E$90</f>
        <v xml:space="preserve"> - </v>
      </c>
      <c r="T174" s="321" t="str">
        <f t="shared" si="42"/>
        <v/>
      </c>
      <c r="U174" s="294"/>
      <c r="V174" s="295"/>
      <c r="BM174" s="193" t="b">
        <f t="shared" si="43"/>
        <v>1</v>
      </c>
      <c r="BN174" s="19" t="b">
        <f t="shared" si="44"/>
        <v>1</v>
      </c>
      <c r="BO174" s="19" t="b">
        <f t="shared" si="45"/>
        <v>1</v>
      </c>
      <c r="BP174" s="19" t="b">
        <f t="shared" si="46"/>
        <v>1</v>
      </c>
      <c r="BQ174" s="19" t="b">
        <f t="shared" si="47"/>
        <v>0</v>
      </c>
      <c r="BR174" s="19" t="b">
        <f t="shared" si="48"/>
        <v>0</v>
      </c>
      <c r="BS174" s="19" t="b">
        <f t="shared" si="49"/>
        <v>0</v>
      </c>
    </row>
    <row r="175" spans="2:71" ht="15.75" x14ac:dyDescent="0.2">
      <c r="B175" s="248" t="str">
        <f>IF(Calc!$F$26=0,"",IF(OR($C175&gt;Calc!$B$24,MOD($C175-1,Calc!$F$26)&gt;0),"",QUOTIENT($C175-1,Calc!$F$26)+1))</f>
        <v/>
      </c>
      <c r="C175" s="244">
        <v>167</v>
      </c>
      <c r="D175" s="142">
        <f>IF(Planning!$T173="","",Planning!$T173)</f>
        <v>46046</v>
      </c>
      <c r="E175" s="143">
        <f>IF(Planning!$U173="","",Planning!$U173)</f>
        <v>0.64583333333333337</v>
      </c>
      <c r="F175" s="161" t="str">
        <f>Planning!$Q173</f>
        <v>RB Leipzig</v>
      </c>
      <c r="G175" s="162" t="s">
        <v>4</v>
      </c>
      <c r="H175" s="161" t="str">
        <f>Planning!$S173</f>
        <v>1. FSV Mainz 05</v>
      </c>
      <c r="I175" s="163"/>
      <c r="J175" s="315" t="str">
        <f>Language!$E$90</f>
        <v xml:space="preserve"> - </v>
      </c>
      <c r="K175" s="318"/>
      <c r="L175" s="163"/>
      <c r="M175" s="360" t="str">
        <f>Language!$E$90</f>
        <v xml:space="preserve"> - </v>
      </c>
      <c r="N175" s="318"/>
      <c r="O175" s="163"/>
      <c r="P175" s="360" t="str">
        <f>Language!$E$90</f>
        <v xml:space="preserve"> - </v>
      </c>
      <c r="Q175" s="318"/>
      <c r="R175" s="354" t="str">
        <f t="shared" si="41"/>
        <v/>
      </c>
      <c r="S175" s="357" t="str">
        <f>Language!$E$90</f>
        <v xml:space="preserve"> - </v>
      </c>
      <c r="T175" s="321" t="str">
        <f t="shared" si="42"/>
        <v/>
      </c>
      <c r="U175" s="294"/>
      <c r="V175" s="295"/>
      <c r="BM175" s="193" t="b">
        <f t="shared" si="43"/>
        <v>1</v>
      </c>
      <c r="BN175" s="19" t="b">
        <f t="shared" si="44"/>
        <v>1</v>
      </c>
      <c r="BO175" s="19" t="b">
        <f t="shared" si="45"/>
        <v>1</v>
      </c>
      <c r="BP175" s="19" t="b">
        <f t="shared" si="46"/>
        <v>1</v>
      </c>
      <c r="BQ175" s="19" t="b">
        <f t="shared" si="47"/>
        <v>0</v>
      </c>
      <c r="BR175" s="19" t="b">
        <f t="shared" si="48"/>
        <v>0</v>
      </c>
      <c r="BS175" s="19" t="b">
        <f t="shared" si="49"/>
        <v>0</v>
      </c>
    </row>
    <row r="176" spans="2:71" ht="15.75" x14ac:dyDescent="0.2">
      <c r="B176" s="248" t="str">
        <f>IF(Calc!$F$26=0,"",IF(OR($C176&gt;Calc!$B$24,MOD($C176-1,Calc!$F$26)&gt;0),"",QUOTIENT($C176-1,Calc!$F$26)+1))</f>
        <v/>
      </c>
      <c r="C176" s="244">
        <v>168</v>
      </c>
      <c r="D176" s="142">
        <f>IF(Planning!$T174="","",Planning!$T174)</f>
        <v>46046</v>
      </c>
      <c r="E176" s="143">
        <f>IF(Planning!$U174="","",Planning!$U174)</f>
        <v>0.64583333333333337</v>
      </c>
      <c r="F176" s="161" t="str">
        <f>Planning!$Q174</f>
        <v>Bayer 04 Leverkusen</v>
      </c>
      <c r="G176" s="162" t="s">
        <v>4</v>
      </c>
      <c r="H176" s="161" t="str">
        <f>Planning!$S174</f>
        <v>Hamburger SV</v>
      </c>
      <c r="I176" s="163"/>
      <c r="J176" s="315" t="str">
        <f>Language!$E$90</f>
        <v xml:space="preserve"> - </v>
      </c>
      <c r="K176" s="318"/>
      <c r="L176" s="163"/>
      <c r="M176" s="360" t="str">
        <f>Language!$E$90</f>
        <v xml:space="preserve"> - </v>
      </c>
      <c r="N176" s="318"/>
      <c r="O176" s="163"/>
      <c r="P176" s="360" t="str">
        <f>Language!$E$90</f>
        <v xml:space="preserve"> - </v>
      </c>
      <c r="Q176" s="318"/>
      <c r="R176" s="354" t="str">
        <f t="shared" si="41"/>
        <v/>
      </c>
      <c r="S176" s="357" t="str">
        <f>Language!$E$90</f>
        <v xml:space="preserve"> - </v>
      </c>
      <c r="T176" s="321" t="str">
        <f t="shared" si="42"/>
        <v/>
      </c>
      <c r="U176" s="294"/>
      <c r="V176" s="295"/>
      <c r="BM176" s="193" t="b">
        <f t="shared" si="43"/>
        <v>1</v>
      </c>
      <c r="BN176" s="19" t="b">
        <f t="shared" si="44"/>
        <v>1</v>
      </c>
      <c r="BO176" s="19" t="b">
        <f t="shared" si="45"/>
        <v>1</v>
      </c>
      <c r="BP176" s="19" t="b">
        <f t="shared" si="46"/>
        <v>1</v>
      </c>
      <c r="BQ176" s="19" t="b">
        <f t="shared" si="47"/>
        <v>0</v>
      </c>
      <c r="BR176" s="19" t="b">
        <f t="shared" si="48"/>
        <v>0</v>
      </c>
      <c r="BS176" s="19" t="b">
        <f t="shared" si="49"/>
        <v>0</v>
      </c>
    </row>
    <row r="177" spans="2:71" ht="15.75" x14ac:dyDescent="0.2">
      <c r="B177" s="248" t="str">
        <f>IF(Calc!$F$26=0,"",IF(OR($C177&gt;Calc!$B$24,MOD($C177-1,Calc!$F$26)&gt;0),"",QUOTIENT($C177-1,Calc!$F$26)+1))</f>
        <v/>
      </c>
      <c r="C177" s="244">
        <v>169</v>
      </c>
      <c r="D177" s="142">
        <f>IF(Planning!$T175="","",Planning!$T175)</f>
        <v>46046</v>
      </c>
      <c r="E177" s="143">
        <f>IF(Planning!$U175="","",Planning!$U175)</f>
        <v>0.64583333333333337</v>
      </c>
      <c r="F177" s="161" t="str">
        <f>Planning!$Q175</f>
        <v>FC St. Pauli</v>
      </c>
      <c r="G177" s="162" t="s">
        <v>4</v>
      </c>
      <c r="H177" s="161" t="str">
        <f>Planning!$S175</f>
        <v>Borussia Dortmund</v>
      </c>
      <c r="I177" s="163"/>
      <c r="J177" s="315" t="str">
        <f>Language!$E$90</f>
        <v xml:space="preserve"> - </v>
      </c>
      <c r="K177" s="318"/>
      <c r="L177" s="163"/>
      <c r="M177" s="360" t="str">
        <f>Language!$E$90</f>
        <v xml:space="preserve"> - </v>
      </c>
      <c r="N177" s="318"/>
      <c r="O177" s="163"/>
      <c r="P177" s="360" t="str">
        <f>Language!$E$90</f>
        <v xml:space="preserve"> - </v>
      </c>
      <c r="Q177" s="318"/>
      <c r="R177" s="354" t="str">
        <f t="shared" si="41"/>
        <v/>
      </c>
      <c r="S177" s="357" t="str">
        <f>Language!$E$90</f>
        <v xml:space="preserve"> - </v>
      </c>
      <c r="T177" s="321" t="str">
        <f t="shared" si="42"/>
        <v/>
      </c>
      <c r="U177" s="294"/>
      <c r="V177" s="295"/>
      <c r="BM177" s="193" t="b">
        <f t="shared" si="43"/>
        <v>1</v>
      </c>
      <c r="BN177" s="19" t="b">
        <f t="shared" si="44"/>
        <v>1</v>
      </c>
      <c r="BO177" s="19" t="b">
        <f t="shared" si="45"/>
        <v>1</v>
      </c>
      <c r="BP177" s="19" t="b">
        <f t="shared" si="46"/>
        <v>1</v>
      </c>
      <c r="BQ177" s="19" t="b">
        <f t="shared" si="47"/>
        <v>0</v>
      </c>
      <c r="BR177" s="19" t="b">
        <f t="shared" si="48"/>
        <v>0</v>
      </c>
      <c r="BS177" s="19" t="b">
        <f t="shared" si="49"/>
        <v>0</v>
      </c>
    </row>
    <row r="178" spans="2:71" ht="15.75" x14ac:dyDescent="0.2">
      <c r="B178" s="248" t="str">
        <f>IF(Calc!$F$26=0,"",IF(OR($C178&gt;Calc!$B$24,MOD($C178-1,Calc!$F$26)&gt;0),"",QUOTIENT($C178-1,Calc!$F$26)+1))</f>
        <v/>
      </c>
      <c r="C178" s="244">
        <v>170</v>
      </c>
      <c r="D178" s="142">
        <f>IF(Planning!$T176="","",Planning!$T176)</f>
        <v>46046</v>
      </c>
      <c r="E178" s="143">
        <f>IF(Planning!$U176="","",Planning!$U176)</f>
        <v>0.64583333333333337</v>
      </c>
      <c r="F178" s="161" t="str">
        <f>Planning!$Q176</f>
        <v>Borussia Mönchengladbach</v>
      </c>
      <c r="G178" s="162" t="s">
        <v>4</v>
      </c>
      <c r="H178" s="161" t="str">
        <f>Planning!$S176</f>
        <v>FC Bayern München</v>
      </c>
      <c r="I178" s="163"/>
      <c r="J178" s="315" t="str">
        <f>Language!$E$90</f>
        <v xml:space="preserve"> - </v>
      </c>
      <c r="K178" s="318"/>
      <c r="L178" s="163"/>
      <c r="M178" s="360" t="str">
        <f>Language!$E$90</f>
        <v xml:space="preserve"> - </v>
      </c>
      <c r="N178" s="318"/>
      <c r="O178" s="163"/>
      <c r="P178" s="360" t="str">
        <f>Language!$E$90</f>
        <v xml:space="preserve"> - </v>
      </c>
      <c r="Q178" s="318"/>
      <c r="R178" s="354" t="str">
        <f t="shared" si="41"/>
        <v/>
      </c>
      <c r="S178" s="357" t="str">
        <f>Language!$E$90</f>
        <v xml:space="preserve"> - </v>
      </c>
      <c r="T178" s="321" t="str">
        <f t="shared" si="42"/>
        <v/>
      </c>
      <c r="U178" s="294"/>
      <c r="V178" s="295"/>
      <c r="BM178" s="193" t="b">
        <f t="shared" si="43"/>
        <v>1</v>
      </c>
      <c r="BN178" s="19" t="b">
        <f t="shared" si="44"/>
        <v>1</v>
      </c>
      <c r="BO178" s="19" t="b">
        <f t="shared" si="45"/>
        <v>1</v>
      </c>
      <c r="BP178" s="19" t="b">
        <f t="shared" si="46"/>
        <v>1</v>
      </c>
      <c r="BQ178" s="19" t="b">
        <f t="shared" si="47"/>
        <v>0</v>
      </c>
      <c r="BR178" s="19" t="b">
        <f t="shared" si="48"/>
        <v>0</v>
      </c>
      <c r="BS178" s="19" t="b">
        <f t="shared" si="49"/>
        <v>0</v>
      </c>
    </row>
    <row r="179" spans="2:71" ht="15.75" x14ac:dyDescent="0.2">
      <c r="B179" s="248" t="str">
        <f>IF(Calc!$F$26=0,"",IF(OR($C179&gt;Calc!$B$24,MOD($C179-1,Calc!$F$26)&gt;0),"",QUOTIENT($C179-1,Calc!$F$26)+1))</f>
        <v/>
      </c>
      <c r="C179" s="244">
        <v>171</v>
      </c>
      <c r="D179" s="142">
        <f>IF(Planning!$T177="","",Planning!$T177)</f>
        <v>46046</v>
      </c>
      <c r="E179" s="143">
        <f>IF(Planning!$U177="","",Planning!$U177)</f>
        <v>0.64583333333333337</v>
      </c>
      <c r="F179" s="161" t="str">
        <f>Planning!$Q177</f>
        <v>FC Augsburg</v>
      </c>
      <c r="G179" s="162" t="s">
        <v>4</v>
      </c>
      <c r="H179" s="161" t="str">
        <f>Planning!$S177</f>
        <v>Eintracht Frankfurt</v>
      </c>
      <c r="I179" s="163"/>
      <c r="J179" s="315" t="str">
        <f>Language!$E$90</f>
        <v xml:space="preserve"> - </v>
      </c>
      <c r="K179" s="318"/>
      <c r="L179" s="163"/>
      <c r="M179" s="360" t="str">
        <f>Language!$E$90</f>
        <v xml:space="preserve"> - </v>
      </c>
      <c r="N179" s="318"/>
      <c r="O179" s="163"/>
      <c r="P179" s="360" t="str">
        <f>Language!$E$90</f>
        <v xml:space="preserve"> - </v>
      </c>
      <c r="Q179" s="318"/>
      <c r="R179" s="354" t="str">
        <f t="shared" si="41"/>
        <v/>
      </c>
      <c r="S179" s="357" t="str">
        <f>Language!$E$90</f>
        <v xml:space="preserve"> - </v>
      </c>
      <c r="T179" s="321" t="str">
        <f t="shared" si="42"/>
        <v/>
      </c>
      <c r="U179" s="294"/>
      <c r="V179" s="295"/>
      <c r="BM179" s="193" t="b">
        <f t="shared" si="43"/>
        <v>1</v>
      </c>
      <c r="BN179" s="19" t="b">
        <f t="shared" si="44"/>
        <v>1</v>
      </c>
      <c r="BO179" s="19" t="b">
        <f t="shared" si="45"/>
        <v>1</v>
      </c>
      <c r="BP179" s="19" t="b">
        <f t="shared" si="46"/>
        <v>1</v>
      </c>
      <c r="BQ179" s="19" t="b">
        <f t="shared" si="47"/>
        <v>0</v>
      </c>
      <c r="BR179" s="19" t="b">
        <f t="shared" si="48"/>
        <v>0</v>
      </c>
      <c r="BS179" s="19" t="b">
        <f t="shared" si="49"/>
        <v>0</v>
      </c>
    </row>
    <row r="180" spans="2:71" ht="15.75" x14ac:dyDescent="0.2">
      <c r="B180" s="248">
        <f>IF(Calc!$F$26=0,"",IF(OR($C180&gt;Calc!$B$24,MOD($C180-1,Calc!$F$26)&gt;0),"",QUOTIENT($C180-1,Calc!$F$26)+1))</f>
        <v>20</v>
      </c>
      <c r="C180" s="244">
        <v>172</v>
      </c>
      <c r="D180" s="142">
        <f>IF(Planning!$T178="","",Planning!$T178)</f>
        <v>46053</v>
      </c>
      <c r="E180" s="143">
        <f>IF(Planning!$U178="","",Planning!$U178)</f>
        <v>0.64583333333333337</v>
      </c>
      <c r="F180" s="161" t="str">
        <f>Planning!$Q178</f>
        <v>TSG Hoffenheim</v>
      </c>
      <c r="G180" s="162" t="s">
        <v>4</v>
      </c>
      <c r="H180" s="161" t="str">
        <f>Planning!$S178</f>
        <v>1. FC Heidenheim 1846</v>
      </c>
      <c r="I180" s="163"/>
      <c r="J180" s="315" t="str">
        <f>Language!$E$90</f>
        <v xml:space="preserve"> - </v>
      </c>
      <c r="K180" s="318"/>
      <c r="L180" s="163"/>
      <c r="M180" s="360" t="str">
        <f>Language!$E$90</f>
        <v xml:space="preserve"> - </v>
      </c>
      <c r="N180" s="318"/>
      <c r="O180" s="163"/>
      <c r="P180" s="360" t="str">
        <f>Language!$E$90</f>
        <v xml:space="preserve"> - </v>
      </c>
      <c r="Q180" s="318"/>
      <c r="R180" s="354" t="str">
        <f t="shared" si="41"/>
        <v/>
      </c>
      <c r="S180" s="357" t="str">
        <f>Language!$E$90</f>
        <v xml:space="preserve"> - </v>
      </c>
      <c r="T180" s="321" t="str">
        <f t="shared" si="42"/>
        <v/>
      </c>
      <c r="U180" s="294"/>
      <c r="V180" s="295"/>
      <c r="BM180" s="193" t="b">
        <f t="shared" si="43"/>
        <v>1</v>
      </c>
      <c r="BN180" s="19" t="b">
        <f t="shared" si="44"/>
        <v>1</v>
      </c>
      <c r="BO180" s="19" t="b">
        <f t="shared" si="45"/>
        <v>1</v>
      </c>
      <c r="BP180" s="19" t="b">
        <f t="shared" si="46"/>
        <v>1</v>
      </c>
      <c r="BQ180" s="19" t="b">
        <f t="shared" si="47"/>
        <v>0</v>
      </c>
      <c r="BR180" s="19" t="b">
        <f t="shared" si="48"/>
        <v>0</v>
      </c>
      <c r="BS180" s="19" t="b">
        <f t="shared" si="49"/>
        <v>0</v>
      </c>
    </row>
    <row r="181" spans="2:71" ht="15.75" x14ac:dyDescent="0.2">
      <c r="B181" s="248" t="str">
        <f>IF(Calc!$F$26=0,"",IF(OR($C181&gt;Calc!$B$24,MOD($C181-1,Calc!$F$26)&gt;0),"",QUOTIENT($C181-1,Calc!$F$26)+1))</f>
        <v/>
      </c>
      <c r="C181" s="244">
        <v>173</v>
      </c>
      <c r="D181" s="142">
        <f>IF(Planning!$T179="","",Planning!$T179)</f>
        <v>46053</v>
      </c>
      <c r="E181" s="143">
        <f>IF(Planning!$U179="","",Planning!$U179)</f>
        <v>0.64583333333333337</v>
      </c>
      <c r="F181" s="161" t="str">
        <f>Planning!$Q179</f>
        <v>VfB Stuttgart</v>
      </c>
      <c r="G181" s="162" t="s">
        <v>4</v>
      </c>
      <c r="H181" s="161" t="str">
        <f>Planning!$S179</f>
        <v>SV Werder Bremen</v>
      </c>
      <c r="I181" s="163"/>
      <c r="J181" s="315" t="str">
        <f>Language!$E$90</f>
        <v xml:space="preserve"> - </v>
      </c>
      <c r="K181" s="318"/>
      <c r="L181" s="163"/>
      <c r="M181" s="360" t="str">
        <f>Language!$E$90</f>
        <v xml:space="preserve"> - </v>
      </c>
      <c r="N181" s="318"/>
      <c r="O181" s="163"/>
      <c r="P181" s="360" t="str">
        <f>Language!$E$90</f>
        <v xml:space="preserve"> - </v>
      </c>
      <c r="Q181" s="318"/>
      <c r="R181" s="354" t="str">
        <f t="shared" si="41"/>
        <v/>
      </c>
      <c r="S181" s="357" t="str">
        <f>Language!$E$90</f>
        <v xml:space="preserve"> - </v>
      </c>
      <c r="T181" s="321" t="str">
        <f t="shared" si="42"/>
        <v/>
      </c>
      <c r="U181" s="294"/>
      <c r="V181" s="295"/>
      <c r="BM181" s="193" t="b">
        <f t="shared" si="43"/>
        <v>1</v>
      </c>
      <c r="BN181" s="19" t="b">
        <f t="shared" si="44"/>
        <v>1</v>
      </c>
      <c r="BO181" s="19" t="b">
        <f t="shared" si="45"/>
        <v>1</v>
      </c>
      <c r="BP181" s="19" t="b">
        <f t="shared" si="46"/>
        <v>1</v>
      </c>
      <c r="BQ181" s="19" t="b">
        <f t="shared" si="47"/>
        <v>0</v>
      </c>
      <c r="BR181" s="19" t="b">
        <f t="shared" si="48"/>
        <v>0</v>
      </c>
      <c r="BS181" s="19" t="b">
        <f t="shared" si="49"/>
        <v>0</v>
      </c>
    </row>
    <row r="182" spans="2:71" ht="15.75" x14ac:dyDescent="0.2">
      <c r="B182" s="248" t="str">
        <f>IF(Calc!$F$26=0,"",IF(OR($C182&gt;Calc!$B$24,MOD($C182-1,Calc!$F$26)&gt;0),"",QUOTIENT($C182-1,Calc!$F$26)+1))</f>
        <v/>
      </c>
      <c r="C182" s="244">
        <v>174</v>
      </c>
      <c r="D182" s="142">
        <f>IF(Planning!$T180="","",Planning!$T180)</f>
        <v>46053</v>
      </c>
      <c r="E182" s="143">
        <f>IF(Planning!$U180="","",Planning!$U180)</f>
        <v>0.64583333333333337</v>
      </c>
      <c r="F182" s="161" t="str">
        <f>Planning!$Q180</f>
        <v>SC Freiburg</v>
      </c>
      <c r="G182" s="162" t="s">
        <v>4</v>
      </c>
      <c r="H182" s="161" t="str">
        <f>Planning!$S180</f>
        <v>VfL Wolfsburg</v>
      </c>
      <c r="I182" s="163"/>
      <c r="J182" s="315" t="str">
        <f>Language!$E$90</f>
        <v xml:space="preserve"> - </v>
      </c>
      <c r="K182" s="318"/>
      <c r="L182" s="163"/>
      <c r="M182" s="360" t="str">
        <f>Language!$E$90</f>
        <v xml:space="preserve"> - </v>
      </c>
      <c r="N182" s="318"/>
      <c r="O182" s="163"/>
      <c r="P182" s="360" t="str">
        <f>Language!$E$90</f>
        <v xml:space="preserve"> - </v>
      </c>
      <c r="Q182" s="318"/>
      <c r="R182" s="354" t="str">
        <f t="shared" si="41"/>
        <v/>
      </c>
      <c r="S182" s="357" t="str">
        <f>Language!$E$90</f>
        <v xml:space="preserve"> - </v>
      </c>
      <c r="T182" s="321" t="str">
        <f t="shared" si="42"/>
        <v/>
      </c>
      <c r="U182" s="294"/>
      <c r="V182" s="295"/>
      <c r="BM182" s="193" t="b">
        <f t="shared" si="43"/>
        <v>1</v>
      </c>
      <c r="BN182" s="19" t="b">
        <f t="shared" si="44"/>
        <v>1</v>
      </c>
      <c r="BO182" s="19" t="b">
        <f t="shared" si="45"/>
        <v>1</v>
      </c>
      <c r="BP182" s="19" t="b">
        <f t="shared" si="46"/>
        <v>1</v>
      </c>
      <c r="BQ182" s="19" t="b">
        <f t="shared" si="47"/>
        <v>0</v>
      </c>
      <c r="BR182" s="19" t="b">
        <f t="shared" si="48"/>
        <v>0</v>
      </c>
      <c r="BS182" s="19" t="b">
        <f t="shared" si="49"/>
        <v>0</v>
      </c>
    </row>
    <row r="183" spans="2:71" ht="15.75" x14ac:dyDescent="0.2">
      <c r="B183" s="248" t="str">
        <f>IF(Calc!$F$26=0,"",IF(OR($C183&gt;Calc!$B$24,MOD($C183-1,Calc!$F$26)&gt;0),"",QUOTIENT($C183-1,Calc!$F$26)+1))</f>
        <v/>
      </c>
      <c r="C183" s="244">
        <v>175</v>
      </c>
      <c r="D183" s="142">
        <f>IF(Planning!$T181="","",Planning!$T181)</f>
        <v>46053</v>
      </c>
      <c r="E183" s="143">
        <f>IF(Planning!$U181="","",Planning!$U181)</f>
        <v>0.64583333333333337</v>
      </c>
      <c r="F183" s="161" t="str">
        <f>Planning!$Q181</f>
        <v>1. FC Köln</v>
      </c>
      <c r="G183" s="162" t="s">
        <v>4</v>
      </c>
      <c r="H183" s="161" t="str">
        <f>Planning!$S181</f>
        <v>RB Leipzig</v>
      </c>
      <c r="I183" s="163"/>
      <c r="J183" s="315" t="str">
        <f>Language!$E$90</f>
        <v xml:space="preserve"> - </v>
      </c>
      <c r="K183" s="318"/>
      <c r="L183" s="163"/>
      <c r="M183" s="360" t="str">
        <f>Language!$E$90</f>
        <v xml:space="preserve"> - </v>
      </c>
      <c r="N183" s="318"/>
      <c r="O183" s="163"/>
      <c r="P183" s="360" t="str">
        <f>Language!$E$90</f>
        <v xml:space="preserve"> - </v>
      </c>
      <c r="Q183" s="318"/>
      <c r="R183" s="354" t="str">
        <f t="shared" si="41"/>
        <v/>
      </c>
      <c r="S183" s="357" t="str">
        <f>Language!$E$90</f>
        <v xml:space="preserve"> - </v>
      </c>
      <c r="T183" s="321" t="str">
        <f t="shared" si="42"/>
        <v/>
      </c>
      <c r="U183" s="294"/>
      <c r="V183" s="295"/>
      <c r="BM183" s="193" t="b">
        <f t="shared" si="43"/>
        <v>1</v>
      </c>
      <c r="BN183" s="19" t="b">
        <f t="shared" si="44"/>
        <v>1</v>
      </c>
      <c r="BO183" s="19" t="b">
        <f t="shared" si="45"/>
        <v>1</v>
      </c>
      <c r="BP183" s="19" t="b">
        <f t="shared" si="46"/>
        <v>1</v>
      </c>
      <c r="BQ183" s="19" t="b">
        <f t="shared" si="47"/>
        <v>0</v>
      </c>
      <c r="BR183" s="19" t="b">
        <f t="shared" si="48"/>
        <v>0</v>
      </c>
      <c r="BS183" s="19" t="b">
        <f t="shared" si="49"/>
        <v>0</v>
      </c>
    </row>
    <row r="184" spans="2:71" ht="15.75" x14ac:dyDescent="0.2">
      <c r="B184" s="248" t="str">
        <f>IF(Calc!$F$26=0,"",IF(OR($C184&gt;Calc!$B$24,MOD($C184-1,Calc!$F$26)&gt;0),"",QUOTIENT($C184-1,Calc!$F$26)+1))</f>
        <v/>
      </c>
      <c r="C184" s="244">
        <v>176</v>
      </c>
      <c r="D184" s="142">
        <f>IF(Planning!$T182="","",Planning!$T182)</f>
        <v>46053</v>
      </c>
      <c r="E184" s="143">
        <f>IF(Planning!$U182="","",Planning!$U182)</f>
        <v>0.64583333333333337</v>
      </c>
      <c r="F184" s="161" t="str">
        <f>Planning!$Q182</f>
        <v>Hamburger SV</v>
      </c>
      <c r="G184" s="162" t="s">
        <v>4</v>
      </c>
      <c r="H184" s="161" t="str">
        <f>Planning!$S182</f>
        <v>1. FC Union Berlin</v>
      </c>
      <c r="I184" s="163"/>
      <c r="J184" s="315" t="str">
        <f>Language!$E$90</f>
        <v xml:space="preserve"> - </v>
      </c>
      <c r="K184" s="318"/>
      <c r="L184" s="163"/>
      <c r="M184" s="360" t="str">
        <f>Language!$E$90</f>
        <v xml:space="preserve"> - </v>
      </c>
      <c r="N184" s="318"/>
      <c r="O184" s="163"/>
      <c r="P184" s="360" t="str">
        <f>Language!$E$90</f>
        <v xml:space="preserve"> - </v>
      </c>
      <c r="Q184" s="318"/>
      <c r="R184" s="354" t="str">
        <f t="shared" si="41"/>
        <v/>
      </c>
      <c r="S184" s="357" t="str">
        <f>Language!$E$90</f>
        <v xml:space="preserve"> - </v>
      </c>
      <c r="T184" s="321" t="str">
        <f t="shared" si="42"/>
        <v/>
      </c>
      <c r="U184" s="294"/>
      <c r="V184" s="295"/>
      <c r="BM184" s="193" t="b">
        <f t="shared" si="43"/>
        <v>1</v>
      </c>
      <c r="BN184" s="19" t="b">
        <f t="shared" si="44"/>
        <v>1</v>
      </c>
      <c r="BO184" s="19" t="b">
        <f t="shared" si="45"/>
        <v>1</v>
      </c>
      <c r="BP184" s="19" t="b">
        <f t="shared" si="46"/>
        <v>1</v>
      </c>
      <c r="BQ184" s="19" t="b">
        <f t="shared" si="47"/>
        <v>0</v>
      </c>
      <c r="BR184" s="19" t="b">
        <f t="shared" si="48"/>
        <v>0</v>
      </c>
      <c r="BS184" s="19" t="b">
        <f t="shared" si="49"/>
        <v>0</v>
      </c>
    </row>
    <row r="185" spans="2:71" ht="15.75" x14ac:dyDescent="0.2">
      <c r="B185" s="248" t="str">
        <f>IF(Calc!$F$26=0,"",IF(OR($C185&gt;Calc!$B$24,MOD($C185-1,Calc!$F$26)&gt;0),"",QUOTIENT($C185-1,Calc!$F$26)+1))</f>
        <v/>
      </c>
      <c r="C185" s="244">
        <v>177</v>
      </c>
      <c r="D185" s="142">
        <f>IF(Planning!$T183="","",Planning!$T183)</f>
        <v>46053</v>
      </c>
      <c r="E185" s="143">
        <f>IF(Planning!$U183="","",Planning!$U183)</f>
        <v>0.64583333333333337</v>
      </c>
      <c r="F185" s="161" t="str">
        <f>Planning!$Q183</f>
        <v>1. FSV Mainz 05</v>
      </c>
      <c r="G185" s="162" t="s">
        <v>4</v>
      </c>
      <c r="H185" s="161" t="str">
        <f>Planning!$S183</f>
        <v>FC St. Pauli</v>
      </c>
      <c r="I185" s="163"/>
      <c r="J185" s="315" t="str">
        <f>Language!$E$90</f>
        <v xml:space="preserve"> - </v>
      </c>
      <c r="K185" s="318"/>
      <c r="L185" s="163"/>
      <c r="M185" s="360" t="str">
        <f>Language!$E$90</f>
        <v xml:space="preserve"> - </v>
      </c>
      <c r="N185" s="318"/>
      <c r="O185" s="163"/>
      <c r="P185" s="360" t="str">
        <f>Language!$E$90</f>
        <v xml:space="preserve"> - </v>
      </c>
      <c r="Q185" s="318"/>
      <c r="R185" s="354" t="str">
        <f t="shared" si="41"/>
        <v/>
      </c>
      <c r="S185" s="357" t="str">
        <f>Language!$E$90</f>
        <v xml:space="preserve"> - </v>
      </c>
      <c r="T185" s="321" t="str">
        <f t="shared" si="42"/>
        <v/>
      </c>
      <c r="U185" s="294"/>
      <c r="V185" s="295"/>
      <c r="BM185" s="193" t="b">
        <f t="shared" si="43"/>
        <v>1</v>
      </c>
      <c r="BN185" s="19" t="b">
        <f t="shared" si="44"/>
        <v>1</v>
      </c>
      <c r="BO185" s="19" t="b">
        <f t="shared" si="45"/>
        <v>1</v>
      </c>
      <c r="BP185" s="19" t="b">
        <f t="shared" si="46"/>
        <v>1</v>
      </c>
      <c r="BQ185" s="19" t="b">
        <f t="shared" si="47"/>
        <v>0</v>
      </c>
      <c r="BR185" s="19" t="b">
        <f t="shared" si="48"/>
        <v>0</v>
      </c>
      <c r="BS185" s="19" t="b">
        <f t="shared" si="49"/>
        <v>0</v>
      </c>
    </row>
    <row r="186" spans="2:71" ht="15.75" x14ac:dyDescent="0.2">
      <c r="B186" s="248" t="str">
        <f>IF(Calc!$F$26=0,"",IF(OR($C186&gt;Calc!$B$24,MOD($C186-1,Calc!$F$26)&gt;0),"",QUOTIENT($C186-1,Calc!$F$26)+1))</f>
        <v/>
      </c>
      <c r="C186" s="244">
        <v>178</v>
      </c>
      <c r="D186" s="142">
        <f>IF(Planning!$T184="","",Planning!$T184)</f>
        <v>46053</v>
      </c>
      <c r="E186" s="143">
        <f>IF(Planning!$U184="","",Planning!$U184)</f>
        <v>0.64583333333333337</v>
      </c>
      <c r="F186" s="161" t="str">
        <f>Planning!$Q184</f>
        <v>FC Bayern München</v>
      </c>
      <c r="G186" s="162" t="s">
        <v>4</v>
      </c>
      <c r="H186" s="161" t="str">
        <f>Planning!$S184</f>
        <v>Bayer 04 Leverkusen</v>
      </c>
      <c r="I186" s="163"/>
      <c r="J186" s="315" t="str">
        <f>Language!$E$90</f>
        <v xml:space="preserve"> - </v>
      </c>
      <c r="K186" s="318"/>
      <c r="L186" s="163"/>
      <c r="M186" s="360" t="str">
        <f>Language!$E$90</f>
        <v xml:space="preserve"> - </v>
      </c>
      <c r="N186" s="318"/>
      <c r="O186" s="163"/>
      <c r="P186" s="360" t="str">
        <f>Language!$E$90</f>
        <v xml:space="preserve"> - </v>
      </c>
      <c r="Q186" s="318"/>
      <c r="R186" s="354" t="str">
        <f t="shared" si="41"/>
        <v/>
      </c>
      <c r="S186" s="357" t="str">
        <f>Language!$E$90</f>
        <v xml:space="preserve"> - </v>
      </c>
      <c r="T186" s="321" t="str">
        <f t="shared" si="42"/>
        <v/>
      </c>
      <c r="U186" s="294"/>
      <c r="V186" s="295"/>
      <c r="BM186" s="193" t="b">
        <f t="shared" si="43"/>
        <v>1</v>
      </c>
      <c r="BN186" s="19" t="b">
        <f t="shared" si="44"/>
        <v>1</v>
      </c>
      <c r="BO186" s="19" t="b">
        <f t="shared" si="45"/>
        <v>1</v>
      </c>
      <c r="BP186" s="19" t="b">
        <f t="shared" si="46"/>
        <v>1</v>
      </c>
      <c r="BQ186" s="19" t="b">
        <f t="shared" si="47"/>
        <v>0</v>
      </c>
      <c r="BR186" s="19" t="b">
        <f t="shared" si="48"/>
        <v>0</v>
      </c>
      <c r="BS186" s="19" t="b">
        <f t="shared" si="49"/>
        <v>0</v>
      </c>
    </row>
    <row r="187" spans="2:71" ht="15.75" x14ac:dyDescent="0.2">
      <c r="B187" s="248" t="str">
        <f>IF(Calc!$F$26=0,"",IF(OR($C187&gt;Calc!$B$24,MOD($C187-1,Calc!$F$26)&gt;0),"",QUOTIENT($C187-1,Calc!$F$26)+1))</f>
        <v/>
      </c>
      <c r="C187" s="244">
        <v>179</v>
      </c>
      <c r="D187" s="142">
        <f>IF(Planning!$T185="","",Planning!$T185)</f>
        <v>46053</v>
      </c>
      <c r="E187" s="143">
        <f>IF(Planning!$U185="","",Planning!$U185)</f>
        <v>0.64583333333333337</v>
      </c>
      <c r="F187" s="161" t="str">
        <f>Planning!$Q185</f>
        <v>Borussia Dortmund</v>
      </c>
      <c r="G187" s="162" t="s">
        <v>4</v>
      </c>
      <c r="H187" s="161" t="str">
        <f>Planning!$S185</f>
        <v>FC Augsburg</v>
      </c>
      <c r="I187" s="163"/>
      <c r="J187" s="315" t="str">
        <f>Language!$E$90</f>
        <v xml:space="preserve"> - </v>
      </c>
      <c r="K187" s="318"/>
      <c r="L187" s="163"/>
      <c r="M187" s="360" t="str">
        <f>Language!$E$90</f>
        <v xml:space="preserve"> - </v>
      </c>
      <c r="N187" s="318"/>
      <c r="O187" s="163"/>
      <c r="P187" s="360" t="str">
        <f>Language!$E$90</f>
        <v xml:space="preserve"> - </v>
      </c>
      <c r="Q187" s="318"/>
      <c r="R187" s="354" t="str">
        <f t="shared" si="41"/>
        <v/>
      </c>
      <c r="S187" s="357" t="str">
        <f>Language!$E$90</f>
        <v xml:space="preserve"> - </v>
      </c>
      <c r="T187" s="321" t="str">
        <f t="shared" si="42"/>
        <v/>
      </c>
      <c r="U187" s="294"/>
      <c r="V187" s="295"/>
      <c r="BM187" s="193" t="b">
        <f t="shared" si="43"/>
        <v>1</v>
      </c>
      <c r="BN187" s="19" t="b">
        <f t="shared" si="44"/>
        <v>1</v>
      </c>
      <c r="BO187" s="19" t="b">
        <f t="shared" si="45"/>
        <v>1</v>
      </c>
      <c r="BP187" s="19" t="b">
        <f t="shared" si="46"/>
        <v>1</v>
      </c>
      <c r="BQ187" s="19" t="b">
        <f t="shared" si="47"/>
        <v>0</v>
      </c>
      <c r="BR187" s="19" t="b">
        <f t="shared" si="48"/>
        <v>0</v>
      </c>
      <c r="BS187" s="19" t="b">
        <f t="shared" si="49"/>
        <v>0</v>
      </c>
    </row>
    <row r="188" spans="2:71" ht="15.75" x14ac:dyDescent="0.2">
      <c r="B188" s="248" t="str">
        <f>IF(Calc!$F$26=0,"",IF(OR($C188&gt;Calc!$B$24,MOD($C188-1,Calc!$F$26)&gt;0),"",QUOTIENT($C188-1,Calc!$F$26)+1))</f>
        <v/>
      </c>
      <c r="C188" s="244">
        <v>180</v>
      </c>
      <c r="D188" s="142">
        <f>IF(Planning!$T186="","",Planning!$T186)</f>
        <v>46053</v>
      </c>
      <c r="E188" s="143">
        <f>IF(Planning!$U186="","",Planning!$U186)</f>
        <v>0.64583333333333337</v>
      </c>
      <c r="F188" s="161" t="str">
        <f>Planning!$Q186</f>
        <v>Eintracht Frankfurt</v>
      </c>
      <c r="G188" s="162" t="s">
        <v>4</v>
      </c>
      <c r="H188" s="161" t="str">
        <f>Planning!$S186</f>
        <v>Borussia Mönchengladbach</v>
      </c>
      <c r="I188" s="163"/>
      <c r="J188" s="315" t="str">
        <f>Language!$E$90</f>
        <v xml:space="preserve"> - </v>
      </c>
      <c r="K188" s="318"/>
      <c r="L188" s="163"/>
      <c r="M188" s="360" t="str">
        <f>Language!$E$90</f>
        <v xml:space="preserve"> - </v>
      </c>
      <c r="N188" s="318"/>
      <c r="O188" s="163"/>
      <c r="P188" s="360" t="str">
        <f>Language!$E$90</f>
        <v xml:space="preserve"> - </v>
      </c>
      <c r="Q188" s="318"/>
      <c r="R188" s="354" t="str">
        <f t="shared" si="41"/>
        <v/>
      </c>
      <c r="S188" s="357" t="str">
        <f>Language!$E$90</f>
        <v xml:space="preserve"> - </v>
      </c>
      <c r="T188" s="321" t="str">
        <f t="shared" si="42"/>
        <v/>
      </c>
      <c r="U188" s="294"/>
      <c r="V188" s="295"/>
      <c r="BM188" s="193" t="b">
        <f t="shared" si="43"/>
        <v>1</v>
      </c>
      <c r="BN188" s="19" t="b">
        <f t="shared" si="44"/>
        <v>1</v>
      </c>
      <c r="BO188" s="19" t="b">
        <f t="shared" si="45"/>
        <v>1</v>
      </c>
      <c r="BP188" s="19" t="b">
        <f t="shared" si="46"/>
        <v>1</v>
      </c>
      <c r="BQ188" s="19" t="b">
        <f t="shared" si="47"/>
        <v>0</v>
      </c>
      <c r="BR188" s="19" t="b">
        <f t="shared" si="48"/>
        <v>0</v>
      </c>
      <c r="BS188" s="19" t="b">
        <f t="shared" si="49"/>
        <v>0</v>
      </c>
    </row>
    <row r="189" spans="2:71" ht="15.75" x14ac:dyDescent="0.2">
      <c r="B189" s="248">
        <f>IF(Calc!$F$26=0,"",IF(OR($C189&gt;Calc!$B$24,MOD($C189-1,Calc!$F$26)&gt;0),"",QUOTIENT($C189-1,Calc!$F$26)+1))</f>
        <v>21</v>
      </c>
      <c r="C189" s="244">
        <v>181</v>
      </c>
      <c r="D189" s="142">
        <f>IF(Planning!$T187="","",Planning!$T187)</f>
        <v>46060</v>
      </c>
      <c r="E189" s="143">
        <f>IF(Planning!$U187="","",Planning!$U187)</f>
        <v>0.64583333333333337</v>
      </c>
      <c r="F189" s="161" t="str">
        <f>Planning!$Q187</f>
        <v>1. FC Heidenheim 1846</v>
      </c>
      <c r="G189" s="162" t="s">
        <v>4</v>
      </c>
      <c r="H189" s="161" t="str">
        <f>Planning!$S187</f>
        <v>SV Werder Bremen</v>
      </c>
      <c r="I189" s="163"/>
      <c r="J189" s="315" t="str">
        <f>Language!$E$90</f>
        <v xml:space="preserve"> - </v>
      </c>
      <c r="K189" s="318"/>
      <c r="L189" s="163"/>
      <c r="M189" s="360" t="str">
        <f>Language!$E$90</f>
        <v xml:space="preserve"> - </v>
      </c>
      <c r="N189" s="318"/>
      <c r="O189" s="163"/>
      <c r="P189" s="360" t="str">
        <f>Language!$E$90</f>
        <v xml:space="preserve"> - </v>
      </c>
      <c r="Q189" s="318"/>
      <c r="R189" s="354" t="str">
        <f t="shared" si="41"/>
        <v/>
      </c>
      <c r="S189" s="357" t="str">
        <f>Language!$E$90</f>
        <v xml:space="preserve"> - </v>
      </c>
      <c r="T189" s="321" t="str">
        <f t="shared" si="42"/>
        <v/>
      </c>
      <c r="U189" s="294"/>
      <c r="V189" s="295"/>
      <c r="BM189" s="193" t="b">
        <f t="shared" si="43"/>
        <v>1</v>
      </c>
      <c r="BN189" s="19" t="b">
        <f t="shared" si="44"/>
        <v>1</v>
      </c>
      <c r="BO189" s="19" t="b">
        <f t="shared" si="45"/>
        <v>1</v>
      </c>
      <c r="BP189" s="19" t="b">
        <f t="shared" si="46"/>
        <v>1</v>
      </c>
      <c r="BQ189" s="19" t="b">
        <f t="shared" si="47"/>
        <v>0</v>
      </c>
      <c r="BR189" s="19" t="b">
        <f t="shared" si="48"/>
        <v>0</v>
      </c>
      <c r="BS189" s="19" t="b">
        <f t="shared" si="49"/>
        <v>0</v>
      </c>
    </row>
    <row r="190" spans="2:71" ht="15.75" x14ac:dyDescent="0.2">
      <c r="B190" s="248" t="str">
        <f>IF(Calc!$F$26=0,"",IF(OR($C190&gt;Calc!$B$24,MOD($C190-1,Calc!$F$26)&gt;0),"",QUOTIENT($C190-1,Calc!$F$26)+1))</f>
        <v/>
      </c>
      <c r="C190" s="244">
        <v>182</v>
      </c>
      <c r="D190" s="142">
        <f>IF(Planning!$T188="","",Planning!$T188)</f>
        <v>46060</v>
      </c>
      <c r="E190" s="143">
        <f>IF(Planning!$U188="","",Planning!$U188)</f>
        <v>0.64583333333333337</v>
      </c>
      <c r="F190" s="161" t="str">
        <f>Planning!$Q188</f>
        <v>TSG Hoffenheim</v>
      </c>
      <c r="G190" s="162" t="s">
        <v>4</v>
      </c>
      <c r="H190" s="161" t="str">
        <f>Planning!$S188</f>
        <v>SC Freiburg</v>
      </c>
      <c r="I190" s="163"/>
      <c r="J190" s="315" t="str">
        <f>Language!$E$90</f>
        <v xml:space="preserve"> - </v>
      </c>
      <c r="K190" s="318"/>
      <c r="L190" s="163"/>
      <c r="M190" s="360" t="str">
        <f>Language!$E$90</f>
        <v xml:space="preserve"> - </v>
      </c>
      <c r="N190" s="318"/>
      <c r="O190" s="163"/>
      <c r="P190" s="360" t="str">
        <f>Language!$E$90</f>
        <v xml:space="preserve"> - </v>
      </c>
      <c r="Q190" s="318"/>
      <c r="R190" s="354" t="str">
        <f t="shared" si="41"/>
        <v/>
      </c>
      <c r="S190" s="357" t="str">
        <f>Language!$E$90</f>
        <v xml:space="preserve"> - </v>
      </c>
      <c r="T190" s="321" t="str">
        <f t="shared" si="42"/>
        <v/>
      </c>
      <c r="U190" s="294"/>
      <c r="V190" s="295"/>
      <c r="BM190" s="193" t="b">
        <f t="shared" si="43"/>
        <v>1</v>
      </c>
      <c r="BN190" s="19" t="b">
        <f t="shared" si="44"/>
        <v>1</v>
      </c>
      <c r="BO190" s="19" t="b">
        <f t="shared" si="45"/>
        <v>1</v>
      </c>
      <c r="BP190" s="19" t="b">
        <f t="shared" si="46"/>
        <v>1</v>
      </c>
      <c r="BQ190" s="19" t="b">
        <f t="shared" si="47"/>
        <v>0</v>
      </c>
      <c r="BR190" s="19" t="b">
        <f t="shared" si="48"/>
        <v>0</v>
      </c>
      <c r="BS190" s="19" t="b">
        <f t="shared" si="49"/>
        <v>0</v>
      </c>
    </row>
    <row r="191" spans="2:71" ht="15.75" x14ac:dyDescent="0.2">
      <c r="B191" s="248" t="str">
        <f>IF(Calc!$F$26=0,"",IF(OR($C191&gt;Calc!$B$24,MOD($C191-1,Calc!$F$26)&gt;0),"",QUOTIENT($C191-1,Calc!$F$26)+1))</f>
        <v/>
      </c>
      <c r="C191" s="244">
        <v>183</v>
      </c>
      <c r="D191" s="142">
        <f>IF(Planning!$T189="","",Planning!$T189)</f>
        <v>46060</v>
      </c>
      <c r="E191" s="143">
        <f>IF(Planning!$U189="","",Planning!$U189)</f>
        <v>0.64583333333333337</v>
      </c>
      <c r="F191" s="161" t="str">
        <f>Planning!$Q189</f>
        <v>RB Leipzig</v>
      </c>
      <c r="G191" s="162" t="s">
        <v>4</v>
      </c>
      <c r="H191" s="161" t="str">
        <f>Planning!$S189</f>
        <v>VfB Stuttgart</v>
      </c>
      <c r="I191" s="163"/>
      <c r="J191" s="315" t="str">
        <f>Language!$E$90</f>
        <v xml:space="preserve"> - </v>
      </c>
      <c r="K191" s="318"/>
      <c r="L191" s="163"/>
      <c r="M191" s="360" t="str">
        <f>Language!$E$90</f>
        <v xml:space="preserve"> - </v>
      </c>
      <c r="N191" s="318"/>
      <c r="O191" s="163"/>
      <c r="P191" s="360" t="str">
        <f>Language!$E$90</f>
        <v xml:space="preserve"> - </v>
      </c>
      <c r="Q191" s="318"/>
      <c r="R191" s="354" t="str">
        <f t="shared" si="41"/>
        <v/>
      </c>
      <c r="S191" s="357" t="str">
        <f>Language!$E$90</f>
        <v xml:space="preserve"> - </v>
      </c>
      <c r="T191" s="321" t="str">
        <f t="shared" si="42"/>
        <v/>
      </c>
      <c r="U191" s="294"/>
      <c r="V191" s="295"/>
      <c r="BM191" s="193" t="b">
        <f t="shared" si="43"/>
        <v>1</v>
      </c>
      <c r="BN191" s="19" t="b">
        <f t="shared" si="44"/>
        <v>1</v>
      </c>
      <c r="BO191" s="19" t="b">
        <f t="shared" si="45"/>
        <v>1</v>
      </c>
      <c r="BP191" s="19" t="b">
        <f t="shared" si="46"/>
        <v>1</v>
      </c>
      <c r="BQ191" s="19" t="b">
        <f t="shared" si="47"/>
        <v>0</v>
      </c>
      <c r="BR191" s="19" t="b">
        <f t="shared" si="48"/>
        <v>0</v>
      </c>
      <c r="BS191" s="19" t="b">
        <f t="shared" si="49"/>
        <v>0</v>
      </c>
    </row>
    <row r="192" spans="2:71" ht="15.75" x14ac:dyDescent="0.2">
      <c r="B192" s="248" t="str">
        <f>IF(Calc!$F$26=0,"",IF(OR($C192&gt;Calc!$B$24,MOD($C192-1,Calc!$F$26)&gt;0),"",QUOTIENT($C192-1,Calc!$F$26)+1))</f>
        <v/>
      </c>
      <c r="C192" s="244">
        <v>184</v>
      </c>
      <c r="D192" s="142">
        <f>IF(Planning!$T190="","",Planning!$T190)</f>
        <v>46060</v>
      </c>
      <c r="E192" s="143">
        <f>IF(Planning!$U190="","",Planning!$U190)</f>
        <v>0.64583333333333337</v>
      </c>
      <c r="F192" s="161" t="str">
        <f>Planning!$Q190</f>
        <v>VfL Wolfsburg</v>
      </c>
      <c r="G192" s="162" t="s">
        <v>4</v>
      </c>
      <c r="H192" s="161" t="str">
        <f>Planning!$S190</f>
        <v>Hamburger SV</v>
      </c>
      <c r="I192" s="163"/>
      <c r="J192" s="315" t="str">
        <f>Language!$E$90</f>
        <v xml:space="preserve"> - </v>
      </c>
      <c r="K192" s="318"/>
      <c r="L192" s="163"/>
      <c r="M192" s="360" t="str">
        <f>Language!$E$90</f>
        <v xml:space="preserve"> - </v>
      </c>
      <c r="N192" s="318"/>
      <c r="O192" s="163"/>
      <c r="P192" s="360" t="str">
        <f>Language!$E$90</f>
        <v xml:space="preserve"> - </v>
      </c>
      <c r="Q192" s="318"/>
      <c r="R192" s="354" t="str">
        <f t="shared" si="41"/>
        <v/>
      </c>
      <c r="S192" s="357" t="str">
        <f>Language!$E$90</f>
        <v xml:space="preserve"> - </v>
      </c>
      <c r="T192" s="321" t="str">
        <f t="shared" si="42"/>
        <v/>
      </c>
      <c r="U192" s="294"/>
      <c r="V192" s="295"/>
      <c r="BM192" s="193" t="b">
        <f t="shared" si="43"/>
        <v>1</v>
      </c>
      <c r="BN192" s="19" t="b">
        <f t="shared" si="44"/>
        <v>1</v>
      </c>
      <c r="BO192" s="19" t="b">
        <f t="shared" si="45"/>
        <v>1</v>
      </c>
      <c r="BP192" s="19" t="b">
        <f t="shared" si="46"/>
        <v>1</v>
      </c>
      <c r="BQ192" s="19" t="b">
        <f t="shared" si="47"/>
        <v>0</v>
      </c>
      <c r="BR192" s="19" t="b">
        <f t="shared" si="48"/>
        <v>0</v>
      </c>
      <c r="BS192" s="19" t="b">
        <f t="shared" si="49"/>
        <v>0</v>
      </c>
    </row>
    <row r="193" spans="2:71" ht="15.75" x14ac:dyDescent="0.2">
      <c r="B193" s="248" t="str">
        <f>IF(Calc!$F$26=0,"",IF(OR($C193&gt;Calc!$B$24,MOD($C193-1,Calc!$F$26)&gt;0),"",QUOTIENT($C193-1,Calc!$F$26)+1))</f>
        <v/>
      </c>
      <c r="C193" s="244">
        <v>185</v>
      </c>
      <c r="D193" s="142">
        <f>IF(Planning!$T191="","",Planning!$T191)</f>
        <v>46060</v>
      </c>
      <c r="E193" s="143">
        <f>IF(Planning!$U191="","",Planning!$U191)</f>
        <v>0.64583333333333337</v>
      </c>
      <c r="F193" s="161" t="str">
        <f>Planning!$Q191</f>
        <v>FC St. Pauli</v>
      </c>
      <c r="G193" s="162" t="s">
        <v>4</v>
      </c>
      <c r="H193" s="161" t="str">
        <f>Planning!$S191</f>
        <v>1. FC Köln</v>
      </c>
      <c r="I193" s="163"/>
      <c r="J193" s="315" t="str">
        <f>Language!$E$90</f>
        <v xml:space="preserve"> - </v>
      </c>
      <c r="K193" s="318"/>
      <c r="L193" s="163"/>
      <c r="M193" s="360" t="str">
        <f>Language!$E$90</f>
        <v xml:space="preserve"> - </v>
      </c>
      <c r="N193" s="318"/>
      <c r="O193" s="163"/>
      <c r="P193" s="360" t="str">
        <f>Language!$E$90</f>
        <v xml:space="preserve"> - </v>
      </c>
      <c r="Q193" s="318"/>
      <c r="R193" s="354" t="str">
        <f t="shared" si="41"/>
        <v/>
      </c>
      <c r="S193" s="357" t="str">
        <f>Language!$E$90</f>
        <v xml:space="preserve"> - </v>
      </c>
      <c r="T193" s="321" t="str">
        <f t="shared" si="42"/>
        <v/>
      </c>
      <c r="U193" s="294"/>
      <c r="V193" s="295"/>
      <c r="BM193" s="193" t="b">
        <f t="shared" si="43"/>
        <v>1</v>
      </c>
      <c r="BN193" s="19" t="b">
        <f t="shared" si="44"/>
        <v>1</v>
      </c>
      <c r="BO193" s="19" t="b">
        <f t="shared" si="45"/>
        <v>1</v>
      </c>
      <c r="BP193" s="19" t="b">
        <f t="shared" si="46"/>
        <v>1</v>
      </c>
      <c r="BQ193" s="19" t="b">
        <f t="shared" si="47"/>
        <v>0</v>
      </c>
      <c r="BR193" s="19" t="b">
        <f t="shared" si="48"/>
        <v>0</v>
      </c>
      <c r="BS193" s="19" t="b">
        <f t="shared" si="49"/>
        <v>0</v>
      </c>
    </row>
    <row r="194" spans="2:71" ht="15.75" x14ac:dyDescent="0.2">
      <c r="B194" s="248" t="str">
        <f>IF(Calc!$F$26=0,"",IF(OR($C194&gt;Calc!$B$24,MOD($C194-1,Calc!$F$26)&gt;0),"",QUOTIENT($C194-1,Calc!$F$26)+1))</f>
        <v/>
      </c>
      <c r="C194" s="244">
        <v>186</v>
      </c>
      <c r="D194" s="142">
        <f>IF(Planning!$T192="","",Planning!$T192)</f>
        <v>46060</v>
      </c>
      <c r="E194" s="143">
        <f>IF(Planning!$U192="","",Planning!$U192)</f>
        <v>0.64583333333333337</v>
      </c>
      <c r="F194" s="161" t="str">
        <f>Planning!$Q192</f>
        <v>1. FC Union Berlin</v>
      </c>
      <c r="G194" s="162" t="s">
        <v>4</v>
      </c>
      <c r="H194" s="161" t="str">
        <f>Planning!$S192</f>
        <v>FC Bayern München</v>
      </c>
      <c r="I194" s="163"/>
      <c r="J194" s="315" t="str">
        <f>Language!$E$90</f>
        <v xml:space="preserve"> - </v>
      </c>
      <c r="K194" s="318"/>
      <c r="L194" s="163"/>
      <c r="M194" s="360" t="str">
        <f>Language!$E$90</f>
        <v xml:space="preserve"> - </v>
      </c>
      <c r="N194" s="318"/>
      <c r="O194" s="163"/>
      <c r="P194" s="360" t="str">
        <f>Language!$E$90</f>
        <v xml:space="preserve"> - </v>
      </c>
      <c r="Q194" s="318"/>
      <c r="R194" s="354" t="str">
        <f t="shared" si="41"/>
        <v/>
      </c>
      <c r="S194" s="357" t="str">
        <f>Language!$E$90</f>
        <v xml:space="preserve"> - </v>
      </c>
      <c r="T194" s="321" t="str">
        <f t="shared" si="42"/>
        <v/>
      </c>
      <c r="U194" s="294"/>
      <c r="V194" s="295"/>
      <c r="BM194" s="193" t="b">
        <f t="shared" si="43"/>
        <v>1</v>
      </c>
      <c r="BN194" s="19" t="b">
        <f t="shared" si="44"/>
        <v>1</v>
      </c>
      <c r="BO194" s="19" t="b">
        <f t="shared" si="45"/>
        <v>1</v>
      </c>
      <c r="BP194" s="19" t="b">
        <f t="shared" si="46"/>
        <v>1</v>
      </c>
      <c r="BQ194" s="19" t="b">
        <f t="shared" si="47"/>
        <v>0</v>
      </c>
      <c r="BR194" s="19" t="b">
        <f t="shared" si="48"/>
        <v>0</v>
      </c>
      <c r="BS194" s="19" t="b">
        <f t="shared" si="49"/>
        <v>0</v>
      </c>
    </row>
    <row r="195" spans="2:71" ht="15.75" x14ac:dyDescent="0.2">
      <c r="B195" s="248" t="str">
        <f>IF(Calc!$F$26=0,"",IF(OR($C195&gt;Calc!$B$24,MOD($C195-1,Calc!$F$26)&gt;0),"",QUOTIENT($C195-1,Calc!$F$26)+1))</f>
        <v/>
      </c>
      <c r="C195" s="244">
        <v>187</v>
      </c>
      <c r="D195" s="142">
        <f>IF(Planning!$T193="","",Planning!$T193)</f>
        <v>46060</v>
      </c>
      <c r="E195" s="143">
        <f>IF(Planning!$U193="","",Planning!$U193)</f>
        <v>0.64583333333333337</v>
      </c>
      <c r="F195" s="161" t="str">
        <f>Planning!$Q193</f>
        <v>FC Augsburg</v>
      </c>
      <c r="G195" s="162" t="s">
        <v>4</v>
      </c>
      <c r="H195" s="161" t="str">
        <f>Planning!$S193</f>
        <v>1. FSV Mainz 05</v>
      </c>
      <c r="I195" s="163"/>
      <c r="J195" s="315" t="str">
        <f>Language!$E$90</f>
        <v xml:space="preserve"> - </v>
      </c>
      <c r="K195" s="318"/>
      <c r="L195" s="163"/>
      <c r="M195" s="360" t="str">
        <f>Language!$E$90</f>
        <v xml:space="preserve"> - </v>
      </c>
      <c r="N195" s="318"/>
      <c r="O195" s="163"/>
      <c r="P195" s="360" t="str">
        <f>Language!$E$90</f>
        <v xml:space="preserve"> - </v>
      </c>
      <c r="Q195" s="318"/>
      <c r="R195" s="354" t="str">
        <f t="shared" si="41"/>
        <v/>
      </c>
      <c r="S195" s="357" t="str">
        <f>Language!$E$90</f>
        <v xml:space="preserve"> - </v>
      </c>
      <c r="T195" s="321" t="str">
        <f t="shared" si="42"/>
        <v/>
      </c>
      <c r="U195" s="294"/>
      <c r="V195" s="295"/>
      <c r="BM195" s="193" t="b">
        <f t="shared" si="43"/>
        <v>1</v>
      </c>
      <c r="BN195" s="19" t="b">
        <f t="shared" si="44"/>
        <v>1</v>
      </c>
      <c r="BO195" s="19" t="b">
        <f t="shared" si="45"/>
        <v>1</v>
      </c>
      <c r="BP195" s="19" t="b">
        <f t="shared" si="46"/>
        <v>1</v>
      </c>
      <c r="BQ195" s="19" t="b">
        <f t="shared" si="47"/>
        <v>0</v>
      </c>
      <c r="BR195" s="19" t="b">
        <f t="shared" si="48"/>
        <v>0</v>
      </c>
      <c r="BS195" s="19" t="b">
        <f t="shared" si="49"/>
        <v>0</v>
      </c>
    </row>
    <row r="196" spans="2:71" ht="15.75" x14ac:dyDescent="0.2">
      <c r="B196" s="248" t="str">
        <f>IF(Calc!$F$26=0,"",IF(OR($C196&gt;Calc!$B$24,MOD($C196-1,Calc!$F$26)&gt;0),"",QUOTIENT($C196-1,Calc!$F$26)+1))</f>
        <v/>
      </c>
      <c r="C196" s="244">
        <v>188</v>
      </c>
      <c r="D196" s="142">
        <f>IF(Planning!$T194="","",Planning!$T194)</f>
        <v>46060</v>
      </c>
      <c r="E196" s="143">
        <f>IF(Planning!$U194="","",Planning!$U194)</f>
        <v>0.64583333333333337</v>
      </c>
      <c r="F196" s="161" t="str">
        <f>Planning!$Q194</f>
        <v>Bayer 04 Leverkusen</v>
      </c>
      <c r="G196" s="162" t="s">
        <v>4</v>
      </c>
      <c r="H196" s="161" t="str">
        <f>Planning!$S194</f>
        <v>Eintracht Frankfurt</v>
      </c>
      <c r="I196" s="163"/>
      <c r="J196" s="315" t="str">
        <f>Language!$E$90</f>
        <v xml:space="preserve"> - </v>
      </c>
      <c r="K196" s="318"/>
      <c r="L196" s="163"/>
      <c r="M196" s="360" t="str">
        <f>Language!$E$90</f>
        <v xml:space="preserve"> - </v>
      </c>
      <c r="N196" s="318"/>
      <c r="O196" s="163"/>
      <c r="P196" s="360" t="str">
        <f>Language!$E$90</f>
        <v xml:space="preserve"> - </v>
      </c>
      <c r="Q196" s="318"/>
      <c r="R196" s="354" t="str">
        <f t="shared" si="41"/>
        <v/>
      </c>
      <c r="S196" s="357" t="str">
        <f>Language!$E$90</f>
        <v xml:space="preserve"> - </v>
      </c>
      <c r="T196" s="321" t="str">
        <f t="shared" si="42"/>
        <v/>
      </c>
      <c r="U196" s="294"/>
      <c r="V196" s="295"/>
      <c r="BM196" s="193" t="b">
        <f t="shared" si="43"/>
        <v>1</v>
      </c>
      <c r="BN196" s="19" t="b">
        <f t="shared" si="44"/>
        <v>1</v>
      </c>
      <c r="BO196" s="19" t="b">
        <f t="shared" si="45"/>
        <v>1</v>
      </c>
      <c r="BP196" s="19" t="b">
        <f t="shared" si="46"/>
        <v>1</v>
      </c>
      <c r="BQ196" s="19" t="b">
        <f t="shared" si="47"/>
        <v>0</v>
      </c>
      <c r="BR196" s="19" t="b">
        <f t="shared" si="48"/>
        <v>0</v>
      </c>
      <c r="BS196" s="19" t="b">
        <f t="shared" si="49"/>
        <v>0</v>
      </c>
    </row>
    <row r="197" spans="2:71" ht="15.75" x14ac:dyDescent="0.2">
      <c r="B197" s="248" t="str">
        <f>IF(Calc!$F$26=0,"",IF(OR($C197&gt;Calc!$B$24,MOD($C197-1,Calc!$F$26)&gt;0),"",QUOTIENT($C197-1,Calc!$F$26)+1))</f>
        <v/>
      </c>
      <c r="C197" s="244">
        <v>189</v>
      </c>
      <c r="D197" s="142">
        <f>IF(Planning!$T195="","",Planning!$T195)</f>
        <v>46060</v>
      </c>
      <c r="E197" s="143">
        <f>IF(Planning!$U195="","",Planning!$U195)</f>
        <v>0.64583333333333337</v>
      </c>
      <c r="F197" s="161" t="str">
        <f>Planning!$Q195</f>
        <v>Borussia Mönchengladbach</v>
      </c>
      <c r="G197" s="162" t="s">
        <v>4</v>
      </c>
      <c r="H197" s="161" t="str">
        <f>Planning!$S195</f>
        <v>Borussia Dortmund</v>
      </c>
      <c r="I197" s="163"/>
      <c r="J197" s="315" t="str">
        <f>Language!$E$90</f>
        <v xml:space="preserve"> - </v>
      </c>
      <c r="K197" s="318"/>
      <c r="L197" s="163"/>
      <c r="M197" s="360" t="str">
        <f>Language!$E$90</f>
        <v xml:space="preserve"> - </v>
      </c>
      <c r="N197" s="318"/>
      <c r="O197" s="163"/>
      <c r="P197" s="360" t="str">
        <f>Language!$E$90</f>
        <v xml:space="preserve"> - </v>
      </c>
      <c r="Q197" s="318"/>
      <c r="R197" s="354" t="str">
        <f t="shared" si="41"/>
        <v/>
      </c>
      <c r="S197" s="357" t="str">
        <f>Language!$E$90</f>
        <v xml:space="preserve"> - </v>
      </c>
      <c r="T197" s="321" t="str">
        <f t="shared" si="42"/>
        <v/>
      </c>
      <c r="U197" s="294"/>
      <c r="V197" s="295"/>
      <c r="BM197" s="193" t="b">
        <f t="shared" si="43"/>
        <v>1</v>
      </c>
      <c r="BN197" s="19" t="b">
        <f t="shared" si="44"/>
        <v>1</v>
      </c>
      <c r="BO197" s="19" t="b">
        <f t="shared" si="45"/>
        <v>1</v>
      </c>
      <c r="BP197" s="19" t="b">
        <f t="shared" si="46"/>
        <v>1</v>
      </c>
      <c r="BQ197" s="19" t="b">
        <f t="shared" si="47"/>
        <v>0</v>
      </c>
      <c r="BR197" s="19" t="b">
        <f t="shared" si="48"/>
        <v>0</v>
      </c>
      <c r="BS197" s="19" t="b">
        <f t="shared" si="49"/>
        <v>0</v>
      </c>
    </row>
    <row r="198" spans="2:71" ht="15.75" x14ac:dyDescent="0.2">
      <c r="B198" s="248">
        <f>IF(Calc!$F$26=0,"",IF(OR($C198&gt;Calc!$B$24,MOD($C198-1,Calc!$F$26)&gt;0),"",QUOTIENT($C198-1,Calc!$F$26)+1))</f>
        <v>22</v>
      </c>
      <c r="C198" s="244">
        <v>190</v>
      </c>
      <c r="D198" s="142">
        <f>IF(Planning!$T196="","",Planning!$T196)</f>
        <v>46067</v>
      </c>
      <c r="E198" s="143">
        <f>IF(Planning!$U196="","",Planning!$U196)</f>
        <v>0.64583333333333337</v>
      </c>
      <c r="F198" s="161" t="str">
        <f>Planning!$Q196</f>
        <v>SC Freiburg</v>
      </c>
      <c r="G198" s="162" t="s">
        <v>4</v>
      </c>
      <c r="H198" s="161" t="str">
        <f>Planning!$S196</f>
        <v>1. FC Heidenheim 1846</v>
      </c>
      <c r="I198" s="163"/>
      <c r="J198" s="315" t="str">
        <f>Language!$E$90</f>
        <v xml:space="preserve"> - </v>
      </c>
      <c r="K198" s="318"/>
      <c r="L198" s="163"/>
      <c r="M198" s="360" t="str">
        <f>Language!$E$90</f>
        <v xml:space="preserve"> - </v>
      </c>
      <c r="N198" s="318"/>
      <c r="O198" s="163"/>
      <c r="P198" s="360" t="str">
        <f>Language!$E$90</f>
        <v xml:space="preserve"> - </v>
      </c>
      <c r="Q198" s="318"/>
      <c r="R198" s="354" t="str">
        <f t="shared" si="41"/>
        <v/>
      </c>
      <c r="S198" s="357" t="str">
        <f>Language!$E$90</f>
        <v xml:space="preserve"> - </v>
      </c>
      <c r="T198" s="321" t="str">
        <f t="shared" si="42"/>
        <v/>
      </c>
      <c r="U198" s="294"/>
      <c r="V198" s="295"/>
      <c r="BM198" s="193" t="b">
        <f t="shared" si="43"/>
        <v>1</v>
      </c>
      <c r="BN198" s="19" t="b">
        <f t="shared" si="44"/>
        <v>1</v>
      </c>
      <c r="BO198" s="19" t="b">
        <f t="shared" si="45"/>
        <v>1</v>
      </c>
      <c r="BP198" s="19" t="b">
        <f t="shared" si="46"/>
        <v>1</v>
      </c>
      <c r="BQ198" s="19" t="b">
        <f t="shared" si="47"/>
        <v>0</v>
      </c>
      <c r="BR198" s="19" t="b">
        <f t="shared" si="48"/>
        <v>0</v>
      </c>
      <c r="BS198" s="19" t="b">
        <f t="shared" si="49"/>
        <v>0</v>
      </c>
    </row>
    <row r="199" spans="2:71" ht="15.75" x14ac:dyDescent="0.2">
      <c r="B199" s="248" t="str">
        <f>IF(Calc!$F$26=0,"",IF(OR($C199&gt;Calc!$B$24,MOD($C199-1,Calc!$F$26)&gt;0),"",QUOTIENT($C199-1,Calc!$F$26)+1))</f>
        <v/>
      </c>
      <c r="C199" s="245">
        <v>191</v>
      </c>
      <c r="D199" s="204">
        <f>IF(Planning!$T197="","",Planning!$T197)</f>
        <v>46067</v>
      </c>
      <c r="E199" s="205">
        <f>IF(Planning!$U197="","",Planning!$U197)</f>
        <v>0.64583333333333337</v>
      </c>
      <c r="F199" s="206" t="str">
        <f>Planning!$Q197</f>
        <v>SV Werder Bremen</v>
      </c>
      <c r="G199" s="207" t="s">
        <v>4</v>
      </c>
      <c r="H199" s="206" t="str">
        <f>Planning!$S197</f>
        <v>RB Leipzig</v>
      </c>
      <c r="I199" s="208"/>
      <c r="J199" s="316" t="str">
        <f>Language!$E$90</f>
        <v xml:space="preserve"> - </v>
      </c>
      <c r="K199" s="319"/>
      <c r="L199" s="208"/>
      <c r="M199" s="361" t="str">
        <f>Language!$E$90</f>
        <v xml:space="preserve"> - </v>
      </c>
      <c r="N199" s="319"/>
      <c r="O199" s="208"/>
      <c r="P199" s="361" t="str">
        <f>Language!$E$90</f>
        <v xml:space="preserve"> - </v>
      </c>
      <c r="Q199" s="319"/>
      <c r="R199" s="355" t="str">
        <f t="shared" si="41"/>
        <v/>
      </c>
      <c r="S199" s="358" t="str">
        <f>Language!$E$90</f>
        <v xml:space="preserve"> - </v>
      </c>
      <c r="T199" s="322" t="str">
        <f t="shared" si="42"/>
        <v/>
      </c>
      <c r="U199" s="294"/>
      <c r="V199" s="295"/>
      <c r="BM199" s="193" t="b">
        <f t="shared" si="43"/>
        <v>1</v>
      </c>
      <c r="BN199" s="19" t="b">
        <f t="shared" si="44"/>
        <v>1</v>
      </c>
      <c r="BO199" s="19" t="b">
        <f t="shared" si="45"/>
        <v>1</v>
      </c>
      <c r="BP199" s="19" t="b">
        <f t="shared" si="46"/>
        <v>1</v>
      </c>
      <c r="BQ199" s="19" t="b">
        <f t="shared" si="47"/>
        <v>0</v>
      </c>
      <c r="BR199" s="19" t="b">
        <f t="shared" si="48"/>
        <v>0</v>
      </c>
      <c r="BS199" s="19" t="b">
        <f t="shared" si="49"/>
        <v>0</v>
      </c>
    </row>
    <row r="200" spans="2:71" ht="15.75" x14ac:dyDescent="0.2">
      <c r="B200" s="248" t="str">
        <f>IF(Calc!$F$26=0,"",IF(OR($C200&gt;Calc!$B$24,MOD($C200-1,Calc!$F$26)&gt;0),"",QUOTIENT($C200-1,Calc!$F$26)+1))</f>
        <v/>
      </c>
      <c r="C200" s="244">
        <v>192</v>
      </c>
      <c r="D200" s="142">
        <f>IF(Planning!$T198="","",Planning!$T198)</f>
        <v>46067</v>
      </c>
      <c r="E200" s="143">
        <f>IF(Planning!$U198="","",Planning!$U198)</f>
        <v>0.64583333333333337</v>
      </c>
      <c r="F200" s="161" t="str">
        <f>Planning!$Q198</f>
        <v>Hamburger SV</v>
      </c>
      <c r="G200" s="162" t="s">
        <v>4</v>
      </c>
      <c r="H200" s="161" t="str">
        <f>Planning!$S198</f>
        <v>TSG Hoffenheim</v>
      </c>
      <c r="I200" s="163"/>
      <c r="J200" s="315" t="str">
        <f>Language!$E$90</f>
        <v xml:space="preserve"> - </v>
      </c>
      <c r="K200" s="318"/>
      <c r="L200" s="163"/>
      <c r="M200" s="360" t="str">
        <f>Language!$E$90</f>
        <v xml:space="preserve"> - </v>
      </c>
      <c r="N200" s="318"/>
      <c r="O200" s="163"/>
      <c r="P200" s="360" t="str">
        <f>Language!$E$90</f>
        <v xml:space="preserve"> - </v>
      </c>
      <c r="Q200" s="318"/>
      <c r="R200" s="354" t="str">
        <f t="shared" si="41"/>
        <v/>
      </c>
      <c r="S200" s="357" t="str">
        <f>Language!$E$90</f>
        <v xml:space="preserve"> - </v>
      </c>
      <c r="T200" s="321" t="str">
        <f t="shared" si="42"/>
        <v/>
      </c>
      <c r="U200" s="294"/>
      <c r="V200" s="295"/>
      <c r="BM200" s="193" t="b">
        <f t="shared" si="43"/>
        <v>1</v>
      </c>
      <c r="BN200" s="19" t="b">
        <f t="shared" si="44"/>
        <v>1</v>
      </c>
      <c r="BO200" s="19" t="b">
        <f t="shared" si="45"/>
        <v>1</v>
      </c>
      <c r="BP200" s="19" t="b">
        <f t="shared" si="46"/>
        <v>1</v>
      </c>
      <c r="BQ200" s="19" t="b">
        <f t="shared" si="47"/>
        <v>0</v>
      </c>
      <c r="BR200" s="19" t="b">
        <f t="shared" si="48"/>
        <v>0</v>
      </c>
      <c r="BS200" s="19" t="b">
        <f t="shared" si="49"/>
        <v>0</v>
      </c>
    </row>
    <row r="201" spans="2:71" ht="15.75" x14ac:dyDescent="0.2">
      <c r="B201" s="248" t="str">
        <f>IF(Calc!$F$26=0,"",IF(OR($C201&gt;Calc!$B$24,MOD($C201-1,Calc!$F$26)&gt;0),"",QUOTIENT($C201-1,Calc!$F$26)+1))</f>
        <v/>
      </c>
      <c r="C201" s="244">
        <v>193</v>
      </c>
      <c r="D201" s="142">
        <f>IF(Planning!$T199="","",Planning!$T199)</f>
        <v>46067</v>
      </c>
      <c r="E201" s="143">
        <f>IF(Planning!$U199="","",Planning!$U199)</f>
        <v>0.64583333333333337</v>
      </c>
      <c r="F201" s="161" t="str">
        <f>Planning!$Q199</f>
        <v>VfB Stuttgart</v>
      </c>
      <c r="G201" s="162" t="s">
        <v>4</v>
      </c>
      <c r="H201" s="161" t="str">
        <f>Planning!$S199</f>
        <v>FC St. Pauli</v>
      </c>
      <c r="I201" s="163"/>
      <c r="J201" s="315" t="str">
        <f>Language!$E$90</f>
        <v xml:space="preserve"> - </v>
      </c>
      <c r="K201" s="318"/>
      <c r="L201" s="163"/>
      <c r="M201" s="360" t="str">
        <f>Language!$E$90</f>
        <v xml:space="preserve"> - </v>
      </c>
      <c r="N201" s="318"/>
      <c r="O201" s="163"/>
      <c r="P201" s="360" t="str">
        <f>Language!$E$90</f>
        <v xml:space="preserve"> - </v>
      </c>
      <c r="Q201" s="318"/>
      <c r="R201" s="354" t="str">
        <f t="shared" si="41"/>
        <v/>
      </c>
      <c r="S201" s="357" t="str">
        <f>Language!$E$90</f>
        <v xml:space="preserve"> - </v>
      </c>
      <c r="T201" s="321" t="str">
        <f t="shared" si="42"/>
        <v/>
      </c>
      <c r="U201" s="294"/>
      <c r="V201" s="295"/>
      <c r="BM201" s="193" t="b">
        <f t="shared" si="43"/>
        <v>1</v>
      </c>
      <c r="BN201" s="19" t="b">
        <f t="shared" si="44"/>
        <v>1</v>
      </c>
      <c r="BO201" s="19" t="b">
        <f t="shared" si="45"/>
        <v>1</v>
      </c>
      <c r="BP201" s="19" t="b">
        <f t="shared" si="46"/>
        <v>1</v>
      </c>
      <c r="BQ201" s="19" t="b">
        <f t="shared" si="47"/>
        <v>0</v>
      </c>
      <c r="BR201" s="19" t="b">
        <f t="shared" si="48"/>
        <v>0</v>
      </c>
      <c r="BS201" s="19" t="b">
        <f t="shared" si="49"/>
        <v>0</v>
      </c>
    </row>
    <row r="202" spans="2:71" ht="15.75" x14ac:dyDescent="0.2">
      <c r="B202" s="248" t="str">
        <f>IF(Calc!$F$26=0,"",IF(OR($C202&gt;Calc!$B$24,MOD($C202-1,Calc!$F$26)&gt;0),"",QUOTIENT($C202-1,Calc!$F$26)+1))</f>
        <v/>
      </c>
      <c r="C202" s="244">
        <v>194</v>
      </c>
      <c r="D202" s="142">
        <f>IF(Planning!$T200="","",Planning!$T200)</f>
        <v>46067</v>
      </c>
      <c r="E202" s="143">
        <f>IF(Planning!$U200="","",Planning!$U200)</f>
        <v>0.64583333333333337</v>
      </c>
      <c r="F202" s="161" t="str">
        <f>Planning!$Q200</f>
        <v>FC Bayern München</v>
      </c>
      <c r="G202" s="162" t="s">
        <v>4</v>
      </c>
      <c r="H202" s="161" t="str">
        <f>Planning!$S200</f>
        <v>VfL Wolfsburg</v>
      </c>
      <c r="I202" s="163"/>
      <c r="J202" s="315" t="str">
        <f>Language!$E$90</f>
        <v xml:space="preserve"> - </v>
      </c>
      <c r="K202" s="318"/>
      <c r="L202" s="163"/>
      <c r="M202" s="360" t="str">
        <f>Language!$E$90</f>
        <v xml:space="preserve"> - </v>
      </c>
      <c r="N202" s="318"/>
      <c r="O202" s="163"/>
      <c r="P202" s="360" t="str">
        <f>Language!$E$90</f>
        <v xml:space="preserve"> - </v>
      </c>
      <c r="Q202" s="318"/>
      <c r="R202" s="354" t="str">
        <f t="shared" si="41"/>
        <v/>
      </c>
      <c r="S202" s="357" t="str">
        <f>Language!$E$90</f>
        <v xml:space="preserve"> - </v>
      </c>
      <c r="T202" s="321" t="str">
        <f t="shared" si="42"/>
        <v/>
      </c>
      <c r="U202" s="294"/>
      <c r="V202" s="295"/>
      <c r="BM202" s="193" t="b">
        <f t="shared" si="43"/>
        <v>1</v>
      </c>
      <c r="BN202" s="19" t="b">
        <f t="shared" si="44"/>
        <v>1</v>
      </c>
      <c r="BO202" s="19" t="b">
        <f t="shared" si="45"/>
        <v>1</v>
      </c>
      <c r="BP202" s="19" t="b">
        <f t="shared" si="46"/>
        <v>1</v>
      </c>
      <c r="BQ202" s="19" t="b">
        <f t="shared" si="47"/>
        <v>0</v>
      </c>
      <c r="BR202" s="19" t="b">
        <f t="shared" si="48"/>
        <v>0</v>
      </c>
      <c r="BS202" s="19" t="b">
        <f t="shared" si="49"/>
        <v>0</v>
      </c>
    </row>
    <row r="203" spans="2:71" ht="15.75" x14ac:dyDescent="0.2">
      <c r="B203" s="248" t="str">
        <f>IF(Calc!$F$26=0,"",IF(OR($C203&gt;Calc!$B$24,MOD($C203-1,Calc!$F$26)&gt;0),"",QUOTIENT($C203-1,Calc!$F$26)+1))</f>
        <v/>
      </c>
      <c r="C203" s="244">
        <v>195</v>
      </c>
      <c r="D203" s="142">
        <f>IF(Planning!$T201="","",Planning!$T201)</f>
        <v>46067</v>
      </c>
      <c r="E203" s="143">
        <f>IF(Planning!$U201="","",Planning!$U201)</f>
        <v>0.64583333333333337</v>
      </c>
      <c r="F203" s="161" t="str">
        <f>Planning!$Q201</f>
        <v>1. FC Köln</v>
      </c>
      <c r="G203" s="162" t="s">
        <v>4</v>
      </c>
      <c r="H203" s="161" t="str">
        <f>Planning!$S201</f>
        <v>FC Augsburg</v>
      </c>
      <c r="I203" s="163"/>
      <c r="J203" s="315" t="str">
        <f>Language!$E$90</f>
        <v xml:space="preserve"> - </v>
      </c>
      <c r="K203" s="318"/>
      <c r="L203" s="163"/>
      <c r="M203" s="360" t="str">
        <f>Language!$E$90</f>
        <v xml:space="preserve"> - </v>
      </c>
      <c r="N203" s="318"/>
      <c r="O203" s="163"/>
      <c r="P203" s="360" t="str">
        <f>Language!$E$90</f>
        <v xml:space="preserve"> - </v>
      </c>
      <c r="Q203" s="318"/>
      <c r="R203" s="354" t="str">
        <f t="shared" ref="R203:R266" si="50">IF(BM203,"",(I203&lt;&gt;"")*(K203&lt;&gt;"")*NOT(BN203)*(I203&gt;K203)+(L203&lt;&gt;"")*(N203&lt;&gt;"")*NOT(BO203)*(L203&gt;N203)+(O203&lt;&gt;"")*(Q203&lt;&gt;"")*NOT(BP203)*(O203&gt;Q203))</f>
        <v/>
      </c>
      <c r="S203" s="357" t="str">
        <f>Language!$E$90</f>
        <v xml:space="preserve"> - </v>
      </c>
      <c r="T203" s="321" t="str">
        <f t="shared" ref="T203:T266" si="51">IF(BM203,"",(I203&lt;&gt;"")*(K203&lt;&gt;"")*NOT(BN203)*(I203&lt;K203)+(L203&lt;&gt;"")*(N203&lt;&gt;"")*NOT(BO203)*(L203&lt;N203)+(O203&lt;&gt;"")*(Q203&lt;&gt;"")*NOT(BP203)*(O203&lt;Q203))</f>
        <v/>
      </c>
      <c r="U203" s="294"/>
      <c r="V203" s="295"/>
      <c r="BM203" s="193" t="b">
        <f t="shared" ref="BM203:BM266" si="52">OR(F203="",H203="",AND(OR(I203="",K203="",BN203),OR(L203="",N203="",BO203),OR(O203="",Q203="",BP203)))</f>
        <v>1</v>
      </c>
      <c r="BN203" s="19" t="b">
        <f t="shared" ref="BN203:BN266" si="53">ABS(I203-K203)&lt;2</f>
        <v>1</v>
      </c>
      <c r="BO203" s="19" t="b">
        <f t="shared" ref="BO203:BO266" si="54">ABS(L203-N203)&lt;2</f>
        <v>1</v>
      </c>
      <c r="BP203" s="19" t="b">
        <f t="shared" ref="BP203:BP266" si="55">ABS(O203-Q203)&lt;2</f>
        <v>1</v>
      </c>
      <c r="BQ203" s="19" t="b">
        <f t="shared" ref="BQ203:BQ266" si="56">AND(BN203,I203&lt;&gt;"",K203&lt;&gt;"")</f>
        <v>0</v>
      </c>
      <c r="BR203" s="19" t="b">
        <f t="shared" ref="BR203:BR266" si="57">AND(BO203,L203&lt;&gt;"",N203&lt;&gt;"")</f>
        <v>0</v>
      </c>
      <c r="BS203" s="19" t="b">
        <f t="shared" ref="BS203:BS266" si="58">AND(BP203,O203&lt;&gt;"",Q203&lt;&gt;"")</f>
        <v>0</v>
      </c>
    </row>
    <row r="204" spans="2:71" ht="15.75" x14ac:dyDescent="0.2">
      <c r="B204" s="248" t="str">
        <f>IF(Calc!$F$26=0,"",IF(OR($C204&gt;Calc!$B$24,MOD($C204-1,Calc!$F$26)&gt;0),"",QUOTIENT($C204-1,Calc!$F$26)+1))</f>
        <v/>
      </c>
      <c r="C204" s="244">
        <v>196</v>
      </c>
      <c r="D204" s="142">
        <f>IF(Planning!$T202="","",Planning!$T202)</f>
        <v>46067</v>
      </c>
      <c r="E204" s="143">
        <f>IF(Planning!$U202="","",Planning!$U202)</f>
        <v>0.64583333333333337</v>
      </c>
      <c r="F204" s="161" t="str">
        <f>Planning!$Q202</f>
        <v>Eintracht Frankfurt</v>
      </c>
      <c r="G204" s="162" t="s">
        <v>4</v>
      </c>
      <c r="H204" s="161" t="str">
        <f>Planning!$S202</f>
        <v>1. FC Union Berlin</v>
      </c>
      <c r="I204" s="163"/>
      <c r="J204" s="315" t="str">
        <f>Language!$E$90</f>
        <v xml:space="preserve"> - </v>
      </c>
      <c r="K204" s="318"/>
      <c r="L204" s="163"/>
      <c r="M204" s="360" t="str">
        <f>Language!$E$90</f>
        <v xml:space="preserve"> - </v>
      </c>
      <c r="N204" s="318"/>
      <c r="O204" s="163"/>
      <c r="P204" s="360" t="str">
        <f>Language!$E$90</f>
        <v xml:space="preserve"> - </v>
      </c>
      <c r="Q204" s="318"/>
      <c r="R204" s="354" t="str">
        <f t="shared" si="50"/>
        <v/>
      </c>
      <c r="S204" s="357" t="str">
        <f>Language!$E$90</f>
        <v xml:space="preserve"> - </v>
      </c>
      <c r="T204" s="321" t="str">
        <f t="shared" si="51"/>
        <v/>
      </c>
      <c r="U204" s="294"/>
      <c r="V204" s="295"/>
      <c r="BM204" s="193" t="b">
        <f t="shared" si="52"/>
        <v>1</v>
      </c>
      <c r="BN204" s="19" t="b">
        <f t="shared" si="53"/>
        <v>1</v>
      </c>
      <c r="BO204" s="19" t="b">
        <f t="shared" si="54"/>
        <v>1</v>
      </c>
      <c r="BP204" s="19" t="b">
        <f t="shared" si="55"/>
        <v>1</v>
      </c>
      <c r="BQ204" s="19" t="b">
        <f t="shared" si="56"/>
        <v>0</v>
      </c>
      <c r="BR204" s="19" t="b">
        <f t="shared" si="57"/>
        <v>0</v>
      </c>
      <c r="BS204" s="19" t="b">
        <f t="shared" si="58"/>
        <v>0</v>
      </c>
    </row>
    <row r="205" spans="2:71" ht="15.75" x14ac:dyDescent="0.2">
      <c r="B205" s="248" t="str">
        <f>IF(Calc!$F$26=0,"",IF(OR($C205&gt;Calc!$B$24,MOD($C205-1,Calc!$F$26)&gt;0),"",QUOTIENT($C205-1,Calc!$F$26)+1))</f>
        <v/>
      </c>
      <c r="C205" s="244">
        <v>197</v>
      </c>
      <c r="D205" s="142">
        <f>IF(Planning!$T203="","",Planning!$T203)</f>
        <v>46067</v>
      </c>
      <c r="E205" s="143">
        <f>IF(Planning!$U203="","",Planning!$U203)</f>
        <v>0.64583333333333337</v>
      </c>
      <c r="F205" s="161" t="str">
        <f>Planning!$Q203</f>
        <v>1. FSV Mainz 05</v>
      </c>
      <c r="G205" s="162" t="s">
        <v>4</v>
      </c>
      <c r="H205" s="161" t="str">
        <f>Planning!$S203</f>
        <v>Borussia Mönchengladbach</v>
      </c>
      <c r="I205" s="163"/>
      <c r="J205" s="315" t="str">
        <f>Language!$E$90</f>
        <v xml:space="preserve"> - </v>
      </c>
      <c r="K205" s="318"/>
      <c r="L205" s="163"/>
      <c r="M205" s="360" t="str">
        <f>Language!$E$90</f>
        <v xml:space="preserve"> - </v>
      </c>
      <c r="N205" s="318"/>
      <c r="O205" s="163"/>
      <c r="P205" s="360" t="str">
        <f>Language!$E$90</f>
        <v xml:space="preserve"> - </v>
      </c>
      <c r="Q205" s="318"/>
      <c r="R205" s="354" t="str">
        <f t="shared" si="50"/>
        <v/>
      </c>
      <c r="S205" s="357" t="str">
        <f>Language!$E$90</f>
        <v xml:space="preserve"> - </v>
      </c>
      <c r="T205" s="321" t="str">
        <f t="shared" si="51"/>
        <v/>
      </c>
      <c r="U205" s="294"/>
      <c r="V205" s="295"/>
      <c r="BM205" s="193" t="b">
        <f t="shared" si="52"/>
        <v>1</v>
      </c>
      <c r="BN205" s="19" t="b">
        <f t="shared" si="53"/>
        <v>1</v>
      </c>
      <c r="BO205" s="19" t="b">
        <f t="shared" si="54"/>
        <v>1</v>
      </c>
      <c r="BP205" s="19" t="b">
        <f t="shared" si="55"/>
        <v>1</v>
      </c>
      <c r="BQ205" s="19" t="b">
        <f t="shared" si="56"/>
        <v>0</v>
      </c>
      <c r="BR205" s="19" t="b">
        <f t="shared" si="57"/>
        <v>0</v>
      </c>
      <c r="BS205" s="19" t="b">
        <f t="shared" si="58"/>
        <v>0</v>
      </c>
    </row>
    <row r="206" spans="2:71" ht="15.75" x14ac:dyDescent="0.2">
      <c r="B206" s="248" t="str">
        <f>IF(Calc!$F$26=0,"",IF(OR($C206&gt;Calc!$B$24,MOD($C206-1,Calc!$F$26)&gt;0),"",QUOTIENT($C206-1,Calc!$F$26)+1))</f>
        <v/>
      </c>
      <c r="C206" s="244">
        <v>198</v>
      </c>
      <c r="D206" s="142">
        <f>IF(Planning!$T204="","",Planning!$T204)</f>
        <v>46067</v>
      </c>
      <c r="E206" s="143">
        <f>IF(Planning!$U204="","",Planning!$U204)</f>
        <v>0.64583333333333337</v>
      </c>
      <c r="F206" s="161" t="str">
        <f>Planning!$Q204</f>
        <v>Borussia Dortmund</v>
      </c>
      <c r="G206" s="162" t="s">
        <v>4</v>
      </c>
      <c r="H206" s="161" t="str">
        <f>Planning!$S204</f>
        <v>Bayer 04 Leverkusen</v>
      </c>
      <c r="I206" s="163"/>
      <c r="J206" s="315" t="str">
        <f>Language!$E$90</f>
        <v xml:space="preserve"> - </v>
      </c>
      <c r="K206" s="318"/>
      <c r="L206" s="163"/>
      <c r="M206" s="360" t="str">
        <f>Language!$E$90</f>
        <v xml:space="preserve"> - </v>
      </c>
      <c r="N206" s="318"/>
      <c r="O206" s="163"/>
      <c r="P206" s="360" t="str">
        <f>Language!$E$90</f>
        <v xml:space="preserve"> - </v>
      </c>
      <c r="Q206" s="318"/>
      <c r="R206" s="354" t="str">
        <f t="shared" si="50"/>
        <v/>
      </c>
      <c r="S206" s="357" t="str">
        <f>Language!$E$90</f>
        <v xml:space="preserve"> - </v>
      </c>
      <c r="T206" s="321" t="str">
        <f t="shared" si="51"/>
        <v/>
      </c>
      <c r="U206" s="294"/>
      <c r="V206" s="295"/>
      <c r="BM206" s="193" t="b">
        <f t="shared" si="52"/>
        <v>1</v>
      </c>
      <c r="BN206" s="19" t="b">
        <f t="shared" si="53"/>
        <v>1</v>
      </c>
      <c r="BO206" s="19" t="b">
        <f t="shared" si="54"/>
        <v>1</v>
      </c>
      <c r="BP206" s="19" t="b">
        <f t="shared" si="55"/>
        <v>1</v>
      </c>
      <c r="BQ206" s="19" t="b">
        <f t="shared" si="56"/>
        <v>0</v>
      </c>
      <c r="BR206" s="19" t="b">
        <f t="shared" si="57"/>
        <v>0</v>
      </c>
      <c r="BS206" s="19" t="b">
        <f t="shared" si="58"/>
        <v>0</v>
      </c>
    </row>
    <row r="207" spans="2:71" ht="15.75" x14ac:dyDescent="0.2">
      <c r="B207" s="248">
        <f>IF(Calc!$F$26=0,"",IF(OR($C207&gt;Calc!$B$24,MOD($C207-1,Calc!$F$26)&gt;0),"",QUOTIENT($C207-1,Calc!$F$26)+1))</f>
        <v>23</v>
      </c>
      <c r="C207" s="244">
        <v>199</v>
      </c>
      <c r="D207" s="142">
        <f>IF(Planning!$T205="","",Planning!$T205)</f>
        <v>46074</v>
      </c>
      <c r="E207" s="143">
        <f>IF(Planning!$U205="","",Planning!$U205)</f>
        <v>0.64583333333333337</v>
      </c>
      <c r="F207" s="161" t="str">
        <f>Planning!$Q205</f>
        <v>1. FC Heidenheim 1846</v>
      </c>
      <c r="G207" s="162" t="s">
        <v>4</v>
      </c>
      <c r="H207" s="161" t="str">
        <f>Planning!$S205</f>
        <v>RB Leipzig</v>
      </c>
      <c r="I207" s="163"/>
      <c r="J207" s="315" t="str">
        <f>Language!$E$90</f>
        <v xml:space="preserve"> - </v>
      </c>
      <c r="K207" s="318"/>
      <c r="L207" s="163"/>
      <c r="M207" s="360" t="str">
        <f>Language!$E$90</f>
        <v xml:space="preserve"> - </v>
      </c>
      <c r="N207" s="318"/>
      <c r="O207" s="163"/>
      <c r="P207" s="360" t="str">
        <f>Language!$E$90</f>
        <v xml:space="preserve"> - </v>
      </c>
      <c r="Q207" s="318"/>
      <c r="R207" s="354" t="str">
        <f t="shared" si="50"/>
        <v/>
      </c>
      <c r="S207" s="357" t="str">
        <f>Language!$E$90</f>
        <v xml:space="preserve"> - </v>
      </c>
      <c r="T207" s="321" t="str">
        <f t="shared" si="51"/>
        <v/>
      </c>
      <c r="U207" s="294"/>
      <c r="V207" s="295"/>
      <c r="BM207" s="193" t="b">
        <f t="shared" si="52"/>
        <v>1</v>
      </c>
      <c r="BN207" s="19" t="b">
        <f t="shared" si="53"/>
        <v>1</v>
      </c>
      <c r="BO207" s="19" t="b">
        <f t="shared" si="54"/>
        <v>1</v>
      </c>
      <c r="BP207" s="19" t="b">
        <f t="shared" si="55"/>
        <v>1</v>
      </c>
      <c r="BQ207" s="19" t="b">
        <f t="shared" si="56"/>
        <v>0</v>
      </c>
      <c r="BR207" s="19" t="b">
        <f t="shared" si="57"/>
        <v>0</v>
      </c>
      <c r="BS207" s="19" t="b">
        <f t="shared" si="58"/>
        <v>0</v>
      </c>
    </row>
    <row r="208" spans="2:71" ht="15.75" x14ac:dyDescent="0.2">
      <c r="B208" s="248" t="str">
        <f>IF(Calc!$F$26=0,"",IF(OR($C208&gt;Calc!$B$24,MOD($C208-1,Calc!$F$26)&gt;0),"",QUOTIENT($C208-1,Calc!$F$26)+1))</f>
        <v/>
      </c>
      <c r="C208" s="244">
        <v>200</v>
      </c>
      <c r="D208" s="142">
        <f>IF(Planning!$T206="","",Planning!$T206)</f>
        <v>46074</v>
      </c>
      <c r="E208" s="143">
        <f>IF(Planning!$U206="","",Planning!$U206)</f>
        <v>0.64583333333333337</v>
      </c>
      <c r="F208" s="161" t="str">
        <f>Planning!$Q206</f>
        <v>SC Freiburg</v>
      </c>
      <c r="G208" s="162" t="s">
        <v>4</v>
      </c>
      <c r="H208" s="161" t="str">
        <f>Planning!$S206</f>
        <v>Hamburger SV</v>
      </c>
      <c r="I208" s="163"/>
      <c r="J208" s="315" t="str">
        <f>Language!$E$90</f>
        <v xml:space="preserve"> - </v>
      </c>
      <c r="K208" s="318"/>
      <c r="L208" s="163"/>
      <c r="M208" s="360" t="str">
        <f>Language!$E$90</f>
        <v xml:space="preserve"> - </v>
      </c>
      <c r="N208" s="318"/>
      <c r="O208" s="163"/>
      <c r="P208" s="360" t="str">
        <f>Language!$E$90</f>
        <v xml:space="preserve"> - </v>
      </c>
      <c r="Q208" s="318"/>
      <c r="R208" s="354" t="str">
        <f t="shared" si="50"/>
        <v/>
      </c>
      <c r="S208" s="357" t="str">
        <f>Language!$E$90</f>
        <v xml:space="preserve"> - </v>
      </c>
      <c r="T208" s="321" t="str">
        <f t="shared" si="51"/>
        <v/>
      </c>
      <c r="U208" s="294"/>
      <c r="V208" s="295"/>
      <c r="BM208" s="193" t="b">
        <f t="shared" si="52"/>
        <v>1</v>
      </c>
      <c r="BN208" s="19" t="b">
        <f t="shared" si="53"/>
        <v>1</v>
      </c>
      <c r="BO208" s="19" t="b">
        <f t="shared" si="54"/>
        <v>1</v>
      </c>
      <c r="BP208" s="19" t="b">
        <f t="shared" si="55"/>
        <v>1</v>
      </c>
      <c r="BQ208" s="19" t="b">
        <f t="shared" si="56"/>
        <v>0</v>
      </c>
      <c r="BR208" s="19" t="b">
        <f t="shared" si="57"/>
        <v>0</v>
      </c>
      <c r="BS208" s="19" t="b">
        <f t="shared" si="58"/>
        <v>0</v>
      </c>
    </row>
    <row r="209" spans="2:71" ht="15.75" x14ac:dyDescent="0.2">
      <c r="B209" s="248" t="str">
        <f>IF(Calc!$F$26=0,"",IF(OR($C209&gt;Calc!$B$24,MOD($C209-1,Calc!$F$26)&gt;0),"",QUOTIENT($C209-1,Calc!$F$26)+1))</f>
        <v/>
      </c>
      <c r="C209" s="244">
        <v>201</v>
      </c>
      <c r="D209" s="142">
        <f>IF(Planning!$T207="","",Planning!$T207)</f>
        <v>46074</v>
      </c>
      <c r="E209" s="143">
        <f>IF(Planning!$U207="","",Planning!$U207)</f>
        <v>0.64583333333333337</v>
      </c>
      <c r="F209" s="161" t="str">
        <f>Planning!$Q207</f>
        <v>FC St. Pauli</v>
      </c>
      <c r="G209" s="162" t="s">
        <v>4</v>
      </c>
      <c r="H209" s="161" t="str">
        <f>Planning!$S207</f>
        <v>SV Werder Bremen</v>
      </c>
      <c r="I209" s="163"/>
      <c r="J209" s="315" t="str">
        <f>Language!$E$90</f>
        <v xml:space="preserve"> - </v>
      </c>
      <c r="K209" s="318"/>
      <c r="L209" s="163"/>
      <c r="M209" s="360" t="str">
        <f>Language!$E$90</f>
        <v xml:space="preserve"> - </v>
      </c>
      <c r="N209" s="318"/>
      <c r="O209" s="163"/>
      <c r="P209" s="360" t="str">
        <f>Language!$E$90</f>
        <v xml:space="preserve"> - </v>
      </c>
      <c r="Q209" s="318"/>
      <c r="R209" s="354" t="str">
        <f t="shared" si="50"/>
        <v/>
      </c>
      <c r="S209" s="357" t="str">
        <f>Language!$E$90</f>
        <v xml:space="preserve"> - </v>
      </c>
      <c r="T209" s="321" t="str">
        <f t="shared" si="51"/>
        <v/>
      </c>
      <c r="U209" s="294"/>
      <c r="V209" s="295"/>
      <c r="BM209" s="193" t="b">
        <f t="shared" si="52"/>
        <v>1</v>
      </c>
      <c r="BN209" s="19" t="b">
        <f t="shared" si="53"/>
        <v>1</v>
      </c>
      <c r="BO209" s="19" t="b">
        <f t="shared" si="54"/>
        <v>1</v>
      </c>
      <c r="BP209" s="19" t="b">
        <f t="shared" si="55"/>
        <v>1</v>
      </c>
      <c r="BQ209" s="19" t="b">
        <f t="shared" si="56"/>
        <v>0</v>
      </c>
      <c r="BR209" s="19" t="b">
        <f t="shared" si="57"/>
        <v>0</v>
      </c>
      <c r="BS209" s="19" t="b">
        <f t="shared" si="58"/>
        <v>0</v>
      </c>
    </row>
    <row r="210" spans="2:71" ht="15.75" x14ac:dyDescent="0.2">
      <c r="B210" s="248" t="str">
        <f>IF(Calc!$F$26=0,"",IF(OR($C210&gt;Calc!$B$24,MOD($C210-1,Calc!$F$26)&gt;0),"",QUOTIENT($C210-1,Calc!$F$26)+1))</f>
        <v/>
      </c>
      <c r="C210" s="244">
        <v>202</v>
      </c>
      <c r="D210" s="142">
        <f>IF(Planning!$T208="","",Planning!$T208)</f>
        <v>46074</v>
      </c>
      <c r="E210" s="143">
        <f>IF(Planning!$U208="","",Planning!$U208)</f>
        <v>0.64583333333333337</v>
      </c>
      <c r="F210" s="161" t="str">
        <f>Planning!$Q208</f>
        <v>TSG Hoffenheim</v>
      </c>
      <c r="G210" s="162" t="s">
        <v>4</v>
      </c>
      <c r="H210" s="161" t="str">
        <f>Planning!$S208</f>
        <v>FC Bayern München</v>
      </c>
      <c r="I210" s="163"/>
      <c r="J210" s="315" t="str">
        <f>Language!$E$90</f>
        <v xml:space="preserve"> - </v>
      </c>
      <c r="K210" s="318"/>
      <c r="L210" s="163"/>
      <c r="M210" s="360" t="str">
        <f>Language!$E$90</f>
        <v xml:space="preserve"> - </v>
      </c>
      <c r="N210" s="318"/>
      <c r="O210" s="163"/>
      <c r="P210" s="360" t="str">
        <f>Language!$E$90</f>
        <v xml:space="preserve"> - </v>
      </c>
      <c r="Q210" s="318"/>
      <c r="R210" s="354" t="str">
        <f t="shared" si="50"/>
        <v/>
      </c>
      <c r="S210" s="357" t="str">
        <f>Language!$E$90</f>
        <v xml:space="preserve"> - </v>
      </c>
      <c r="T210" s="321" t="str">
        <f t="shared" si="51"/>
        <v/>
      </c>
      <c r="U210" s="294"/>
      <c r="V210" s="295"/>
      <c r="BM210" s="193" t="b">
        <f t="shared" si="52"/>
        <v>1</v>
      </c>
      <c r="BN210" s="19" t="b">
        <f t="shared" si="53"/>
        <v>1</v>
      </c>
      <c r="BO210" s="19" t="b">
        <f t="shared" si="54"/>
        <v>1</v>
      </c>
      <c r="BP210" s="19" t="b">
        <f t="shared" si="55"/>
        <v>1</v>
      </c>
      <c r="BQ210" s="19" t="b">
        <f t="shared" si="56"/>
        <v>0</v>
      </c>
      <c r="BR210" s="19" t="b">
        <f t="shared" si="57"/>
        <v>0</v>
      </c>
      <c r="BS210" s="19" t="b">
        <f t="shared" si="58"/>
        <v>0</v>
      </c>
    </row>
    <row r="211" spans="2:71" ht="15.75" x14ac:dyDescent="0.2">
      <c r="B211" s="248" t="str">
        <f>IF(Calc!$F$26=0,"",IF(OR($C211&gt;Calc!$B$24,MOD($C211-1,Calc!$F$26)&gt;0),"",QUOTIENT($C211-1,Calc!$F$26)+1))</f>
        <v/>
      </c>
      <c r="C211" s="244">
        <v>203</v>
      </c>
      <c r="D211" s="142">
        <f>IF(Planning!$T209="","",Planning!$T209)</f>
        <v>46074</v>
      </c>
      <c r="E211" s="143">
        <f>IF(Planning!$U209="","",Planning!$U209)</f>
        <v>0.64583333333333337</v>
      </c>
      <c r="F211" s="161" t="str">
        <f>Planning!$Q209</f>
        <v>FC Augsburg</v>
      </c>
      <c r="G211" s="162" t="s">
        <v>4</v>
      </c>
      <c r="H211" s="161" t="str">
        <f>Planning!$S209</f>
        <v>VfB Stuttgart</v>
      </c>
      <c r="I211" s="163"/>
      <c r="J211" s="315" t="str">
        <f>Language!$E$90</f>
        <v xml:space="preserve"> - </v>
      </c>
      <c r="K211" s="318"/>
      <c r="L211" s="163"/>
      <c r="M211" s="360" t="str">
        <f>Language!$E$90</f>
        <v xml:space="preserve"> - </v>
      </c>
      <c r="N211" s="318"/>
      <c r="O211" s="163"/>
      <c r="P211" s="360" t="str">
        <f>Language!$E$90</f>
        <v xml:space="preserve"> - </v>
      </c>
      <c r="Q211" s="318"/>
      <c r="R211" s="354" t="str">
        <f t="shared" si="50"/>
        <v/>
      </c>
      <c r="S211" s="357" t="str">
        <f>Language!$E$90</f>
        <v xml:space="preserve"> - </v>
      </c>
      <c r="T211" s="321" t="str">
        <f t="shared" si="51"/>
        <v/>
      </c>
      <c r="U211" s="294"/>
      <c r="V211" s="295"/>
      <c r="BM211" s="193" t="b">
        <f t="shared" si="52"/>
        <v>1</v>
      </c>
      <c r="BN211" s="19" t="b">
        <f t="shared" si="53"/>
        <v>1</v>
      </c>
      <c r="BO211" s="19" t="b">
        <f t="shared" si="54"/>
        <v>1</v>
      </c>
      <c r="BP211" s="19" t="b">
        <f t="shared" si="55"/>
        <v>1</v>
      </c>
      <c r="BQ211" s="19" t="b">
        <f t="shared" si="56"/>
        <v>0</v>
      </c>
      <c r="BR211" s="19" t="b">
        <f t="shared" si="57"/>
        <v>0</v>
      </c>
      <c r="BS211" s="19" t="b">
        <f t="shared" si="58"/>
        <v>0</v>
      </c>
    </row>
    <row r="212" spans="2:71" ht="15.75" x14ac:dyDescent="0.2">
      <c r="B212" s="248" t="str">
        <f>IF(Calc!$F$26=0,"",IF(OR($C212&gt;Calc!$B$24,MOD($C212-1,Calc!$F$26)&gt;0),"",QUOTIENT($C212-1,Calc!$F$26)+1))</f>
        <v/>
      </c>
      <c r="C212" s="244">
        <v>204</v>
      </c>
      <c r="D212" s="142">
        <f>IF(Planning!$T210="","",Planning!$T210)</f>
        <v>46074</v>
      </c>
      <c r="E212" s="143">
        <f>IF(Planning!$U210="","",Planning!$U210)</f>
        <v>0.64583333333333337</v>
      </c>
      <c r="F212" s="161" t="str">
        <f>Planning!$Q210</f>
        <v>VfL Wolfsburg</v>
      </c>
      <c r="G212" s="162" t="s">
        <v>4</v>
      </c>
      <c r="H212" s="161" t="str">
        <f>Planning!$S210</f>
        <v>Eintracht Frankfurt</v>
      </c>
      <c r="I212" s="163"/>
      <c r="J212" s="315" t="str">
        <f>Language!$E$90</f>
        <v xml:space="preserve"> - </v>
      </c>
      <c r="K212" s="318"/>
      <c r="L212" s="163"/>
      <c r="M212" s="360" t="str">
        <f>Language!$E$90</f>
        <v xml:space="preserve"> - </v>
      </c>
      <c r="N212" s="318"/>
      <c r="O212" s="163"/>
      <c r="P212" s="360" t="str">
        <f>Language!$E$90</f>
        <v xml:space="preserve"> - </v>
      </c>
      <c r="Q212" s="318"/>
      <c r="R212" s="354" t="str">
        <f t="shared" si="50"/>
        <v/>
      </c>
      <c r="S212" s="357" t="str">
        <f>Language!$E$90</f>
        <v xml:space="preserve"> - </v>
      </c>
      <c r="T212" s="321" t="str">
        <f t="shared" si="51"/>
        <v/>
      </c>
      <c r="U212" s="294"/>
      <c r="V212" s="295"/>
      <c r="BM212" s="193" t="b">
        <f t="shared" si="52"/>
        <v>1</v>
      </c>
      <c r="BN212" s="19" t="b">
        <f t="shared" si="53"/>
        <v>1</v>
      </c>
      <c r="BO212" s="19" t="b">
        <f t="shared" si="54"/>
        <v>1</v>
      </c>
      <c r="BP212" s="19" t="b">
        <f t="shared" si="55"/>
        <v>1</v>
      </c>
      <c r="BQ212" s="19" t="b">
        <f t="shared" si="56"/>
        <v>0</v>
      </c>
      <c r="BR212" s="19" t="b">
        <f t="shared" si="57"/>
        <v>0</v>
      </c>
      <c r="BS212" s="19" t="b">
        <f t="shared" si="58"/>
        <v>0</v>
      </c>
    </row>
    <row r="213" spans="2:71" ht="15.75" x14ac:dyDescent="0.2">
      <c r="B213" s="248" t="str">
        <f>IF(Calc!$F$26=0,"",IF(OR($C213&gt;Calc!$B$24,MOD($C213-1,Calc!$F$26)&gt;0),"",QUOTIENT($C213-1,Calc!$F$26)+1))</f>
        <v/>
      </c>
      <c r="C213" s="244">
        <v>205</v>
      </c>
      <c r="D213" s="142">
        <f>IF(Planning!$T211="","",Planning!$T211)</f>
        <v>46074</v>
      </c>
      <c r="E213" s="143">
        <f>IF(Planning!$U211="","",Planning!$U211)</f>
        <v>0.64583333333333337</v>
      </c>
      <c r="F213" s="161" t="str">
        <f>Planning!$Q211</f>
        <v>Borussia Mönchengladbach</v>
      </c>
      <c r="G213" s="162" t="s">
        <v>4</v>
      </c>
      <c r="H213" s="161" t="str">
        <f>Planning!$S211</f>
        <v>1. FC Köln</v>
      </c>
      <c r="I213" s="163"/>
      <c r="J213" s="315" t="str">
        <f>Language!$E$90</f>
        <v xml:space="preserve"> - </v>
      </c>
      <c r="K213" s="318"/>
      <c r="L213" s="163"/>
      <c r="M213" s="360" t="str">
        <f>Language!$E$90</f>
        <v xml:space="preserve"> - </v>
      </c>
      <c r="N213" s="318"/>
      <c r="O213" s="163"/>
      <c r="P213" s="360" t="str">
        <f>Language!$E$90</f>
        <v xml:space="preserve"> - </v>
      </c>
      <c r="Q213" s="318"/>
      <c r="R213" s="354" t="str">
        <f t="shared" si="50"/>
        <v/>
      </c>
      <c r="S213" s="357" t="str">
        <f>Language!$E$90</f>
        <v xml:space="preserve"> - </v>
      </c>
      <c r="T213" s="321" t="str">
        <f t="shared" si="51"/>
        <v/>
      </c>
      <c r="U213" s="294"/>
      <c r="V213" s="295"/>
      <c r="BM213" s="193" t="b">
        <f t="shared" si="52"/>
        <v>1</v>
      </c>
      <c r="BN213" s="19" t="b">
        <f t="shared" si="53"/>
        <v>1</v>
      </c>
      <c r="BO213" s="19" t="b">
        <f t="shared" si="54"/>
        <v>1</v>
      </c>
      <c r="BP213" s="19" t="b">
        <f t="shared" si="55"/>
        <v>1</v>
      </c>
      <c r="BQ213" s="19" t="b">
        <f t="shared" si="56"/>
        <v>0</v>
      </c>
      <c r="BR213" s="19" t="b">
        <f t="shared" si="57"/>
        <v>0</v>
      </c>
      <c r="BS213" s="19" t="b">
        <f t="shared" si="58"/>
        <v>0</v>
      </c>
    </row>
    <row r="214" spans="2:71" ht="15.75" x14ac:dyDescent="0.2">
      <c r="B214" s="248" t="str">
        <f>IF(Calc!$F$26=0,"",IF(OR($C214&gt;Calc!$B$24,MOD($C214-1,Calc!$F$26)&gt;0),"",QUOTIENT($C214-1,Calc!$F$26)+1))</f>
        <v/>
      </c>
      <c r="C214" s="244">
        <v>206</v>
      </c>
      <c r="D214" s="142">
        <f>IF(Planning!$T212="","",Planning!$T212)</f>
        <v>46074</v>
      </c>
      <c r="E214" s="143">
        <f>IF(Planning!$U212="","",Planning!$U212)</f>
        <v>0.64583333333333337</v>
      </c>
      <c r="F214" s="161" t="str">
        <f>Planning!$Q212</f>
        <v>1. FC Union Berlin</v>
      </c>
      <c r="G214" s="162" t="s">
        <v>4</v>
      </c>
      <c r="H214" s="161" t="str">
        <f>Planning!$S212</f>
        <v>Borussia Dortmund</v>
      </c>
      <c r="I214" s="163"/>
      <c r="J214" s="315" t="str">
        <f>Language!$E$90</f>
        <v xml:space="preserve"> - </v>
      </c>
      <c r="K214" s="318"/>
      <c r="L214" s="163"/>
      <c r="M214" s="360" t="str">
        <f>Language!$E$90</f>
        <v xml:space="preserve"> - </v>
      </c>
      <c r="N214" s="318"/>
      <c r="O214" s="163"/>
      <c r="P214" s="360" t="str">
        <f>Language!$E$90</f>
        <v xml:space="preserve"> - </v>
      </c>
      <c r="Q214" s="318"/>
      <c r="R214" s="354" t="str">
        <f t="shared" si="50"/>
        <v/>
      </c>
      <c r="S214" s="357" t="str">
        <f>Language!$E$90</f>
        <v xml:space="preserve"> - </v>
      </c>
      <c r="T214" s="321" t="str">
        <f t="shared" si="51"/>
        <v/>
      </c>
      <c r="U214" s="294"/>
      <c r="V214" s="295"/>
      <c r="BM214" s="193" t="b">
        <f t="shared" si="52"/>
        <v>1</v>
      </c>
      <c r="BN214" s="19" t="b">
        <f t="shared" si="53"/>
        <v>1</v>
      </c>
      <c r="BO214" s="19" t="b">
        <f t="shared" si="54"/>
        <v>1</v>
      </c>
      <c r="BP214" s="19" t="b">
        <f t="shared" si="55"/>
        <v>1</v>
      </c>
      <c r="BQ214" s="19" t="b">
        <f t="shared" si="56"/>
        <v>0</v>
      </c>
      <c r="BR214" s="19" t="b">
        <f t="shared" si="57"/>
        <v>0</v>
      </c>
      <c r="BS214" s="19" t="b">
        <f t="shared" si="58"/>
        <v>0</v>
      </c>
    </row>
    <row r="215" spans="2:71" ht="15.75" x14ac:dyDescent="0.2">
      <c r="B215" s="248" t="str">
        <f>IF(Calc!$F$26=0,"",IF(OR($C215&gt;Calc!$B$24,MOD($C215-1,Calc!$F$26)&gt;0),"",QUOTIENT($C215-1,Calc!$F$26)+1))</f>
        <v/>
      </c>
      <c r="C215" s="244">
        <v>207</v>
      </c>
      <c r="D215" s="142">
        <f>IF(Planning!$T213="","",Planning!$T213)</f>
        <v>46074</v>
      </c>
      <c r="E215" s="143">
        <f>IF(Planning!$U213="","",Planning!$U213)</f>
        <v>0.64583333333333337</v>
      </c>
      <c r="F215" s="161" t="str">
        <f>Planning!$Q213</f>
        <v>Bayer 04 Leverkusen</v>
      </c>
      <c r="G215" s="162" t="s">
        <v>4</v>
      </c>
      <c r="H215" s="161" t="str">
        <f>Planning!$S213</f>
        <v>1. FSV Mainz 05</v>
      </c>
      <c r="I215" s="163"/>
      <c r="J215" s="315" t="str">
        <f>Language!$E$90</f>
        <v xml:space="preserve"> - </v>
      </c>
      <c r="K215" s="318"/>
      <c r="L215" s="163"/>
      <c r="M215" s="360" t="str">
        <f>Language!$E$90</f>
        <v xml:space="preserve"> - </v>
      </c>
      <c r="N215" s="318"/>
      <c r="O215" s="163"/>
      <c r="P215" s="360" t="str">
        <f>Language!$E$90</f>
        <v xml:space="preserve"> - </v>
      </c>
      <c r="Q215" s="318"/>
      <c r="R215" s="354" t="str">
        <f t="shared" si="50"/>
        <v/>
      </c>
      <c r="S215" s="357" t="str">
        <f>Language!$E$90</f>
        <v xml:space="preserve"> - </v>
      </c>
      <c r="T215" s="321" t="str">
        <f t="shared" si="51"/>
        <v/>
      </c>
      <c r="U215" s="294"/>
      <c r="V215" s="295"/>
      <c r="BM215" s="193" t="b">
        <f t="shared" si="52"/>
        <v>1</v>
      </c>
      <c r="BN215" s="19" t="b">
        <f t="shared" si="53"/>
        <v>1</v>
      </c>
      <c r="BO215" s="19" t="b">
        <f t="shared" si="54"/>
        <v>1</v>
      </c>
      <c r="BP215" s="19" t="b">
        <f t="shared" si="55"/>
        <v>1</v>
      </c>
      <c r="BQ215" s="19" t="b">
        <f t="shared" si="56"/>
        <v>0</v>
      </c>
      <c r="BR215" s="19" t="b">
        <f t="shared" si="57"/>
        <v>0</v>
      </c>
      <c r="BS215" s="19" t="b">
        <f t="shared" si="58"/>
        <v>0</v>
      </c>
    </row>
    <row r="216" spans="2:71" ht="15.75" x14ac:dyDescent="0.2">
      <c r="B216" s="248">
        <f>IF(Calc!$F$26=0,"",IF(OR($C216&gt;Calc!$B$24,MOD($C216-1,Calc!$F$26)&gt;0),"",QUOTIENT($C216-1,Calc!$F$26)+1))</f>
        <v>24</v>
      </c>
      <c r="C216" s="244">
        <v>208</v>
      </c>
      <c r="D216" s="142">
        <f>IF(Planning!$T214="","",Planning!$T214)</f>
        <v>46081</v>
      </c>
      <c r="E216" s="143">
        <f>IF(Planning!$U214="","",Planning!$U214)</f>
        <v>0.64583333333333337</v>
      </c>
      <c r="F216" s="161" t="str">
        <f>Planning!$Q214</f>
        <v>Hamburger SV</v>
      </c>
      <c r="G216" s="162" t="s">
        <v>4</v>
      </c>
      <c r="H216" s="161" t="str">
        <f>Planning!$S214</f>
        <v>1. FC Heidenheim 1846</v>
      </c>
      <c r="I216" s="163"/>
      <c r="J216" s="315" t="str">
        <f>Language!$E$90</f>
        <v xml:space="preserve"> - </v>
      </c>
      <c r="K216" s="318"/>
      <c r="L216" s="163"/>
      <c r="M216" s="360" t="str">
        <f>Language!$E$90</f>
        <v xml:space="preserve"> - </v>
      </c>
      <c r="N216" s="318"/>
      <c r="O216" s="163"/>
      <c r="P216" s="360" t="str">
        <f>Language!$E$90</f>
        <v xml:space="preserve"> - </v>
      </c>
      <c r="Q216" s="318"/>
      <c r="R216" s="354" t="str">
        <f t="shared" si="50"/>
        <v/>
      </c>
      <c r="S216" s="357" t="str">
        <f>Language!$E$90</f>
        <v xml:space="preserve"> - </v>
      </c>
      <c r="T216" s="321" t="str">
        <f t="shared" si="51"/>
        <v/>
      </c>
      <c r="U216" s="294"/>
      <c r="V216" s="295"/>
      <c r="BM216" s="193" t="b">
        <f t="shared" si="52"/>
        <v>1</v>
      </c>
      <c r="BN216" s="19" t="b">
        <f t="shared" si="53"/>
        <v>1</v>
      </c>
      <c r="BO216" s="19" t="b">
        <f t="shared" si="54"/>
        <v>1</v>
      </c>
      <c r="BP216" s="19" t="b">
        <f t="shared" si="55"/>
        <v>1</v>
      </c>
      <c r="BQ216" s="19" t="b">
        <f t="shared" si="56"/>
        <v>0</v>
      </c>
      <c r="BR216" s="19" t="b">
        <f t="shared" si="57"/>
        <v>0</v>
      </c>
      <c r="BS216" s="19" t="b">
        <f t="shared" si="58"/>
        <v>0</v>
      </c>
    </row>
    <row r="217" spans="2:71" ht="15.75" x14ac:dyDescent="0.2">
      <c r="B217" s="248" t="str">
        <f>IF(Calc!$F$26=0,"",IF(OR($C217&gt;Calc!$B$24,MOD($C217-1,Calc!$F$26)&gt;0),"",QUOTIENT($C217-1,Calc!$F$26)+1))</f>
        <v/>
      </c>
      <c r="C217" s="244">
        <v>209</v>
      </c>
      <c r="D217" s="142">
        <f>IF(Planning!$T215="","",Planning!$T215)</f>
        <v>46081</v>
      </c>
      <c r="E217" s="143">
        <f>IF(Planning!$U215="","",Planning!$U215)</f>
        <v>0.64583333333333337</v>
      </c>
      <c r="F217" s="161" t="str">
        <f>Planning!$Q215</f>
        <v>RB Leipzig</v>
      </c>
      <c r="G217" s="162" t="s">
        <v>4</v>
      </c>
      <c r="H217" s="161" t="str">
        <f>Planning!$S215</f>
        <v>FC St. Pauli</v>
      </c>
      <c r="I217" s="163"/>
      <c r="J217" s="315" t="str">
        <f>Language!$E$90</f>
        <v xml:space="preserve"> - </v>
      </c>
      <c r="K217" s="318"/>
      <c r="L217" s="163"/>
      <c r="M217" s="360" t="str">
        <f>Language!$E$90</f>
        <v xml:space="preserve"> - </v>
      </c>
      <c r="N217" s="318"/>
      <c r="O217" s="163"/>
      <c r="P217" s="360" t="str">
        <f>Language!$E$90</f>
        <v xml:space="preserve"> - </v>
      </c>
      <c r="Q217" s="318"/>
      <c r="R217" s="354" t="str">
        <f t="shared" si="50"/>
        <v/>
      </c>
      <c r="S217" s="357" t="str">
        <f>Language!$E$90</f>
        <v xml:space="preserve"> - </v>
      </c>
      <c r="T217" s="321" t="str">
        <f t="shared" si="51"/>
        <v/>
      </c>
      <c r="U217" s="294"/>
      <c r="V217" s="295"/>
      <c r="BM217" s="193" t="b">
        <f t="shared" si="52"/>
        <v>1</v>
      </c>
      <c r="BN217" s="19" t="b">
        <f t="shared" si="53"/>
        <v>1</v>
      </c>
      <c r="BO217" s="19" t="b">
        <f t="shared" si="54"/>
        <v>1</v>
      </c>
      <c r="BP217" s="19" t="b">
        <f t="shared" si="55"/>
        <v>1</v>
      </c>
      <c r="BQ217" s="19" t="b">
        <f t="shared" si="56"/>
        <v>0</v>
      </c>
      <c r="BR217" s="19" t="b">
        <f t="shared" si="57"/>
        <v>0</v>
      </c>
      <c r="BS217" s="19" t="b">
        <f t="shared" si="58"/>
        <v>0</v>
      </c>
    </row>
    <row r="218" spans="2:71" ht="15.75" x14ac:dyDescent="0.2">
      <c r="B218" s="248" t="str">
        <f>IF(Calc!$F$26=0,"",IF(OR($C218&gt;Calc!$B$24,MOD($C218-1,Calc!$F$26)&gt;0),"",QUOTIENT($C218-1,Calc!$F$26)+1))</f>
        <v/>
      </c>
      <c r="C218" s="244">
        <v>210</v>
      </c>
      <c r="D218" s="142">
        <f>IF(Planning!$T216="","",Planning!$T216)</f>
        <v>46081</v>
      </c>
      <c r="E218" s="143">
        <f>IF(Planning!$U216="","",Planning!$U216)</f>
        <v>0.64583333333333337</v>
      </c>
      <c r="F218" s="161" t="str">
        <f>Planning!$Q216</f>
        <v>FC Bayern München</v>
      </c>
      <c r="G218" s="162" t="s">
        <v>4</v>
      </c>
      <c r="H218" s="161" t="str">
        <f>Planning!$S216</f>
        <v>SC Freiburg</v>
      </c>
      <c r="I218" s="163"/>
      <c r="J218" s="315" t="str">
        <f>Language!$E$90</f>
        <v xml:space="preserve"> - </v>
      </c>
      <c r="K218" s="318"/>
      <c r="L218" s="163"/>
      <c r="M218" s="360" t="str">
        <f>Language!$E$90</f>
        <v xml:space="preserve"> - </v>
      </c>
      <c r="N218" s="318"/>
      <c r="O218" s="163"/>
      <c r="P218" s="360" t="str">
        <f>Language!$E$90</f>
        <v xml:space="preserve"> - </v>
      </c>
      <c r="Q218" s="318"/>
      <c r="R218" s="354" t="str">
        <f t="shared" si="50"/>
        <v/>
      </c>
      <c r="S218" s="357" t="str">
        <f>Language!$E$90</f>
        <v xml:space="preserve"> - </v>
      </c>
      <c r="T218" s="321" t="str">
        <f t="shared" si="51"/>
        <v/>
      </c>
      <c r="U218" s="294"/>
      <c r="V218" s="295"/>
      <c r="BM218" s="193" t="b">
        <f t="shared" si="52"/>
        <v>1</v>
      </c>
      <c r="BN218" s="19" t="b">
        <f t="shared" si="53"/>
        <v>1</v>
      </c>
      <c r="BO218" s="19" t="b">
        <f t="shared" si="54"/>
        <v>1</v>
      </c>
      <c r="BP218" s="19" t="b">
        <f t="shared" si="55"/>
        <v>1</v>
      </c>
      <c r="BQ218" s="19" t="b">
        <f t="shared" si="56"/>
        <v>0</v>
      </c>
      <c r="BR218" s="19" t="b">
        <f t="shared" si="57"/>
        <v>0</v>
      </c>
      <c r="BS218" s="19" t="b">
        <f t="shared" si="58"/>
        <v>0</v>
      </c>
    </row>
    <row r="219" spans="2:71" ht="15.75" x14ac:dyDescent="0.2">
      <c r="B219" s="248" t="str">
        <f>IF(Calc!$F$26=0,"",IF(OR($C219&gt;Calc!$B$24,MOD($C219-1,Calc!$F$26)&gt;0),"",QUOTIENT($C219-1,Calc!$F$26)+1))</f>
        <v/>
      </c>
      <c r="C219" s="244">
        <v>211</v>
      </c>
      <c r="D219" s="142">
        <f>IF(Planning!$T217="","",Planning!$T217)</f>
        <v>46081</v>
      </c>
      <c r="E219" s="143">
        <f>IF(Planning!$U217="","",Planning!$U217)</f>
        <v>0.64583333333333337</v>
      </c>
      <c r="F219" s="161" t="str">
        <f>Planning!$Q217</f>
        <v>SV Werder Bremen</v>
      </c>
      <c r="G219" s="162" t="s">
        <v>4</v>
      </c>
      <c r="H219" s="161" t="str">
        <f>Planning!$S217</f>
        <v>FC Augsburg</v>
      </c>
      <c r="I219" s="163"/>
      <c r="J219" s="315" t="str">
        <f>Language!$E$90</f>
        <v xml:space="preserve"> - </v>
      </c>
      <c r="K219" s="318"/>
      <c r="L219" s="163"/>
      <c r="M219" s="360" t="str">
        <f>Language!$E$90</f>
        <v xml:space="preserve"> - </v>
      </c>
      <c r="N219" s="318"/>
      <c r="O219" s="163"/>
      <c r="P219" s="360" t="str">
        <f>Language!$E$90</f>
        <v xml:space="preserve"> - </v>
      </c>
      <c r="Q219" s="318"/>
      <c r="R219" s="354" t="str">
        <f t="shared" si="50"/>
        <v/>
      </c>
      <c r="S219" s="357" t="str">
        <f>Language!$E$90</f>
        <v xml:space="preserve"> - </v>
      </c>
      <c r="T219" s="321" t="str">
        <f t="shared" si="51"/>
        <v/>
      </c>
      <c r="U219" s="294"/>
      <c r="V219" s="295"/>
      <c r="BM219" s="193" t="b">
        <f t="shared" si="52"/>
        <v>1</v>
      </c>
      <c r="BN219" s="19" t="b">
        <f t="shared" si="53"/>
        <v>1</v>
      </c>
      <c r="BO219" s="19" t="b">
        <f t="shared" si="54"/>
        <v>1</v>
      </c>
      <c r="BP219" s="19" t="b">
        <f t="shared" si="55"/>
        <v>1</v>
      </c>
      <c r="BQ219" s="19" t="b">
        <f t="shared" si="56"/>
        <v>0</v>
      </c>
      <c r="BR219" s="19" t="b">
        <f t="shared" si="57"/>
        <v>0</v>
      </c>
      <c r="BS219" s="19" t="b">
        <f t="shared" si="58"/>
        <v>0</v>
      </c>
    </row>
    <row r="220" spans="2:71" ht="15.75" x14ac:dyDescent="0.2">
      <c r="B220" s="248" t="str">
        <f>IF(Calc!$F$26=0,"",IF(OR($C220&gt;Calc!$B$24,MOD($C220-1,Calc!$F$26)&gt;0),"",QUOTIENT($C220-1,Calc!$F$26)+1))</f>
        <v/>
      </c>
      <c r="C220" s="244">
        <v>212</v>
      </c>
      <c r="D220" s="142">
        <f>IF(Planning!$T218="","",Planning!$T218)</f>
        <v>46081</v>
      </c>
      <c r="E220" s="143">
        <f>IF(Planning!$U218="","",Planning!$U218)</f>
        <v>0.64583333333333337</v>
      </c>
      <c r="F220" s="161" t="str">
        <f>Planning!$Q218</f>
        <v>Eintracht Frankfurt</v>
      </c>
      <c r="G220" s="162" t="s">
        <v>4</v>
      </c>
      <c r="H220" s="161" t="str">
        <f>Planning!$S218</f>
        <v>TSG Hoffenheim</v>
      </c>
      <c r="I220" s="163"/>
      <c r="J220" s="315" t="str">
        <f>Language!$E$90</f>
        <v xml:space="preserve"> - </v>
      </c>
      <c r="K220" s="318"/>
      <c r="L220" s="163"/>
      <c r="M220" s="360" t="str">
        <f>Language!$E$90</f>
        <v xml:space="preserve"> - </v>
      </c>
      <c r="N220" s="318"/>
      <c r="O220" s="163"/>
      <c r="P220" s="360" t="str">
        <f>Language!$E$90</f>
        <v xml:space="preserve"> - </v>
      </c>
      <c r="Q220" s="318"/>
      <c r="R220" s="354" t="str">
        <f t="shared" si="50"/>
        <v/>
      </c>
      <c r="S220" s="357" t="str">
        <f>Language!$E$90</f>
        <v xml:space="preserve"> - </v>
      </c>
      <c r="T220" s="321" t="str">
        <f t="shared" si="51"/>
        <v/>
      </c>
      <c r="U220" s="294"/>
      <c r="V220" s="295"/>
      <c r="BM220" s="193" t="b">
        <f t="shared" si="52"/>
        <v>1</v>
      </c>
      <c r="BN220" s="19" t="b">
        <f t="shared" si="53"/>
        <v>1</v>
      </c>
      <c r="BO220" s="19" t="b">
        <f t="shared" si="54"/>
        <v>1</v>
      </c>
      <c r="BP220" s="19" t="b">
        <f t="shared" si="55"/>
        <v>1</v>
      </c>
      <c r="BQ220" s="19" t="b">
        <f t="shared" si="56"/>
        <v>0</v>
      </c>
      <c r="BR220" s="19" t="b">
        <f t="shared" si="57"/>
        <v>0</v>
      </c>
      <c r="BS220" s="19" t="b">
        <f t="shared" si="58"/>
        <v>0</v>
      </c>
    </row>
    <row r="221" spans="2:71" ht="15.75" x14ac:dyDescent="0.2">
      <c r="B221" s="248" t="str">
        <f>IF(Calc!$F$26=0,"",IF(OR($C221&gt;Calc!$B$24,MOD($C221-1,Calc!$F$26)&gt;0),"",QUOTIENT($C221-1,Calc!$F$26)+1))</f>
        <v/>
      </c>
      <c r="C221" s="244">
        <v>213</v>
      </c>
      <c r="D221" s="142">
        <f>IF(Planning!$T219="","",Planning!$T219)</f>
        <v>46081</v>
      </c>
      <c r="E221" s="143">
        <f>IF(Planning!$U219="","",Planning!$U219)</f>
        <v>0.64583333333333337</v>
      </c>
      <c r="F221" s="161" t="str">
        <f>Planning!$Q219</f>
        <v>VfB Stuttgart</v>
      </c>
      <c r="G221" s="162" t="s">
        <v>4</v>
      </c>
      <c r="H221" s="161" t="str">
        <f>Planning!$S219</f>
        <v>Borussia Mönchengladbach</v>
      </c>
      <c r="I221" s="163"/>
      <c r="J221" s="315" t="str">
        <f>Language!$E$90</f>
        <v xml:space="preserve"> - </v>
      </c>
      <c r="K221" s="318"/>
      <c r="L221" s="163"/>
      <c r="M221" s="360" t="str">
        <f>Language!$E$90</f>
        <v xml:space="preserve"> - </v>
      </c>
      <c r="N221" s="318"/>
      <c r="O221" s="163"/>
      <c r="P221" s="360" t="str">
        <f>Language!$E$90</f>
        <v xml:space="preserve"> - </v>
      </c>
      <c r="Q221" s="318"/>
      <c r="R221" s="354" t="str">
        <f t="shared" si="50"/>
        <v/>
      </c>
      <c r="S221" s="357" t="str">
        <f>Language!$E$90</f>
        <v xml:space="preserve"> - </v>
      </c>
      <c r="T221" s="321" t="str">
        <f t="shared" si="51"/>
        <v/>
      </c>
      <c r="U221" s="294"/>
      <c r="V221" s="295"/>
      <c r="BM221" s="193" t="b">
        <f t="shared" si="52"/>
        <v>1</v>
      </c>
      <c r="BN221" s="19" t="b">
        <f t="shared" si="53"/>
        <v>1</v>
      </c>
      <c r="BO221" s="19" t="b">
        <f t="shared" si="54"/>
        <v>1</v>
      </c>
      <c r="BP221" s="19" t="b">
        <f t="shared" si="55"/>
        <v>1</v>
      </c>
      <c r="BQ221" s="19" t="b">
        <f t="shared" si="56"/>
        <v>0</v>
      </c>
      <c r="BR221" s="19" t="b">
        <f t="shared" si="57"/>
        <v>0</v>
      </c>
      <c r="BS221" s="19" t="b">
        <f t="shared" si="58"/>
        <v>0</v>
      </c>
    </row>
    <row r="222" spans="2:71" ht="15.75" x14ac:dyDescent="0.2">
      <c r="B222" s="248" t="str">
        <f>IF(Calc!$F$26=0,"",IF(OR($C222&gt;Calc!$B$24,MOD($C222-1,Calc!$F$26)&gt;0),"",QUOTIENT($C222-1,Calc!$F$26)+1))</f>
        <v/>
      </c>
      <c r="C222" s="244">
        <v>214</v>
      </c>
      <c r="D222" s="142">
        <f>IF(Planning!$T220="","",Planning!$T220)</f>
        <v>46081</v>
      </c>
      <c r="E222" s="143">
        <f>IF(Planning!$U220="","",Planning!$U220)</f>
        <v>0.64583333333333337</v>
      </c>
      <c r="F222" s="161" t="str">
        <f>Planning!$Q220</f>
        <v>Borussia Dortmund</v>
      </c>
      <c r="G222" s="162" t="s">
        <v>4</v>
      </c>
      <c r="H222" s="161" t="str">
        <f>Planning!$S220</f>
        <v>VfL Wolfsburg</v>
      </c>
      <c r="I222" s="163"/>
      <c r="J222" s="315" t="str">
        <f>Language!$E$90</f>
        <v xml:space="preserve"> - </v>
      </c>
      <c r="K222" s="318"/>
      <c r="L222" s="163"/>
      <c r="M222" s="360" t="str">
        <f>Language!$E$90</f>
        <v xml:space="preserve"> - </v>
      </c>
      <c r="N222" s="318"/>
      <c r="O222" s="163"/>
      <c r="P222" s="360" t="str">
        <f>Language!$E$90</f>
        <v xml:space="preserve"> - </v>
      </c>
      <c r="Q222" s="318"/>
      <c r="R222" s="354" t="str">
        <f t="shared" si="50"/>
        <v/>
      </c>
      <c r="S222" s="357" t="str">
        <f>Language!$E$90</f>
        <v xml:space="preserve"> - </v>
      </c>
      <c r="T222" s="321" t="str">
        <f t="shared" si="51"/>
        <v/>
      </c>
      <c r="U222" s="294"/>
      <c r="V222" s="295"/>
      <c r="BM222" s="193" t="b">
        <f t="shared" si="52"/>
        <v>1</v>
      </c>
      <c r="BN222" s="19" t="b">
        <f t="shared" si="53"/>
        <v>1</v>
      </c>
      <c r="BO222" s="19" t="b">
        <f t="shared" si="54"/>
        <v>1</v>
      </c>
      <c r="BP222" s="19" t="b">
        <f t="shared" si="55"/>
        <v>1</v>
      </c>
      <c r="BQ222" s="19" t="b">
        <f t="shared" si="56"/>
        <v>0</v>
      </c>
      <c r="BR222" s="19" t="b">
        <f t="shared" si="57"/>
        <v>0</v>
      </c>
      <c r="BS222" s="19" t="b">
        <f t="shared" si="58"/>
        <v>0</v>
      </c>
    </row>
    <row r="223" spans="2:71" ht="15.75" x14ac:dyDescent="0.2">
      <c r="B223" s="248" t="str">
        <f>IF(Calc!$F$26=0,"",IF(OR($C223&gt;Calc!$B$24,MOD($C223-1,Calc!$F$26)&gt;0),"",QUOTIENT($C223-1,Calc!$F$26)+1))</f>
        <v/>
      </c>
      <c r="C223" s="244">
        <v>215</v>
      </c>
      <c r="D223" s="142">
        <f>IF(Planning!$T221="","",Planning!$T221)</f>
        <v>46081</v>
      </c>
      <c r="E223" s="143">
        <f>IF(Planning!$U221="","",Planning!$U221)</f>
        <v>0.64583333333333337</v>
      </c>
      <c r="F223" s="161" t="str">
        <f>Planning!$Q221</f>
        <v>1. FC Köln</v>
      </c>
      <c r="G223" s="162" t="s">
        <v>4</v>
      </c>
      <c r="H223" s="161" t="str">
        <f>Planning!$S221</f>
        <v>Bayer 04 Leverkusen</v>
      </c>
      <c r="I223" s="163"/>
      <c r="J223" s="315" t="str">
        <f>Language!$E$90</f>
        <v xml:space="preserve"> - </v>
      </c>
      <c r="K223" s="318"/>
      <c r="L223" s="163"/>
      <c r="M223" s="360" t="str">
        <f>Language!$E$90</f>
        <v xml:space="preserve"> - </v>
      </c>
      <c r="N223" s="318"/>
      <c r="O223" s="163"/>
      <c r="P223" s="360" t="str">
        <f>Language!$E$90</f>
        <v xml:space="preserve"> - </v>
      </c>
      <c r="Q223" s="318"/>
      <c r="R223" s="354" t="str">
        <f t="shared" si="50"/>
        <v/>
      </c>
      <c r="S223" s="357" t="str">
        <f>Language!$E$90</f>
        <v xml:space="preserve"> - </v>
      </c>
      <c r="T223" s="321" t="str">
        <f t="shared" si="51"/>
        <v/>
      </c>
      <c r="U223" s="294"/>
      <c r="V223" s="295"/>
      <c r="BM223" s="193" t="b">
        <f t="shared" si="52"/>
        <v>1</v>
      </c>
      <c r="BN223" s="19" t="b">
        <f t="shared" si="53"/>
        <v>1</v>
      </c>
      <c r="BO223" s="19" t="b">
        <f t="shared" si="54"/>
        <v>1</v>
      </c>
      <c r="BP223" s="19" t="b">
        <f t="shared" si="55"/>
        <v>1</v>
      </c>
      <c r="BQ223" s="19" t="b">
        <f t="shared" si="56"/>
        <v>0</v>
      </c>
      <c r="BR223" s="19" t="b">
        <f t="shared" si="57"/>
        <v>0</v>
      </c>
      <c r="BS223" s="19" t="b">
        <f t="shared" si="58"/>
        <v>0</v>
      </c>
    </row>
    <row r="224" spans="2:71" ht="15.75" x14ac:dyDescent="0.2">
      <c r="B224" s="248" t="str">
        <f>IF(Calc!$F$26=0,"",IF(OR($C224&gt;Calc!$B$24,MOD($C224-1,Calc!$F$26)&gt;0),"",QUOTIENT($C224-1,Calc!$F$26)+1))</f>
        <v/>
      </c>
      <c r="C224" s="244">
        <v>216</v>
      </c>
      <c r="D224" s="142">
        <f>IF(Planning!$T222="","",Planning!$T222)</f>
        <v>46081</v>
      </c>
      <c r="E224" s="143">
        <f>IF(Planning!$U222="","",Planning!$U222)</f>
        <v>0.64583333333333337</v>
      </c>
      <c r="F224" s="161" t="str">
        <f>Planning!$Q222</f>
        <v>1. FSV Mainz 05</v>
      </c>
      <c r="G224" s="162" t="s">
        <v>4</v>
      </c>
      <c r="H224" s="161" t="str">
        <f>Planning!$S222</f>
        <v>1. FC Union Berlin</v>
      </c>
      <c r="I224" s="163"/>
      <c r="J224" s="315" t="str">
        <f>Language!$E$90</f>
        <v xml:space="preserve"> - </v>
      </c>
      <c r="K224" s="318"/>
      <c r="L224" s="163"/>
      <c r="M224" s="360" t="str">
        <f>Language!$E$90</f>
        <v xml:space="preserve"> - </v>
      </c>
      <c r="N224" s="318"/>
      <c r="O224" s="163"/>
      <c r="P224" s="360" t="str">
        <f>Language!$E$90</f>
        <v xml:space="preserve"> - </v>
      </c>
      <c r="Q224" s="318"/>
      <c r="R224" s="354" t="str">
        <f t="shared" si="50"/>
        <v/>
      </c>
      <c r="S224" s="357" t="str">
        <f>Language!$E$90</f>
        <v xml:space="preserve"> - </v>
      </c>
      <c r="T224" s="321" t="str">
        <f t="shared" si="51"/>
        <v/>
      </c>
      <c r="U224" s="294"/>
      <c r="V224" s="295"/>
      <c r="BM224" s="193" t="b">
        <f t="shared" si="52"/>
        <v>1</v>
      </c>
      <c r="BN224" s="19" t="b">
        <f t="shared" si="53"/>
        <v>1</v>
      </c>
      <c r="BO224" s="19" t="b">
        <f t="shared" si="54"/>
        <v>1</v>
      </c>
      <c r="BP224" s="19" t="b">
        <f t="shared" si="55"/>
        <v>1</v>
      </c>
      <c r="BQ224" s="19" t="b">
        <f t="shared" si="56"/>
        <v>0</v>
      </c>
      <c r="BR224" s="19" t="b">
        <f t="shared" si="57"/>
        <v>0</v>
      </c>
      <c r="BS224" s="19" t="b">
        <f t="shared" si="58"/>
        <v>0</v>
      </c>
    </row>
    <row r="225" spans="2:71" ht="15.75" x14ac:dyDescent="0.2">
      <c r="B225" s="248">
        <f>IF(Calc!$F$26=0,"",IF(OR($C225&gt;Calc!$B$24,MOD($C225-1,Calc!$F$26)&gt;0),"",QUOTIENT($C225-1,Calc!$F$26)+1))</f>
        <v>25</v>
      </c>
      <c r="C225" s="244">
        <v>217</v>
      </c>
      <c r="D225" s="142">
        <f>IF(Planning!$T223="","",Planning!$T223)</f>
        <v>46088</v>
      </c>
      <c r="E225" s="143">
        <f>IF(Planning!$U223="","",Planning!$U223)</f>
        <v>0.64583333333333337</v>
      </c>
      <c r="F225" s="161" t="str">
        <f>Planning!$Q223</f>
        <v>1. FC Heidenheim 1846</v>
      </c>
      <c r="G225" s="162" t="s">
        <v>4</v>
      </c>
      <c r="H225" s="161" t="str">
        <f>Planning!$S223</f>
        <v>FC St. Pauli</v>
      </c>
      <c r="I225" s="163"/>
      <c r="J225" s="315" t="str">
        <f>Language!$E$90</f>
        <v xml:space="preserve"> - </v>
      </c>
      <c r="K225" s="318"/>
      <c r="L225" s="163"/>
      <c r="M225" s="360" t="str">
        <f>Language!$E$90</f>
        <v xml:space="preserve"> - </v>
      </c>
      <c r="N225" s="318"/>
      <c r="O225" s="163"/>
      <c r="P225" s="360" t="str">
        <f>Language!$E$90</f>
        <v xml:space="preserve"> - </v>
      </c>
      <c r="Q225" s="318"/>
      <c r="R225" s="354" t="str">
        <f t="shared" si="50"/>
        <v/>
      </c>
      <c r="S225" s="357" t="str">
        <f>Language!$E$90</f>
        <v xml:space="preserve"> - </v>
      </c>
      <c r="T225" s="321" t="str">
        <f t="shared" si="51"/>
        <v/>
      </c>
      <c r="U225" s="294"/>
      <c r="V225" s="295"/>
      <c r="BM225" s="193" t="b">
        <f t="shared" si="52"/>
        <v>1</v>
      </c>
      <c r="BN225" s="19" t="b">
        <f t="shared" si="53"/>
        <v>1</v>
      </c>
      <c r="BO225" s="19" t="b">
        <f t="shared" si="54"/>
        <v>1</v>
      </c>
      <c r="BP225" s="19" t="b">
        <f t="shared" si="55"/>
        <v>1</v>
      </c>
      <c r="BQ225" s="19" t="b">
        <f t="shared" si="56"/>
        <v>0</v>
      </c>
      <c r="BR225" s="19" t="b">
        <f t="shared" si="57"/>
        <v>0</v>
      </c>
      <c r="BS225" s="19" t="b">
        <f t="shared" si="58"/>
        <v>0</v>
      </c>
    </row>
    <row r="226" spans="2:71" ht="15.75" x14ac:dyDescent="0.2">
      <c r="B226" s="248" t="str">
        <f>IF(Calc!$F$26=0,"",IF(OR($C226&gt;Calc!$B$24,MOD($C226-1,Calc!$F$26)&gt;0),"",QUOTIENT($C226-1,Calc!$F$26)+1))</f>
        <v/>
      </c>
      <c r="C226" s="244">
        <v>218</v>
      </c>
      <c r="D226" s="142">
        <f>IF(Planning!$T224="","",Planning!$T224)</f>
        <v>46088</v>
      </c>
      <c r="E226" s="143">
        <f>IF(Planning!$U224="","",Planning!$U224)</f>
        <v>0.64583333333333337</v>
      </c>
      <c r="F226" s="161" t="str">
        <f>Planning!$Q224</f>
        <v>Hamburger SV</v>
      </c>
      <c r="G226" s="162" t="s">
        <v>4</v>
      </c>
      <c r="H226" s="161" t="str">
        <f>Planning!$S224</f>
        <v>FC Bayern München</v>
      </c>
      <c r="I226" s="163"/>
      <c r="J226" s="315" t="str">
        <f>Language!$E$90</f>
        <v xml:space="preserve"> - </v>
      </c>
      <c r="K226" s="318"/>
      <c r="L226" s="163"/>
      <c r="M226" s="360" t="str">
        <f>Language!$E$90</f>
        <v xml:space="preserve"> - </v>
      </c>
      <c r="N226" s="318"/>
      <c r="O226" s="163"/>
      <c r="P226" s="360" t="str">
        <f>Language!$E$90</f>
        <v xml:space="preserve"> - </v>
      </c>
      <c r="Q226" s="318"/>
      <c r="R226" s="354" t="str">
        <f t="shared" si="50"/>
        <v/>
      </c>
      <c r="S226" s="357" t="str">
        <f>Language!$E$90</f>
        <v xml:space="preserve"> - </v>
      </c>
      <c r="T226" s="321" t="str">
        <f t="shared" si="51"/>
        <v/>
      </c>
      <c r="U226" s="294"/>
      <c r="V226" s="295"/>
      <c r="BM226" s="193" t="b">
        <f t="shared" si="52"/>
        <v>1</v>
      </c>
      <c r="BN226" s="19" t="b">
        <f t="shared" si="53"/>
        <v>1</v>
      </c>
      <c r="BO226" s="19" t="b">
        <f t="shared" si="54"/>
        <v>1</v>
      </c>
      <c r="BP226" s="19" t="b">
        <f t="shared" si="55"/>
        <v>1</v>
      </c>
      <c r="BQ226" s="19" t="b">
        <f t="shared" si="56"/>
        <v>0</v>
      </c>
      <c r="BR226" s="19" t="b">
        <f t="shared" si="57"/>
        <v>0</v>
      </c>
      <c r="BS226" s="19" t="b">
        <f t="shared" si="58"/>
        <v>0</v>
      </c>
    </row>
    <row r="227" spans="2:71" ht="15.75" x14ac:dyDescent="0.2">
      <c r="B227" s="248" t="str">
        <f>IF(Calc!$F$26=0,"",IF(OR($C227&gt;Calc!$B$24,MOD($C227-1,Calc!$F$26)&gt;0),"",QUOTIENT($C227-1,Calc!$F$26)+1))</f>
        <v/>
      </c>
      <c r="C227" s="244">
        <v>219</v>
      </c>
      <c r="D227" s="142">
        <f>IF(Planning!$T225="","",Planning!$T225)</f>
        <v>46088</v>
      </c>
      <c r="E227" s="143">
        <f>IF(Planning!$U225="","",Planning!$U225)</f>
        <v>0.64583333333333337</v>
      </c>
      <c r="F227" s="161" t="str">
        <f>Planning!$Q225</f>
        <v>FC Augsburg</v>
      </c>
      <c r="G227" s="162" t="s">
        <v>4</v>
      </c>
      <c r="H227" s="161" t="str">
        <f>Planning!$S225</f>
        <v>RB Leipzig</v>
      </c>
      <c r="I227" s="163"/>
      <c r="J227" s="315" t="str">
        <f>Language!$E$90</f>
        <v xml:space="preserve"> - </v>
      </c>
      <c r="K227" s="318"/>
      <c r="L227" s="163"/>
      <c r="M227" s="360" t="str">
        <f>Language!$E$90</f>
        <v xml:space="preserve"> - </v>
      </c>
      <c r="N227" s="318"/>
      <c r="O227" s="163"/>
      <c r="P227" s="360" t="str">
        <f>Language!$E$90</f>
        <v xml:space="preserve"> - </v>
      </c>
      <c r="Q227" s="318"/>
      <c r="R227" s="354" t="str">
        <f t="shared" si="50"/>
        <v/>
      </c>
      <c r="S227" s="357" t="str">
        <f>Language!$E$90</f>
        <v xml:space="preserve"> - </v>
      </c>
      <c r="T227" s="321" t="str">
        <f t="shared" si="51"/>
        <v/>
      </c>
      <c r="U227" s="294"/>
      <c r="V227" s="295"/>
      <c r="BM227" s="193" t="b">
        <f t="shared" si="52"/>
        <v>1</v>
      </c>
      <c r="BN227" s="19" t="b">
        <f t="shared" si="53"/>
        <v>1</v>
      </c>
      <c r="BO227" s="19" t="b">
        <f t="shared" si="54"/>
        <v>1</v>
      </c>
      <c r="BP227" s="19" t="b">
        <f t="shared" si="55"/>
        <v>1</v>
      </c>
      <c r="BQ227" s="19" t="b">
        <f t="shared" si="56"/>
        <v>0</v>
      </c>
      <c r="BR227" s="19" t="b">
        <f t="shared" si="57"/>
        <v>0</v>
      </c>
      <c r="BS227" s="19" t="b">
        <f t="shared" si="58"/>
        <v>0</v>
      </c>
    </row>
    <row r="228" spans="2:71" ht="15.75" x14ac:dyDescent="0.2">
      <c r="B228" s="248" t="str">
        <f>IF(Calc!$F$26=0,"",IF(OR($C228&gt;Calc!$B$24,MOD($C228-1,Calc!$F$26)&gt;0),"",QUOTIENT($C228-1,Calc!$F$26)+1))</f>
        <v/>
      </c>
      <c r="C228" s="244">
        <v>220</v>
      </c>
      <c r="D228" s="142">
        <f>IF(Planning!$T226="","",Planning!$T226)</f>
        <v>46088</v>
      </c>
      <c r="E228" s="143">
        <f>IF(Planning!$U226="","",Planning!$U226)</f>
        <v>0.64583333333333337</v>
      </c>
      <c r="F228" s="161" t="str">
        <f>Planning!$Q226</f>
        <v>SC Freiburg</v>
      </c>
      <c r="G228" s="162" t="s">
        <v>4</v>
      </c>
      <c r="H228" s="161" t="str">
        <f>Planning!$S226</f>
        <v>Eintracht Frankfurt</v>
      </c>
      <c r="I228" s="163"/>
      <c r="J228" s="315" t="str">
        <f>Language!$E$90</f>
        <v xml:space="preserve"> - </v>
      </c>
      <c r="K228" s="318"/>
      <c r="L228" s="163"/>
      <c r="M228" s="360" t="str">
        <f>Language!$E$90</f>
        <v xml:space="preserve"> - </v>
      </c>
      <c r="N228" s="318"/>
      <c r="O228" s="163"/>
      <c r="P228" s="360" t="str">
        <f>Language!$E$90</f>
        <v xml:space="preserve"> - </v>
      </c>
      <c r="Q228" s="318"/>
      <c r="R228" s="354" t="str">
        <f t="shared" si="50"/>
        <v/>
      </c>
      <c r="S228" s="357" t="str">
        <f>Language!$E$90</f>
        <v xml:space="preserve"> - </v>
      </c>
      <c r="T228" s="321" t="str">
        <f t="shared" si="51"/>
        <v/>
      </c>
      <c r="U228" s="294"/>
      <c r="V228" s="295"/>
      <c r="BM228" s="193" t="b">
        <f t="shared" si="52"/>
        <v>1</v>
      </c>
      <c r="BN228" s="19" t="b">
        <f t="shared" si="53"/>
        <v>1</v>
      </c>
      <c r="BO228" s="19" t="b">
        <f t="shared" si="54"/>
        <v>1</v>
      </c>
      <c r="BP228" s="19" t="b">
        <f t="shared" si="55"/>
        <v>1</v>
      </c>
      <c r="BQ228" s="19" t="b">
        <f t="shared" si="56"/>
        <v>0</v>
      </c>
      <c r="BR228" s="19" t="b">
        <f t="shared" si="57"/>
        <v>0</v>
      </c>
      <c r="BS228" s="19" t="b">
        <f t="shared" si="58"/>
        <v>0</v>
      </c>
    </row>
    <row r="229" spans="2:71" ht="15.75" x14ac:dyDescent="0.2">
      <c r="B229" s="248" t="str">
        <f>IF(Calc!$F$26=0,"",IF(OR($C229&gt;Calc!$B$24,MOD($C229-1,Calc!$F$26)&gt;0),"",QUOTIENT($C229-1,Calc!$F$26)+1))</f>
        <v/>
      </c>
      <c r="C229" s="244">
        <v>221</v>
      </c>
      <c r="D229" s="142">
        <f>IF(Planning!$T227="","",Planning!$T227)</f>
        <v>46088</v>
      </c>
      <c r="E229" s="143">
        <f>IF(Planning!$U227="","",Planning!$U227)</f>
        <v>0.64583333333333337</v>
      </c>
      <c r="F229" s="161" t="str">
        <f>Planning!$Q227</f>
        <v>Borussia Mönchengladbach</v>
      </c>
      <c r="G229" s="162" t="s">
        <v>4</v>
      </c>
      <c r="H229" s="161" t="str">
        <f>Planning!$S227</f>
        <v>SV Werder Bremen</v>
      </c>
      <c r="I229" s="163"/>
      <c r="J229" s="315" t="str">
        <f>Language!$E$90</f>
        <v xml:space="preserve"> - </v>
      </c>
      <c r="K229" s="318"/>
      <c r="L229" s="163"/>
      <c r="M229" s="360" t="str">
        <f>Language!$E$90</f>
        <v xml:space="preserve"> - </v>
      </c>
      <c r="N229" s="318"/>
      <c r="O229" s="163"/>
      <c r="P229" s="360" t="str">
        <f>Language!$E$90</f>
        <v xml:space="preserve"> - </v>
      </c>
      <c r="Q229" s="318"/>
      <c r="R229" s="354" t="str">
        <f t="shared" si="50"/>
        <v/>
      </c>
      <c r="S229" s="357" t="str">
        <f>Language!$E$90</f>
        <v xml:space="preserve"> - </v>
      </c>
      <c r="T229" s="321" t="str">
        <f t="shared" si="51"/>
        <v/>
      </c>
      <c r="U229" s="294"/>
      <c r="V229" s="295"/>
      <c r="BM229" s="193" t="b">
        <f t="shared" si="52"/>
        <v>1</v>
      </c>
      <c r="BN229" s="19" t="b">
        <f t="shared" si="53"/>
        <v>1</v>
      </c>
      <c r="BO229" s="19" t="b">
        <f t="shared" si="54"/>
        <v>1</v>
      </c>
      <c r="BP229" s="19" t="b">
        <f t="shared" si="55"/>
        <v>1</v>
      </c>
      <c r="BQ229" s="19" t="b">
        <f t="shared" si="56"/>
        <v>0</v>
      </c>
      <c r="BR229" s="19" t="b">
        <f t="shared" si="57"/>
        <v>0</v>
      </c>
      <c r="BS229" s="19" t="b">
        <f t="shared" si="58"/>
        <v>0</v>
      </c>
    </row>
    <row r="230" spans="2:71" ht="15.75" x14ac:dyDescent="0.2">
      <c r="B230" s="248" t="str">
        <f>IF(Calc!$F$26=0,"",IF(OR($C230&gt;Calc!$B$24,MOD($C230-1,Calc!$F$26)&gt;0),"",QUOTIENT($C230-1,Calc!$F$26)+1))</f>
        <v/>
      </c>
      <c r="C230" s="244">
        <v>222</v>
      </c>
      <c r="D230" s="142">
        <f>IF(Planning!$T228="","",Planning!$T228)</f>
        <v>46088</v>
      </c>
      <c r="E230" s="143">
        <f>IF(Planning!$U228="","",Planning!$U228)</f>
        <v>0.64583333333333337</v>
      </c>
      <c r="F230" s="161" t="str">
        <f>Planning!$Q228</f>
        <v>TSG Hoffenheim</v>
      </c>
      <c r="G230" s="162" t="s">
        <v>4</v>
      </c>
      <c r="H230" s="161" t="str">
        <f>Planning!$S228</f>
        <v>Borussia Dortmund</v>
      </c>
      <c r="I230" s="163"/>
      <c r="J230" s="315" t="str">
        <f>Language!$E$90</f>
        <v xml:space="preserve"> - </v>
      </c>
      <c r="K230" s="318"/>
      <c r="L230" s="163"/>
      <c r="M230" s="360" t="str">
        <f>Language!$E$90</f>
        <v xml:space="preserve"> - </v>
      </c>
      <c r="N230" s="318"/>
      <c r="O230" s="163"/>
      <c r="P230" s="360" t="str">
        <f>Language!$E$90</f>
        <v xml:space="preserve"> - </v>
      </c>
      <c r="Q230" s="318"/>
      <c r="R230" s="354" t="str">
        <f t="shared" si="50"/>
        <v/>
      </c>
      <c r="S230" s="357" t="str">
        <f>Language!$E$90</f>
        <v xml:space="preserve"> - </v>
      </c>
      <c r="T230" s="321" t="str">
        <f t="shared" si="51"/>
        <v/>
      </c>
      <c r="U230" s="294"/>
      <c r="V230" s="295"/>
      <c r="BM230" s="193" t="b">
        <f t="shared" si="52"/>
        <v>1</v>
      </c>
      <c r="BN230" s="19" t="b">
        <f t="shared" si="53"/>
        <v>1</v>
      </c>
      <c r="BO230" s="19" t="b">
        <f t="shared" si="54"/>
        <v>1</v>
      </c>
      <c r="BP230" s="19" t="b">
        <f t="shared" si="55"/>
        <v>1</v>
      </c>
      <c r="BQ230" s="19" t="b">
        <f t="shared" si="56"/>
        <v>0</v>
      </c>
      <c r="BR230" s="19" t="b">
        <f t="shared" si="57"/>
        <v>0</v>
      </c>
      <c r="BS230" s="19" t="b">
        <f t="shared" si="58"/>
        <v>0</v>
      </c>
    </row>
    <row r="231" spans="2:71" ht="15.75" x14ac:dyDescent="0.2">
      <c r="B231" s="248" t="str">
        <f>IF(Calc!$F$26=0,"",IF(OR($C231&gt;Calc!$B$24,MOD($C231-1,Calc!$F$26)&gt;0),"",QUOTIENT($C231-1,Calc!$F$26)+1))</f>
        <v/>
      </c>
      <c r="C231" s="244">
        <v>223</v>
      </c>
      <c r="D231" s="142">
        <f>IF(Planning!$T229="","",Planning!$T229)</f>
        <v>46088</v>
      </c>
      <c r="E231" s="143">
        <f>IF(Planning!$U229="","",Planning!$U229)</f>
        <v>0.64583333333333337</v>
      </c>
      <c r="F231" s="161" t="str">
        <f>Planning!$Q229</f>
        <v>Bayer 04 Leverkusen</v>
      </c>
      <c r="G231" s="162" t="s">
        <v>4</v>
      </c>
      <c r="H231" s="161" t="str">
        <f>Planning!$S229</f>
        <v>VfB Stuttgart</v>
      </c>
      <c r="I231" s="163"/>
      <c r="J231" s="315" t="str">
        <f>Language!$E$90</f>
        <v xml:space="preserve"> - </v>
      </c>
      <c r="K231" s="318"/>
      <c r="L231" s="163"/>
      <c r="M231" s="360" t="str">
        <f>Language!$E$90</f>
        <v xml:space="preserve"> - </v>
      </c>
      <c r="N231" s="318"/>
      <c r="O231" s="163"/>
      <c r="P231" s="360" t="str">
        <f>Language!$E$90</f>
        <v xml:space="preserve"> - </v>
      </c>
      <c r="Q231" s="318"/>
      <c r="R231" s="354" t="str">
        <f t="shared" si="50"/>
        <v/>
      </c>
      <c r="S231" s="357" t="str">
        <f>Language!$E$90</f>
        <v xml:space="preserve"> - </v>
      </c>
      <c r="T231" s="321" t="str">
        <f t="shared" si="51"/>
        <v/>
      </c>
      <c r="U231" s="294"/>
      <c r="V231" s="295"/>
      <c r="BM231" s="193" t="b">
        <f t="shared" si="52"/>
        <v>1</v>
      </c>
      <c r="BN231" s="19" t="b">
        <f t="shared" si="53"/>
        <v>1</v>
      </c>
      <c r="BO231" s="19" t="b">
        <f t="shared" si="54"/>
        <v>1</v>
      </c>
      <c r="BP231" s="19" t="b">
        <f t="shared" si="55"/>
        <v>1</v>
      </c>
      <c r="BQ231" s="19" t="b">
        <f t="shared" si="56"/>
        <v>0</v>
      </c>
      <c r="BR231" s="19" t="b">
        <f t="shared" si="57"/>
        <v>0</v>
      </c>
      <c r="BS231" s="19" t="b">
        <f t="shared" si="58"/>
        <v>0</v>
      </c>
    </row>
    <row r="232" spans="2:71" ht="15.75" x14ac:dyDescent="0.2">
      <c r="B232" s="248" t="str">
        <f>IF(Calc!$F$26=0,"",IF(OR($C232&gt;Calc!$B$24,MOD($C232-1,Calc!$F$26)&gt;0),"",QUOTIENT($C232-1,Calc!$F$26)+1))</f>
        <v/>
      </c>
      <c r="C232" s="244">
        <v>224</v>
      </c>
      <c r="D232" s="142">
        <f>IF(Planning!$T230="","",Planning!$T230)</f>
        <v>46088</v>
      </c>
      <c r="E232" s="143">
        <f>IF(Planning!$U230="","",Planning!$U230)</f>
        <v>0.64583333333333337</v>
      </c>
      <c r="F232" s="161" t="str">
        <f>Planning!$Q230</f>
        <v>VfL Wolfsburg</v>
      </c>
      <c r="G232" s="162" t="s">
        <v>4</v>
      </c>
      <c r="H232" s="161" t="str">
        <f>Planning!$S230</f>
        <v>1. FSV Mainz 05</v>
      </c>
      <c r="I232" s="163"/>
      <c r="J232" s="315" t="str">
        <f>Language!$E$90</f>
        <v xml:space="preserve"> - </v>
      </c>
      <c r="K232" s="318"/>
      <c r="L232" s="163"/>
      <c r="M232" s="360" t="str">
        <f>Language!$E$90</f>
        <v xml:space="preserve"> - </v>
      </c>
      <c r="N232" s="318"/>
      <c r="O232" s="163"/>
      <c r="P232" s="360" t="str">
        <f>Language!$E$90</f>
        <v xml:space="preserve"> - </v>
      </c>
      <c r="Q232" s="318"/>
      <c r="R232" s="354" t="str">
        <f t="shared" si="50"/>
        <v/>
      </c>
      <c r="S232" s="357" t="str">
        <f>Language!$E$90</f>
        <v xml:space="preserve"> - </v>
      </c>
      <c r="T232" s="321" t="str">
        <f t="shared" si="51"/>
        <v/>
      </c>
      <c r="U232" s="294"/>
      <c r="V232" s="295"/>
      <c r="BM232" s="193" t="b">
        <f t="shared" si="52"/>
        <v>1</v>
      </c>
      <c r="BN232" s="19" t="b">
        <f t="shared" si="53"/>
        <v>1</v>
      </c>
      <c r="BO232" s="19" t="b">
        <f t="shared" si="54"/>
        <v>1</v>
      </c>
      <c r="BP232" s="19" t="b">
        <f t="shared" si="55"/>
        <v>1</v>
      </c>
      <c r="BQ232" s="19" t="b">
        <f t="shared" si="56"/>
        <v>0</v>
      </c>
      <c r="BR232" s="19" t="b">
        <f t="shared" si="57"/>
        <v>0</v>
      </c>
      <c r="BS232" s="19" t="b">
        <f t="shared" si="58"/>
        <v>0</v>
      </c>
    </row>
    <row r="233" spans="2:71" ht="15.75" x14ac:dyDescent="0.2">
      <c r="B233" s="248" t="str">
        <f>IF(Calc!$F$26=0,"",IF(OR($C233&gt;Calc!$B$24,MOD($C233-1,Calc!$F$26)&gt;0),"",QUOTIENT($C233-1,Calc!$F$26)+1))</f>
        <v/>
      </c>
      <c r="C233" s="244">
        <v>225</v>
      </c>
      <c r="D233" s="142">
        <f>IF(Planning!$T231="","",Planning!$T231)</f>
        <v>46088</v>
      </c>
      <c r="E233" s="143">
        <f>IF(Planning!$U231="","",Planning!$U231)</f>
        <v>0.64583333333333337</v>
      </c>
      <c r="F233" s="161" t="str">
        <f>Planning!$Q231</f>
        <v>1. FC Union Berlin</v>
      </c>
      <c r="G233" s="162" t="s">
        <v>4</v>
      </c>
      <c r="H233" s="161" t="str">
        <f>Planning!$S231</f>
        <v>1. FC Köln</v>
      </c>
      <c r="I233" s="163"/>
      <c r="J233" s="315" t="str">
        <f>Language!$E$90</f>
        <v xml:space="preserve"> - </v>
      </c>
      <c r="K233" s="318"/>
      <c r="L233" s="163"/>
      <c r="M233" s="360" t="str">
        <f>Language!$E$90</f>
        <v xml:space="preserve"> - </v>
      </c>
      <c r="N233" s="318"/>
      <c r="O233" s="163"/>
      <c r="P233" s="360" t="str">
        <f>Language!$E$90</f>
        <v xml:space="preserve"> - </v>
      </c>
      <c r="Q233" s="318"/>
      <c r="R233" s="354" t="str">
        <f t="shared" si="50"/>
        <v/>
      </c>
      <c r="S233" s="357" t="str">
        <f>Language!$E$90</f>
        <v xml:space="preserve"> - </v>
      </c>
      <c r="T233" s="321" t="str">
        <f t="shared" si="51"/>
        <v/>
      </c>
      <c r="U233" s="294"/>
      <c r="V233" s="295"/>
      <c r="BM233" s="193" t="b">
        <f t="shared" si="52"/>
        <v>1</v>
      </c>
      <c r="BN233" s="19" t="b">
        <f t="shared" si="53"/>
        <v>1</v>
      </c>
      <c r="BO233" s="19" t="b">
        <f t="shared" si="54"/>
        <v>1</v>
      </c>
      <c r="BP233" s="19" t="b">
        <f t="shared" si="55"/>
        <v>1</v>
      </c>
      <c r="BQ233" s="19" t="b">
        <f t="shared" si="56"/>
        <v>0</v>
      </c>
      <c r="BR233" s="19" t="b">
        <f t="shared" si="57"/>
        <v>0</v>
      </c>
      <c r="BS233" s="19" t="b">
        <f t="shared" si="58"/>
        <v>0</v>
      </c>
    </row>
    <row r="234" spans="2:71" ht="15.75" x14ac:dyDescent="0.2">
      <c r="B234" s="248">
        <f>IF(Calc!$F$26=0,"",IF(OR($C234&gt;Calc!$B$24,MOD($C234-1,Calc!$F$26)&gt;0),"",QUOTIENT($C234-1,Calc!$F$26)+1))</f>
        <v>26</v>
      </c>
      <c r="C234" s="244">
        <v>226</v>
      </c>
      <c r="D234" s="142">
        <f>IF(Planning!$T232="","",Planning!$T232)</f>
        <v>46095</v>
      </c>
      <c r="E234" s="143">
        <f>IF(Planning!$U232="","",Planning!$U232)</f>
        <v>0.64583333333333337</v>
      </c>
      <c r="F234" s="161" t="str">
        <f>Planning!$Q232</f>
        <v>FC Bayern München</v>
      </c>
      <c r="G234" s="162" t="s">
        <v>4</v>
      </c>
      <c r="H234" s="161" t="str">
        <f>Planning!$S232</f>
        <v>1. FC Heidenheim 1846</v>
      </c>
      <c r="I234" s="163"/>
      <c r="J234" s="315" t="str">
        <f>Language!$E$90</f>
        <v xml:space="preserve"> - </v>
      </c>
      <c r="K234" s="318"/>
      <c r="L234" s="163"/>
      <c r="M234" s="360" t="str">
        <f>Language!$E$90</f>
        <v xml:space="preserve"> - </v>
      </c>
      <c r="N234" s="318"/>
      <c r="O234" s="163"/>
      <c r="P234" s="360" t="str">
        <f>Language!$E$90</f>
        <v xml:space="preserve"> - </v>
      </c>
      <c r="Q234" s="318"/>
      <c r="R234" s="354" t="str">
        <f t="shared" si="50"/>
        <v/>
      </c>
      <c r="S234" s="357" t="str">
        <f>Language!$E$90</f>
        <v xml:space="preserve"> - </v>
      </c>
      <c r="T234" s="321" t="str">
        <f t="shared" si="51"/>
        <v/>
      </c>
      <c r="U234" s="294"/>
      <c r="V234" s="295"/>
      <c r="BM234" s="193" t="b">
        <f t="shared" si="52"/>
        <v>1</v>
      </c>
      <c r="BN234" s="19" t="b">
        <f t="shared" si="53"/>
        <v>1</v>
      </c>
      <c r="BO234" s="19" t="b">
        <f t="shared" si="54"/>
        <v>1</v>
      </c>
      <c r="BP234" s="19" t="b">
        <f t="shared" si="55"/>
        <v>1</v>
      </c>
      <c r="BQ234" s="19" t="b">
        <f t="shared" si="56"/>
        <v>0</v>
      </c>
      <c r="BR234" s="19" t="b">
        <f t="shared" si="57"/>
        <v>0</v>
      </c>
      <c r="BS234" s="19" t="b">
        <f t="shared" si="58"/>
        <v>0</v>
      </c>
    </row>
    <row r="235" spans="2:71" ht="15.75" x14ac:dyDescent="0.2">
      <c r="B235" s="248" t="str">
        <f>IF(Calc!$F$26=0,"",IF(OR($C235&gt;Calc!$B$24,MOD($C235-1,Calc!$F$26)&gt;0),"",QUOTIENT($C235-1,Calc!$F$26)+1))</f>
        <v/>
      </c>
      <c r="C235" s="244">
        <v>227</v>
      </c>
      <c r="D235" s="142">
        <f>IF(Planning!$T233="","",Planning!$T233)</f>
        <v>46095</v>
      </c>
      <c r="E235" s="143">
        <f>IF(Planning!$U233="","",Planning!$U233)</f>
        <v>0.64583333333333337</v>
      </c>
      <c r="F235" s="161" t="str">
        <f>Planning!$Q233</f>
        <v>FC St. Pauli</v>
      </c>
      <c r="G235" s="162" t="s">
        <v>4</v>
      </c>
      <c r="H235" s="161" t="str">
        <f>Planning!$S233</f>
        <v>FC Augsburg</v>
      </c>
      <c r="I235" s="163"/>
      <c r="J235" s="315" t="str">
        <f>Language!$E$90</f>
        <v xml:space="preserve"> - </v>
      </c>
      <c r="K235" s="318"/>
      <c r="L235" s="163"/>
      <c r="M235" s="360" t="str">
        <f>Language!$E$90</f>
        <v xml:space="preserve"> - </v>
      </c>
      <c r="N235" s="318"/>
      <c r="O235" s="163"/>
      <c r="P235" s="360" t="str">
        <f>Language!$E$90</f>
        <v xml:space="preserve"> - </v>
      </c>
      <c r="Q235" s="318"/>
      <c r="R235" s="354" t="str">
        <f t="shared" si="50"/>
        <v/>
      </c>
      <c r="S235" s="357" t="str">
        <f>Language!$E$90</f>
        <v xml:space="preserve"> - </v>
      </c>
      <c r="T235" s="321" t="str">
        <f t="shared" si="51"/>
        <v/>
      </c>
      <c r="U235" s="294"/>
      <c r="V235" s="295"/>
      <c r="BM235" s="193" t="b">
        <f t="shared" si="52"/>
        <v>1</v>
      </c>
      <c r="BN235" s="19" t="b">
        <f t="shared" si="53"/>
        <v>1</v>
      </c>
      <c r="BO235" s="19" t="b">
        <f t="shared" si="54"/>
        <v>1</v>
      </c>
      <c r="BP235" s="19" t="b">
        <f t="shared" si="55"/>
        <v>1</v>
      </c>
      <c r="BQ235" s="19" t="b">
        <f t="shared" si="56"/>
        <v>0</v>
      </c>
      <c r="BR235" s="19" t="b">
        <f t="shared" si="57"/>
        <v>0</v>
      </c>
      <c r="BS235" s="19" t="b">
        <f t="shared" si="58"/>
        <v>0</v>
      </c>
    </row>
    <row r="236" spans="2:71" ht="15.75" x14ac:dyDescent="0.2">
      <c r="B236" s="248" t="str">
        <f>IF(Calc!$F$26=0,"",IF(OR($C236&gt;Calc!$B$24,MOD($C236-1,Calc!$F$26)&gt;0),"",QUOTIENT($C236-1,Calc!$F$26)+1))</f>
        <v/>
      </c>
      <c r="C236" s="244">
        <v>228</v>
      </c>
      <c r="D236" s="142">
        <f>IF(Planning!$T234="","",Planning!$T234)</f>
        <v>46095</v>
      </c>
      <c r="E236" s="143">
        <f>IF(Planning!$U234="","",Planning!$U234)</f>
        <v>0.64583333333333337</v>
      </c>
      <c r="F236" s="161" t="str">
        <f>Planning!$Q234</f>
        <v>Eintracht Frankfurt</v>
      </c>
      <c r="G236" s="162" t="s">
        <v>4</v>
      </c>
      <c r="H236" s="161" t="str">
        <f>Planning!$S234</f>
        <v>Hamburger SV</v>
      </c>
      <c r="I236" s="163"/>
      <c r="J236" s="315" t="str">
        <f>Language!$E$90</f>
        <v xml:space="preserve"> - </v>
      </c>
      <c r="K236" s="318"/>
      <c r="L236" s="163"/>
      <c r="M236" s="360" t="str">
        <f>Language!$E$90</f>
        <v xml:space="preserve"> - </v>
      </c>
      <c r="N236" s="318"/>
      <c r="O236" s="163"/>
      <c r="P236" s="360" t="str">
        <f>Language!$E$90</f>
        <v xml:space="preserve"> - </v>
      </c>
      <c r="Q236" s="318"/>
      <c r="R236" s="354" t="str">
        <f t="shared" si="50"/>
        <v/>
      </c>
      <c r="S236" s="357" t="str">
        <f>Language!$E$90</f>
        <v xml:space="preserve"> - </v>
      </c>
      <c r="T236" s="321" t="str">
        <f t="shared" si="51"/>
        <v/>
      </c>
      <c r="U236" s="294"/>
      <c r="V236" s="295"/>
      <c r="BM236" s="193" t="b">
        <f t="shared" si="52"/>
        <v>1</v>
      </c>
      <c r="BN236" s="19" t="b">
        <f t="shared" si="53"/>
        <v>1</v>
      </c>
      <c r="BO236" s="19" t="b">
        <f t="shared" si="54"/>
        <v>1</v>
      </c>
      <c r="BP236" s="19" t="b">
        <f t="shared" si="55"/>
        <v>1</v>
      </c>
      <c r="BQ236" s="19" t="b">
        <f t="shared" si="56"/>
        <v>0</v>
      </c>
      <c r="BR236" s="19" t="b">
        <f t="shared" si="57"/>
        <v>0</v>
      </c>
      <c r="BS236" s="19" t="b">
        <f t="shared" si="58"/>
        <v>0</v>
      </c>
    </row>
    <row r="237" spans="2:71" ht="15.75" x14ac:dyDescent="0.2">
      <c r="B237" s="248" t="str">
        <f>IF(Calc!$F$26=0,"",IF(OR($C237&gt;Calc!$B$24,MOD($C237-1,Calc!$F$26)&gt;0),"",QUOTIENT($C237-1,Calc!$F$26)+1))</f>
        <v/>
      </c>
      <c r="C237" s="244">
        <v>229</v>
      </c>
      <c r="D237" s="142">
        <f>IF(Planning!$T235="","",Planning!$T235)</f>
        <v>46095</v>
      </c>
      <c r="E237" s="143">
        <f>IF(Planning!$U235="","",Planning!$U235)</f>
        <v>0.64583333333333337</v>
      </c>
      <c r="F237" s="161" t="str">
        <f>Planning!$Q235</f>
        <v>RB Leipzig</v>
      </c>
      <c r="G237" s="162" t="s">
        <v>4</v>
      </c>
      <c r="H237" s="161" t="str">
        <f>Planning!$S235</f>
        <v>Borussia Mönchengladbach</v>
      </c>
      <c r="I237" s="163"/>
      <c r="J237" s="315" t="str">
        <f>Language!$E$90</f>
        <v xml:space="preserve"> - </v>
      </c>
      <c r="K237" s="318"/>
      <c r="L237" s="163"/>
      <c r="M237" s="360" t="str">
        <f>Language!$E$90</f>
        <v xml:space="preserve"> - </v>
      </c>
      <c r="N237" s="318"/>
      <c r="O237" s="163"/>
      <c r="P237" s="360" t="str">
        <f>Language!$E$90</f>
        <v xml:space="preserve"> - </v>
      </c>
      <c r="Q237" s="318"/>
      <c r="R237" s="354" t="str">
        <f t="shared" si="50"/>
        <v/>
      </c>
      <c r="S237" s="357" t="str">
        <f>Language!$E$90</f>
        <v xml:space="preserve"> - </v>
      </c>
      <c r="T237" s="321" t="str">
        <f t="shared" si="51"/>
        <v/>
      </c>
      <c r="U237" s="294"/>
      <c r="V237" s="295"/>
      <c r="BM237" s="193" t="b">
        <f t="shared" si="52"/>
        <v>1</v>
      </c>
      <c r="BN237" s="19" t="b">
        <f t="shared" si="53"/>
        <v>1</v>
      </c>
      <c r="BO237" s="19" t="b">
        <f t="shared" si="54"/>
        <v>1</v>
      </c>
      <c r="BP237" s="19" t="b">
        <f t="shared" si="55"/>
        <v>1</v>
      </c>
      <c r="BQ237" s="19" t="b">
        <f t="shared" si="56"/>
        <v>0</v>
      </c>
      <c r="BR237" s="19" t="b">
        <f t="shared" si="57"/>
        <v>0</v>
      </c>
      <c r="BS237" s="19" t="b">
        <f t="shared" si="58"/>
        <v>0</v>
      </c>
    </row>
    <row r="238" spans="2:71" ht="15.75" x14ac:dyDescent="0.2">
      <c r="B238" s="248" t="str">
        <f>IF(Calc!$F$26=0,"",IF(OR($C238&gt;Calc!$B$24,MOD($C238-1,Calc!$F$26)&gt;0),"",QUOTIENT($C238-1,Calc!$F$26)+1))</f>
        <v/>
      </c>
      <c r="C238" s="244">
        <v>230</v>
      </c>
      <c r="D238" s="142">
        <f>IF(Planning!$T236="","",Planning!$T236)</f>
        <v>46095</v>
      </c>
      <c r="E238" s="143">
        <f>IF(Planning!$U236="","",Planning!$U236)</f>
        <v>0.64583333333333337</v>
      </c>
      <c r="F238" s="161" t="str">
        <f>Planning!$Q236</f>
        <v>Borussia Dortmund</v>
      </c>
      <c r="G238" s="162" t="s">
        <v>4</v>
      </c>
      <c r="H238" s="161" t="str">
        <f>Planning!$S236</f>
        <v>SC Freiburg</v>
      </c>
      <c r="I238" s="163"/>
      <c r="J238" s="315" t="str">
        <f>Language!$E$90</f>
        <v xml:space="preserve"> - </v>
      </c>
      <c r="K238" s="318"/>
      <c r="L238" s="163"/>
      <c r="M238" s="360" t="str">
        <f>Language!$E$90</f>
        <v xml:space="preserve"> - </v>
      </c>
      <c r="N238" s="318"/>
      <c r="O238" s="163"/>
      <c r="P238" s="360" t="str">
        <f>Language!$E$90</f>
        <v xml:space="preserve"> - </v>
      </c>
      <c r="Q238" s="318"/>
      <c r="R238" s="354" t="str">
        <f t="shared" si="50"/>
        <v/>
      </c>
      <c r="S238" s="357" t="str">
        <f>Language!$E$90</f>
        <v xml:space="preserve"> - </v>
      </c>
      <c r="T238" s="321" t="str">
        <f t="shared" si="51"/>
        <v/>
      </c>
      <c r="U238" s="294"/>
      <c r="V238" s="295"/>
      <c r="BM238" s="193" t="b">
        <f t="shared" si="52"/>
        <v>1</v>
      </c>
      <c r="BN238" s="19" t="b">
        <f t="shared" si="53"/>
        <v>1</v>
      </c>
      <c r="BO238" s="19" t="b">
        <f t="shared" si="54"/>
        <v>1</v>
      </c>
      <c r="BP238" s="19" t="b">
        <f t="shared" si="55"/>
        <v>1</v>
      </c>
      <c r="BQ238" s="19" t="b">
        <f t="shared" si="56"/>
        <v>0</v>
      </c>
      <c r="BR238" s="19" t="b">
        <f t="shared" si="57"/>
        <v>0</v>
      </c>
      <c r="BS238" s="19" t="b">
        <f t="shared" si="58"/>
        <v>0</v>
      </c>
    </row>
    <row r="239" spans="2:71" ht="15.75" x14ac:dyDescent="0.2">
      <c r="B239" s="248" t="str">
        <f>IF(Calc!$F$26=0,"",IF(OR($C239&gt;Calc!$B$24,MOD($C239-1,Calc!$F$26)&gt;0),"",QUOTIENT($C239-1,Calc!$F$26)+1))</f>
        <v/>
      </c>
      <c r="C239" s="244">
        <v>231</v>
      </c>
      <c r="D239" s="142">
        <f>IF(Planning!$T237="","",Planning!$T237)</f>
        <v>46095</v>
      </c>
      <c r="E239" s="143">
        <f>IF(Planning!$U237="","",Planning!$U237)</f>
        <v>0.64583333333333337</v>
      </c>
      <c r="F239" s="161" t="str">
        <f>Planning!$Q237</f>
        <v>SV Werder Bremen</v>
      </c>
      <c r="G239" s="162" t="s">
        <v>4</v>
      </c>
      <c r="H239" s="161" t="str">
        <f>Planning!$S237</f>
        <v>Bayer 04 Leverkusen</v>
      </c>
      <c r="I239" s="163"/>
      <c r="J239" s="315" t="str">
        <f>Language!$E$90</f>
        <v xml:space="preserve"> - </v>
      </c>
      <c r="K239" s="318"/>
      <c r="L239" s="163"/>
      <c r="M239" s="360" t="str">
        <f>Language!$E$90</f>
        <v xml:space="preserve"> - </v>
      </c>
      <c r="N239" s="318"/>
      <c r="O239" s="163"/>
      <c r="P239" s="360" t="str">
        <f>Language!$E$90</f>
        <v xml:space="preserve"> - </v>
      </c>
      <c r="Q239" s="318"/>
      <c r="R239" s="354" t="str">
        <f t="shared" si="50"/>
        <v/>
      </c>
      <c r="S239" s="357" t="str">
        <f>Language!$E$90</f>
        <v xml:space="preserve"> - </v>
      </c>
      <c r="T239" s="321" t="str">
        <f t="shared" si="51"/>
        <v/>
      </c>
      <c r="U239" s="294"/>
      <c r="V239" s="295"/>
      <c r="BM239" s="193" t="b">
        <f t="shared" si="52"/>
        <v>1</v>
      </c>
      <c r="BN239" s="19" t="b">
        <f t="shared" si="53"/>
        <v>1</v>
      </c>
      <c r="BO239" s="19" t="b">
        <f t="shared" si="54"/>
        <v>1</v>
      </c>
      <c r="BP239" s="19" t="b">
        <f t="shared" si="55"/>
        <v>1</v>
      </c>
      <c r="BQ239" s="19" t="b">
        <f t="shared" si="56"/>
        <v>0</v>
      </c>
      <c r="BR239" s="19" t="b">
        <f t="shared" si="57"/>
        <v>0</v>
      </c>
      <c r="BS239" s="19" t="b">
        <f t="shared" si="58"/>
        <v>0</v>
      </c>
    </row>
    <row r="240" spans="2:71" ht="15.75" x14ac:dyDescent="0.2">
      <c r="B240" s="248" t="str">
        <f>IF(Calc!$F$26=0,"",IF(OR($C240&gt;Calc!$B$24,MOD($C240-1,Calc!$F$26)&gt;0),"",QUOTIENT($C240-1,Calc!$F$26)+1))</f>
        <v/>
      </c>
      <c r="C240" s="244">
        <v>232</v>
      </c>
      <c r="D240" s="142">
        <f>IF(Planning!$T238="","",Planning!$T238)</f>
        <v>46095</v>
      </c>
      <c r="E240" s="143">
        <f>IF(Planning!$U238="","",Planning!$U238)</f>
        <v>0.64583333333333337</v>
      </c>
      <c r="F240" s="161" t="str">
        <f>Planning!$Q238</f>
        <v>1. FSV Mainz 05</v>
      </c>
      <c r="G240" s="162" t="s">
        <v>4</v>
      </c>
      <c r="H240" s="161" t="str">
        <f>Planning!$S238</f>
        <v>TSG Hoffenheim</v>
      </c>
      <c r="I240" s="163"/>
      <c r="J240" s="315" t="str">
        <f>Language!$E$90</f>
        <v xml:space="preserve"> - </v>
      </c>
      <c r="K240" s="318"/>
      <c r="L240" s="163"/>
      <c r="M240" s="360" t="str">
        <f>Language!$E$90</f>
        <v xml:space="preserve"> - </v>
      </c>
      <c r="N240" s="318"/>
      <c r="O240" s="163"/>
      <c r="P240" s="360" t="str">
        <f>Language!$E$90</f>
        <v xml:space="preserve"> - </v>
      </c>
      <c r="Q240" s="318"/>
      <c r="R240" s="354" t="str">
        <f t="shared" si="50"/>
        <v/>
      </c>
      <c r="S240" s="357" t="str">
        <f>Language!$E$90</f>
        <v xml:space="preserve"> - </v>
      </c>
      <c r="T240" s="321" t="str">
        <f t="shared" si="51"/>
        <v/>
      </c>
      <c r="U240" s="294"/>
      <c r="V240" s="295"/>
      <c r="BM240" s="193" t="b">
        <f t="shared" si="52"/>
        <v>1</v>
      </c>
      <c r="BN240" s="19" t="b">
        <f t="shared" si="53"/>
        <v>1</v>
      </c>
      <c r="BO240" s="19" t="b">
        <f t="shared" si="54"/>
        <v>1</v>
      </c>
      <c r="BP240" s="19" t="b">
        <f t="shared" si="55"/>
        <v>1</v>
      </c>
      <c r="BQ240" s="19" t="b">
        <f t="shared" si="56"/>
        <v>0</v>
      </c>
      <c r="BR240" s="19" t="b">
        <f t="shared" si="57"/>
        <v>0</v>
      </c>
      <c r="BS240" s="19" t="b">
        <f t="shared" si="58"/>
        <v>0</v>
      </c>
    </row>
    <row r="241" spans="2:71" ht="15.75" x14ac:dyDescent="0.2">
      <c r="B241" s="248" t="str">
        <f>IF(Calc!$F$26=0,"",IF(OR($C241&gt;Calc!$B$24,MOD($C241-1,Calc!$F$26)&gt;0),"",QUOTIENT($C241-1,Calc!$F$26)+1))</f>
        <v/>
      </c>
      <c r="C241" s="244">
        <v>233</v>
      </c>
      <c r="D241" s="142">
        <f>IF(Planning!$T239="","",Planning!$T239)</f>
        <v>46095</v>
      </c>
      <c r="E241" s="143">
        <f>IF(Planning!$U239="","",Planning!$U239)</f>
        <v>0.64583333333333337</v>
      </c>
      <c r="F241" s="161" t="str">
        <f>Planning!$Q239</f>
        <v>VfB Stuttgart</v>
      </c>
      <c r="G241" s="162" t="s">
        <v>4</v>
      </c>
      <c r="H241" s="161" t="str">
        <f>Planning!$S239</f>
        <v>1. FC Union Berlin</v>
      </c>
      <c r="I241" s="163"/>
      <c r="J241" s="315" t="str">
        <f>Language!$E$90</f>
        <v xml:space="preserve"> - </v>
      </c>
      <c r="K241" s="318"/>
      <c r="L241" s="163"/>
      <c r="M241" s="360" t="str">
        <f>Language!$E$90</f>
        <v xml:space="preserve"> - </v>
      </c>
      <c r="N241" s="318"/>
      <c r="O241" s="163"/>
      <c r="P241" s="360" t="str">
        <f>Language!$E$90</f>
        <v xml:space="preserve"> - </v>
      </c>
      <c r="Q241" s="318"/>
      <c r="R241" s="354" t="str">
        <f t="shared" si="50"/>
        <v/>
      </c>
      <c r="S241" s="357" t="str">
        <f>Language!$E$90</f>
        <v xml:space="preserve"> - </v>
      </c>
      <c r="T241" s="321" t="str">
        <f t="shared" si="51"/>
        <v/>
      </c>
      <c r="U241" s="294"/>
      <c r="V241" s="295"/>
      <c r="BM241" s="193" t="b">
        <f t="shared" si="52"/>
        <v>1</v>
      </c>
      <c r="BN241" s="19" t="b">
        <f t="shared" si="53"/>
        <v>1</v>
      </c>
      <c r="BO241" s="19" t="b">
        <f t="shared" si="54"/>
        <v>1</v>
      </c>
      <c r="BP241" s="19" t="b">
        <f t="shared" si="55"/>
        <v>1</v>
      </c>
      <c r="BQ241" s="19" t="b">
        <f t="shared" si="56"/>
        <v>0</v>
      </c>
      <c r="BR241" s="19" t="b">
        <f t="shared" si="57"/>
        <v>0</v>
      </c>
      <c r="BS241" s="19" t="b">
        <f t="shared" si="58"/>
        <v>0</v>
      </c>
    </row>
    <row r="242" spans="2:71" ht="15.75" x14ac:dyDescent="0.2">
      <c r="B242" s="248" t="str">
        <f>IF(Calc!$F$26=0,"",IF(OR($C242&gt;Calc!$B$24,MOD($C242-1,Calc!$F$26)&gt;0),"",QUOTIENT($C242-1,Calc!$F$26)+1))</f>
        <v/>
      </c>
      <c r="C242" s="244">
        <v>234</v>
      </c>
      <c r="D242" s="142">
        <f>IF(Planning!$T240="","",Planning!$T240)</f>
        <v>46095</v>
      </c>
      <c r="E242" s="143">
        <f>IF(Planning!$U240="","",Planning!$U240)</f>
        <v>0.64583333333333337</v>
      </c>
      <c r="F242" s="161" t="str">
        <f>Planning!$Q240</f>
        <v>1. FC Köln</v>
      </c>
      <c r="G242" s="162" t="s">
        <v>4</v>
      </c>
      <c r="H242" s="161" t="str">
        <f>Planning!$S240</f>
        <v>VfL Wolfsburg</v>
      </c>
      <c r="I242" s="163"/>
      <c r="J242" s="315" t="str">
        <f>Language!$E$90</f>
        <v xml:space="preserve"> - </v>
      </c>
      <c r="K242" s="318"/>
      <c r="L242" s="163"/>
      <c r="M242" s="360" t="str">
        <f>Language!$E$90</f>
        <v xml:space="preserve"> - </v>
      </c>
      <c r="N242" s="318"/>
      <c r="O242" s="163"/>
      <c r="P242" s="360" t="str">
        <f>Language!$E$90</f>
        <v xml:space="preserve"> - </v>
      </c>
      <c r="Q242" s="318"/>
      <c r="R242" s="354" t="str">
        <f t="shared" si="50"/>
        <v/>
      </c>
      <c r="S242" s="357" t="str">
        <f>Language!$E$90</f>
        <v xml:space="preserve"> - </v>
      </c>
      <c r="T242" s="321" t="str">
        <f t="shared" si="51"/>
        <v/>
      </c>
      <c r="U242" s="294"/>
      <c r="V242" s="295"/>
      <c r="BM242" s="193" t="b">
        <f t="shared" si="52"/>
        <v>1</v>
      </c>
      <c r="BN242" s="19" t="b">
        <f t="shared" si="53"/>
        <v>1</v>
      </c>
      <c r="BO242" s="19" t="b">
        <f t="shared" si="54"/>
        <v>1</v>
      </c>
      <c r="BP242" s="19" t="b">
        <f t="shared" si="55"/>
        <v>1</v>
      </c>
      <c r="BQ242" s="19" t="b">
        <f t="shared" si="56"/>
        <v>0</v>
      </c>
      <c r="BR242" s="19" t="b">
        <f t="shared" si="57"/>
        <v>0</v>
      </c>
      <c r="BS242" s="19" t="b">
        <f t="shared" si="58"/>
        <v>0</v>
      </c>
    </row>
    <row r="243" spans="2:71" ht="15.75" x14ac:dyDescent="0.2">
      <c r="B243" s="248">
        <f>IF(Calc!$F$26=0,"",IF(OR($C243&gt;Calc!$B$24,MOD($C243-1,Calc!$F$26)&gt;0),"",QUOTIENT($C243-1,Calc!$F$26)+1))</f>
        <v>27</v>
      </c>
      <c r="C243" s="244">
        <v>235</v>
      </c>
      <c r="D243" s="142">
        <f>IF(Planning!$T241="","",Planning!$T241)</f>
        <v>46102</v>
      </c>
      <c r="E243" s="143">
        <f>IF(Planning!$U241="","",Planning!$U241)</f>
        <v>0.64583333333333337</v>
      </c>
      <c r="F243" s="161" t="str">
        <f>Planning!$Q241</f>
        <v>1. FC Heidenheim 1846</v>
      </c>
      <c r="G243" s="162" t="s">
        <v>4</v>
      </c>
      <c r="H243" s="161" t="str">
        <f>Planning!$S241</f>
        <v>FC Augsburg</v>
      </c>
      <c r="I243" s="163"/>
      <c r="J243" s="315" t="str">
        <f>Language!$E$90</f>
        <v xml:space="preserve"> - </v>
      </c>
      <c r="K243" s="318"/>
      <c r="L243" s="163"/>
      <c r="M243" s="360" t="str">
        <f>Language!$E$90</f>
        <v xml:space="preserve"> - </v>
      </c>
      <c r="N243" s="318"/>
      <c r="O243" s="163"/>
      <c r="P243" s="360" t="str">
        <f>Language!$E$90</f>
        <v xml:space="preserve"> - </v>
      </c>
      <c r="Q243" s="318"/>
      <c r="R243" s="354" t="str">
        <f t="shared" si="50"/>
        <v/>
      </c>
      <c r="S243" s="357" t="str">
        <f>Language!$E$90</f>
        <v xml:space="preserve"> - </v>
      </c>
      <c r="T243" s="321" t="str">
        <f t="shared" si="51"/>
        <v/>
      </c>
      <c r="U243" s="294"/>
      <c r="V243" s="295"/>
      <c r="BM243" s="193" t="b">
        <f t="shared" si="52"/>
        <v>1</v>
      </c>
      <c r="BN243" s="19" t="b">
        <f t="shared" si="53"/>
        <v>1</v>
      </c>
      <c r="BO243" s="19" t="b">
        <f t="shared" si="54"/>
        <v>1</v>
      </c>
      <c r="BP243" s="19" t="b">
        <f t="shared" si="55"/>
        <v>1</v>
      </c>
      <c r="BQ243" s="19" t="b">
        <f t="shared" si="56"/>
        <v>0</v>
      </c>
      <c r="BR243" s="19" t="b">
        <f t="shared" si="57"/>
        <v>0</v>
      </c>
      <c r="BS243" s="19" t="b">
        <f t="shared" si="58"/>
        <v>0</v>
      </c>
    </row>
    <row r="244" spans="2:71" ht="15.75" x14ac:dyDescent="0.2">
      <c r="B244" s="248" t="str">
        <f>IF(Calc!$F$26=0,"",IF(OR($C244&gt;Calc!$B$24,MOD($C244-1,Calc!$F$26)&gt;0),"",QUOTIENT($C244-1,Calc!$F$26)+1))</f>
        <v/>
      </c>
      <c r="C244" s="244">
        <v>236</v>
      </c>
      <c r="D244" s="142">
        <f>IF(Planning!$T242="","",Planning!$T242)</f>
        <v>46102</v>
      </c>
      <c r="E244" s="143">
        <f>IF(Planning!$U242="","",Planning!$U242)</f>
        <v>0.64583333333333337</v>
      </c>
      <c r="F244" s="161" t="str">
        <f>Planning!$Q242</f>
        <v>FC Bayern München</v>
      </c>
      <c r="G244" s="162" t="s">
        <v>4</v>
      </c>
      <c r="H244" s="161" t="str">
        <f>Planning!$S242</f>
        <v>Eintracht Frankfurt</v>
      </c>
      <c r="I244" s="163"/>
      <c r="J244" s="315" t="str">
        <f>Language!$E$90</f>
        <v xml:space="preserve"> - </v>
      </c>
      <c r="K244" s="318"/>
      <c r="L244" s="163"/>
      <c r="M244" s="360" t="str">
        <f>Language!$E$90</f>
        <v xml:space="preserve"> - </v>
      </c>
      <c r="N244" s="318"/>
      <c r="O244" s="163"/>
      <c r="P244" s="360" t="str">
        <f>Language!$E$90</f>
        <v xml:space="preserve"> - </v>
      </c>
      <c r="Q244" s="318"/>
      <c r="R244" s="354" t="str">
        <f t="shared" si="50"/>
        <v/>
      </c>
      <c r="S244" s="357" t="str">
        <f>Language!$E$90</f>
        <v xml:space="preserve"> - </v>
      </c>
      <c r="T244" s="321" t="str">
        <f t="shared" si="51"/>
        <v/>
      </c>
      <c r="U244" s="294"/>
      <c r="V244" s="295"/>
      <c r="BM244" s="193" t="b">
        <f t="shared" si="52"/>
        <v>1</v>
      </c>
      <c r="BN244" s="19" t="b">
        <f t="shared" si="53"/>
        <v>1</v>
      </c>
      <c r="BO244" s="19" t="b">
        <f t="shared" si="54"/>
        <v>1</v>
      </c>
      <c r="BP244" s="19" t="b">
        <f t="shared" si="55"/>
        <v>1</v>
      </c>
      <c r="BQ244" s="19" t="b">
        <f t="shared" si="56"/>
        <v>0</v>
      </c>
      <c r="BR244" s="19" t="b">
        <f t="shared" si="57"/>
        <v>0</v>
      </c>
      <c r="BS244" s="19" t="b">
        <f t="shared" si="58"/>
        <v>0</v>
      </c>
    </row>
    <row r="245" spans="2:71" ht="15.75" x14ac:dyDescent="0.2">
      <c r="B245" s="248" t="str">
        <f>IF(Calc!$F$26=0,"",IF(OR($C245&gt;Calc!$B$24,MOD($C245-1,Calc!$F$26)&gt;0),"",QUOTIENT($C245-1,Calc!$F$26)+1))</f>
        <v/>
      </c>
      <c r="C245" s="244">
        <v>237</v>
      </c>
      <c r="D245" s="142">
        <f>IF(Planning!$T243="","",Planning!$T243)</f>
        <v>46102</v>
      </c>
      <c r="E245" s="143">
        <f>IF(Planning!$U243="","",Planning!$U243)</f>
        <v>0.64583333333333337</v>
      </c>
      <c r="F245" s="161" t="str">
        <f>Planning!$Q243</f>
        <v>Borussia Mönchengladbach</v>
      </c>
      <c r="G245" s="162" t="s">
        <v>4</v>
      </c>
      <c r="H245" s="161" t="str">
        <f>Planning!$S243</f>
        <v>FC St. Pauli</v>
      </c>
      <c r="I245" s="163"/>
      <c r="J245" s="315" t="str">
        <f>Language!$E$90</f>
        <v xml:space="preserve"> - </v>
      </c>
      <c r="K245" s="318"/>
      <c r="L245" s="163"/>
      <c r="M245" s="360" t="str">
        <f>Language!$E$90</f>
        <v xml:space="preserve"> - </v>
      </c>
      <c r="N245" s="318"/>
      <c r="O245" s="163"/>
      <c r="P245" s="360" t="str">
        <f>Language!$E$90</f>
        <v xml:space="preserve"> - </v>
      </c>
      <c r="Q245" s="318"/>
      <c r="R245" s="354" t="str">
        <f t="shared" si="50"/>
        <v/>
      </c>
      <c r="S245" s="357" t="str">
        <f>Language!$E$90</f>
        <v xml:space="preserve"> - </v>
      </c>
      <c r="T245" s="321" t="str">
        <f t="shared" si="51"/>
        <v/>
      </c>
      <c r="U245" s="294"/>
      <c r="V245" s="295"/>
      <c r="BM245" s="193" t="b">
        <f t="shared" si="52"/>
        <v>1</v>
      </c>
      <c r="BN245" s="19" t="b">
        <f t="shared" si="53"/>
        <v>1</v>
      </c>
      <c r="BO245" s="19" t="b">
        <f t="shared" si="54"/>
        <v>1</v>
      </c>
      <c r="BP245" s="19" t="b">
        <f t="shared" si="55"/>
        <v>1</v>
      </c>
      <c r="BQ245" s="19" t="b">
        <f t="shared" si="56"/>
        <v>0</v>
      </c>
      <c r="BR245" s="19" t="b">
        <f t="shared" si="57"/>
        <v>0</v>
      </c>
      <c r="BS245" s="19" t="b">
        <f t="shared" si="58"/>
        <v>0</v>
      </c>
    </row>
    <row r="246" spans="2:71" ht="15.75" x14ac:dyDescent="0.2">
      <c r="B246" s="248" t="str">
        <f>IF(Calc!$F$26=0,"",IF(OR($C246&gt;Calc!$B$24,MOD($C246-1,Calc!$F$26)&gt;0),"",QUOTIENT($C246-1,Calc!$F$26)+1))</f>
        <v/>
      </c>
      <c r="C246" s="244">
        <v>238</v>
      </c>
      <c r="D246" s="142">
        <f>IF(Planning!$T244="","",Planning!$T244)</f>
        <v>46102</v>
      </c>
      <c r="E246" s="143">
        <f>IF(Planning!$U244="","",Planning!$U244)</f>
        <v>0.64583333333333337</v>
      </c>
      <c r="F246" s="161" t="str">
        <f>Planning!$Q244</f>
        <v>Hamburger SV</v>
      </c>
      <c r="G246" s="162" t="s">
        <v>4</v>
      </c>
      <c r="H246" s="161" t="str">
        <f>Planning!$S244</f>
        <v>Borussia Dortmund</v>
      </c>
      <c r="I246" s="163"/>
      <c r="J246" s="315" t="str">
        <f>Language!$E$90</f>
        <v xml:space="preserve"> - </v>
      </c>
      <c r="K246" s="318"/>
      <c r="L246" s="163"/>
      <c r="M246" s="360" t="str">
        <f>Language!$E$90</f>
        <v xml:space="preserve"> - </v>
      </c>
      <c r="N246" s="318"/>
      <c r="O246" s="163"/>
      <c r="P246" s="360" t="str">
        <f>Language!$E$90</f>
        <v xml:space="preserve"> - </v>
      </c>
      <c r="Q246" s="318"/>
      <c r="R246" s="354" t="str">
        <f t="shared" si="50"/>
        <v/>
      </c>
      <c r="S246" s="357" t="str">
        <f>Language!$E$90</f>
        <v xml:space="preserve"> - </v>
      </c>
      <c r="T246" s="321" t="str">
        <f t="shared" si="51"/>
        <v/>
      </c>
      <c r="U246" s="294"/>
      <c r="V246" s="295"/>
      <c r="BM246" s="193" t="b">
        <f t="shared" si="52"/>
        <v>1</v>
      </c>
      <c r="BN246" s="19" t="b">
        <f t="shared" si="53"/>
        <v>1</v>
      </c>
      <c r="BO246" s="19" t="b">
        <f t="shared" si="54"/>
        <v>1</v>
      </c>
      <c r="BP246" s="19" t="b">
        <f t="shared" si="55"/>
        <v>1</v>
      </c>
      <c r="BQ246" s="19" t="b">
        <f t="shared" si="56"/>
        <v>0</v>
      </c>
      <c r="BR246" s="19" t="b">
        <f t="shared" si="57"/>
        <v>0</v>
      </c>
      <c r="BS246" s="19" t="b">
        <f t="shared" si="58"/>
        <v>0</v>
      </c>
    </row>
    <row r="247" spans="2:71" ht="15.75" x14ac:dyDescent="0.2">
      <c r="B247" s="248" t="str">
        <f>IF(Calc!$F$26=0,"",IF(OR($C247&gt;Calc!$B$24,MOD($C247-1,Calc!$F$26)&gt;0),"",QUOTIENT($C247-1,Calc!$F$26)+1))</f>
        <v/>
      </c>
      <c r="C247" s="244">
        <v>239</v>
      </c>
      <c r="D247" s="142">
        <f>IF(Planning!$T245="","",Planning!$T245)</f>
        <v>46102</v>
      </c>
      <c r="E247" s="143">
        <f>IF(Planning!$U245="","",Planning!$U245)</f>
        <v>0.64583333333333337</v>
      </c>
      <c r="F247" s="161" t="str">
        <f>Planning!$Q245</f>
        <v>Bayer 04 Leverkusen</v>
      </c>
      <c r="G247" s="162" t="s">
        <v>4</v>
      </c>
      <c r="H247" s="161" t="str">
        <f>Planning!$S245</f>
        <v>RB Leipzig</v>
      </c>
      <c r="I247" s="163"/>
      <c r="J247" s="315" t="str">
        <f>Language!$E$90</f>
        <v xml:space="preserve"> - </v>
      </c>
      <c r="K247" s="318"/>
      <c r="L247" s="163"/>
      <c r="M247" s="360" t="str">
        <f>Language!$E$90</f>
        <v xml:space="preserve"> - </v>
      </c>
      <c r="N247" s="318"/>
      <c r="O247" s="163"/>
      <c r="P247" s="360" t="str">
        <f>Language!$E$90</f>
        <v xml:space="preserve"> - </v>
      </c>
      <c r="Q247" s="318"/>
      <c r="R247" s="354" t="str">
        <f t="shared" si="50"/>
        <v/>
      </c>
      <c r="S247" s="357" t="str">
        <f>Language!$E$90</f>
        <v xml:space="preserve"> - </v>
      </c>
      <c r="T247" s="321" t="str">
        <f t="shared" si="51"/>
        <v/>
      </c>
      <c r="U247" s="294"/>
      <c r="V247" s="295"/>
      <c r="BM247" s="193" t="b">
        <f t="shared" si="52"/>
        <v>1</v>
      </c>
      <c r="BN247" s="19" t="b">
        <f t="shared" si="53"/>
        <v>1</v>
      </c>
      <c r="BO247" s="19" t="b">
        <f t="shared" si="54"/>
        <v>1</v>
      </c>
      <c r="BP247" s="19" t="b">
        <f t="shared" si="55"/>
        <v>1</v>
      </c>
      <c r="BQ247" s="19" t="b">
        <f t="shared" si="56"/>
        <v>0</v>
      </c>
      <c r="BR247" s="19" t="b">
        <f t="shared" si="57"/>
        <v>0</v>
      </c>
      <c r="BS247" s="19" t="b">
        <f t="shared" si="58"/>
        <v>0</v>
      </c>
    </row>
    <row r="248" spans="2:71" ht="15.75" x14ac:dyDescent="0.2">
      <c r="B248" s="248" t="str">
        <f>IF(Calc!$F$26=0,"",IF(OR($C248&gt;Calc!$B$24,MOD($C248-1,Calc!$F$26)&gt;0),"",QUOTIENT($C248-1,Calc!$F$26)+1))</f>
        <v/>
      </c>
      <c r="C248" s="244">
        <v>240</v>
      </c>
      <c r="D248" s="142">
        <f>IF(Planning!$T246="","",Planning!$T246)</f>
        <v>46102</v>
      </c>
      <c r="E248" s="143">
        <f>IF(Planning!$U246="","",Planning!$U246)</f>
        <v>0.64583333333333337</v>
      </c>
      <c r="F248" s="161" t="str">
        <f>Planning!$Q246</f>
        <v>SC Freiburg</v>
      </c>
      <c r="G248" s="162" t="s">
        <v>4</v>
      </c>
      <c r="H248" s="161" t="str">
        <f>Planning!$S246</f>
        <v>1. FSV Mainz 05</v>
      </c>
      <c r="I248" s="163"/>
      <c r="J248" s="315" t="str">
        <f>Language!$E$90</f>
        <v xml:space="preserve"> - </v>
      </c>
      <c r="K248" s="318"/>
      <c r="L248" s="163"/>
      <c r="M248" s="360" t="str">
        <f>Language!$E$90</f>
        <v xml:space="preserve"> - </v>
      </c>
      <c r="N248" s="318"/>
      <c r="O248" s="163"/>
      <c r="P248" s="360" t="str">
        <f>Language!$E$90</f>
        <v xml:space="preserve"> - </v>
      </c>
      <c r="Q248" s="318"/>
      <c r="R248" s="354" t="str">
        <f t="shared" si="50"/>
        <v/>
      </c>
      <c r="S248" s="357" t="str">
        <f>Language!$E$90</f>
        <v xml:space="preserve"> - </v>
      </c>
      <c r="T248" s="321" t="str">
        <f t="shared" si="51"/>
        <v/>
      </c>
      <c r="U248" s="294"/>
      <c r="V248" s="295"/>
      <c r="BM248" s="193" t="b">
        <f t="shared" si="52"/>
        <v>1</v>
      </c>
      <c r="BN248" s="19" t="b">
        <f t="shared" si="53"/>
        <v>1</v>
      </c>
      <c r="BO248" s="19" t="b">
        <f t="shared" si="54"/>
        <v>1</v>
      </c>
      <c r="BP248" s="19" t="b">
        <f t="shared" si="55"/>
        <v>1</v>
      </c>
      <c r="BQ248" s="19" t="b">
        <f t="shared" si="56"/>
        <v>0</v>
      </c>
      <c r="BR248" s="19" t="b">
        <f t="shared" si="57"/>
        <v>0</v>
      </c>
      <c r="BS248" s="19" t="b">
        <f t="shared" si="58"/>
        <v>0</v>
      </c>
    </row>
    <row r="249" spans="2:71" ht="15.75" x14ac:dyDescent="0.2">
      <c r="B249" s="248" t="str">
        <f>IF(Calc!$F$26=0,"",IF(OR($C249&gt;Calc!$B$24,MOD($C249-1,Calc!$F$26)&gt;0),"",QUOTIENT($C249-1,Calc!$F$26)+1))</f>
        <v/>
      </c>
      <c r="C249" s="244">
        <v>241</v>
      </c>
      <c r="D249" s="142">
        <f>IF(Planning!$T247="","",Planning!$T247)</f>
        <v>46102</v>
      </c>
      <c r="E249" s="143">
        <f>IF(Planning!$U247="","",Planning!$U247)</f>
        <v>0.64583333333333337</v>
      </c>
      <c r="F249" s="161" t="str">
        <f>Planning!$Q247</f>
        <v>1. FC Union Berlin</v>
      </c>
      <c r="G249" s="162" t="s">
        <v>4</v>
      </c>
      <c r="H249" s="161" t="str">
        <f>Planning!$S247</f>
        <v>SV Werder Bremen</v>
      </c>
      <c r="I249" s="163"/>
      <c r="J249" s="315" t="str">
        <f>Language!$E$90</f>
        <v xml:space="preserve"> - </v>
      </c>
      <c r="K249" s="318"/>
      <c r="L249" s="163"/>
      <c r="M249" s="360" t="str">
        <f>Language!$E$90</f>
        <v xml:space="preserve"> - </v>
      </c>
      <c r="N249" s="318"/>
      <c r="O249" s="163"/>
      <c r="P249" s="360" t="str">
        <f>Language!$E$90</f>
        <v xml:space="preserve"> - </v>
      </c>
      <c r="Q249" s="318"/>
      <c r="R249" s="354" t="str">
        <f t="shared" si="50"/>
        <v/>
      </c>
      <c r="S249" s="357" t="str">
        <f>Language!$E$90</f>
        <v xml:space="preserve"> - </v>
      </c>
      <c r="T249" s="321" t="str">
        <f t="shared" si="51"/>
        <v/>
      </c>
      <c r="U249" s="294"/>
      <c r="V249" s="295"/>
      <c r="BM249" s="193" t="b">
        <f t="shared" si="52"/>
        <v>1</v>
      </c>
      <c r="BN249" s="19" t="b">
        <f t="shared" si="53"/>
        <v>1</v>
      </c>
      <c r="BO249" s="19" t="b">
        <f t="shared" si="54"/>
        <v>1</v>
      </c>
      <c r="BP249" s="19" t="b">
        <f t="shared" si="55"/>
        <v>1</v>
      </c>
      <c r="BQ249" s="19" t="b">
        <f t="shared" si="56"/>
        <v>0</v>
      </c>
      <c r="BR249" s="19" t="b">
        <f t="shared" si="57"/>
        <v>0</v>
      </c>
      <c r="BS249" s="19" t="b">
        <f t="shared" si="58"/>
        <v>0</v>
      </c>
    </row>
    <row r="250" spans="2:71" ht="15.75" x14ac:dyDescent="0.2">
      <c r="B250" s="248" t="str">
        <f>IF(Calc!$F$26=0,"",IF(OR($C250&gt;Calc!$B$24,MOD($C250-1,Calc!$F$26)&gt;0),"",QUOTIENT($C250-1,Calc!$F$26)+1))</f>
        <v/>
      </c>
      <c r="C250" s="244">
        <v>242</v>
      </c>
      <c r="D250" s="142">
        <f>IF(Planning!$T248="","",Planning!$T248)</f>
        <v>46102</v>
      </c>
      <c r="E250" s="143">
        <f>IF(Planning!$U248="","",Planning!$U248)</f>
        <v>0.64583333333333337</v>
      </c>
      <c r="F250" s="161" t="str">
        <f>Planning!$Q248</f>
        <v>TSG Hoffenheim</v>
      </c>
      <c r="G250" s="162" t="s">
        <v>4</v>
      </c>
      <c r="H250" s="161" t="str">
        <f>Planning!$S248</f>
        <v>1. FC Köln</v>
      </c>
      <c r="I250" s="163"/>
      <c r="J250" s="315" t="str">
        <f>Language!$E$90</f>
        <v xml:space="preserve"> - </v>
      </c>
      <c r="K250" s="318"/>
      <c r="L250" s="163"/>
      <c r="M250" s="360" t="str">
        <f>Language!$E$90</f>
        <v xml:space="preserve"> - </v>
      </c>
      <c r="N250" s="318"/>
      <c r="O250" s="163"/>
      <c r="P250" s="360" t="str">
        <f>Language!$E$90</f>
        <v xml:space="preserve"> - </v>
      </c>
      <c r="Q250" s="318"/>
      <c r="R250" s="354" t="str">
        <f t="shared" si="50"/>
        <v/>
      </c>
      <c r="S250" s="357" t="str">
        <f>Language!$E$90</f>
        <v xml:space="preserve"> - </v>
      </c>
      <c r="T250" s="321" t="str">
        <f t="shared" si="51"/>
        <v/>
      </c>
      <c r="U250" s="294"/>
      <c r="V250" s="295"/>
      <c r="BM250" s="193" t="b">
        <f t="shared" si="52"/>
        <v>1</v>
      </c>
      <c r="BN250" s="19" t="b">
        <f t="shared" si="53"/>
        <v>1</v>
      </c>
      <c r="BO250" s="19" t="b">
        <f t="shared" si="54"/>
        <v>1</v>
      </c>
      <c r="BP250" s="19" t="b">
        <f t="shared" si="55"/>
        <v>1</v>
      </c>
      <c r="BQ250" s="19" t="b">
        <f t="shared" si="56"/>
        <v>0</v>
      </c>
      <c r="BR250" s="19" t="b">
        <f t="shared" si="57"/>
        <v>0</v>
      </c>
      <c r="BS250" s="19" t="b">
        <f t="shared" si="58"/>
        <v>0</v>
      </c>
    </row>
    <row r="251" spans="2:71" ht="15.75" x14ac:dyDescent="0.2">
      <c r="B251" s="248" t="str">
        <f>IF(Calc!$F$26=0,"",IF(OR($C251&gt;Calc!$B$24,MOD($C251-1,Calc!$F$26)&gt;0),"",QUOTIENT($C251-1,Calc!$F$26)+1))</f>
        <v/>
      </c>
      <c r="C251" s="244">
        <v>243</v>
      </c>
      <c r="D251" s="142">
        <f>IF(Planning!$T249="","",Planning!$T249)</f>
        <v>46102</v>
      </c>
      <c r="E251" s="143">
        <f>IF(Planning!$U249="","",Planning!$U249)</f>
        <v>0.64583333333333337</v>
      </c>
      <c r="F251" s="161" t="str">
        <f>Planning!$Q249</f>
        <v>VfL Wolfsburg</v>
      </c>
      <c r="G251" s="162" t="s">
        <v>4</v>
      </c>
      <c r="H251" s="161" t="str">
        <f>Planning!$S249</f>
        <v>VfB Stuttgart</v>
      </c>
      <c r="I251" s="163"/>
      <c r="J251" s="315" t="str">
        <f>Language!$E$90</f>
        <v xml:space="preserve"> - </v>
      </c>
      <c r="K251" s="318"/>
      <c r="L251" s="163"/>
      <c r="M251" s="360" t="str">
        <f>Language!$E$90</f>
        <v xml:space="preserve"> - </v>
      </c>
      <c r="N251" s="318"/>
      <c r="O251" s="163"/>
      <c r="P251" s="360" t="str">
        <f>Language!$E$90</f>
        <v xml:space="preserve"> - </v>
      </c>
      <c r="Q251" s="318"/>
      <c r="R251" s="354" t="str">
        <f t="shared" si="50"/>
        <v/>
      </c>
      <c r="S251" s="357" t="str">
        <f>Language!$E$90</f>
        <v xml:space="preserve"> - </v>
      </c>
      <c r="T251" s="321" t="str">
        <f t="shared" si="51"/>
        <v/>
      </c>
      <c r="U251" s="294"/>
      <c r="V251" s="295"/>
      <c r="BM251" s="193" t="b">
        <f t="shared" si="52"/>
        <v>1</v>
      </c>
      <c r="BN251" s="19" t="b">
        <f t="shared" si="53"/>
        <v>1</v>
      </c>
      <c r="BO251" s="19" t="b">
        <f t="shared" si="54"/>
        <v>1</v>
      </c>
      <c r="BP251" s="19" t="b">
        <f t="shared" si="55"/>
        <v>1</v>
      </c>
      <c r="BQ251" s="19" t="b">
        <f t="shared" si="56"/>
        <v>0</v>
      </c>
      <c r="BR251" s="19" t="b">
        <f t="shared" si="57"/>
        <v>0</v>
      </c>
      <c r="BS251" s="19" t="b">
        <f t="shared" si="58"/>
        <v>0</v>
      </c>
    </row>
    <row r="252" spans="2:71" ht="15.75" x14ac:dyDescent="0.2">
      <c r="B252" s="248">
        <f>IF(Calc!$F$26=0,"",IF(OR($C252&gt;Calc!$B$24,MOD($C252-1,Calc!$F$26)&gt;0),"",QUOTIENT($C252-1,Calc!$F$26)+1))</f>
        <v>28</v>
      </c>
      <c r="C252" s="244">
        <v>244</v>
      </c>
      <c r="D252" s="142">
        <f>IF(Planning!$T250="","",Planning!$T250)</f>
        <v>46116</v>
      </c>
      <c r="E252" s="143">
        <f>IF(Planning!$U250="","",Planning!$U250)</f>
        <v>0.64583333333333337</v>
      </c>
      <c r="F252" s="161" t="str">
        <f>Planning!$Q250</f>
        <v>Eintracht Frankfurt</v>
      </c>
      <c r="G252" s="162" t="s">
        <v>4</v>
      </c>
      <c r="H252" s="161" t="str">
        <f>Planning!$S250</f>
        <v>1. FC Heidenheim 1846</v>
      </c>
      <c r="I252" s="163"/>
      <c r="J252" s="315" t="str">
        <f>Language!$E$90</f>
        <v xml:space="preserve"> - </v>
      </c>
      <c r="K252" s="318"/>
      <c r="L252" s="163"/>
      <c r="M252" s="360" t="str">
        <f>Language!$E$90</f>
        <v xml:space="preserve"> - </v>
      </c>
      <c r="N252" s="318"/>
      <c r="O252" s="163"/>
      <c r="P252" s="360" t="str">
        <f>Language!$E$90</f>
        <v xml:space="preserve"> - </v>
      </c>
      <c r="Q252" s="318"/>
      <c r="R252" s="354" t="str">
        <f t="shared" si="50"/>
        <v/>
      </c>
      <c r="S252" s="357" t="str">
        <f>Language!$E$90</f>
        <v xml:space="preserve"> - </v>
      </c>
      <c r="T252" s="321" t="str">
        <f t="shared" si="51"/>
        <v/>
      </c>
      <c r="U252" s="294"/>
      <c r="V252" s="295"/>
      <c r="BM252" s="193" t="b">
        <f t="shared" si="52"/>
        <v>1</v>
      </c>
      <c r="BN252" s="19" t="b">
        <f t="shared" si="53"/>
        <v>1</v>
      </c>
      <c r="BO252" s="19" t="b">
        <f t="shared" si="54"/>
        <v>1</v>
      </c>
      <c r="BP252" s="19" t="b">
        <f t="shared" si="55"/>
        <v>1</v>
      </c>
      <c r="BQ252" s="19" t="b">
        <f t="shared" si="56"/>
        <v>0</v>
      </c>
      <c r="BR252" s="19" t="b">
        <f t="shared" si="57"/>
        <v>0</v>
      </c>
      <c r="BS252" s="19" t="b">
        <f t="shared" si="58"/>
        <v>0</v>
      </c>
    </row>
    <row r="253" spans="2:71" ht="15.75" x14ac:dyDescent="0.2">
      <c r="B253" s="248" t="str">
        <f>IF(Calc!$F$26=0,"",IF(OR($C253&gt;Calc!$B$24,MOD($C253-1,Calc!$F$26)&gt;0),"",QUOTIENT($C253-1,Calc!$F$26)+1))</f>
        <v/>
      </c>
      <c r="C253" s="244">
        <v>245</v>
      </c>
      <c r="D253" s="142">
        <f>IF(Planning!$T251="","",Planning!$T251)</f>
        <v>46116</v>
      </c>
      <c r="E253" s="143">
        <f>IF(Planning!$U251="","",Planning!$U251)</f>
        <v>0.64583333333333337</v>
      </c>
      <c r="F253" s="161" t="str">
        <f>Planning!$Q251</f>
        <v>FC Augsburg</v>
      </c>
      <c r="G253" s="162" t="s">
        <v>4</v>
      </c>
      <c r="H253" s="161" t="str">
        <f>Planning!$S251</f>
        <v>Borussia Mönchengladbach</v>
      </c>
      <c r="I253" s="163"/>
      <c r="J253" s="315" t="str">
        <f>Language!$E$90</f>
        <v xml:space="preserve"> - </v>
      </c>
      <c r="K253" s="318"/>
      <c r="L253" s="163"/>
      <c r="M253" s="360" t="str">
        <f>Language!$E$90</f>
        <v xml:space="preserve"> - </v>
      </c>
      <c r="N253" s="318"/>
      <c r="O253" s="163"/>
      <c r="P253" s="360" t="str">
        <f>Language!$E$90</f>
        <v xml:space="preserve"> - </v>
      </c>
      <c r="Q253" s="318"/>
      <c r="R253" s="354" t="str">
        <f t="shared" si="50"/>
        <v/>
      </c>
      <c r="S253" s="357" t="str">
        <f>Language!$E$90</f>
        <v xml:space="preserve"> - </v>
      </c>
      <c r="T253" s="321" t="str">
        <f t="shared" si="51"/>
        <v/>
      </c>
      <c r="U253" s="294"/>
      <c r="V253" s="295"/>
      <c r="BM253" s="193" t="b">
        <f t="shared" si="52"/>
        <v>1</v>
      </c>
      <c r="BN253" s="19" t="b">
        <f t="shared" si="53"/>
        <v>1</v>
      </c>
      <c r="BO253" s="19" t="b">
        <f t="shared" si="54"/>
        <v>1</v>
      </c>
      <c r="BP253" s="19" t="b">
        <f t="shared" si="55"/>
        <v>1</v>
      </c>
      <c r="BQ253" s="19" t="b">
        <f t="shared" si="56"/>
        <v>0</v>
      </c>
      <c r="BR253" s="19" t="b">
        <f t="shared" si="57"/>
        <v>0</v>
      </c>
      <c r="BS253" s="19" t="b">
        <f t="shared" si="58"/>
        <v>0</v>
      </c>
    </row>
    <row r="254" spans="2:71" ht="15.75" x14ac:dyDescent="0.2">
      <c r="B254" s="248" t="str">
        <f>IF(Calc!$F$26=0,"",IF(OR($C254&gt;Calc!$B$24,MOD($C254-1,Calc!$F$26)&gt;0),"",QUOTIENT($C254-1,Calc!$F$26)+1))</f>
        <v/>
      </c>
      <c r="C254" s="244">
        <v>246</v>
      </c>
      <c r="D254" s="142">
        <f>IF(Planning!$T252="","",Planning!$T252)</f>
        <v>46116</v>
      </c>
      <c r="E254" s="143">
        <f>IF(Planning!$U252="","",Planning!$U252)</f>
        <v>0.64583333333333337</v>
      </c>
      <c r="F254" s="161" t="str">
        <f>Planning!$Q252</f>
        <v>Borussia Dortmund</v>
      </c>
      <c r="G254" s="162" t="s">
        <v>4</v>
      </c>
      <c r="H254" s="161" t="str">
        <f>Planning!$S252</f>
        <v>FC Bayern München</v>
      </c>
      <c r="I254" s="163"/>
      <c r="J254" s="315" t="str">
        <f>Language!$E$90</f>
        <v xml:space="preserve"> - </v>
      </c>
      <c r="K254" s="318"/>
      <c r="L254" s="163"/>
      <c r="M254" s="360" t="str">
        <f>Language!$E$90</f>
        <v xml:space="preserve"> - </v>
      </c>
      <c r="N254" s="318"/>
      <c r="O254" s="163"/>
      <c r="P254" s="360" t="str">
        <f>Language!$E$90</f>
        <v xml:space="preserve"> - </v>
      </c>
      <c r="Q254" s="318"/>
      <c r="R254" s="354" t="str">
        <f t="shared" si="50"/>
        <v/>
      </c>
      <c r="S254" s="357" t="str">
        <f>Language!$E$90</f>
        <v xml:space="preserve"> - </v>
      </c>
      <c r="T254" s="321" t="str">
        <f t="shared" si="51"/>
        <v/>
      </c>
      <c r="U254" s="294"/>
      <c r="V254" s="295"/>
      <c r="BM254" s="193" t="b">
        <f t="shared" si="52"/>
        <v>1</v>
      </c>
      <c r="BN254" s="19" t="b">
        <f t="shared" si="53"/>
        <v>1</v>
      </c>
      <c r="BO254" s="19" t="b">
        <f t="shared" si="54"/>
        <v>1</v>
      </c>
      <c r="BP254" s="19" t="b">
        <f t="shared" si="55"/>
        <v>1</v>
      </c>
      <c r="BQ254" s="19" t="b">
        <f t="shared" si="56"/>
        <v>0</v>
      </c>
      <c r="BR254" s="19" t="b">
        <f t="shared" si="57"/>
        <v>0</v>
      </c>
      <c r="BS254" s="19" t="b">
        <f t="shared" si="58"/>
        <v>0</v>
      </c>
    </row>
    <row r="255" spans="2:71" ht="15.75" x14ac:dyDescent="0.2">
      <c r="B255" s="248" t="str">
        <f>IF(Calc!$F$26=0,"",IF(OR($C255&gt;Calc!$B$24,MOD($C255-1,Calc!$F$26)&gt;0),"",QUOTIENT($C255-1,Calc!$F$26)+1))</f>
        <v/>
      </c>
      <c r="C255" s="244">
        <v>247</v>
      </c>
      <c r="D255" s="142">
        <f>IF(Planning!$T253="","",Planning!$T253)</f>
        <v>46116</v>
      </c>
      <c r="E255" s="143">
        <f>IF(Planning!$U253="","",Planning!$U253)</f>
        <v>0.64583333333333337</v>
      </c>
      <c r="F255" s="161" t="str">
        <f>Planning!$Q253</f>
        <v>FC St. Pauli</v>
      </c>
      <c r="G255" s="162" t="s">
        <v>4</v>
      </c>
      <c r="H255" s="161" t="str">
        <f>Planning!$S253</f>
        <v>Bayer 04 Leverkusen</v>
      </c>
      <c r="I255" s="163"/>
      <c r="J255" s="315" t="str">
        <f>Language!$E$90</f>
        <v xml:space="preserve"> - </v>
      </c>
      <c r="K255" s="318"/>
      <c r="L255" s="163"/>
      <c r="M255" s="360" t="str">
        <f>Language!$E$90</f>
        <v xml:space="preserve"> - </v>
      </c>
      <c r="N255" s="318"/>
      <c r="O255" s="163"/>
      <c r="P255" s="360" t="str">
        <f>Language!$E$90</f>
        <v xml:space="preserve"> - </v>
      </c>
      <c r="Q255" s="318"/>
      <c r="R255" s="354" t="str">
        <f t="shared" si="50"/>
        <v/>
      </c>
      <c r="S255" s="357" t="str">
        <f>Language!$E$90</f>
        <v xml:space="preserve"> - </v>
      </c>
      <c r="T255" s="321" t="str">
        <f t="shared" si="51"/>
        <v/>
      </c>
      <c r="U255" s="294"/>
      <c r="V255" s="295"/>
      <c r="BM255" s="193" t="b">
        <f t="shared" si="52"/>
        <v>1</v>
      </c>
      <c r="BN255" s="19" t="b">
        <f t="shared" si="53"/>
        <v>1</v>
      </c>
      <c r="BO255" s="19" t="b">
        <f t="shared" si="54"/>
        <v>1</v>
      </c>
      <c r="BP255" s="19" t="b">
        <f t="shared" si="55"/>
        <v>1</v>
      </c>
      <c r="BQ255" s="19" t="b">
        <f t="shared" si="56"/>
        <v>0</v>
      </c>
      <c r="BR255" s="19" t="b">
        <f t="shared" si="57"/>
        <v>0</v>
      </c>
      <c r="BS255" s="19" t="b">
        <f t="shared" si="58"/>
        <v>0</v>
      </c>
    </row>
    <row r="256" spans="2:71" ht="15.75" x14ac:dyDescent="0.2">
      <c r="B256" s="248" t="str">
        <f>IF(Calc!$F$26=0,"",IF(OR($C256&gt;Calc!$B$24,MOD($C256-1,Calc!$F$26)&gt;0),"",QUOTIENT($C256-1,Calc!$F$26)+1))</f>
        <v/>
      </c>
      <c r="C256" s="244">
        <v>248</v>
      </c>
      <c r="D256" s="142">
        <f>IF(Planning!$T254="","",Planning!$T254)</f>
        <v>46116</v>
      </c>
      <c r="E256" s="143">
        <f>IF(Planning!$U254="","",Planning!$U254)</f>
        <v>0.64583333333333337</v>
      </c>
      <c r="F256" s="161" t="str">
        <f>Planning!$Q254</f>
        <v>1. FSV Mainz 05</v>
      </c>
      <c r="G256" s="162" t="s">
        <v>4</v>
      </c>
      <c r="H256" s="161" t="str">
        <f>Planning!$S254</f>
        <v>Hamburger SV</v>
      </c>
      <c r="I256" s="163"/>
      <c r="J256" s="315" t="str">
        <f>Language!$E$90</f>
        <v xml:space="preserve"> - </v>
      </c>
      <c r="K256" s="318"/>
      <c r="L256" s="163"/>
      <c r="M256" s="360" t="str">
        <f>Language!$E$90</f>
        <v xml:space="preserve"> - </v>
      </c>
      <c r="N256" s="318"/>
      <c r="O256" s="163"/>
      <c r="P256" s="360" t="str">
        <f>Language!$E$90</f>
        <v xml:space="preserve"> - </v>
      </c>
      <c r="Q256" s="318"/>
      <c r="R256" s="354" t="str">
        <f t="shared" si="50"/>
        <v/>
      </c>
      <c r="S256" s="357" t="str">
        <f>Language!$E$90</f>
        <v xml:space="preserve"> - </v>
      </c>
      <c r="T256" s="321" t="str">
        <f t="shared" si="51"/>
        <v/>
      </c>
      <c r="U256" s="294"/>
      <c r="V256" s="295"/>
      <c r="BM256" s="193" t="b">
        <f t="shared" si="52"/>
        <v>1</v>
      </c>
      <c r="BN256" s="19" t="b">
        <f t="shared" si="53"/>
        <v>1</v>
      </c>
      <c r="BO256" s="19" t="b">
        <f t="shared" si="54"/>
        <v>1</v>
      </c>
      <c r="BP256" s="19" t="b">
        <f t="shared" si="55"/>
        <v>1</v>
      </c>
      <c r="BQ256" s="19" t="b">
        <f t="shared" si="56"/>
        <v>0</v>
      </c>
      <c r="BR256" s="19" t="b">
        <f t="shared" si="57"/>
        <v>0</v>
      </c>
      <c r="BS256" s="19" t="b">
        <f t="shared" si="58"/>
        <v>0</v>
      </c>
    </row>
    <row r="257" spans="2:71" ht="15.75" x14ac:dyDescent="0.2">
      <c r="B257" s="248" t="str">
        <f>IF(Calc!$F$26=0,"",IF(OR($C257&gt;Calc!$B$24,MOD($C257-1,Calc!$F$26)&gt;0),"",QUOTIENT($C257-1,Calc!$F$26)+1))</f>
        <v/>
      </c>
      <c r="C257" s="244">
        <v>249</v>
      </c>
      <c r="D257" s="142">
        <f>IF(Planning!$T255="","",Planning!$T255)</f>
        <v>46116</v>
      </c>
      <c r="E257" s="143">
        <f>IF(Planning!$U255="","",Planning!$U255)</f>
        <v>0.64583333333333337</v>
      </c>
      <c r="F257" s="161" t="str">
        <f>Planning!$Q255</f>
        <v>RB Leipzig</v>
      </c>
      <c r="G257" s="162" t="s">
        <v>4</v>
      </c>
      <c r="H257" s="161" t="str">
        <f>Planning!$S255</f>
        <v>1. FC Union Berlin</v>
      </c>
      <c r="I257" s="163"/>
      <c r="J257" s="315" t="str">
        <f>Language!$E$90</f>
        <v xml:space="preserve"> - </v>
      </c>
      <c r="K257" s="318"/>
      <c r="L257" s="163"/>
      <c r="M257" s="360" t="str">
        <f>Language!$E$90</f>
        <v xml:space="preserve"> - </v>
      </c>
      <c r="N257" s="318"/>
      <c r="O257" s="163"/>
      <c r="P257" s="360" t="str">
        <f>Language!$E$90</f>
        <v xml:space="preserve"> - </v>
      </c>
      <c r="Q257" s="318"/>
      <c r="R257" s="354" t="str">
        <f t="shared" si="50"/>
        <v/>
      </c>
      <c r="S257" s="357" t="str">
        <f>Language!$E$90</f>
        <v xml:space="preserve"> - </v>
      </c>
      <c r="T257" s="321" t="str">
        <f t="shared" si="51"/>
        <v/>
      </c>
      <c r="U257" s="294"/>
      <c r="V257" s="295"/>
      <c r="BM257" s="193" t="b">
        <f t="shared" si="52"/>
        <v>1</v>
      </c>
      <c r="BN257" s="19" t="b">
        <f t="shared" si="53"/>
        <v>1</v>
      </c>
      <c r="BO257" s="19" t="b">
        <f t="shared" si="54"/>
        <v>1</v>
      </c>
      <c r="BP257" s="19" t="b">
        <f t="shared" si="55"/>
        <v>1</v>
      </c>
      <c r="BQ257" s="19" t="b">
        <f t="shared" si="56"/>
        <v>0</v>
      </c>
      <c r="BR257" s="19" t="b">
        <f t="shared" si="57"/>
        <v>0</v>
      </c>
      <c r="BS257" s="19" t="b">
        <f t="shared" si="58"/>
        <v>0</v>
      </c>
    </row>
    <row r="258" spans="2:71" ht="15.75" x14ac:dyDescent="0.2">
      <c r="B258" s="248" t="str">
        <f>IF(Calc!$F$26=0,"",IF(OR($C258&gt;Calc!$B$24,MOD($C258-1,Calc!$F$26)&gt;0),"",QUOTIENT($C258-1,Calc!$F$26)+1))</f>
        <v/>
      </c>
      <c r="C258" s="244">
        <v>250</v>
      </c>
      <c r="D258" s="142">
        <f>IF(Planning!$T256="","",Planning!$T256)</f>
        <v>46116</v>
      </c>
      <c r="E258" s="143">
        <f>IF(Planning!$U256="","",Planning!$U256)</f>
        <v>0.64583333333333337</v>
      </c>
      <c r="F258" s="161" t="str">
        <f>Planning!$Q256</f>
        <v>1. FC Köln</v>
      </c>
      <c r="G258" s="162" t="s">
        <v>4</v>
      </c>
      <c r="H258" s="161" t="str">
        <f>Planning!$S256</f>
        <v>SC Freiburg</v>
      </c>
      <c r="I258" s="163"/>
      <c r="J258" s="315" t="str">
        <f>Language!$E$90</f>
        <v xml:space="preserve"> - </v>
      </c>
      <c r="K258" s="318"/>
      <c r="L258" s="163"/>
      <c r="M258" s="360" t="str">
        <f>Language!$E$90</f>
        <v xml:space="preserve"> - </v>
      </c>
      <c r="N258" s="318"/>
      <c r="O258" s="163"/>
      <c r="P258" s="360" t="str">
        <f>Language!$E$90</f>
        <v xml:space="preserve"> - </v>
      </c>
      <c r="Q258" s="318"/>
      <c r="R258" s="354" t="str">
        <f t="shared" si="50"/>
        <v/>
      </c>
      <c r="S258" s="357" t="str">
        <f>Language!$E$90</f>
        <v xml:space="preserve"> - </v>
      </c>
      <c r="T258" s="321" t="str">
        <f t="shared" si="51"/>
        <v/>
      </c>
      <c r="U258" s="294"/>
      <c r="V258" s="295"/>
      <c r="BM258" s="193" t="b">
        <f t="shared" si="52"/>
        <v>1</v>
      </c>
      <c r="BN258" s="19" t="b">
        <f t="shared" si="53"/>
        <v>1</v>
      </c>
      <c r="BO258" s="19" t="b">
        <f t="shared" si="54"/>
        <v>1</v>
      </c>
      <c r="BP258" s="19" t="b">
        <f t="shared" si="55"/>
        <v>1</v>
      </c>
      <c r="BQ258" s="19" t="b">
        <f t="shared" si="56"/>
        <v>0</v>
      </c>
      <c r="BR258" s="19" t="b">
        <f t="shared" si="57"/>
        <v>0</v>
      </c>
      <c r="BS258" s="19" t="b">
        <f t="shared" si="58"/>
        <v>0</v>
      </c>
    </row>
    <row r="259" spans="2:71" ht="15.75" x14ac:dyDescent="0.2">
      <c r="B259" s="248" t="str">
        <f>IF(Calc!$F$26=0,"",IF(OR($C259&gt;Calc!$B$24,MOD($C259-1,Calc!$F$26)&gt;0),"",QUOTIENT($C259-1,Calc!$F$26)+1))</f>
        <v/>
      </c>
      <c r="C259" s="244">
        <v>251</v>
      </c>
      <c r="D259" s="142">
        <f>IF(Planning!$T257="","",Planning!$T257)</f>
        <v>46116</v>
      </c>
      <c r="E259" s="143">
        <f>IF(Planning!$U257="","",Planning!$U257)</f>
        <v>0.64583333333333337</v>
      </c>
      <c r="F259" s="161" t="str">
        <f>Planning!$Q257</f>
        <v>SV Werder Bremen</v>
      </c>
      <c r="G259" s="162" t="s">
        <v>4</v>
      </c>
      <c r="H259" s="161" t="str">
        <f>Planning!$S257</f>
        <v>VfL Wolfsburg</v>
      </c>
      <c r="I259" s="163"/>
      <c r="J259" s="315" t="str">
        <f>Language!$E$90</f>
        <v xml:space="preserve"> - </v>
      </c>
      <c r="K259" s="318"/>
      <c r="L259" s="163"/>
      <c r="M259" s="360" t="str">
        <f>Language!$E$90</f>
        <v xml:space="preserve"> - </v>
      </c>
      <c r="N259" s="318"/>
      <c r="O259" s="163"/>
      <c r="P259" s="360" t="str">
        <f>Language!$E$90</f>
        <v xml:space="preserve"> - </v>
      </c>
      <c r="Q259" s="318"/>
      <c r="R259" s="354" t="str">
        <f t="shared" si="50"/>
        <v/>
      </c>
      <c r="S259" s="357" t="str">
        <f>Language!$E$90</f>
        <v xml:space="preserve"> - </v>
      </c>
      <c r="T259" s="321" t="str">
        <f t="shared" si="51"/>
        <v/>
      </c>
      <c r="U259" s="294"/>
      <c r="V259" s="295"/>
      <c r="BM259" s="193" t="b">
        <f t="shared" si="52"/>
        <v>1</v>
      </c>
      <c r="BN259" s="19" t="b">
        <f t="shared" si="53"/>
        <v>1</v>
      </c>
      <c r="BO259" s="19" t="b">
        <f t="shared" si="54"/>
        <v>1</v>
      </c>
      <c r="BP259" s="19" t="b">
        <f t="shared" si="55"/>
        <v>1</v>
      </c>
      <c r="BQ259" s="19" t="b">
        <f t="shared" si="56"/>
        <v>0</v>
      </c>
      <c r="BR259" s="19" t="b">
        <f t="shared" si="57"/>
        <v>0</v>
      </c>
      <c r="BS259" s="19" t="b">
        <f t="shared" si="58"/>
        <v>0</v>
      </c>
    </row>
    <row r="260" spans="2:71" ht="15.75" x14ac:dyDescent="0.2">
      <c r="B260" s="248" t="str">
        <f>IF(Calc!$F$26=0,"",IF(OR($C260&gt;Calc!$B$24,MOD($C260-1,Calc!$F$26)&gt;0),"",QUOTIENT($C260-1,Calc!$F$26)+1))</f>
        <v/>
      </c>
      <c r="C260" s="244">
        <v>252</v>
      </c>
      <c r="D260" s="142">
        <f>IF(Planning!$T258="","",Planning!$T258)</f>
        <v>46116</v>
      </c>
      <c r="E260" s="143">
        <f>IF(Planning!$U258="","",Planning!$U258)</f>
        <v>0.64583333333333337</v>
      </c>
      <c r="F260" s="161" t="str">
        <f>Planning!$Q258</f>
        <v>VfB Stuttgart</v>
      </c>
      <c r="G260" s="162" t="s">
        <v>4</v>
      </c>
      <c r="H260" s="161" t="str">
        <f>Planning!$S258</f>
        <v>TSG Hoffenheim</v>
      </c>
      <c r="I260" s="163"/>
      <c r="J260" s="315" t="str">
        <f>Language!$E$90</f>
        <v xml:space="preserve"> - </v>
      </c>
      <c r="K260" s="318"/>
      <c r="L260" s="163"/>
      <c r="M260" s="360" t="str">
        <f>Language!$E$90</f>
        <v xml:space="preserve"> - </v>
      </c>
      <c r="N260" s="318"/>
      <c r="O260" s="163"/>
      <c r="P260" s="360" t="str">
        <f>Language!$E$90</f>
        <v xml:space="preserve"> - </v>
      </c>
      <c r="Q260" s="318"/>
      <c r="R260" s="354" t="str">
        <f t="shared" si="50"/>
        <v/>
      </c>
      <c r="S260" s="357" t="str">
        <f>Language!$E$90</f>
        <v xml:space="preserve"> - </v>
      </c>
      <c r="T260" s="321" t="str">
        <f t="shared" si="51"/>
        <v/>
      </c>
      <c r="U260" s="294"/>
      <c r="V260" s="295"/>
      <c r="BM260" s="193" t="b">
        <f t="shared" si="52"/>
        <v>1</v>
      </c>
      <c r="BN260" s="19" t="b">
        <f t="shared" si="53"/>
        <v>1</v>
      </c>
      <c r="BO260" s="19" t="b">
        <f t="shared" si="54"/>
        <v>1</v>
      </c>
      <c r="BP260" s="19" t="b">
        <f t="shared" si="55"/>
        <v>1</v>
      </c>
      <c r="BQ260" s="19" t="b">
        <f t="shared" si="56"/>
        <v>0</v>
      </c>
      <c r="BR260" s="19" t="b">
        <f t="shared" si="57"/>
        <v>0</v>
      </c>
      <c r="BS260" s="19" t="b">
        <f t="shared" si="58"/>
        <v>0</v>
      </c>
    </row>
    <row r="261" spans="2:71" ht="15.75" x14ac:dyDescent="0.2">
      <c r="B261" s="248">
        <f>IF(Calc!$F$26=0,"",IF(OR($C261&gt;Calc!$B$24,MOD($C261-1,Calc!$F$26)&gt;0),"",QUOTIENT($C261-1,Calc!$F$26)+1))</f>
        <v>29</v>
      </c>
      <c r="C261" s="244">
        <v>253</v>
      </c>
      <c r="D261" s="142">
        <f>IF(Planning!$T259="","",Planning!$T259)</f>
        <v>46123</v>
      </c>
      <c r="E261" s="143">
        <f>IF(Planning!$U259="","",Planning!$U259)</f>
        <v>0.64583333333333337</v>
      </c>
      <c r="F261" s="161" t="str">
        <f>Planning!$Q259</f>
        <v>1. FC Heidenheim 1846</v>
      </c>
      <c r="G261" s="162" t="s">
        <v>4</v>
      </c>
      <c r="H261" s="161" t="str">
        <f>Planning!$S259</f>
        <v>Borussia Mönchengladbach</v>
      </c>
      <c r="I261" s="163"/>
      <c r="J261" s="315" t="str">
        <f>Language!$E$90</f>
        <v xml:space="preserve"> - </v>
      </c>
      <c r="K261" s="318"/>
      <c r="L261" s="163"/>
      <c r="M261" s="360" t="str">
        <f>Language!$E$90</f>
        <v xml:space="preserve"> - </v>
      </c>
      <c r="N261" s="318"/>
      <c r="O261" s="163"/>
      <c r="P261" s="360" t="str">
        <f>Language!$E$90</f>
        <v xml:space="preserve"> - </v>
      </c>
      <c r="Q261" s="318"/>
      <c r="R261" s="354" t="str">
        <f t="shared" si="50"/>
        <v/>
      </c>
      <c r="S261" s="357" t="str">
        <f>Language!$E$90</f>
        <v xml:space="preserve"> - </v>
      </c>
      <c r="T261" s="321" t="str">
        <f t="shared" si="51"/>
        <v/>
      </c>
      <c r="U261" s="294"/>
      <c r="V261" s="295"/>
      <c r="BM261" s="193" t="b">
        <f t="shared" si="52"/>
        <v>1</v>
      </c>
      <c r="BN261" s="19" t="b">
        <f t="shared" si="53"/>
        <v>1</v>
      </c>
      <c r="BO261" s="19" t="b">
        <f t="shared" si="54"/>
        <v>1</v>
      </c>
      <c r="BP261" s="19" t="b">
        <f t="shared" si="55"/>
        <v>1</v>
      </c>
      <c r="BQ261" s="19" t="b">
        <f t="shared" si="56"/>
        <v>0</v>
      </c>
      <c r="BR261" s="19" t="b">
        <f t="shared" si="57"/>
        <v>0</v>
      </c>
      <c r="BS261" s="19" t="b">
        <f t="shared" si="58"/>
        <v>0</v>
      </c>
    </row>
    <row r="262" spans="2:71" ht="15.75" x14ac:dyDescent="0.2">
      <c r="B262" s="248" t="str">
        <f>IF(Calc!$F$26=0,"",IF(OR($C262&gt;Calc!$B$24,MOD($C262-1,Calc!$F$26)&gt;0),"",QUOTIENT($C262-1,Calc!$F$26)+1))</f>
        <v/>
      </c>
      <c r="C262" s="244">
        <v>254</v>
      </c>
      <c r="D262" s="142">
        <f>IF(Planning!$T260="","",Planning!$T260)</f>
        <v>46123</v>
      </c>
      <c r="E262" s="143">
        <f>IF(Planning!$U260="","",Planning!$U260)</f>
        <v>0.64583333333333337</v>
      </c>
      <c r="F262" s="161" t="str">
        <f>Planning!$Q260</f>
        <v>Eintracht Frankfurt</v>
      </c>
      <c r="G262" s="162" t="s">
        <v>4</v>
      </c>
      <c r="H262" s="161" t="str">
        <f>Planning!$S260</f>
        <v>Borussia Dortmund</v>
      </c>
      <c r="I262" s="163"/>
      <c r="J262" s="315" t="str">
        <f>Language!$E$90</f>
        <v xml:space="preserve"> - </v>
      </c>
      <c r="K262" s="318"/>
      <c r="L262" s="163"/>
      <c r="M262" s="360" t="str">
        <f>Language!$E$90</f>
        <v xml:space="preserve"> - </v>
      </c>
      <c r="N262" s="318"/>
      <c r="O262" s="163"/>
      <c r="P262" s="360" t="str">
        <f>Language!$E$90</f>
        <v xml:space="preserve"> - </v>
      </c>
      <c r="Q262" s="318"/>
      <c r="R262" s="354" t="str">
        <f t="shared" si="50"/>
        <v/>
      </c>
      <c r="S262" s="357" t="str">
        <f>Language!$E$90</f>
        <v xml:space="preserve"> - </v>
      </c>
      <c r="T262" s="321" t="str">
        <f t="shared" si="51"/>
        <v/>
      </c>
      <c r="U262" s="294"/>
      <c r="V262" s="295"/>
      <c r="BM262" s="193" t="b">
        <f t="shared" si="52"/>
        <v>1</v>
      </c>
      <c r="BN262" s="19" t="b">
        <f t="shared" si="53"/>
        <v>1</v>
      </c>
      <c r="BO262" s="19" t="b">
        <f t="shared" si="54"/>
        <v>1</v>
      </c>
      <c r="BP262" s="19" t="b">
        <f t="shared" si="55"/>
        <v>1</v>
      </c>
      <c r="BQ262" s="19" t="b">
        <f t="shared" si="56"/>
        <v>0</v>
      </c>
      <c r="BR262" s="19" t="b">
        <f t="shared" si="57"/>
        <v>0</v>
      </c>
      <c r="BS262" s="19" t="b">
        <f t="shared" si="58"/>
        <v>0</v>
      </c>
    </row>
    <row r="263" spans="2:71" ht="15.75" x14ac:dyDescent="0.2">
      <c r="B263" s="248" t="str">
        <f>IF(Calc!$F$26=0,"",IF(OR($C263&gt;Calc!$B$24,MOD($C263-1,Calc!$F$26)&gt;0),"",QUOTIENT($C263-1,Calc!$F$26)+1))</f>
        <v/>
      </c>
      <c r="C263" s="244">
        <v>255</v>
      </c>
      <c r="D263" s="142">
        <f>IF(Planning!$T261="","",Planning!$T261)</f>
        <v>46123</v>
      </c>
      <c r="E263" s="143">
        <f>IF(Planning!$U261="","",Planning!$U261)</f>
        <v>0.64583333333333337</v>
      </c>
      <c r="F263" s="161" t="str">
        <f>Planning!$Q261</f>
        <v>Bayer 04 Leverkusen</v>
      </c>
      <c r="G263" s="162" t="s">
        <v>4</v>
      </c>
      <c r="H263" s="161" t="str">
        <f>Planning!$S261</f>
        <v>FC Augsburg</v>
      </c>
      <c r="I263" s="163"/>
      <c r="J263" s="315" t="str">
        <f>Language!$E$90</f>
        <v xml:space="preserve"> - </v>
      </c>
      <c r="K263" s="318"/>
      <c r="L263" s="163"/>
      <c r="M263" s="360" t="str">
        <f>Language!$E$90</f>
        <v xml:space="preserve"> - </v>
      </c>
      <c r="N263" s="318"/>
      <c r="O263" s="163"/>
      <c r="P263" s="360" t="str">
        <f>Language!$E$90</f>
        <v xml:space="preserve"> - </v>
      </c>
      <c r="Q263" s="318"/>
      <c r="R263" s="354" t="str">
        <f t="shared" si="50"/>
        <v/>
      </c>
      <c r="S263" s="357" t="str">
        <f>Language!$E$90</f>
        <v xml:space="preserve"> - </v>
      </c>
      <c r="T263" s="321" t="str">
        <f t="shared" si="51"/>
        <v/>
      </c>
      <c r="U263" s="294"/>
      <c r="V263" s="295"/>
      <c r="BM263" s="193" t="b">
        <f t="shared" si="52"/>
        <v>1</v>
      </c>
      <c r="BN263" s="19" t="b">
        <f t="shared" si="53"/>
        <v>1</v>
      </c>
      <c r="BO263" s="19" t="b">
        <f t="shared" si="54"/>
        <v>1</v>
      </c>
      <c r="BP263" s="19" t="b">
        <f t="shared" si="55"/>
        <v>1</v>
      </c>
      <c r="BQ263" s="19" t="b">
        <f t="shared" si="56"/>
        <v>0</v>
      </c>
      <c r="BR263" s="19" t="b">
        <f t="shared" si="57"/>
        <v>0</v>
      </c>
      <c r="BS263" s="19" t="b">
        <f t="shared" si="58"/>
        <v>0</v>
      </c>
    </row>
    <row r="264" spans="2:71" ht="15.75" x14ac:dyDescent="0.2">
      <c r="B264" s="248" t="str">
        <f>IF(Calc!$F$26=0,"",IF(OR($C264&gt;Calc!$B$24,MOD($C264-1,Calc!$F$26)&gt;0),"",QUOTIENT($C264-1,Calc!$F$26)+1))</f>
        <v/>
      </c>
      <c r="C264" s="244">
        <v>256</v>
      </c>
      <c r="D264" s="142">
        <f>IF(Planning!$T262="","",Planning!$T262)</f>
        <v>46123</v>
      </c>
      <c r="E264" s="143">
        <f>IF(Planning!$U262="","",Planning!$U262)</f>
        <v>0.64583333333333337</v>
      </c>
      <c r="F264" s="161" t="str">
        <f>Planning!$Q262</f>
        <v>FC Bayern München</v>
      </c>
      <c r="G264" s="162" t="s">
        <v>4</v>
      </c>
      <c r="H264" s="161" t="str">
        <f>Planning!$S262</f>
        <v>1. FSV Mainz 05</v>
      </c>
      <c r="I264" s="163"/>
      <c r="J264" s="315" t="str">
        <f>Language!$E$90</f>
        <v xml:space="preserve"> - </v>
      </c>
      <c r="K264" s="318"/>
      <c r="L264" s="163"/>
      <c r="M264" s="360" t="str">
        <f>Language!$E$90</f>
        <v xml:space="preserve"> - </v>
      </c>
      <c r="N264" s="318"/>
      <c r="O264" s="163"/>
      <c r="P264" s="360" t="str">
        <f>Language!$E$90</f>
        <v xml:space="preserve"> - </v>
      </c>
      <c r="Q264" s="318"/>
      <c r="R264" s="354" t="str">
        <f t="shared" si="50"/>
        <v/>
      </c>
      <c r="S264" s="357" t="str">
        <f>Language!$E$90</f>
        <v xml:space="preserve"> - </v>
      </c>
      <c r="T264" s="321" t="str">
        <f t="shared" si="51"/>
        <v/>
      </c>
      <c r="U264" s="294"/>
      <c r="V264" s="295"/>
      <c r="BM264" s="193" t="b">
        <f t="shared" si="52"/>
        <v>1</v>
      </c>
      <c r="BN264" s="19" t="b">
        <f t="shared" si="53"/>
        <v>1</v>
      </c>
      <c r="BO264" s="19" t="b">
        <f t="shared" si="54"/>
        <v>1</v>
      </c>
      <c r="BP264" s="19" t="b">
        <f t="shared" si="55"/>
        <v>1</v>
      </c>
      <c r="BQ264" s="19" t="b">
        <f t="shared" si="56"/>
        <v>0</v>
      </c>
      <c r="BR264" s="19" t="b">
        <f t="shared" si="57"/>
        <v>0</v>
      </c>
      <c r="BS264" s="19" t="b">
        <f t="shared" si="58"/>
        <v>0</v>
      </c>
    </row>
    <row r="265" spans="2:71" ht="15.75" x14ac:dyDescent="0.2">
      <c r="B265" s="248" t="str">
        <f>IF(Calc!$F$26=0,"",IF(OR($C265&gt;Calc!$B$24,MOD($C265-1,Calc!$F$26)&gt;0),"",QUOTIENT($C265-1,Calc!$F$26)+1))</f>
        <v/>
      </c>
      <c r="C265" s="244">
        <v>257</v>
      </c>
      <c r="D265" s="142">
        <f>IF(Planning!$T263="","",Planning!$T263)</f>
        <v>46123</v>
      </c>
      <c r="E265" s="143">
        <f>IF(Planning!$U263="","",Planning!$U263)</f>
        <v>0.64583333333333337</v>
      </c>
      <c r="F265" s="161" t="str">
        <f>Planning!$Q263</f>
        <v>1. FC Union Berlin</v>
      </c>
      <c r="G265" s="162" t="s">
        <v>4</v>
      </c>
      <c r="H265" s="161" t="str">
        <f>Planning!$S263</f>
        <v>FC St. Pauli</v>
      </c>
      <c r="I265" s="163"/>
      <c r="J265" s="315" t="str">
        <f>Language!$E$90</f>
        <v xml:space="preserve"> - </v>
      </c>
      <c r="K265" s="318"/>
      <c r="L265" s="163"/>
      <c r="M265" s="360" t="str">
        <f>Language!$E$90</f>
        <v xml:space="preserve"> - </v>
      </c>
      <c r="N265" s="318"/>
      <c r="O265" s="163"/>
      <c r="P265" s="360" t="str">
        <f>Language!$E$90</f>
        <v xml:space="preserve"> - </v>
      </c>
      <c r="Q265" s="318"/>
      <c r="R265" s="354" t="str">
        <f t="shared" si="50"/>
        <v/>
      </c>
      <c r="S265" s="357" t="str">
        <f>Language!$E$90</f>
        <v xml:space="preserve"> - </v>
      </c>
      <c r="T265" s="321" t="str">
        <f t="shared" si="51"/>
        <v/>
      </c>
      <c r="U265" s="294"/>
      <c r="V265" s="295"/>
      <c r="BM265" s="193" t="b">
        <f t="shared" si="52"/>
        <v>1</v>
      </c>
      <c r="BN265" s="19" t="b">
        <f t="shared" si="53"/>
        <v>1</v>
      </c>
      <c r="BO265" s="19" t="b">
        <f t="shared" si="54"/>
        <v>1</v>
      </c>
      <c r="BP265" s="19" t="b">
        <f t="shared" si="55"/>
        <v>1</v>
      </c>
      <c r="BQ265" s="19" t="b">
        <f t="shared" si="56"/>
        <v>0</v>
      </c>
      <c r="BR265" s="19" t="b">
        <f t="shared" si="57"/>
        <v>0</v>
      </c>
      <c r="BS265" s="19" t="b">
        <f t="shared" si="58"/>
        <v>0</v>
      </c>
    </row>
    <row r="266" spans="2:71" ht="15.75" x14ac:dyDescent="0.2">
      <c r="B266" s="248" t="str">
        <f>IF(Calc!$F$26=0,"",IF(OR($C266&gt;Calc!$B$24,MOD($C266-1,Calc!$F$26)&gt;0),"",QUOTIENT($C266-1,Calc!$F$26)+1))</f>
        <v/>
      </c>
      <c r="C266" s="244">
        <v>258</v>
      </c>
      <c r="D266" s="142">
        <f>IF(Planning!$T264="","",Planning!$T264)</f>
        <v>46123</v>
      </c>
      <c r="E266" s="143">
        <f>IF(Planning!$U264="","",Planning!$U264)</f>
        <v>0.64583333333333337</v>
      </c>
      <c r="F266" s="161" t="str">
        <f>Planning!$Q264</f>
        <v>Hamburger SV</v>
      </c>
      <c r="G266" s="162" t="s">
        <v>4</v>
      </c>
      <c r="H266" s="161" t="str">
        <f>Planning!$S264</f>
        <v>1. FC Köln</v>
      </c>
      <c r="I266" s="163"/>
      <c r="J266" s="315" t="str">
        <f>Language!$E$90</f>
        <v xml:space="preserve"> - </v>
      </c>
      <c r="K266" s="318"/>
      <c r="L266" s="163"/>
      <c r="M266" s="360" t="str">
        <f>Language!$E$90</f>
        <v xml:space="preserve"> - </v>
      </c>
      <c r="N266" s="318"/>
      <c r="O266" s="163"/>
      <c r="P266" s="360" t="str">
        <f>Language!$E$90</f>
        <v xml:space="preserve"> - </v>
      </c>
      <c r="Q266" s="318"/>
      <c r="R266" s="354" t="str">
        <f t="shared" si="50"/>
        <v/>
      </c>
      <c r="S266" s="357" t="str">
        <f>Language!$E$90</f>
        <v xml:space="preserve"> - </v>
      </c>
      <c r="T266" s="321" t="str">
        <f t="shared" si="51"/>
        <v/>
      </c>
      <c r="U266" s="294"/>
      <c r="V266" s="295"/>
      <c r="BM266" s="193" t="b">
        <f t="shared" si="52"/>
        <v>1</v>
      </c>
      <c r="BN266" s="19" t="b">
        <f t="shared" si="53"/>
        <v>1</v>
      </c>
      <c r="BO266" s="19" t="b">
        <f t="shared" si="54"/>
        <v>1</v>
      </c>
      <c r="BP266" s="19" t="b">
        <f t="shared" si="55"/>
        <v>1</v>
      </c>
      <c r="BQ266" s="19" t="b">
        <f t="shared" si="56"/>
        <v>0</v>
      </c>
      <c r="BR266" s="19" t="b">
        <f t="shared" si="57"/>
        <v>0</v>
      </c>
      <c r="BS266" s="19" t="b">
        <f t="shared" si="58"/>
        <v>0</v>
      </c>
    </row>
    <row r="267" spans="2:71" ht="15.75" x14ac:dyDescent="0.2">
      <c r="B267" s="248" t="str">
        <f>IF(Calc!$F$26=0,"",IF(OR($C267&gt;Calc!$B$24,MOD($C267-1,Calc!$F$26)&gt;0),"",QUOTIENT($C267-1,Calc!$F$26)+1))</f>
        <v/>
      </c>
      <c r="C267" s="244">
        <v>259</v>
      </c>
      <c r="D267" s="142">
        <f>IF(Planning!$T265="","",Planning!$T265)</f>
        <v>46123</v>
      </c>
      <c r="E267" s="143">
        <f>IF(Planning!$U265="","",Planning!$U265)</f>
        <v>0.64583333333333337</v>
      </c>
      <c r="F267" s="161" t="str">
        <f>Planning!$Q265</f>
        <v>VfL Wolfsburg</v>
      </c>
      <c r="G267" s="162" t="s">
        <v>4</v>
      </c>
      <c r="H267" s="161" t="str">
        <f>Planning!$S265</f>
        <v>RB Leipzig</v>
      </c>
      <c r="I267" s="163"/>
      <c r="J267" s="315" t="str">
        <f>Language!$E$90</f>
        <v xml:space="preserve"> - </v>
      </c>
      <c r="K267" s="318"/>
      <c r="L267" s="163"/>
      <c r="M267" s="360" t="str">
        <f>Language!$E$90</f>
        <v xml:space="preserve"> - </v>
      </c>
      <c r="N267" s="318"/>
      <c r="O267" s="163"/>
      <c r="P267" s="360" t="str">
        <f>Language!$E$90</f>
        <v xml:space="preserve"> - </v>
      </c>
      <c r="Q267" s="318"/>
      <c r="R267" s="354" t="str">
        <f t="shared" ref="R267:R330" si="59">IF(BM267,"",(I267&lt;&gt;"")*(K267&lt;&gt;"")*NOT(BN267)*(I267&gt;K267)+(L267&lt;&gt;"")*(N267&lt;&gt;"")*NOT(BO267)*(L267&gt;N267)+(O267&lt;&gt;"")*(Q267&lt;&gt;"")*NOT(BP267)*(O267&gt;Q267))</f>
        <v/>
      </c>
      <c r="S267" s="357" t="str">
        <f>Language!$E$90</f>
        <v xml:space="preserve"> - </v>
      </c>
      <c r="T267" s="321" t="str">
        <f t="shared" ref="T267:T330" si="60">IF(BM267,"",(I267&lt;&gt;"")*(K267&lt;&gt;"")*NOT(BN267)*(I267&lt;K267)+(L267&lt;&gt;"")*(N267&lt;&gt;"")*NOT(BO267)*(L267&lt;N267)+(O267&lt;&gt;"")*(Q267&lt;&gt;"")*NOT(BP267)*(O267&lt;Q267))</f>
        <v/>
      </c>
      <c r="U267" s="294"/>
      <c r="V267" s="295"/>
      <c r="BM267" s="193" t="b">
        <f t="shared" ref="BM267:BM330" si="61">OR(F267="",H267="",AND(OR(I267="",K267="",BN267),OR(L267="",N267="",BO267),OR(O267="",Q267="",BP267)))</f>
        <v>1</v>
      </c>
      <c r="BN267" s="19" t="b">
        <f t="shared" ref="BN267:BN330" si="62">ABS(I267-K267)&lt;2</f>
        <v>1</v>
      </c>
      <c r="BO267" s="19" t="b">
        <f t="shared" ref="BO267:BO330" si="63">ABS(L267-N267)&lt;2</f>
        <v>1</v>
      </c>
      <c r="BP267" s="19" t="b">
        <f t="shared" ref="BP267:BP330" si="64">ABS(O267-Q267)&lt;2</f>
        <v>1</v>
      </c>
      <c r="BQ267" s="19" t="b">
        <f t="shared" ref="BQ267:BQ330" si="65">AND(BN267,I267&lt;&gt;"",K267&lt;&gt;"")</f>
        <v>0</v>
      </c>
      <c r="BR267" s="19" t="b">
        <f t="shared" ref="BR267:BR330" si="66">AND(BO267,L267&lt;&gt;"",N267&lt;&gt;"")</f>
        <v>0</v>
      </c>
      <c r="BS267" s="19" t="b">
        <f t="shared" ref="BS267:BS330" si="67">AND(BP267,O267&lt;&gt;"",Q267&lt;&gt;"")</f>
        <v>0</v>
      </c>
    </row>
    <row r="268" spans="2:71" ht="15.75" x14ac:dyDescent="0.2">
      <c r="B268" s="248" t="str">
        <f>IF(Calc!$F$26=0,"",IF(OR($C268&gt;Calc!$B$24,MOD($C268-1,Calc!$F$26)&gt;0),"",QUOTIENT($C268-1,Calc!$F$26)+1))</f>
        <v/>
      </c>
      <c r="C268" s="244">
        <v>260</v>
      </c>
      <c r="D268" s="142">
        <f>IF(Planning!$T266="","",Planning!$T266)</f>
        <v>46123</v>
      </c>
      <c r="E268" s="143">
        <f>IF(Planning!$U266="","",Planning!$U266)</f>
        <v>0.64583333333333337</v>
      </c>
      <c r="F268" s="161" t="str">
        <f>Planning!$Q266</f>
        <v>SC Freiburg</v>
      </c>
      <c r="G268" s="162" t="s">
        <v>4</v>
      </c>
      <c r="H268" s="161" t="str">
        <f>Planning!$S266</f>
        <v>VfB Stuttgart</v>
      </c>
      <c r="I268" s="163"/>
      <c r="J268" s="315" t="str">
        <f>Language!$E$90</f>
        <v xml:space="preserve"> - </v>
      </c>
      <c r="K268" s="318"/>
      <c r="L268" s="163"/>
      <c r="M268" s="360" t="str">
        <f>Language!$E$90</f>
        <v xml:space="preserve"> - </v>
      </c>
      <c r="N268" s="318"/>
      <c r="O268" s="163"/>
      <c r="P268" s="360" t="str">
        <f>Language!$E$90</f>
        <v xml:space="preserve"> - </v>
      </c>
      <c r="Q268" s="318"/>
      <c r="R268" s="354" t="str">
        <f t="shared" si="59"/>
        <v/>
      </c>
      <c r="S268" s="357" t="str">
        <f>Language!$E$90</f>
        <v xml:space="preserve"> - </v>
      </c>
      <c r="T268" s="321" t="str">
        <f t="shared" si="60"/>
        <v/>
      </c>
      <c r="U268" s="294"/>
      <c r="V268" s="295"/>
      <c r="BM268" s="193" t="b">
        <f t="shared" si="61"/>
        <v>1</v>
      </c>
      <c r="BN268" s="19" t="b">
        <f t="shared" si="62"/>
        <v>1</v>
      </c>
      <c r="BO268" s="19" t="b">
        <f t="shared" si="63"/>
        <v>1</v>
      </c>
      <c r="BP268" s="19" t="b">
        <f t="shared" si="64"/>
        <v>1</v>
      </c>
      <c r="BQ268" s="19" t="b">
        <f t="shared" si="65"/>
        <v>0</v>
      </c>
      <c r="BR268" s="19" t="b">
        <f t="shared" si="66"/>
        <v>0</v>
      </c>
      <c r="BS268" s="19" t="b">
        <f t="shared" si="67"/>
        <v>0</v>
      </c>
    </row>
    <row r="269" spans="2:71" ht="15.75" x14ac:dyDescent="0.2">
      <c r="B269" s="248" t="str">
        <f>IF(Calc!$F$26=0,"",IF(OR($C269&gt;Calc!$B$24,MOD($C269-1,Calc!$F$26)&gt;0),"",QUOTIENT($C269-1,Calc!$F$26)+1))</f>
        <v/>
      </c>
      <c r="C269" s="244">
        <v>261</v>
      </c>
      <c r="D269" s="142">
        <f>IF(Planning!$T267="","",Planning!$T267)</f>
        <v>46123</v>
      </c>
      <c r="E269" s="143">
        <f>IF(Planning!$U267="","",Planning!$U267)</f>
        <v>0.64583333333333337</v>
      </c>
      <c r="F269" s="161" t="str">
        <f>Planning!$Q267</f>
        <v>TSG Hoffenheim</v>
      </c>
      <c r="G269" s="162" t="s">
        <v>4</v>
      </c>
      <c r="H269" s="161" t="str">
        <f>Planning!$S267</f>
        <v>SV Werder Bremen</v>
      </c>
      <c r="I269" s="163"/>
      <c r="J269" s="315" t="str">
        <f>Language!$E$90</f>
        <v xml:space="preserve"> - </v>
      </c>
      <c r="K269" s="318"/>
      <c r="L269" s="163"/>
      <c r="M269" s="360" t="str">
        <f>Language!$E$90</f>
        <v xml:space="preserve"> - </v>
      </c>
      <c r="N269" s="318"/>
      <c r="O269" s="163"/>
      <c r="P269" s="360" t="str">
        <f>Language!$E$90</f>
        <v xml:space="preserve"> - </v>
      </c>
      <c r="Q269" s="318"/>
      <c r="R269" s="354" t="str">
        <f t="shared" si="59"/>
        <v/>
      </c>
      <c r="S269" s="357" t="str">
        <f>Language!$E$90</f>
        <v xml:space="preserve"> - </v>
      </c>
      <c r="T269" s="321" t="str">
        <f t="shared" si="60"/>
        <v/>
      </c>
      <c r="U269" s="294"/>
      <c r="V269" s="295"/>
      <c r="BM269" s="193" t="b">
        <f t="shared" si="61"/>
        <v>1</v>
      </c>
      <c r="BN269" s="19" t="b">
        <f t="shared" si="62"/>
        <v>1</v>
      </c>
      <c r="BO269" s="19" t="b">
        <f t="shared" si="63"/>
        <v>1</v>
      </c>
      <c r="BP269" s="19" t="b">
        <f t="shared" si="64"/>
        <v>1</v>
      </c>
      <c r="BQ269" s="19" t="b">
        <f t="shared" si="65"/>
        <v>0</v>
      </c>
      <c r="BR269" s="19" t="b">
        <f t="shared" si="66"/>
        <v>0</v>
      </c>
      <c r="BS269" s="19" t="b">
        <f t="shared" si="67"/>
        <v>0</v>
      </c>
    </row>
    <row r="270" spans="2:71" ht="15.75" x14ac:dyDescent="0.2">
      <c r="B270" s="248">
        <f>IF(Calc!$F$26=0,"",IF(OR($C270&gt;Calc!$B$24,MOD($C270-1,Calc!$F$26)&gt;0),"",QUOTIENT($C270-1,Calc!$F$26)+1))</f>
        <v>30</v>
      </c>
      <c r="C270" s="244">
        <v>262</v>
      </c>
      <c r="D270" s="142">
        <f>IF(Planning!$T268="","",Planning!$T268)</f>
        <v>46130</v>
      </c>
      <c r="E270" s="143">
        <f>IF(Planning!$U268="","",Planning!$U268)</f>
        <v>0.64583333333333337</v>
      </c>
      <c r="F270" s="161" t="str">
        <f>Planning!$Q268</f>
        <v>Borussia Dortmund</v>
      </c>
      <c r="G270" s="162" t="s">
        <v>4</v>
      </c>
      <c r="H270" s="161" t="str">
        <f>Planning!$S268</f>
        <v>1. FC Heidenheim 1846</v>
      </c>
      <c r="I270" s="163"/>
      <c r="J270" s="315" t="str">
        <f>Language!$E$90</f>
        <v xml:space="preserve"> - </v>
      </c>
      <c r="K270" s="318"/>
      <c r="L270" s="163"/>
      <c r="M270" s="360" t="str">
        <f>Language!$E$90</f>
        <v xml:space="preserve"> - </v>
      </c>
      <c r="N270" s="318"/>
      <c r="O270" s="163"/>
      <c r="P270" s="360" t="str">
        <f>Language!$E$90</f>
        <v xml:space="preserve"> - </v>
      </c>
      <c r="Q270" s="318"/>
      <c r="R270" s="354" t="str">
        <f t="shared" si="59"/>
        <v/>
      </c>
      <c r="S270" s="357" t="str">
        <f>Language!$E$90</f>
        <v xml:space="preserve"> - </v>
      </c>
      <c r="T270" s="321" t="str">
        <f t="shared" si="60"/>
        <v/>
      </c>
      <c r="U270" s="294"/>
      <c r="V270" s="295"/>
      <c r="BM270" s="193" t="b">
        <f t="shared" si="61"/>
        <v>1</v>
      </c>
      <c r="BN270" s="19" t="b">
        <f t="shared" si="62"/>
        <v>1</v>
      </c>
      <c r="BO270" s="19" t="b">
        <f t="shared" si="63"/>
        <v>1</v>
      </c>
      <c r="BP270" s="19" t="b">
        <f t="shared" si="64"/>
        <v>1</v>
      </c>
      <c r="BQ270" s="19" t="b">
        <f t="shared" si="65"/>
        <v>0</v>
      </c>
      <c r="BR270" s="19" t="b">
        <f t="shared" si="66"/>
        <v>0</v>
      </c>
      <c r="BS270" s="19" t="b">
        <f t="shared" si="67"/>
        <v>0</v>
      </c>
    </row>
    <row r="271" spans="2:71" ht="15.75" x14ac:dyDescent="0.2">
      <c r="B271" s="248" t="str">
        <f>IF(Calc!$F$26=0,"",IF(OR($C271&gt;Calc!$B$24,MOD($C271-1,Calc!$F$26)&gt;0),"",QUOTIENT($C271-1,Calc!$F$26)+1))</f>
        <v/>
      </c>
      <c r="C271" s="244">
        <v>263</v>
      </c>
      <c r="D271" s="142">
        <f>IF(Planning!$T269="","",Planning!$T269)</f>
        <v>46130</v>
      </c>
      <c r="E271" s="143">
        <f>IF(Planning!$U269="","",Planning!$U269)</f>
        <v>0.64583333333333337</v>
      </c>
      <c r="F271" s="161" t="str">
        <f>Planning!$Q269</f>
        <v>Borussia Mönchengladbach</v>
      </c>
      <c r="G271" s="162" t="s">
        <v>4</v>
      </c>
      <c r="H271" s="161" t="str">
        <f>Planning!$S269</f>
        <v>Bayer 04 Leverkusen</v>
      </c>
      <c r="I271" s="163"/>
      <c r="J271" s="315" t="str">
        <f>Language!$E$90</f>
        <v xml:space="preserve"> - </v>
      </c>
      <c r="K271" s="318"/>
      <c r="L271" s="163"/>
      <c r="M271" s="360" t="str">
        <f>Language!$E$90</f>
        <v xml:space="preserve"> - </v>
      </c>
      <c r="N271" s="318"/>
      <c r="O271" s="163"/>
      <c r="P271" s="360" t="str">
        <f>Language!$E$90</f>
        <v xml:space="preserve"> - </v>
      </c>
      <c r="Q271" s="318"/>
      <c r="R271" s="354" t="str">
        <f t="shared" si="59"/>
        <v/>
      </c>
      <c r="S271" s="357" t="str">
        <f>Language!$E$90</f>
        <v xml:space="preserve"> - </v>
      </c>
      <c r="T271" s="321" t="str">
        <f t="shared" si="60"/>
        <v/>
      </c>
      <c r="U271" s="294"/>
      <c r="V271" s="295"/>
      <c r="BM271" s="193" t="b">
        <f t="shared" si="61"/>
        <v>1</v>
      </c>
      <c r="BN271" s="19" t="b">
        <f t="shared" si="62"/>
        <v>1</v>
      </c>
      <c r="BO271" s="19" t="b">
        <f t="shared" si="63"/>
        <v>1</v>
      </c>
      <c r="BP271" s="19" t="b">
        <f t="shared" si="64"/>
        <v>1</v>
      </c>
      <c r="BQ271" s="19" t="b">
        <f t="shared" si="65"/>
        <v>0</v>
      </c>
      <c r="BR271" s="19" t="b">
        <f t="shared" si="66"/>
        <v>0</v>
      </c>
      <c r="BS271" s="19" t="b">
        <f t="shared" si="67"/>
        <v>0</v>
      </c>
    </row>
    <row r="272" spans="2:71" ht="15.75" x14ac:dyDescent="0.2">
      <c r="B272" s="248" t="str">
        <f>IF(Calc!$F$26=0,"",IF(OR($C272&gt;Calc!$B$24,MOD($C272-1,Calc!$F$26)&gt;0),"",QUOTIENT($C272-1,Calc!$F$26)+1))</f>
        <v/>
      </c>
      <c r="C272" s="244">
        <v>264</v>
      </c>
      <c r="D272" s="142">
        <f>IF(Planning!$T270="","",Planning!$T270)</f>
        <v>46130</v>
      </c>
      <c r="E272" s="143">
        <f>IF(Planning!$U270="","",Planning!$U270)</f>
        <v>0.64583333333333337</v>
      </c>
      <c r="F272" s="161" t="str">
        <f>Planning!$Q270</f>
        <v>1. FSV Mainz 05</v>
      </c>
      <c r="G272" s="162" t="s">
        <v>4</v>
      </c>
      <c r="H272" s="161" t="str">
        <f>Planning!$S270</f>
        <v>Eintracht Frankfurt</v>
      </c>
      <c r="I272" s="163"/>
      <c r="J272" s="315" t="str">
        <f>Language!$E$90</f>
        <v xml:space="preserve"> - </v>
      </c>
      <c r="K272" s="318"/>
      <c r="L272" s="163"/>
      <c r="M272" s="360" t="str">
        <f>Language!$E$90</f>
        <v xml:space="preserve"> - </v>
      </c>
      <c r="N272" s="318"/>
      <c r="O272" s="163"/>
      <c r="P272" s="360" t="str">
        <f>Language!$E$90</f>
        <v xml:space="preserve"> - </v>
      </c>
      <c r="Q272" s="318"/>
      <c r="R272" s="354" t="str">
        <f t="shared" si="59"/>
        <v/>
      </c>
      <c r="S272" s="357" t="str">
        <f>Language!$E$90</f>
        <v xml:space="preserve"> - </v>
      </c>
      <c r="T272" s="321" t="str">
        <f t="shared" si="60"/>
        <v/>
      </c>
      <c r="U272" s="294"/>
      <c r="V272" s="295"/>
      <c r="BM272" s="193" t="b">
        <f t="shared" si="61"/>
        <v>1</v>
      </c>
      <c r="BN272" s="19" t="b">
        <f t="shared" si="62"/>
        <v>1</v>
      </c>
      <c r="BO272" s="19" t="b">
        <f t="shared" si="63"/>
        <v>1</v>
      </c>
      <c r="BP272" s="19" t="b">
        <f t="shared" si="64"/>
        <v>1</v>
      </c>
      <c r="BQ272" s="19" t="b">
        <f t="shared" si="65"/>
        <v>0</v>
      </c>
      <c r="BR272" s="19" t="b">
        <f t="shared" si="66"/>
        <v>0</v>
      </c>
      <c r="BS272" s="19" t="b">
        <f t="shared" si="67"/>
        <v>0</v>
      </c>
    </row>
    <row r="273" spans="2:71" ht="15.75" x14ac:dyDescent="0.2">
      <c r="B273" s="248" t="str">
        <f>IF(Calc!$F$26=0,"",IF(OR($C273&gt;Calc!$B$24,MOD($C273-1,Calc!$F$26)&gt;0),"",QUOTIENT($C273-1,Calc!$F$26)+1))</f>
        <v/>
      </c>
      <c r="C273" s="244">
        <v>265</v>
      </c>
      <c r="D273" s="142">
        <f>IF(Planning!$T271="","",Planning!$T271)</f>
        <v>46130</v>
      </c>
      <c r="E273" s="143">
        <f>IF(Planning!$U271="","",Planning!$U271)</f>
        <v>0.64583333333333337</v>
      </c>
      <c r="F273" s="161" t="str">
        <f>Planning!$Q271</f>
        <v>FC Augsburg</v>
      </c>
      <c r="G273" s="162" t="s">
        <v>4</v>
      </c>
      <c r="H273" s="161" t="str">
        <f>Planning!$S271</f>
        <v>1. FC Union Berlin</v>
      </c>
      <c r="I273" s="163"/>
      <c r="J273" s="315" t="str">
        <f>Language!$E$90</f>
        <v xml:space="preserve"> - </v>
      </c>
      <c r="K273" s="318"/>
      <c r="L273" s="163"/>
      <c r="M273" s="360" t="str">
        <f>Language!$E$90</f>
        <v xml:space="preserve"> - </v>
      </c>
      <c r="N273" s="318"/>
      <c r="O273" s="163"/>
      <c r="P273" s="360" t="str">
        <f>Language!$E$90</f>
        <v xml:space="preserve"> - </v>
      </c>
      <c r="Q273" s="318"/>
      <c r="R273" s="354" t="str">
        <f t="shared" si="59"/>
        <v/>
      </c>
      <c r="S273" s="357" t="str">
        <f>Language!$E$90</f>
        <v xml:space="preserve"> - </v>
      </c>
      <c r="T273" s="321" t="str">
        <f t="shared" si="60"/>
        <v/>
      </c>
      <c r="U273" s="294"/>
      <c r="V273" s="295"/>
      <c r="BM273" s="193" t="b">
        <f t="shared" si="61"/>
        <v>1</v>
      </c>
      <c r="BN273" s="19" t="b">
        <f t="shared" si="62"/>
        <v>1</v>
      </c>
      <c r="BO273" s="19" t="b">
        <f t="shared" si="63"/>
        <v>1</v>
      </c>
      <c r="BP273" s="19" t="b">
        <f t="shared" si="64"/>
        <v>1</v>
      </c>
      <c r="BQ273" s="19" t="b">
        <f t="shared" si="65"/>
        <v>0</v>
      </c>
      <c r="BR273" s="19" t="b">
        <f t="shared" si="66"/>
        <v>0</v>
      </c>
      <c r="BS273" s="19" t="b">
        <f t="shared" si="67"/>
        <v>0</v>
      </c>
    </row>
    <row r="274" spans="2:71" ht="15.75" x14ac:dyDescent="0.2">
      <c r="B274" s="248" t="str">
        <f>IF(Calc!$F$26=0,"",IF(OR($C274&gt;Calc!$B$24,MOD($C274-1,Calc!$F$26)&gt;0),"",QUOTIENT($C274-1,Calc!$F$26)+1))</f>
        <v/>
      </c>
      <c r="C274" s="244">
        <v>266</v>
      </c>
      <c r="D274" s="142">
        <f>IF(Planning!$T272="","",Planning!$T272)</f>
        <v>46130</v>
      </c>
      <c r="E274" s="143">
        <f>IF(Planning!$U272="","",Planning!$U272)</f>
        <v>0.64583333333333337</v>
      </c>
      <c r="F274" s="161" t="str">
        <f>Planning!$Q272</f>
        <v>1. FC Köln</v>
      </c>
      <c r="G274" s="162" t="s">
        <v>4</v>
      </c>
      <c r="H274" s="161" t="str">
        <f>Planning!$S272</f>
        <v>FC Bayern München</v>
      </c>
      <c r="I274" s="163"/>
      <c r="J274" s="315" t="str">
        <f>Language!$E$90</f>
        <v xml:space="preserve"> - </v>
      </c>
      <c r="K274" s="318"/>
      <c r="L274" s="163"/>
      <c r="M274" s="360" t="str">
        <f>Language!$E$90</f>
        <v xml:space="preserve"> - </v>
      </c>
      <c r="N274" s="318"/>
      <c r="O274" s="163"/>
      <c r="P274" s="360" t="str">
        <f>Language!$E$90</f>
        <v xml:space="preserve"> - </v>
      </c>
      <c r="Q274" s="318"/>
      <c r="R274" s="354" t="str">
        <f t="shared" si="59"/>
        <v/>
      </c>
      <c r="S274" s="357" t="str">
        <f>Language!$E$90</f>
        <v xml:space="preserve"> - </v>
      </c>
      <c r="T274" s="321" t="str">
        <f t="shared" si="60"/>
        <v/>
      </c>
      <c r="U274" s="294"/>
      <c r="V274" s="295"/>
      <c r="BM274" s="193" t="b">
        <f t="shared" si="61"/>
        <v>1</v>
      </c>
      <c r="BN274" s="19" t="b">
        <f t="shared" si="62"/>
        <v>1</v>
      </c>
      <c r="BO274" s="19" t="b">
        <f t="shared" si="63"/>
        <v>1</v>
      </c>
      <c r="BP274" s="19" t="b">
        <f t="shared" si="64"/>
        <v>1</v>
      </c>
      <c r="BQ274" s="19" t="b">
        <f t="shared" si="65"/>
        <v>0</v>
      </c>
      <c r="BR274" s="19" t="b">
        <f t="shared" si="66"/>
        <v>0</v>
      </c>
      <c r="BS274" s="19" t="b">
        <f t="shared" si="67"/>
        <v>0</v>
      </c>
    </row>
    <row r="275" spans="2:71" ht="15.75" x14ac:dyDescent="0.2">
      <c r="B275" s="248" t="str">
        <f>IF(Calc!$F$26=0,"",IF(OR($C275&gt;Calc!$B$24,MOD($C275-1,Calc!$F$26)&gt;0),"",QUOTIENT($C275-1,Calc!$F$26)+1))</f>
        <v/>
      </c>
      <c r="C275" s="244">
        <v>267</v>
      </c>
      <c r="D275" s="142">
        <f>IF(Planning!$T273="","",Planning!$T273)</f>
        <v>46130</v>
      </c>
      <c r="E275" s="143">
        <f>IF(Planning!$U273="","",Planning!$U273)</f>
        <v>0.64583333333333337</v>
      </c>
      <c r="F275" s="161" t="str">
        <f>Planning!$Q273</f>
        <v>FC St. Pauli</v>
      </c>
      <c r="G275" s="162" t="s">
        <v>4</v>
      </c>
      <c r="H275" s="161" t="str">
        <f>Planning!$S273</f>
        <v>VfL Wolfsburg</v>
      </c>
      <c r="I275" s="163"/>
      <c r="J275" s="315" t="str">
        <f>Language!$E$90</f>
        <v xml:space="preserve"> - </v>
      </c>
      <c r="K275" s="318"/>
      <c r="L275" s="163"/>
      <c r="M275" s="360" t="str">
        <f>Language!$E$90</f>
        <v xml:space="preserve"> - </v>
      </c>
      <c r="N275" s="318"/>
      <c r="O275" s="163"/>
      <c r="P275" s="360" t="str">
        <f>Language!$E$90</f>
        <v xml:space="preserve"> - </v>
      </c>
      <c r="Q275" s="318"/>
      <c r="R275" s="354" t="str">
        <f t="shared" si="59"/>
        <v/>
      </c>
      <c r="S275" s="357" t="str">
        <f>Language!$E$90</f>
        <v xml:space="preserve"> - </v>
      </c>
      <c r="T275" s="321" t="str">
        <f t="shared" si="60"/>
        <v/>
      </c>
      <c r="U275" s="294"/>
      <c r="V275" s="295"/>
      <c r="BM275" s="193" t="b">
        <f t="shared" si="61"/>
        <v>1</v>
      </c>
      <c r="BN275" s="19" t="b">
        <f t="shared" si="62"/>
        <v>1</v>
      </c>
      <c r="BO275" s="19" t="b">
        <f t="shared" si="63"/>
        <v>1</v>
      </c>
      <c r="BP275" s="19" t="b">
        <f t="shared" si="64"/>
        <v>1</v>
      </c>
      <c r="BQ275" s="19" t="b">
        <f t="shared" si="65"/>
        <v>0</v>
      </c>
      <c r="BR275" s="19" t="b">
        <f t="shared" si="66"/>
        <v>0</v>
      </c>
      <c r="BS275" s="19" t="b">
        <f t="shared" si="67"/>
        <v>0</v>
      </c>
    </row>
    <row r="276" spans="2:71" ht="15.75" x14ac:dyDescent="0.2">
      <c r="B276" s="248" t="str">
        <f>IF(Calc!$F$26=0,"",IF(OR($C276&gt;Calc!$B$24,MOD($C276-1,Calc!$F$26)&gt;0),"",QUOTIENT($C276-1,Calc!$F$26)+1))</f>
        <v/>
      </c>
      <c r="C276" s="244">
        <v>268</v>
      </c>
      <c r="D276" s="142">
        <f>IF(Planning!$T274="","",Planning!$T274)</f>
        <v>46130</v>
      </c>
      <c r="E276" s="143">
        <f>IF(Planning!$U274="","",Planning!$U274)</f>
        <v>0.64583333333333337</v>
      </c>
      <c r="F276" s="161" t="str">
        <f>Planning!$Q274</f>
        <v>VfB Stuttgart</v>
      </c>
      <c r="G276" s="162" t="s">
        <v>4</v>
      </c>
      <c r="H276" s="161" t="str">
        <f>Planning!$S274</f>
        <v>Hamburger SV</v>
      </c>
      <c r="I276" s="163"/>
      <c r="J276" s="315" t="str">
        <f>Language!$E$90</f>
        <v xml:space="preserve"> - </v>
      </c>
      <c r="K276" s="318"/>
      <c r="L276" s="163"/>
      <c r="M276" s="360" t="str">
        <f>Language!$E$90</f>
        <v xml:space="preserve"> - </v>
      </c>
      <c r="N276" s="318"/>
      <c r="O276" s="163"/>
      <c r="P276" s="360" t="str">
        <f>Language!$E$90</f>
        <v xml:space="preserve"> - </v>
      </c>
      <c r="Q276" s="318"/>
      <c r="R276" s="354" t="str">
        <f t="shared" si="59"/>
        <v/>
      </c>
      <c r="S276" s="357" t="str">
        <f>Language!$E$90</f>
        <v xml:space="preserve"> - </v>
      </c>
      <c r="T276" s="321" t="str">
        <f t="shared" si="60"/>
        <v/>
      </c>
      <c r="U276" s="294"/>
      <c r="V276" s="295"/>
      <c r="BM276" s="193" t="b">
        <f t="shared" si="61"/>
        <v>1</v>
      </c>
      <c r="BN276" s="19" t="b">
        <f t="shared" si="62"/>
        <v>1</v>
      </c>
      <c r="BO276" s="19" t="b">
        <f t="shared" si="63"/>
        <v>1</v>
      </c>
      <c r="BP276" s="19" t="b">
        <f t="shared" si="64"/>
        <v>1</v>
      </c>
      <c r="BQ276" s="19" t="b">
        <f t="shared" si="65"/>
        <v>0</v>
      </c>
      <c r="BR276" s="19" t="b">
        <f t="shared" si="66"/>
        <v>0</v>
      </c>
      <c r="BS276" s="19" t="b">
        <f t="shared" si="67"/>
        <v>0</v>
      </c>
    </row>
    <row r="277" spans="2:71" ht="15.75" x14ac:dyDescent="0.2">
      <c r="B277" s="248" t="str">
        <f>IF(Calc!$F$26=0,"",IF(OR($C277&gt;Calc!$B$24,MOD($C277-1,Calc!$F$26)&gt;0),"",QUOTIENT($C277-1,Calc!$F$26)+1))</f>
        <v/>
      </c>
      <c r="C277" s="244">
        <v>269</v>
      </c>
      <c r="D277" s="142">
        <f>IF(Planning!$T275="","",Planning!$T275)</f>
        <v>46130</v>
      </c>
      <c r="E277" s="143">
        <f>IF(Planning!$U275="","",Planning!$U275)</f>
        <v>0.64583333333333337</v>
      </c>
      <c r="F277" s="161" t="str">
        <f>Planning!$Q275</f>
        <v>RB Leipzig</v>
      </c>
      <c r="G277" s="162" t="s">
        <v>4</v>
      </c>
      <c r="H277" s="161" t="str">
        <f>Planning!$S275</f>
        <v>TSG Hoffenheim</v>
      </c>
      <c r="I277" s="163"/>
      <c r="J277" s="315" t="str">
        <f>Language!$E$90</f>
        <v xml:space="preserve"> - </v>
      </c>
      <c r="K277" s="318"/>
      <c r="L277" s="163"/>
      <c r="M277" s="360" t="str">
        <f>Language!$E$90</f>
        <v xml:space="preserve"> - </v>
      </c>
      <c r="N277" s="318"/>
      <c r="O277" s="163"/>
      <c r="P277" s="360" t="str">
        <f>Language!$E$90</f>
        <v xml:space="preserve"> - </v>
      </c>
      <c r="Q277" s="318"/>
      <c r="R277" s="354" t="str">
        <f t="shared" si="59"/>
        <v/>
      </c>
      <c r="S277" s="357" t="str">
        <f>Language!$E$90</f>
        <v xml:space="preserve"> - </v>
      </c>
      <c r="T277" s="321" t="str">
        <f t="shared" si="60"/>
        <v/>
      </c>
      <c r="U277" s="294"/>
      <c r="V277" s="295"/>
      <c r="BM277" s="193" t="b">
        <f t="shared" si="61"/>
        <v>1</v>
      </c>
      <c r="BN277" s="19" t="b">
        <f t="shared" si="62"/>
        <v>1</v>
      </c>
      <c r="BO277" s="19" t="b">
        <f t="shared" si="63"/>
        <v>1</v>
      </c>
      <c r="BP277" s="19" t="b">
        <f t="shared" si="64"/>
        <v>1</v>
      </c>
      <c r="BQ277" s="19" t="b">
        <f t="shared" si="65"/>
        <v>0</v>
      </c>
      <c r="BR277" s="19" t="b">
        <f t="shared" si="66"/>
        <v>0</v>
      </c>
      <c r="BS277" s="19" t="b">
        <f t="shared" si="67"/>
        <v>0</v>
      </c>
    </row>
    <row r="278" spans="2:71" ht="15.75" x14ac:dyDescent="0.2">
      <c r="B278" s="248" t="str">
        <f>IF(Calc!$F$26=0,"",IF(OR($C278&gt;Calc!$B$24,MOD($C278-1,Calc!$F$26)&gt;0),"",QUOTIENT($C278-1,Calc!$F$26)+1))</f>
        <v/>
      </c>
      <c r="C278" s="244">
        <v>270</v>
      </c>
      <c r="D278" s="142">
        <f>IF(Planning!$T276="","",Planning!$T276)</f>
        <v>46130</v>
      </c>
      <c r="E278" s="143">
        <f>IF(Planning!$U276="","",Planning!$U276)</f>
        <v>0.64583333333333337</v>
      </c>
      <c r="F278" s="161" t="str">
        <f>Planning!$Q276</f>
        <v>SV Werder Bremen</v>
      </c>
      <c r="G278" s="162" t="s">
        <v>4</v>
      </c>
      <c r="H278" s="161" t="str">
        <f>Planning!$S276</f>
        <v>SC Freiburg</v>
      </c>
      <c r="I278" s="163"/>
      <c r="J278" s="315" t="str">
        <f>Language!$E$90</f>
        <v xml:space="preserve"> - </v>
      </c>
      <c r="K278" s="318"/>
      <c r="L278" s="163"/>
      <c r="M278" s="360" t="str">
        <f>Language!$E$90</f>
        <v xml:space="preserve"> - </v>
      </c>
      <c r="N278" s="318"/>
      <c r="O278" s="163"/>
      <c r="P278" s="360" t="str">
        <f>Language!$E$90</f>
        <v xml:space="preserve"> - </v>
      </c>
      <c r="Q278" s="318"/>
      <c r="R278" s="354" t="str">
        <f t="shared" si="59"/>
        <v/>
      </c>
      <c r="S278" s="357" t="str">
        <f>Language!$E$90</f>
        <v xml:space="preserve"> - </v>
      </c>
      <c r="T278" s="321" t="str">
        <f t="shared" si="60"/>
        <v/>
      </c>
      <c r="U278" s="294"/>
      <c r="V278" s="295"/>
      <c r="BM278" s="193" t="b">
        <f t="shared" si="61"/>
        <v>1</v>
      </c>
      <c r="BN278" s="19" t="b">
        <f t="shared" si="62"/>
        <v>1</v>
      </c>
      <c r="BO278" s="19" t="b">
        <f t="shared" si="63"/>
        <v>1</v>
      </c>
      <c r="BP278" s="19" t="b">
        <f t="shared" si="64"/>
        <v>1</v>
      </c>
      <c r="BQ278" s="19" t="b">
        <f t="shared" si="65"/>
        <v>0</v>
      </c>
      <c r="BR278" s="19" t="b">
        <f t="shared" si="66"/>
        <v>0</v>
      </c>
      <c r="BS278" s="19" t="b">
        <f t="shared" si="67"/>
        <v>0</v>
      </c>
    </row>
    <row r="279" spans="2:71" ht="15.75" x14ac:dyDescent="0.2">
      <c r="B279" s="248">
        <f>IF(Calc!$F$26=0,"",IF(OR($C279&gt;Calc!$B$24,MOD($C279-1,Calc!$F$26)&gt;0),"",QUOTIENT($C279-1,Calc!$F$26)+1))</f>
        <v>31</v>
      </c>
      <c r="C279" s="244">
        <v>271</v>
      </c>
      <c r="D279" s="142">
        <f>IF(Planning!$T277="","",Planning!$T277)</f>
        <v>46137</v>
      </c>
      <c r="E279" s="143">
        <f>IF(Planning!$U277="","",Planning!$U277)</f>
        <v>0.64583333333333337</v>
      </c>
      <c r="F279" s="161" t="str">
        <f>Planning!$Q277</f>
        <v>1. FC Heidenheim 1846</v>
      </c>
      <c r="G279" s="162" t="s">
        <v>4</v>
      </c>
      <c r="H279" s="161" t="str">
        <f>Planning!$S277</f>
        <v>Bayer 04 Leverkusen</v>
      </c>
      <c r="I279" s="163"/>
      <c r="J279" s="315" t="str">
        <f>Language!$E$90</f>
        <v xml:space="preserve"> - </v>
      </c>
      <c r="K279" s="318"/>
      <c r="L279" s="163"/>
      <c r="M279" s="360" t="str">
        <f>Language!$E$90</f>
        <v xml:space="preserve"> - </v>
      </c>
      <c r="N279" s="318"/>
      <c r="O279" s="163"/>
      <c r="P279" s="360" t="str">
        <f>Language!$E$90</f>
        <v xml:space="preserve"> - </v>
      </c>
      <c r="Q279" s="318"/>
      <c r="R279" s="354" t="str">
        <f t="shared" si="59"/>
        <v/>
      </c>
      <c r="S279" s="357" t="str">
        <f>Language!$E$90</f>
        <v xml:space="preserve"> - </v>
      </c>
      <c r="T279" s="321" t="str">
        <f t="shared" si="60"/>
        <v/>
      </c>
      <c r="U279" s="294"/>
      <c r="V279" s="295"/>
      <c r="BM279" s="193" t="b">
        <f t="shared" si="61"/>
        <v>1</v>
      </c>
      <c r="BN279" s="19" t="b">
        <f t="shared" si="62"/>
        <v>1</v>
      </c>
      <c r="BO279" s="19" t="b">
        <f t="shared" si="63"/>
        <v>1</v>
      </c>
      <c r="BP279" s="19" t="b">
        <f t="shared" si="64"/>
        <v>1</v>
      </c>
      <c r="BQ279" s="19" t="b">
        <f t="shared" si="65"/>
        <v>0</v>
      </c>
      <c r="BR279" s="19" t="b">
        <f t="shared" si="66"/>
        <v>0</v>
      </c>
      <c r="BS279" s="19" t="b">
        <f t="shared" si="67"/>
        <v>0</v>
      </c>
    </row>
    <row r="280" spans="2:71" ht="15.75" x14ac:dyDescent="0.2">
      <c r="B280" s="248" t="str">
        <f>IF(Calc!$F$26=0,"",IF(OR($C280&gt;Calc!$B$24,MOD($C280-1,Calc!$F$26)&gt;0),"",QUOTIENT($C280-1,Calc!$F$26)+1))</f>
        <v/>
      </c>
      <c r="C280" s="244">
        <v>272</v>
      </c>
      <c r="D280" s="142">
        <f>IF(Planning!$T278="","",Planning!$T278)</f>
        <v>46137</v>
      </c>
      <c r="E280" s="143">
        <f>IF(Planning!$U278="","",Planning!$U278)</f>
        <v>0.64583333333333337</v>
      </c>
      <c r="F280" s="161" t="str">
        <f>Planning!$Q278</f>
        <v>Borussia Dortmund</v>
      </c>
      <c r="G280" s="162" t="s">
        <v>4</v>
      </c>
      <c r="H280" s="161" t="str">
        <f>Planning!$S278</f>
        <v>1. FSV Mainz 05</v>
      </c>
      <c r="I280" s="163"/>
      <c r="J280" s="315" t="str">
        <f>Language!$E$90</f>
        <v xml:space="preserve"> - </v>
      </c>
      <c r="K280" s="318"/>
      <c r="L280" s="163"/>
      <c r="M280" s="360" t="str">
        <f>Language!$E$90</f>
        <v xml:space="preserve"> - </v>
      </c>
      <c r="N280" s="318"/>
      <c r="O280" s="163"/>
      <c r="P280" s="360" t="str">
        <f>Language!$E$90</f>
        <v xml:space="preserve"> - </v>
      </c>
      <c r="Q280" s="318"/>
      <c r="R280" s="354" t="str">
        <f t="shared" si="59"/>
        <v/>
      </c>
      <c r="S280" s="357" t="str">
        <f>Language!$E$90</f>
        <v xml:space="preserve"> - </v>
      </c>
      <c r="T280" s="321" t="str">
        <f t="shared" si="60"/>
        <v/>
      </c>
      <c r="U280" s="294"/>
      <c r="V280" s="295"/>
      <c r="BM280" s="193" t="b">
        <f t="shared" si="61"/>
        <v>1</v>
      </c>
      <c r="BN280" s="19" t="b">
        <f t="shared" si="62"/>
        <v>1</v>
      </c>
      <c r="BO280" s="19" t="b">
        <f t="shared" si="63"/>
        <v>1</v>
      </c>
      <c r="BP280" s="19" t="b">
        <f t="shared" si="64"/>
        <v>1</v>
      </c>
      <c r="BQ280" s="19" t="b">
        <f t="shared" si="65"/>
        <v>0</v>
      </c>
      <c r="BR280" s="19" t="b">
        <f t="shared" si="66"/>
        <v>0</v>
      </c>
      <c r="BS280" s="19" t="b">
        <f t="shared" si="67"/>
        <v>0</v>
      </c>
    </row>
    <row r="281" spans="2:71" ht="15.75" x14ac:dyDescent="0.2">
      <c r="B281" s="248" t="str">
        <f>IF(Calc!$F$26=0,"",IF(OR($C281&gt;Calc!$B$24,MOD($C281-1,Calc!$F$26)&gt;0),"",QUOTIENT($C281-1,Calc!$F$26)+1))</f>
        <v/>
      </c>
      <c r="C281" s="244">
        <v>273</v>
      </c>
      <c r="D281" s="142">
        <f>IF(Planning!$T279="","",Planning!$T279)</f>
        <v>46137</v>
      </c>
      <c r="E281" s="143">
        <f>IF(Planning!$U279="","",Planning!$U279)</f>
        <v>0.64583333333333337</v>
      </c>
      <c r="F281" s="161" t="str">
        <f>Planning!$Q279</f>
        <v>1. FC Union Berlin</v>
      </c>
      <c r="G281" s="162" t="s">
        <v>4</v>
      </c>
      <c r="H281" s="161" t="str">
        <f>Planning!$S279</f>
        <v>Borussia Mönchengladbach</v>
      </c>
      <c r="I281" s="163"/>
      <c r="J281" s="315" t="str">
        <f>Language!$E$90</f>
        <v xml:space="preserve"> - </v>
      </c>
      <c r="K281" s="318"/>
      <c r="L281" s="163"/>
      <c r="M281" s="360" t="str">
        <f>Language!$E$90</f>
        <v xml:space="preserve"> - </v>
      </c>
      <c r="N281" s="318"/>
      <c r="O281" s="163"/>
      <c r="P281" s="360" t="str">
        <f>Language!$E$90</f>
        <v xml:space="preserve"> - </v>
      </c>
      <c r="Q281" s="318"/>
      <c r="R281" s="354" t="str">
        <f t="shared" si="59"/>
        <v/>
      </c>
      <c r="S281" s="357" t="str">
        <f>Language!$E$90</f>
        <v xml:space="preserve"> - </v>
      </c>
      <c r="T281" s="321" t="str">
        <f t="shared" si="60"/>
        <v/>
      </c>
      <c r="U281" s="294"/>
      <c r="V281" s="295"/>
      <c r="BM281" s="193" t="b">
        <f t="shared" si="61"/>
        <v>1</v>
      </c>
      <c r="BN281" s="19" t="b">
        <f t="shared" si="62"/>
        <v>1</v>
      </c>
      <c r="BO281" s="19" t="b">
        <f t="shared" si="63"/>
        <v>1</v>
      </c>
      <c r="BP281" s="19" t="b">
        <f t="shared" si="64"/>
        <v>1</v>
      </c>
      <c r="BQ281" s="19" t="b">
        <f t="shared" si="65"/>
        <v>0</v>
      </c>
      <c r="BR281" s="19" t="b">
        <f t="shared" si="66"/>
        <v>0</v>
      </c>
      <c r="BS281" s="19" t="b">
        <f t="shared" si="67"/>
        <v>0</v>
      </c>
    </row>
    <row r="282" spans="2:71" ht="15.75" x14ac:dyDescent="0.2">
      <c r="B282" s="248" t="str">
        <f>IF(Calc!$F$26=0,"",IF(OR($C282&gt;Calc!$B$24,MOD($C282-1,Calc!$F$26)&gt;0),"",QUOTIENT($C282-1,Calc!$F$26)+1))</f>
        <v/>
      </c>
      <c r="C282" s="244">
        <v>274</v>
      </c>
      <c r="D282" s="142">
        <f>IF(Planning!$T280="","",Planning!$T280)</f>
        <v>46137</v>
      </c>
      <c r="E282" s="143">
        <f>IF(Planning!$U280="","",Planning!$U280)</f>
        <v>0.64583333333333337</v>
      </c>
      <c r="F282" s="161" t="str">
        <f>Planning!$Q280</f>
        <v>Eintracht Frankfurt</v>
      </c>
      <c r="G282" s="162" t="s">
        <v>4</v>
      </c>
      <c r="H282" s="161" t="str">
        <f>Planning!$S280</f>
        <v>1. FC Köln</v>
      </c>
      <c r="I282" s="163"/>
      <c r="J282" s="315" t="str">
        <f>Language!$E$90</f>
        <v xml:space="preserve"> - </v>
      </c>
      <c r="K282" s="318"/>
      <c r="L282" s="163"/>
      <c r="M282" s="360" t="str">
        <f>Language!$E$90</f>
        <v xml:space="preserve"> - </v>
      </c>
      <c r="N282" s="318"/>
      <c r="O282" s="163"/>
      <c r="P282" s="360" t="str">
        <f>Language!$E$90</f>
        <v xml:space="preserve"> - </v>
      </c>
      <c r="Q282" s="318"/>
      <c r="R282" s="354" t="str">
        <f t="shared" si="59"/>
        <v/>
      </c>
      <c r="S282" s="357" t="str">
        <f>Language!$E$90</f>
        <v xml:space="preserve"> - </v>
      </c>
      <c r="T282" s="321" t="str">
        <f t="shared" si="60"/>
        <v/>
      </c>
      <c r="U282" s="294"/>
      <c r="V282" s="295"/>
      <c r="BM282" s="193" t="b">
        <f t="shared" si="61"/>
        <v>1</v>
      </c>
      <c r="BN282" s="19" t="b">
        <f t="shared" si="62"/>
        <v>1</v>
      </c>
      <c r="BO282" s="19" t="b">
        <f t="shared" si="63"/>
        <v>1</v>
      </c>
      <c r="BP282" s="19" t="b">
        <f t="shared" si="64"/>
        <v>1</v>
      </c>
      <c r="BQ282" s="19" t="b">
        <f t="shared" si="65"/>
        <v>0</v>
      </c>
      <c r="BR282" s="19" t="b">
        <f t="shared" si="66"/>
        <v>0</v>
      </c>
      <c r="BS282" s="19" t="b">
        <f t="shared" si="67"/>
        <v>0</v>
      </c>
    </row>
    <row r="283" spans="2:71" ht="15.75" x14ac:dyDescent="0.2">
      <c r="B283" s="248" t="str">
        <f>IF(Calc!$F$26=0,"",IF(OR($C283&gt;Calc!$B$24,MOD($C283-1,Calc!$F$26)&gt;0),"",QUOTIENT($C283-1,Calc!$F$26)+1))</f>
        <v/>
      </c>
      <c r="C283" s="244">
        <v>275</v>
      </c>
      <c r="D283" s="142">
        <f>IF(Planning!$T281="","",Planning!$T281)</f>
        <v>46137</v>
      </c>
      <c r="E283" s="143">
        <f>IF(Planning!$U281="","",Planning!$U281)</f>
        <v>0.64583333333333337</v>
      </c>
      <c r="F283" s="161" t="str">
        <f>Planning!$Q281</f>
        <v>VfL Wolfsburg</v>
      </c>
      <c r="G283" s="162" t="s">
        <v>4</v>
      </c>
      <c r="H283" s="161" t="str">
        <f>Planning!$S281</f>
        <v>FC Augsburg</v>
      </c>
      <c r="I283" s="163"/>
      <c r="J283" s="315" t="str">
        <f>Language!$E$90</f>
        <v xml:space="preserve"> - </v>
      </c>
      <c r="K283" s="318"/>
      <c r="L283" s="163"/>
      <c r="M283" s="360" t="str">
        <f>Language!$E$90</f>
        <v xml:space="preserve"> - </v>
      </c>
      <c r="N283" s="318"/>
      <c r="O283" s="163"/>
      <c r="P283" s="360" t="str">
        <f>Language!$E$90</f>
        <v xml:space="preserve"> - </v>
      </c>
      <c r="Q283" s="318"/>
      <c r="R283" s="354" t="str">
        <f t="shared" si="59"/>
        <v/>
      </c>
      <c r="S283" s="357" t="str">
        <f>Language!$E$90</f>
        <v xml:space="preserve"> - </v>
      </c>
      <c r="T283" s="321" t="str">
        <f t="shared" si="60"/>
        <v/>
      </c>
      <c r="U283" s="294"/>
      <c r="V283" s="295"/>
      <c r="BM283" s="193" t="b">
        <f t="shared" si="61"/>
        <v>1</v>
      </c>
      <c r="BN283" s="19" t="b">
        <f t="shared" si="62"/>
        <v>1</v>
      </c>
      <c r="BO283" s="19" t="b">
        <f t="shared" si="63"/>
        <v>1</v>
      </c>
      <c r="BP283" s="19" t="b">
        <f t="shared" si="64"/>
        <v>1</v>
      </c>
      <c r="BQ283" s="19" t="b">
        <f t="shared" si="65"/>
        <v>0</v>
      </c>
      <c r="BR283" s="19" t="b">
        <f t="shared" si="66"/>
        <v>0</v>
      </c>
      <c r="BS283" s="19" t="b">
        <f t="shared" si="67"/>
        <v>0</v>
      </c>
    </row>
    <row r="284" spans="2:71" ht="15.75" x14ac:dyDescent="0.2">
      <c r="B284" s="248" t="str">
        <f>IF(Calc!$F$26=0,"",IF(OR($C284&gt;Calc!$B$24,MOD($C284-1,Calc!$F$26)&gt;0),"",QUOTIENT($C284-1,Calc!$F$26)+1))</f>
        <v/>
      </c>
      <c r="C284" s="244">
        <v>276</v>
      </c>
      <c r="D284" s="142">
        <f>IF(Planning!$T282="","",Planning!$T282)</f>
        <v>46137</v>
      </c>
      <c r="E284" s="143">
        <f>IF(Planning!$U282="","",Planning!$U282)</f>
        <v>0.64583333333333337</v>
      </c>
      <c r="F284" s="161" t="str">
        <f>Planning!$Q282</f>
        <v>FC Bayern München</v>
      </c>
      <c r="G284" s="162" t="s">
        <v>4</v>
      </c>
      <c r="H284" s="161" t="str">
        <f>Planning!$S282</f>
        <v>VfB Stuttgart</v>
      </c>
      <c r="I284" s="163"/>
      <c r="J284" s="315" t="str">
        <f>Language!$E$90</f>
        <v xml:space="preserve"> - </v>
      </c>
      <c r="K284" s="318"/>
      <c r="L284" s="163"/>
      <c r="M284" s="360" t="str">
        <f>Language!$E$90</f>
        <v xml:space="preserve"> - </v>
      </c>
      <c r="N284" s="318"/>
      <c r="O284" s="163"/>
      <c r="P284" s="360" t="str">
        <f>Language!$E$90</f>
        <v xml:space="preserve"> - </v>
      </c>
      <c r="Q284" s="318"/>
      <c r="R284" s="354" t="str">
        <f t="shared" si="59"/>
        <v/>
      </c>
      <c r="S284" s="357" t="str">
        <f>Language!$E$90</f>
        <v xml:space="preserve"> - </v>
      </c>
      <c r="T284" s="321" t="str">
        <f t="shared" si="60"/>
        <v/>
      </c>
      <c r="U284" s="294"/>
      <c r="V284" s="295"/>
      <c r="BM284" s="193" t="b">
        <f t="shared" si="61"/>
        <v>1</v>
      </c>
      <c r="BN284" s="19" t="b">
        <f t="shared" si="62"/>
        <v>1</v>
      </c>
      <c r="BO284" s="19" t="b">
        <f t="shared" si="63"/>
        <v>1</v>
      </c>
      <c r="BP284" s="19" t="b">
        <f t="shared" si="64"/>
        <v>1</v>
      </c>
      <c r="BQ284" s="19" t="b">
        <f t="shared" si="65"/>
        <v>0</v>
      </c>
      <c r="BR284" s="19" t="b">
        <f t="shared" si="66"/>
        <v>0</v>
      </c>
      <c r="BS284" s="19" t="b">
        <f t="shared" si="67"/>
        <v>0</v>
      </c>
    </row>
    <row r="285" spans="2:71" ht="15.75" x14ac:dyDescent="0.2">
      <c r="B285" s="248" t="str">
        <f>IF(Calc!$F$26=0,"",IF(OR($C285&gt;Calc!$B$24,MOD($C285-1,Calc!$F$26)&gt;0),"",QUOTIENT($C285-1,Calc!$F$26)+1))</f>
        <v/>
      </c>
      <c r="C285" s="244">
        <v>277</v>
      </c>
      <c r="D285" s="142">
        <f>IF(Planning!$T283="","",Planning!$T283)</f>
        <v>46137</v>
      </c>
      <c r="E285" s="143">
        <f>IF(Planning!$U283="","",Planning!$U283)</f>
        <v>0.64583333333333337</v>
      </c>
      <c r="F285" s="161" t="str">
        <f>Planning!$Q283</f>
        <v>TSG Hoffenheim</v>
      </c>
      <c r="G285" s="162" t="s">
        <v>4</v>
      </c>
      <c r="H285" s="161" t="str">
        <f>Planning!$S283</f>
        <v>FC St. Pauli</v>
      </c>
      <c r="I285" s="163"/>
      <c r="J285" s="315" t="str">
        <f>Language!$E$90</f>
        <v xml:space="preserve"> - </v>
      </c>
      <c r="K285" s="318"/>
      <c r="L285" s="163"/>
      <c r="M285" s="360" t="str">
        <f>Language!$E$90</f>
        <v xml:space="preserve"> - </v>
      </c>
      <c r="N285" s="318"/>
      <c r="O285" s="163"/>
      <c r="P285" s="360" t="str">
        <f>Language!$E$90</f>
        <v xml:space="preserve"> - </v>
      </c>
      <c r="Q285" s="318"/>
      <c r="R285" s="354" t="str">
        <f t="shared" si="59"/>
        <v/>
      </c>
      <c r="S285" s="357" t="str">
        <f>Language!$E$90</f>
        <v xml:space="preserve"> - </v>
      </c>
      <c r="T285" s="321" t="str">
        <f t="shared" si="60"/>
        <v/>
      </c>
      <c r="U285" s="294"/>
      <c r="V285" s="295"/>
      <c r="BM285" s="193" t="b">
        <f t="shared" si="61"/>
        <v>1</v>
      </c>
      <c r="BN285" s="19" t="b">
        <f t="shared" si="62"/>
        <v>1</v>
      </c>
      <c r="BO285" s="19" t="b">
        <f t="shared" si="63"/>
        <v>1</v>
      </c>
      <c r="BP285" s="19" t="b">
        <f t="shared" si="64"/>
        <v>1</v>
      </c>
      <c r="BQ285" s="19" t="b">
        <f t="shared" si="65"/>
        <v>0</v>
      </c>
      <c r="BR285" s="19" t="b">
        <f t="shared" si="66"/>
        <v>0</v>
      </c>
      <c r="BS285" s="19" t="b">
        <f t="shared" si="67"/>
        <v>0</v>
      </c>
    </row>
    <row r="286" spans="2:71" ht="15.75" x14ac:dyDescent="0.2">
      <c r="B286" s="248" t="str">
        <f>IF(Calc!$F$26=0,"",IF(OR($C286&gt;Calc!$B$24,MOD($C286-1,Calc!$F$26)&gt;0),"",QUOTIENT($C286-1,Calc!$F$26)+1))</f>
        <v/>
      </c>
      <c r="C286" s="244">
        <v>278</v>
      </c>
      <c r="D286" s="142">
        <f>IF(Planning!$T284="","",Planning!$T284)</f>
        <v>46137</v>
      </c>
      <c r="E286" s="143">
        <f>IF(Planning!$U284="","",Planning!$U284)</f>
        <v>0.64583333333333337</v>
      </c>
      <c r="F286" s="161" t="str">
        <f>Planning!$Q284</f>
        <v>Hamburger SV</v>
      </c>
      <c r="G286" s="162" t="s">
        <v>4</v>
      </c>
      <c r="H286" s="161" t="str">
        <f>Planning!$S284</f>
        <v>SV Werder Bremen</v>
      </c>
      <c r="I286" s="163"/>
      <c r="J286" s="315" t="str">
        <f>Language!$E$90</f>
        <v xml:space="preserve"> - </v>
      </c>
      <c r="K286" s="318"/>
      <c r="L286" s="163"/>
      <c r="M286" s="360" t="str">
        <f>Language!$E$90</f>
        <v xml:space="preserve"> - </v>
      </c>
      <c r="N286" s="318"/>
      <c r="O286" s="163"/>
      <c r="P286" s="360" t="str">
        <f>Language!$E$90</f>
        <v xml:space="preserve"> - </v>
      </c>
      <c r="Q286" s="318"/>
      <c r="R286" s="354" t="str">
        <f t="shared" si="59"/>
        <v/>
      </c>
      <c r="S286" s="357" t="str">
        <f>Language!$E$90</f>
        <v xml:space="preserve"> - </v>
      </c>
      <c r="T286" s="321" t="str">
        <f t="shared" si="60"/>
        <v/>
      </c>
      <c r="U286" s="294"/>
      <c r="V286" s="295"/>
      <c r="BM286" s="193" t="b">
        <f t="shared" si="61"/>
        <v>1</v>
      </c>
      <c r="BN286" s="19" t="b">
        <f t="shared" si="62"/>
        <v>1</v>
      </c>
      <c r="BO286" s="19" t="b">
        <f t="shared" si="63"/>
        <v>1</v>
      </c>
      <c r="BP286" s="19" t="b">
        <f t="shared" si="64"/>
        <v>1</v>
      </c>
      <c r="BQ286" s="19" t="b">
        <f t="shared" si="65"/>
        <v>0</v>
      </c>
      <c r="BR286" s="19" t="b">
        <f t="shared" si="66"/>
        <v>0</v>
      </c>
      <c r="BS286" s="19" t="b">
        <f t="shared" si="67"/>
        <v>0</v>
      </c>
    </row>
    <row r="287" spans="2:71" ht="15.75" x14ac:dyDescent="0.2">
      <c r="B287" s="248" t="str">
        <f>IF(Calc!$F$26=0,"",IF(OR($C287&gt;Calc!$B$24,MOD($C287-1,Calc!$F$26)&gt;0),"",QUOTIENT($C287-1,Calc!$F$26)+1))</f>
        <v/>
      </c>
      <c r="C287" s="244">
        <v>279</v>
      </c>
      <c r="D287" s="142">
        <f>IF(Planning!$T285="","",Planning!$T285)</f>
        <v>46137</v>
      </c>
      <c r="E287" s="143">
        <f>IF(Planning!$U285="","",Planning!$U285)</f>
        <v>0.64583333333333337</v>
      </c>
      <c r="F287" s="161" t="str">
        <f>Planning!$Q285</f>
        <v>SC Freiburg</v>
      </c>
      <c r="G287" s="162" t="s">
        <v>4</v>
      </c>
      <c r="H287" s="161" t="str">
        <f>Planning!$S285</f>
        <v>RB Leipzig</v>
      </c>
      <c r="I287" s="163"/>
      <c r="J287" s="315" t="str">
        <f>Language!$E$90</f>
        <v xml:space="preserve"> - </v>
      </c>
      <c r="K287" s="318"/>
      <c r="L287" s="163"/>
      <c r="M287" s="360" t="str">
        <f>Language!$E$90</f>
        <v xml:space="preserve"> - </v>
      </c>
      <c r="N287" s="318"/>
      <c r="O287" s="163"/>
      <c r="P287" s="360" t="str">
        <f>Language!$E$90</f>
        <v xml:space="preserve"> - </v>
      </c>
      <c r="Q287" s="318"/>
      <c r="R287" s="354" t="str">
        <f t="shared" si="59"/>
        <v/>
      </c>
      <c r="S287" s="357" t="str">
        <f>Language!$E$90</f>
        <v xml:space="preserve"> - </v>
      </c>
      <c r="T287" s="321" t="str">
        <f t="shared" si="60"/>
        <v/>
      </c>
      <c r="U287" s="294"/>
      <c r="V287" s="295"/>
      <c r="BM287" s="193" t="b">
        <f t="shared" si="61"/>
        <v>1</v>
      </c>
      <c r="BN287" s="19" t="b">
        <f t="shared" si="62"/>
        <v>1</v>
      </c>
      <c r="BO287" s="19" t="b">
        <f t="shared" si="63"/>
        <v>1</v>
      </c>
      <c r="BP287" s="19" t="b">
        <f t="shared" si="64"/>
        <v>1</v>
      </c>
      <c r="BQ287" s="19" t="b">
        <f t="shared" si="65"/>
        <v>0</v>
      </c>
      <c r="BR287" s="19" t="b">
        <f t="shared" si="66"/>
        <v>0</v>
      </c>
      <c r="BS287" s="19" t="b">
        <f t="shared" si="67"/>
        <v>0</v>
      </c>
    </row>
    <row r="288" spans="2:71" ht="15.75" x14ac:dyDescent="0.2">
      <c r="B288" s="248">
        <f>IF(Calc!$F$26=0,"",IF(OR($C288&gt;Calc!$B$24,MOD($C288-1,Calc!$F$26)&gt;0),"",QUOTIENT($C288-1,Calc!$F$26)+1))</f>
        <v>32</v>
      </c>
      <c r="C288" s="244">
        <v>280</v>
      </c>
      <c r="D288" s="142">
        <f>IF(Planning!$T286="","",Planning!$T286)</f>
        <v>46144</v>
      </c>
      <c r="E288" s="143">
        <f>IF(Planning!$U286="","",Planning!$U286)</f>
        <v>0.64583333333333337</v>
      </c>
      <c r="F288" s="161" t="str">
        <f>Planning!$Q286</f>
        <v>1. FSV Mainz 05</v>
      </c>
      <c r="G288" s="162" t="s">
        <v>4</v>
      </c>
      <c r="H288" s="161" t="str">
        <f>Planning!$S286</f>
        <v>1. FC Heidenheim 1846</v>
      </c>
      <c r="I288" s="163"/>
      <c r="J288" s="315" t="str">
        <f>Language!$E$90</f>
        <v xml:space="preserve"> - </v>
      </c>
      <c r="K288" s="318"/>
      <c r="L288" s="163"/>
      <c r="M288" s="360" t="str">
        <f>Language!$E$90</f>
        <v xml:space="preserve"> - </v>
      </c>
      <c r="N288" s="318"/>
      <c r="O288" s="163"/>
      <c r="P288" s="360" t="str">
        <f>Language!$E$90</f>
        <v xml:space="preserve"> - </v>
      </c>
      <c r="Q288" s="318"/>
      <c r="R288" s="354" t="str">
        <f t="shared" si="59"/>
        <v/>
      </c>
      <c r="S288" s="357" t="str">
        <f>Language!$E$90</f>
        <v xml:space="preserve"> - </v>
      </c>
      <c r="T288" s="321" t="str">
        <f t="shared" si="60"/>
        <v/>
      </c>
      <c r="U288" s="294"/>
      <c r="V288" s="295"/>
      <c r="BM288" s="193" t="b">
        <f t="shared" si="61"/>
        <v>1</v>
      </c>
      <c r="BN288" s="19" t="b">
        <f t="shared" si="62"/>
        <v>1</v>
      </c>
      <c r="BO288" s="19" t="b">
        <f t="shared" si="63"/>
        <v>1</v>
      </c>
      <c r="BP288" s="19" t="b">
        <f t="shared" si="64"/>
        <v>1</v>
      </c>
      <c r="BQ288" s="19" t="b">
        <f t="shared" si="65"/>
        <v>0</v>
      </c>
      <c r="BR288" s="19" t="b">
        <f t="shared" si="66"/>
        <v>0</v>
      </c>
      <c r="BS288" s="19" t="b">
        <f t="shared" si="67"/>
        <v>0</v>
      </c>
    </row>
    <row r="289" spans="2:71" ht="15.75" x14ac:dyDescent="0.2">
      <c r="B289" s="248" t="str">
        <f>IF(Calc!$F$26=0,"",IF(OR($C289&gt;Calc!$B$24,MOD($C289-1,Calc!$F$26)&gt;0),"",QUOTIENT($C289-1,Calc!$F$26)+1))</f>
        <v/>
      </c>
      <c r="C289" s="244">
        <v>281</v>
      </c>
      <c r="D289" s="142">
        <f>IF(Planning!$T287="","",Planning!$T287)</f>
        <v>46144</v>
      </c>
      <c r="E289" s="143">
        <f>IF(Planning!$U287="","",Planning!$U287)</f>
        <v>0.64583333333333337</v>
      </c>
      <c r="F289" s="161" t="str">
        <f>Planning!$Q287</f>
        <v>Bayer 04 Leverkusen</v>
      </c>
      <c r="G289" s="162" t="s">
        <v>4</v>
      </c>
      <c r="H289" s="161" t="str">
        <f>Planning!$S287</f>
        <v>1. FC Union Berlin</v>
      </c>
      <c r="I289" s="163"/>
      <c r="J289" s="315" t="str">
        <f>Language!$E$90</f>
        <v xml:space="preserve"> - </v>
      </c>
      <c r="K289" s="318"/>
      <c r="L289" s="163"/>
      <c r="M289" s="360" t="str">
        <f>Language!$E$90</f>
        <v xml:space="preserve"> - </v>
      </c>
      <c r="N289" s="318"/>
      <c r="O289" s="163"/>
      <c r="P289" s="360" t="str">
        <f>Language!$E$90</f>
        <v xml:space="preserve"> - </v>
      </c>
      <c r="Q289" s="318"/>
      <c r="R289" s="354" t="str">
        <f t="shared" si="59"/>
        <v/>
      </c>
      <c r="S289" s="357" t="str">
        <f>Language!$E$90</f>
        <v xml:space="preserve"> - </v>
      </c>
      <c r="T289" s="321" t="str">
        <f t="shared" si="60"/>
        <v/>
      </c>
      <c r="U289" s="294"/>
      <c r="V289" s="295"/>
      <c r="BM289" s="193" t="b">
        <f t="shared" si="61"/>
        <v>1</v>
      </c>
      <c r="BN289" s="19" t="b">
        <f t="shared" si="62"/>
        <v>1</v>
      </c>
      <c r="BO289" s="19" t="b">
        <f t="shared" si="63"/>
        <v>1</v>
      </c>
      <c r="BP289" s="19" t="b">
        <f t="shared" si="64"/>
        <v>1</v>
      </c>
      <c r="BQ289" s="19" t="b">
        <f t="shared" si="65"/>
        <v>0</v>
      </c>
      <c r="BR289" s="19" t="b">
        <f t="shared" si="66"/>
        <v>0</v>
      </c>
      <c r="BS289" s="19" t="b">
        <f t="shared" si="67"/>
        <v>0</v>
      </c>
    </row>
    <row r="290" spans="2:71" ht="15.75" x14ac:dyDescent="0.2">
      <c r="B290" s="248" t="str">
        <f>IF(Calc!$F$26=0,"",IF(OR($C290&gt;Calc!$B$24,MOD($C290-1,Calc!$F$26)&gt;0),"",QUOTIENT($C290-1,Calc!$F$26)+1))</f>
        <v/>
      </c>
      <c r="C290" s="244">
        <v>282</v>
      </c>
      <c r="D290" s="142">
        <f>IF(Planning!$T288="","",Planning!$T288)</f>
        <v>46144</v>
      </c>
      <c r="E290" s="143">
        <f>IF(Planning!$U288="","",Planning!$U288)</f>
        <v>0.64583333333333337</v>
      </c>
      <c r="F290" s="161" t="str">
        <f>Planning!$Q288</f>
        <v>1. FC Köln</v>
      </c>
      <c r="G290" s="162" t="s">
        <v>4</v>
      </c>
      <c r="H290" s="161" t="str">
        <f>Planning!$S288</f>
        <v>Borussia Dortmund</v>
      </c>
      <c r="I290" s="163"/>
      <c r="J290" s="315" t="str">
        <f>Language!$E$90</f>
        <v xml:space="preserve"> - </v>
      </c>
      <c r="K290" s="318"/>
      <c r="L290" s="163"/>
      <c r="M290" s="360" t="str">
        <f>Language!$E$90</f>
        <v xml:space="preserve"> - </v>
      </c>
      <c r="N290" s="318"/>
      <c r="O290" s="163"/>
      <c r="P290" s="360" t="str">
        <f>Language!$E$90</f>
        <v xml:space="preserve"> - </v>
      </c>
      <c r="Q290" s="318"/>
      <c r="R290" s="354" t="str">
        <f t="shared" si="59"/>
        <v/>
      </c>
      <c r="S290" s="357" t="str">
        <f>Language!$E$90</f>
        <v xml:space="preserve"> - </v>
      </c>
      <c r="T290" s="321" t="str">
        <f t="shared" si="60"/>
        <v/>
      </c>
      <c r="U290" s="294"/>
      <c r="V290" s="295"/>
      <c r="BM290" s="193" t="b">
        <f t="shared" si="61"/>
        <v>1</v>
      </c>
      <c r="BN290" s="19" t="b">
        <f t="shared" si="62"/>
        <v>1</v>
      </c>
      <c r="BO290" s="19" t="b">
        <f t="shared" si="63"/>
        <v>1</v>
      </c>
      <c r="BP290" s="19" t="b">
        <f t="shared" si="64"/>
        <v>1</v>
      </c>
      <c r="BQ290" s="19" t="b">
        <f t="shared" si="65"/>
        <v>0</v>
      </c>
      <c r="BR290" s="19" t="b">
        <f t="shared" si="66"/>
        <v>0</v>
      </c>
      <c r="BS290" s="19" t="b">
        <f t="shared" si="67"/>
        <v>0</v>
      </c>
    </row>
    <row r="291" spans="2:71" ht="15.75" x14ac:dyDescent="0.2">
      <c r="B291" s="248" t="str">
        <f>IF(Calc!$F$26=0,"",IF(OR($C291&gt;Calc!$B$24,MOD($C291-1,Calc!$F$26)&gt;0),"",QUOTIENT($C291-1,Calc!$F$26)+1))</f>
        <v/>
      </c>
      <c r="C291" s="244">
        <v>283</v>
      </c>
      <c r="D291" s="142">
        <f>IF(Planning!$T289="","",Planning!$T289)</f>
        <v>46144</v>
      </c>
      <c r="E291" s="143">
        <f>IF(Planning!$U289="","",Planning!$U289)</f>
        <v>0.64583333333333337</v>
      </c>
      <c r="F291" s="161" t="str">
        <f>Planning!$Q289</f>
        <v>Borussia Mönchengladbach</v>
      </c>
      <c r="G291" s="162" t="s">
        <v>4</v>
      </c>
      <c r="H291" s="161" t="str">
        <f>Planning!$S289</f>
        <v>VfL Wolfsburg</v>
      </c>
      <c r="I291" s="163"/>
      <c r="J291" s="315" t="str">
        <f>Language!$E$90</f>
        <v xml:space="preserve"> - </v>
      </c>
      <c r="K291" s="318"/>
      <c r="L291" s="163"/>
      <c r="M291" s="360" t="str">
        <f>Language!$E$90</f>
        <v xml:space="preserve"> - </v>
      </c>
      <c r="N291" s="318"/>
      <c r="O291" s="163"/>
      <c r="P291" s="360" t="str">
        <f>Language!$E$90</f>
        <v xml:space="preserve"> - </v>
      </c>
      <c r="Q291" s="318"/>
      <c r="R291" s="354" t="str">
        <f t="shared" si="59"/>
        <v/>
      </c>
      <c r="S291" s="357" t="str">
        <f>Language!$E$90</f>
        <v xml:space="preserve"> - </v>
      </c>
      <c r="T291" s="321" t="str">
        <f t="shared" si="60"/>
        <v/>
      </c>
      <c r="U291" s="294"/>
      <c r="V291" s="295"/>
      <c r="BM291" s="193" t="b">
        <f t="shared" si="61"/>
        <v>1</v>
      </c>
      <c r="BN291" s="19" t="b">
        <f t="shared" si="62"/>
        <v>1</v>
      </c>
      <c r="BO291" s="19" t="b">
        <f t="shared" si="63"/>
        <v>1</v>
      </c>
      <c r="BP291" s="19" t="b">
        <f t="shared" si="64"/>
        <v>1</v>
      </c>
      <c r="BQ291" s="19" t="b">
        <f t="shared" si="65"/>
        <v>0</v>
      </c>
      <c r="BR291" s="19" t="b">
        <f t="shared" si="66"/>
        <v>0</v>
      </c>
      <c r="BS291" s="19" t="b">
        <f t="shared" si="67"/>
        <v>0</v>
      </c>
    </row>
    <row r="292" spans="2:71" ht="15.75" x14ac:dyDescent="0.2">
      <c r="B292" s="248" t="str">
        <f>IF(Calc!$F$26=0,"",IF(OR($C292&gt;Calc!$B$24,MOD($C292-1,Calc!$F$26)&gt;0),"",QUOTIENT($C292-1,Calc!$F$26)+1))</f>
        <v/>
      </c>
      <c r="C292" s="244">
        <v>284</v>
      </c>
      <c r="D292" s="142">
        <f>IF(Planning!$T290="","",Planning!$T290)</f>
        <v>46144</v>
      </c>
      <c r="E292" s="143">
        <f>IF(Planning!$U290="","",Planning!$U290)</f>
        <v>0.64583333333333337</v>
      </c>
      <c r="F292" s="161" t="str">
        <f>Planning!$Q290</f>
        <v>VfB Stuttgart</v>
      </c>
      <c r="G292" s="162" t="s">
        <v>4</v>
      </c>
      <c r="H292" s="161" t="str">
        <f>Planning!$S290</f>
        <v>Eintracht Frankfurt</v>
      </c>
      <c r="I292" s="163"/>
      <c r="J292" s="315" t="str">
        <f>Language!$E$90</f>
        <v xml:space="preserve"> - </v>
      </c>
      <c r="K292" s="318"/>
      <c r="L292" s="163"/>
      <c r="M292" s="360" t="str">
        <f>Language!$E$90</f>
        <v xml:space="preserve"> - </v>
      </c>
      <c r="N292" s="318"/>
      <c r="O292" s="163"/>
      <c r="P292" s="360" t="str">
        <f>Language!$E$90</f>
        <v xml:space="preserve"> - </v>
      </c>
      <c r="Q292" s="318"/>
      <c r="R292" s="354" t="str">
        <f t="shared" si="59"/>
        <v/>
      </c>
      <c r="S292" s="357" t="str">
        <f>Language!$E$90</f>
        <v xml:space="preserve"> - </v>
      </c>
      <c r="T292" s="321" t="str">
        <f t="shared" si="60"/>
        <v/>
      </c>
      <c r="U292" s="294"/>
      <c r="V292" s="295"/>
      <c r="BM292" s="193" t="b">
        <f t="shared" si="61"/>
        <v>1</v>
      </c>
      <c r="BN292" s="19" t="b">
        <f t="shared" si="62"/>
        <v>1</v>
      </c>
      <c r="BO292" s="19" t="b">
        <f t="shared" si="63"/>
        <v>1</v>
      </c>
      <c r="BP292" s="19" t="b">
        <f t="shared" si="64"/>
        <v>1</v>
      </c>
      <c r="BQ292" s="19" t="b">
        <f t="shared" si="65"/>
        <v>0</v>
      </c>
      <c r="BR292" s="19" t="b">
        <f t="shared" si="66"/>
        <v>0</v>
      </c>
      <c r="BS292" s="19" t="b">
        <f t="shared" si="67"/>
        <v>0</v>
      </c>
    </row>
    <row r="293" spans="2:71" ht="15.75" x14ac:dyDescent="0.2">
      <c r="B293" s="248" t="str">
        <f>IF(Calc!$F$26=0,"",IF(OR($C293&gt;Calc!$B$24,MOD($C293-1,Calc!$F$26)&gt;0),"",QUOTIENT($C293-1,Calc!$F$26)+1))</f>
        <v/>
      </c>
      <c r="C293" s="244">
        <v>285</v>
      </c>
      <c r="D293" s="142">
        <f>IF(Planning!$T291="","",Planning!$T291)</f>
        <v>46144</v>
      </c>
      <c r="E293" s="143">
        <f>IF(Planning!$U291="","",Planning!$U291)</f>
        <v>0.64583333333333337</v>
      </c>
      <c r="F293" s="161" t="str">
        <f>Planning!$Q291</f>
        <v>FC Augsburg</v>
      </c>
      <c r="G293" s="162" t="s">
        <v>4</v>
      </c>
      <c r="H293" s="161" t="str">
        <f>Planning!$S291</f>
        <v>TSG Hoffenheim</v>
      </c>
      <c r="I293" s="163"/>
      <c r="J293" s="315" t="str">
        <f>Language!$E$90</f>
        <v xml:space="preserve"> - </v>
      </c>
      <c r="K293" s="318"/>
      <c r="L293" s="163"/>
      <c r="M293" s="360" t="str">
        <f>Language!$E$90</f>
        <v xml:space="preserve"> - </v>
      </c>
      <c r="N293" s="318"/>
      <c r="O293" s="163"/>
      <c r="P293" s="360" t="str">
        <f>Language!$E$90</f>
        <v xml:space="preserve"> - </v>
      </c>
      <c r="Q293" s="318"/>
      <c r="R293" s="354" t="str">
        <f t="shared" si="59"/>
        <v/>
      </c>
      <c r="S293" s="357" t="str">
        <f>Language!$E$90</f>
        <v xml:space="preserve"> - </v>
      </c>
      <c r="T293" s="321" t="str">
        <f t="shared" si="60"/>
        <v/>
      </c>
      <c r="U293" s="294"/>
      <c r="V293" s="295"/>
      <c r="BM293" s="193" t="b">
        <f t="shared" si="61"/>
        <v>1</v>
      </c>
      <c r="BN293" s="19" t="b">
        <f t="shared" si="62"/>
        <v>1</v>
      </c>
      <c r="BO293" s="19" t="b">
        <f t="shared" si="63"/>
        <v>1</v>
      </c>
      <c r="BP293" s="19" t="b">
        <f t="shared" si="64"/>
        <v>1</v>
      </c>
      <c r="BQ293" s="19" t="b">
        <f t="shared" si="65"/>
        <v>0</v>
      </c>
      <c r="BR293" s="19" t="b">
        <f t="shared" si="66"/>
        <v>0</v>
      </c>
      <c r="BS293" s="19" t="b">
        <f t="shared" si="67"/>
        <v>0</v>
      </c>
    </row>
    <row r="294" spans="2:71" ht="15.75" x14ac:dyDescent="0.2">
      <c r="B294" s="248" t="str">
        <f>IF(Calc!$F$26=0,"",IF(OR($C294&gt;Calc!$B$24,MOD($C294-1,Calc!$F$26)&gt;0),"",QUOTIENT($C294-1,Calc!$F$26)+1))</f>
        <v/>
      </c>
      <c r="C294" s="244">
        <v>286</v>
      </c>
      <c r="D294" s="142">
        <f>IF(Planning!$T292="","",Planning!$T292)</f>
        <v>46144</v>
      </c>
      <c r="E294" s="143">
        <f>IF(Planning!$U292="","",Planning!$U292)</f>
        <v>0.64583333333333337</v>
      </c>
      <c r="F294" s="161" t="str">
        <f>Planning!$Q292</f>
        <v>SV Werder Bremen</v>
      </c>
      <c r="G294" s="162" t="s">
        <v>4</v>
      </c>
      <c r="H294" s="161" t="str">
        <f>Planning!$S292</f>
        <v>FC Bayern München</v>
      </c>
      <c r="I294" s="163"/>
      <c r="J294" s="315" t="str">
        <f>Language!$E$90</f>
        <v xml:space="preserve"> - </v>
      </c>
      <c r="K294" s="318"/>
      <c r="L294" s="163"/>
      <c r="M294" s="360" t="str">
        <f>Language!$E$90</f>
        <v xml:space="preserve"> - </v>
      </c>
      <c r="N294" s="318"/>
      <c r="O294" s="163"/>
      <c r="P294" s="360" t="str">
        <f>Language!$E$90</f>
        <v xml:space="preserve"> - </v>
      </c>
      <c r="Q294" s="318"/>
      <c r="R294" s="354" t="str">
        <f t="shared" si="59"/>
        <v/>
      </c>
      <c r="S294" s="357" t="str">
        <f>Language!$E$90</f>
        <v xml:space="preserve"> - </v>
      </c>
      <c r="T294" s="321" t="str">
        <f t="shared" si="60"/>
        <v/>
      </c>
      <c r="U294" s="294"/>
      <c r="V294" s="295"/>
      <c r="BM294" s="193" t="b">
        <f t="shared" si="61"/>
        <v>1</v>
      </c>
      <c r="BN294" s="19" t="b">
        <f t="shared" si="62"/>
        <v>1</v>
      </c>
      <c r="BO294" s="19" t="b">
        <f t="shared" si="63"/>
        <v>1</v>
      </c>
      <c r="BP294" s="19" t="b">
        <f t="shared" si="64"/>
        <v>1</v>
      </c>
      <c r="BQ294" s="19" t="b">
        <f t="shared" si="65"/>
        <v>0</v>
      </c>
      <c r="BR294" s="19" t="b">
        <f t="shared" si="66"/>
        <v>0</v>
      </c>
      <c r="BS294" s="19" t="b">
        <f t="shared" si="67"/>
        <v>0</v>
      </c>
    </row>
    <row r="295" spans="2:71" ht="15.75" x14ac:dyDescent="0.2">
      <c r="B295" s="248" t="str">
        <f>IF(Calc!$F$26=0,"",IF(OR($C295&gt;Calc!$B$24,MOD($C295-1,Calc!$F$26)&gt;0),"",QUOTIENT($C295-1,Calc!$F$26)+1))</f>
        <v/>
      </c>
      <c r="C295" s="244">
        <v>287</v>
      </c>
      <c r="D295" s="142">
        <f>IF(Planning!$T293="","",Planning!$T293)</f>
        <v>46144</v>
      </c>
      <c r="E295" s="143">
        <f>IF(Planning!$U293="","",Planning!$U293)</f>
        <v>0.64583333333333337</v>
      </c>
      <c r="F295" s="161" t="str">
        <f>Planning!$Q293</f>
        <v>FC St. Pauli</v>
      </c>
      <c r="G295" s="162" t="s">
        <v>4</v>
      </c>
      <c r="H295" s="161" t="str">
        <f>Planning!$S293</f>
        <v>SC Freiburg</v>
      </c>
      <c r="I295" s="163"/>
      <c r="J295" s="315" t="str">
        <f>Language!$E$90</f>
        <v xml:space="preserve"> - </v>
      </c>
      <c r="K295" s="318"/>
      <c r="L295" s="163"/>
      <c r="M295" s="360" t="str">
        <f>Language!$E$90</f>
        <v xml:space="preserve"> - </v>
      </c>
      <c r="N295" s="318"/>
      <c r="O295" s="163"/>
      <c r="P295" s="360" t="str">
        <f>Language!$E$90</f>
        <v xml:space="preserve"> - </v>
      </c>
      <c r="Q295" s="318"/>
      <c r="R295" s="354" t="str">
        <f t="shared" si="59"/>
        <v/>
      </c>
      <c r="S295" s="357" t="str">
        <f>Language!$E$90</f>
        <v xml:space="preserve"> - </v>
      </c>
      <c r="T295" s="321" t="str">
        <f t="shared" si="60"/>
        <v/>
      </c>
      <c r="U295" s="294"/>
      <c r="V295" s="295"/>
      <c r="BM295" s="193" t="b">
        <f t="shared" si="61"/>
        <v>1</v>
      </c>
      <c r="BN295" s="19" t="b">
        <f t="shared" si="62"/>
        <v>1</v>
      </c>
      <c r="BO295" s="19" t="b">
        <f t="shared" si="63"/>
        <v>1</v>
      </c>
      <c r="BP295" s="19" t="b">
        <f t="shared" si="64"/>
        <v>1</v>
      </c>
      <c r="BQ295" s="19" t="b">
        <f t="shared" si="65"/>
        <v>0</v>
      </c>
      <c r="BR295" s="19" t="b">
        <f t="shared" si="66"/>
        <v>0</v>
      </c>
      <c r="BS295" s="19" t="b">
        <f t="shared" si="67"/>
        <v>0</v>
      </c>
    </row>
    <row r="296" spans="2:71" ht="15.75" x14ac:dyDescent="0.2">
      <c r="B296" s="248" t="str">
        <f>IF(Calc!$F$26=0,"",IF(OR($C296&gt;Calc!$B$24,MOD($C296-1,Calc!$F$26)&gt;0),"",QUOTIENT($C296-1,Calc!$F$26)+1))</f>
        <v/>
      </c>
      <c r="C296" s="244">
        <v>288</v>
      </c>
      <c r="D296" s="142">
        <f>IF(Planning!$T294="","",Planning!$T294)</f>
        <v>46144</v>
      </c>
      <c r="E296" s="143">
        <f>IF(Planning!$U294="","",Planning!$U294)</f>
        <v>0.64583333333333337</v>
      </c>
      <c r="F296" s="161" t="str">
        <f>Planning!$Q294</f>
        <v>RB Leipzig</v>
      </c>
      <c r="G296" s="162" t="s">
        <v>4</v>
      </c>
      <c r="H296" s="161" t="str">
        <f>Planning!$S294</f>
        <v>Hamburger SV</v>
      </c>
      <c r="I296" s="163"/>
      <c r="J296" s="315" t="str">
        <f>Language!$E$90</f>
        <v xml:space="preserve"> - </v>
      </c>
      <c r="K296" s="318"/>
      <c r="L296" s="163"/>
      <c r="M296" s="360" t="str">
        <f>Language!$E$90</f>
        <v xml:space="preserve"> - </v>
      </c>
      <c r="N296" s="318"/>
      <c r="O296" s="163"/>
      <c r="P296" s="360" t="str">
        <f>Language!$E$90</f>
        <v xml:space="preserve"> - </v>
      </c>
      <c r="Q296" s="318"/>
      <c r="R296" s="354" t="str">
        <f t="shared" si="59"/>
        <v/>
      </c>
      <c r="S296" s="357" t="str">
        <f>Language!$E$90</f>
        <v xml:space="preserve"> - </v>
      </c>
      <c r="T296" s="321" t="str">
        <f t="shared" si="60"/>
        <v/>
      </c>
      <c r="U296" s="294"/>
      <c r="V296" s="295"/>
      <c r="BM296" s="193" t="b">
        <f t="shared" si="61"/>
        <v>1</v>
      </c>
      <c r="BN296" s="19" t="b">
        <f t="shared" si="62"/>
        <v>1</v>
      </c>
      <c r="BO296" s="19" t="b">
        <f t="shared" si="63"/>
        <v>1</v>
      </c>
      <c r="BP296" s="19" t="b">
        <f t="shared" si="64"/>
        <v>1</v>
      </c>
      <c r="BQ296" s="19" t="b">
        <f t="shared" si="65"/>
        <v>0</v>
      </c>
      <c r="BR296" s="19" t="b">
        <f t="shared" si="66"/>
        <v>0</v>
      </c>
      <c r="BS296" s="19" t="b">
        <f t="shared" si="67"/>
        <v>0</v>
      </c>
    </row>
    <row r="297" spans="2:71" ht="15.75" x14ac:dyDescent="0.2">
      <c r="B297" s="248">
        <f>IF(Calc!$F$26=0,"",IF(OR($C297&gt;Calc!$B$24,MOD($C297-1,Calc!$F$26)&gt;0),"",QUOTIENT($C297-1,Calc!$F$26)+1))</f>
        <v>33</v>
      </c>
      <c r="C297" s="244">
        <v>289</v>
      </c>
      <c r="D297" s="142">
        <f>IF(Planning!$T295="","",Planning!$T295)</f>
        <v>46151</v>
      </c>
      <c r="E297" s="143">
        <f>IF(Planning!$U295="","",Planning!$U295)</f>
        <v>0.64583333333333337</v>
      </c>
      <c r="F297" s="161" t="str">
        <f>Planning!$Q295</f>
        <v>1. FC Heidenheim 1846</v>
      </c>
      <c r="G297" s="162" t="s">
        <v>4</v>
      </c>
      <c r="H297" s="161" t="str">
        <f>Planning!$S295</f>
        <v>1. FC Union Berlin</v>
      </c>
      <c r="I297" s="163"/>
      <c r="J297" s="315" t="str">
        <f>Language!$E$90</f>
        <v xml:space="preserve"> - </v>
      </c>
      <c r="K297" s="318"/>
      <c r="L297" s="163"/>
      <c r="M297" s="360" t="str">
        <f>Language!$E$90</f>
        <v xml:space="preserve"> - </v>
      </c>
      <c r="N297" s="318"/>
      <c r="O297" s="163"/>
      <c r="P297" s="360" t="str">
        <f>Language!$E$90</f>
        <v xml:space="preserve"> - </v>
      </c>
      <c r="Q297" s="318"/>
      <c r="R297" s="354" t="str">
        <f t="shared" si="59"/>
        <v/>
      </c>
      <c r="S297" s="357" t="str">
        <f>Language!$E$90</f>
        <v xml:space="preserve"> - </v>
      </c>
      <c r="T297" s="321" t="str">
        <f t="shared" si="60"/>
        <v/>
      </c>
      <c r="U297" s="294"/>
      <c r="V297" s="295"/>
      <c r="BM297" s="193" t="b">
        <f t="shared" si="61"/>
        <v>1</v>
      </c>
      <c r="BN297" s="19" t="b">
        <f t="shared" si="62"/>
        <v>1</v>
      </c>
      <c r="BO297" s="19" t="b">
        <f t="shared" si="63"/>
        <v>1</v>
      </c>
      <c r="BP297" s="19" t="b">
        <f t="shared" si="64"/>
        <v>1</v>
      </c>
      <c r="BQ297" s="19" t="b">
        <f t="shared" si="65"/>
        <v>0</v>
      </c>
      <c r="BR297" s="19" t="b">
        <f t="shared" si="66"/>
        <v>0</v>
      </c>
      <c r="BS297" s="19" t="b">
        <f t="shared" si="67"/>
        <v>0</v>
      </c>
    </row>
    <row r="298" spans="2:71" ht="15.75" x14ac:dyDescent="0.2">
      <c r="B298" s="248" t="str">
        <f>IF(Calc!$F$26=0,"",IF(OR($C298&gt;Calc!$B$24,MOD($C298-1,Calc!$F$26)&gt;0),"",QUOTIENT($C298-1,Calc!$F$26)+1))</f>
        <v/>
      </c>
      <c r="C298" s="244">
        <v>290</v>
      </c>
      <c r="D298" s="142">
        <f>IF(Planning!$T296="","",Planning!$T296)</f>
        <v>46151</v>
      </c>
      <c r="E298" s="143">
        <f>IF(Planning!$U296="","",Planning!$U296)</f>
        <v>0.64583333333333337</v>
      </c>
      <c r="F298" s="161" t="str">
        <f>Planning!$Q296</f>
        <v>1. FSV Mainz 05</v>
      </c>
      <c r="G298" s="162" t="s">
        <v>4</v>
      </c>
      <c r="H298" s="161" t="str">
        <f>Planning!$S296</f>
        <v>1. FC Köln</v>
      </c>
      <c r="I298" s="163"/>
      <c r="J298" s="315" t="str">
        <f>Language!$E$90</f>
        <v xml:space="preserve"> - </v>
      </c>
      <c r="K298" s="318"/>
      <c r="L298" s="163"/>
      <c r="M298" s="360" t="str">
        <f>Language!$E$90</f>
        <v xml:space="preserve"> - </v>
      </c>
      <c r="N298" s="318"/>
      <c r="O298" s="163"/>
      <c r="P298" s="360" t="str">
        <f>Language!$E$90</f>
        <v xml:space="preserve"> - </v>
      </c>
      <c r="Q298" s="318"/>
      <c r="R298" s="354" t="str">
        <f t="shared" si="59"/>
        <v/>
      </c>
      <c r="S298" s="357" t="str">
        <f>Language!$E$90</f>
        <v xml:space="preserve"> - </v>
      </c>
      <c r="T298" s="321" t="str">
        <f t="shared" si="60"/>
        <v/>
      </c>
      <c r="U298" s="294"/>
      <c r="V298" s="295"/>
      <c r="BM298" s="193" t="b">
        <f t="shared" si="61"/>
        <v>1</v>
      </c>
      <c r="BN298" s="19" t="b">
        <f t="shared" si="62"/>
        <v>1</v>
      </c>
      <c r="BO298" s="19" t="b">
        <f t="shared" si="63"/>
        <v>1</v>
      </c>
      <c r="BP298" s="19" t="b">
        <f t="shared" si="64"/>
        <v>1</v>
      </c>
      <c r="BQ298" s="19" t="b">
        <f t="shared" si="65"/>
        <v>0</v>
      </c>
      <c r="BR298" s="19" t="b">
        <f t="shared" si="66"/>
        <v>0</v>
      </c>
      <c r="BS298" s="19" t="b">
        <f t="shared" si="67"/>
        <v>0</v>
      </c>
    </row>
    <row r="299" spans="2:71" ht="15.75" x14ac:dyDescent="0.2">
      <c r="B299" s="248" t="str">
        <f>IF(Calc!$F$26=0,"",IF(OR($C299&gt;Calc!$B$24,MOD($C299-1,Calc!$F$26)&gt;0),"",QUOTIENT($C299-1,Calc!$F$26)+1))</f>
        <v/>
      </c>
      <c r="C299" s="244">
        <v>291</v>
      </c>
      <c r="D299" s="142">
        <f>IF(Planning!$T297="","",Planning!$T297)</f>
        <v>46151</v>
      </c>
      <c r="E299" s="143">
        <f>IF(Planning!$U297="","",Planning!$U297)</f>
        <v>0.64583333333333337</v>
      </c>
      <c r="F299" s="161" t="str">
        <f>Planning!$Q297</f>
        <v>VfL Wolfsburg</v>
      </c>
      <c r="G299" s="162" t="s">
        <v>4</v>
      </c>
      <c r="H299" s="161" t="str">
        <f>Planning!$S297</f>
        <v>Bayer 04 Leverkusen</v>
      </c>
      <c r="I299" s="163"/>
      <c r="J299" s="315" t="str">
        <f>Language!$E$90</f>
        <v xml:space="preserve"> - </v>
      </c>
      <c r="K299" s="318"/>
      <c r="L299" s="163"/>
      <c r="M299" s="360" t="str">
        <f>Language!$E$90</f>
        <v xml:space="preserve"> - </v>
      </c>
      <c r="N299" s="318"/>
      <c r="O299" s="163"/>
      <c r="P299" s="360" t="str">
        <f>Language!$E$90</f>
        <v xml:space="preserve"> - </v>
      </c>
      <c r="Q299" s="318"/>
      <c r="R299" s="354" t="str">
        <f t="shared" si="59"/>
        <v/>
      </c>
      <c r="S299" s="357" t="str">
        <f>Language!$E$90</f>
        <v xml:space="preserve"> - </v>
      </c>
      <c r="T299" s="321" t="str">
        <f t="shared" si="60"/>
        <v/>
      </c>
      <c r="U299" s="294"/>
      <c r="V299" s="295"/>
      <c r="BM299" s="193" t="b">
        <f t="shared" si="61"/>
        <v>1</v>
      </c>
      <c r="BN299" s="19" t="b">
        <f t="shared" si="62"/>
        <v>1</v>
      </c>
      <c r="BO299" s="19" t="b">
        <f t="shared" si="63"/>
        <v>1</v>
      </c>
      <c r="BP299" s="19" t="b">
        <f t="shared" si="64"/>
        <v>1</v>
      </c>
      <c r="BQ299" s="19" t="b">
        <f t="shared" si="65"/>
        <v>0</v>
      </c>
      <c r="BR299" s="19" t="b">
        <f t="shared" si="66"/>
        <v>0</v>
      </c>
      <c r="BS299" s="19" t="b">
        <f t="shared" si="67"/>
        <v>0</v>
      </c>
    </row>
    <row r="300" spans="2:71" ht="15.75" x14ac:dyDescent="0.2">
      <c r="B300" s="248" t="str">
        <f>IF(Calc!$F$26=0,"",IF(OR($C300&gt;Calc!$B$24,MOD($C300-1,Calc!$F$26)&gt;0),"",QUOTIENT($C300-1,Calc!$F$26)+1))</f>
        <v/>
      </c>
      <c r="C300" s="244">
        <v>292</v>
      </c>
      <c r="D300" s="142">
        <f>IF(Planning!$T298="","",Planning!$T298)</f>
        <v>46151</v>
      </c>
      <c r="E300" s="143">
        <f>IF(Planning!$U298="","",Planning!$U298)</f>
        <v>0.64583333333333337</v>
      </c>
      <c r="F300" s="161" t="str">
        <f>Planning!$Q298</f>
        <v>Borussia Dortmund</v>
      </c>
      <c r="G300" s="162" t="s">
        <v>4</v>
      </c>
      <c r="H300" s="161" t="str">
        <f>Planning!$S298</f>
        <v>VfB Stuttgart</v>
      </c>
      <c r="I300" s="163"/>
      <c r="J300" s="315" t="str">
        <f>Language!$E$90</f>
        <v xml:space="preserve"> - </v>
      </c>
      <c r="K300" s="318"/>
      <c r="L300" s="163"/>
      <c r="M300" s="360" t="str">
        <f>Language!$E$90</f>
        <v xml:space="preserve"> - </v>
      </c>
      <c r="N300" s="318"/>
      <c r="O300" s="163"/>
      <c r="P300" s="360" t="str">
        <f>Language!$E$90</f>
        <v xml:space="preserve"> - </v>
      </c>
      <c r="Q300" s="318"/>
      <c r="R300" s="354" t="str">
        <f t="shared" si="59"/>
        <v/>
      </c>
      <c r="S300" s="357" t="str">
        <f>Language!$E$90</f>
        <v xml:space="preserve"> - </v>
      </c>
      <c r="T300" s="321" t="str">
        <f t="shared" si="60"/>
        <v/>
      </c>
      <c r="U300" s="294"/>
      <c r="V300" s="295"/>
      <c r="BM300" s="193" t="b">
        <f t="shared" si="61"/>
        <v>1</v>
      </c>
      <c r="BN300" s="19" t="b">
        <f t="shared" si="62"/>
        <v>1</v>
      </c>
      <c r="BO300" s="19" t="b">
        <f t="shared" si="63"/>
        <v>1</v>
      </c>
      <c r="BP300" s="19" t="b">
        <f t="shared" si="64"/>
        <v>1</v>
      </c>
      <c r="BQ300" s="19" t="b">
        <f t="shared" si="65"/>
        <v>0</v>
      </c>
      <c r="BR300" s="19" t="b">
        <f t="shared" si="66"/>
        <v>0</v>
      </c>
      <c r="BS300" s="19" t="b">
        <f t="shared" si="67"/>
        <v>0</v>
      </c>
    </row>
    <row r="301" spans="2:71" ht="15.75" x14ac:dyDescent="0.2">
      <c r="B301" s="248" t="str">
        <f>IF(Calc!$F$26=0,"",IF(OR($C301&gt;Calc!$B$24,MOD($C301-1,Calc!$F$26)&gt;0),"",QUOTIENT($C301-1,Calc!$F$26)+1))</f>
        <v/>
      </c>
      <c r="C301" s="244">
        <v>293</v>
      </c>
      <c r="D301" s="142">
        <f>IF(Planning!$T299="","",Planning!$T299)</f>
        <v>46151</v>
      </c>
      <c r="E301" s="143">
        <f>IF(Planning!$U299="","",Planning!$U299)</f>
        <v>0.64583333333333337</v>
      </c>
      <c r="F301" s="161" t="str">
        <f>Planning!$Q299</f>
        <v>TSG Hoffenheim</v>
      </c>
      <c r="G301" s="162" t="s">
        <v>4</v>
      </c>
      <c r="H301" s="161" t="str">
        <f>Planning!$S299</f>
        <v>Borussia Mönchengladbach</v>
      </c>
      <c r="I301" s="163"/>
      <c r="J301" s="315" t="str">
        <f>Language!$E$90</f>
        <v xml:space="preserve"> - </v>
      </c>
      <c r="K301" s="318"/>
      <c r="L301" s="163"/>
      <c r="M301" s="360" t="str">
        <f>Language!$E$90</f>
        <v xml:space="preserve"> - </v>
      </c>
      <c r="N301" s="318"/>
      <c r="O301" s="163"/>
      <c r="P301" s="360" t="str">
        <f>Language!$E$90</f>
        <v xml:space="preserve"> - </v>
      </c>
      <c r="Q301" s="318"/>
      <c r="R301" s="354" t="str">
        <f t="shared" si="59"/>
        <v/>
      </c>
      <c r="S301" s="357" t="str">
        <f>Language!$E$90</f>
        <v xml:space="preserve"> - </v>
      </c>
      <c r="T301" s="321" t="str">
        <f t="shared" si="60"/>
        <v/>
      </c>
      <c r="U301" s="294"/>
      <c r="V301" s="295"/>
      <c r="BM301" s="193" t="b">
        <f t="shared" si="61"/>
        <v>1</v>
      </c>
      <c r="BN301" s="19" t="b">
        <f t="shared" si="62"/>
        <v>1</v>
      </c>
      <c r="BO301" s="19" t="b">
        <f t="shared" si="63"/>
        <v>1</v>
      </c>
      <c r="BP301" s="19" t="b">
        <f t="shared" si="64"/>
        <v>1</v>
      </c>
      <c r="BQ301" s="19" t="b">
        <f t="shared" si="65"/>
        <v>0</v>
      </c>
      <c r="BR301" s="19" t="b">
        <f t="shared" si="66"/>
        <v>0</v>
      </c>
      <c r="BS301" s="19" t="b">
        <f t="shared" si="67"/>
        <v>0</v>
      </c>
    </row>
    <row r="302" spans="2:71" ht="15.75" x14ac:dyDescent="0.2">
      <c r="B302" s="248" t="str">
        <f>IF(Calc!$F$26=0,"",IF(OR($C302&gt;Calc!$B$24,MOD($C302-1,Calc!$F$26)&gt;0),"",QUOTIENT($C302-1,Calc!$F$26)+1))</f>
        <v/>
      </c>
      <c r="C302" s="244">
        <v>294</v>
      </c>
      <c r="D302" s="142">
        <f>IF(Planning!$T300="","",Planning!$T300)</f>
        <v>46151</v>
      </c>
      <c r="E302" s="143">
        <f>IF(Planning!$U300="","",Planning!$U300)</f>
        <v>0.64583333333333337</v>
      </c>
      <c r="F302" s="161" t="str">
        <f>Planning!$Q300</f>
        <v>Eintracht Frankfurt</v>
      </c>
      <c r="G302" s="162" t="s">
        <v>4</v>
      </c>
      <c r="H302" s="161" t="str">
        <f>Planning!$S300</f>
        <v>SV Werder Bremen</v>
      </c>
      <c r="I302" s="163"/>
      <c r="J302" s="315" t="str">
        <f>Language!$E$90</f>
        <v xml:space="preserve"> - </v>
      </c>
      <c r="K302" s="318"/>
      <c r="L302" s="163"/>
      <c r="M302" s="360" t="str">
        <f>Language!$E$90</f>
        <v xml:space="preserve"> - </v>
      </c>
      <c r="N302" s="318"/>
      <c r="O302" s="163"/>
      <c r="P302" s="360" t="str">
        <f>Language!$E$90</f>
        <v xml:space="preserve"> - </v>
      </c>
      <c r="Q302" s="318"/>
      <c r="R302" s="354" t="str">
        <f t="shared" si="59"/>
        <v/>
      </c>
      <c r="S302" s="357" t="str">
        <f>Language!$E$90</f>
        <v xml:space="preserve"> - </v>
      </c>
      <c r="T302" s="321" t="str">
        <f t="shared" si="60"/>
        <v/>
      </c>
      <c r="U302" s="294"/>
      <c r="V302" s="295"/>
      <c r="BM302" s="193" t="b">
        <f t="shared" si="61"/>
        <v>1</v>
      </c>
      <c r="BN302" s="19" t="b">
        <f t="shared" si="62"/>
        <v>1</v>
      </c>
      <c r="BO302" s="19" t="b">
        <f t="shared" si="63"/>
        <v>1</v>
      </c>
      <c r="BP302" s="19" t="b">
        <f t="shared" si="64"/>
        <v>1</v>
      </c>
      <c r="BQ302" s="19" t="b">
        <f t="shared" si="65"/>
        <v>0</v>
      </c>
      <c r="BR302" s="19" t="b">
        <f t="shared" si="66"/>
        <v>0</v>
      </c>
      <c r="BS302" s="19" t="b">
        <f t="shared" si="67"/>
        <v>0</v>
      </c>
    </row>
    <row r="303" spans="2:71" ht="15.75" x14ac:dyDescent="0.2">
      <c r="B303" s="248" t="str">
        <f>IF(Calc!$F$26=0,"",IF(OR($C303&gt;Calc!$B$24,MOD($C303-1,Calc!$F$26)&gt;0),"",QUOTIENT($C303-1,Calc!$F$26)+1))</f>
        <v/>
      </c>
      <c r="C303" s="244">
        <v>295</v>
      </c>
      <c r="D303" s="142">
        <f>IF(Planning!$T301="","",Planning!$T301)</f>
        <v>46151</v>
      </c>
      <c r="E303" s="143">
        <f>IF(Planning!$U301="","",Planning!$U301)</f>
        <v>0.64583333333333337</v>
      </c>
      <c r="F303" s="161" t="str">
        <f>Planning!$Q301</f>
        <v>SC Freiburg</v>
      </c>
      <c r="G303" s="162" t="s">
        <v>4</v>
      </c>
      <c r="H303" s="161" t="str">
        <f>Planning!$S301</f>
        <v>FC Augsburg</v>
      </c>
      <c r="I303" s="163"/>
      <c r="J303" s="315" t="str">
        <f>Language!$E$90</f>
        <v xml:space="preserve"> - </v>
      </c>
      <c r="K303" s="318"/>
      <c r="L303" s="163"/>
      <c r="M303" s="360" t="str">
        <f>Language!$E$90</f>
        <v xml:space="preserve"> - </v>
      </c>
      <c r="N303" s="318"/>
      <c r="O303" s="163"/>
      <c r="P303" s="360" t="str">
        <f>Language!$E$90</f>
        <v xml:space="preserve"> - </v>
      </c>
      <c r="Q303" s="318"/>
      <c r="R303" s="354" t="str">
        <f t="shared" si="59"/>
        <v/>
      </c>
      <c r="S303" s="357" t="str">
        <f>Language!$E$90</f>
        <v xml:space="preserve"> - </v>
      </c>
      <c r="T303" s="321" t="str">
        <f t="shared" si="60"/>
        <v/>
      </c>
      <c r="U303" s="294"/>
      <c r="V303" s="295"/>
      <c r="BM303" s="193" t="b">
        <f t="shared" si="61"/>
        <v>1</v>
      </c>
      <c r="BN303" s="19" t="b">
        <f t="shared" si="62"/>
        <v>1</v>
      </c>
      <c r="BO303" s="19" t="b">
        <f t="shared" si="63"/>
        <v>1</v>
      </c>
      <c r="BP303" s="19" t="b">
        <f t="shared" si="64"/>
        <v>1</v>
      </c>
      <c r="BQ303" s="19" t="b">
        <f t="shared" si="65"/>
        <v>0</v>
      </c>
      <c r="BR303" s="19" t="b">
        <f t="shared" si="66"/>
        <v>0</v>
      </c>
      <c r="BS303" s="19" t="b">
        <f t="shared" si="67"/>
        <v>0</v>
      </c>
    </row>
    <row r="304" spans="2:71" ht="15.75" x14ac:dyDescent="0.2">
      <c r="B304" s="248" t="str">
        <f>IF(Calc!$F$26=0,"",IF(OR($C304&gt;Calc!$B$24,MOD($C304-1,Calc!$F$26)&gt;0),"",QUOTIENT($C304-1,Calc!$F$26)+1))</f>
        <v/>
      </c>
      <c r="C304" s="244">
        <v>296</v>
      </c>
      <c r="D304" s="142">
        <f>IF(Planning!$T302="","",Planning!$T302)</f>
        <v>46151</v>
      </c>
      <c r="E304" s="143">
        <f>IF(Planning!$U302="","",Planning!$U302)</f>
        <v>0.64583333333333337</v>
      </c>
      <c r="F304" s="161" t="str">
        <f>Planning!$Q302</f>
        <v>FC Bayern München</v>
      </c>
      <c r="G304" s="162" t="s">
        <v>4</v>
      </c>
      <c r="H304" s="161" t="str">
        <f>Planning!$S302</f>
        <v>RB Leipzig</v>
      </c>
      <c r="I304" s="163"/>
      <c r="J304" s="315" t="str">
        <f>Language!$E$90</f>
        <v xml:space="preserve"> - </v>
      </c>
      <c r="K304" s="318"/>
      <c r="L304" s="163"/>
      <c r="M304" s="360" t="str">
        <f>Language!$E$90</f>
        <v xml:space="preserve"> - </v>
      </c>
      <c r="N304" s="318"/>
      <c r="O304" s="163"/>
      <c r="P304" s="360" t="str">
        <f>Language!$E$90</f>
        <v xml:space="preserve"> - </v>
      </c>
      <c r="Q304" s="318"/>
      <c r="R304" s="354" t="str">
        <f t="shared" si="59"/>
        <v/>
      </c>
      <c r="S304" s="357" t="str">
        <f>Language!$E$90</f>
        <v xml:space="preserve"> - </v>
      </c>
      <c r="T304" s="321" t="str">
        <f t="shared" si="60"/>
        <v/>
      </c>
      <c r="U304" s="294"/>
      <c r="V304" s="295"/>
      <c r="BM304" s="193" t="b">
        <f t="shared" si="61"/>
        <v>1</v>
      </c>
      <c r="BN304" s="19" t="b">
        <f t="shared" si="62"/>
        <v>1</v>
      </c>
      <c r="BO304" s="19" t="b">
        <f t="shared" si="63"/>
        <v>1</v>
      </c>
      <c r="BP304" s="19" t="b">
        <f t="shared" si="64"/>
        <v>1</v>
      </c>
      <c r="BQ304" s="19" t="b">
        <f t="shared" si="65"/>
        <v>0</v>
      </c>
      <c r="BR304" s="19" t="b">
        <f t="shared" si="66"/>
        <v>0</v>
      </c>
      <c r="BS304" s="19" t="b">
        <f t="shared" si="67"/>
        <v>0</v>
      </c>
    </row>
    <row r="305" spans="2:71" ht="15.75" x14ac:dyDescent="0.2">
      <c r="B305" s="248" t="str">
        <f>IF(Calc!$F$26=0,"",IF(OR($C305&gt;Calc!$B$24,MOD($C305-1,Calc!$F$26)&gt;0),"",QUOTIENT($C305-1,Calc!$F$26)+1))</f>
        <v/>
      </c>
      <c r="C305" s="244">
        <v>297</v>
      </c>
      <c r="D305" s="142">
        <f>IF(Planning!$T303="","",Planning!$T303)</f>
        <v>46151</v>
      </c>
      <c r="E305" s="143">
        <f>IF(Planning!$U303="","",Planning!$U303)</f>
        <v>0.64583333333333337</v>
      </c>
      <c r="F305" s="161" t="str">
        <f>Planning!$Q303</f>
        <v>Hamburger SV</v>
      </c>
      <c r="G305" s="162" t="s">
        <v>4</v>
      </c>
      <c r="H305" s="161" t="str">
        <f>Planning!$S303</f>
        <v>FC St. Pauli</v>
      </c>
      <c r="I305" s="163"/>
      <c r="J305" s="315" t="str">
        <f>Language!$E$90</f>
        <v xml:space="preserve"> - </v>
      </c>
      <c r="K305" s="318"/>
      <c r="L305" s="163"/>
      <c r="M305" s="360" t="str">
        <f>Language!$E$90</f>
        <v xml:space="preserve"> - </v>
      </c>
      <c r="N305" s="318"/>
      <c r="O305" s="163"/>
      <c r="P305" s="360" t="str">
        <f>Language!$E$90</f>
        <v xml:space="preserve"> - </v>
      </c>
      <c r="Q305" s="318"/>
      <c r="R305" s="354" t="str">
        <f t="shared" si="59"/>
        <v/>
      </c>
      <c r="S305" s="357" t="str">
        <f>Language!$E$90</f>
        <v xml:space="preserve"> - </v>
      </c>
      <c r="T305" s="321" t="str">
        <f t="shared" si="60"/>
        <v/>
      </c>
      <c r="U305" s="294"/>
      <c r="V305" s="295"/>
      <c r="BM305" s="193" t="b">
        <f t="shared" si="61"/>
        <v>1</v>
      </c>
      <c r="BN305" s="19" t="b">
        <f t="shared" si="62"/>
        <v>1</v>
      </c>
      <c r="BO305" s="19" t="b">
        <f t="shared" si="63"/>
        <v>1</v>
      </c>
      <c r="BP305" s="19" t="b">
        <f t="shared" si="64"/>
        <v>1</v>
      </c>
      <c r="BQ305" s="19" t="b">
        <f t="shared" si="65"/>
        <v>0</v>
      </c>
      <c r="BR305" s="19" t="b">
        <f t="shared" si="66"/>
        <v>0</v>
      </c>
      <c r="BS305" s="19" t="b">
        <f t="shared" si="67"/>
        <v>0</v>
      </c>
    </row>
    <row r="306" spans="2:71" ht="15.75" x14ac:dyDescent="0.2">
      <c r="B306" s="248">
        <f>IF(Calc!$F$26=0,"",IF(OR($C306&gt;Calc!$B$24,MOD($C306-1,Calc!$F$26)&gt;0),"",QUOTIENT($C306-1,Calc!$F$26)+1))</f>
        <v>34</v>
      </c>
      <c r="C306" s="244">
        <v>298</v>
      </c>
      <c r="D306" s="142">
        <f>IF(Planning!$T304="","",Planning!$T304)</f>
        <v>46158</v>
      </c>
      <c r="E306" s="143">
        <f>IF(Planning!$U304="","",Planning!$U304)</f>
        <v>0.64583333333333337</v>
      </c>
      <c r="F306" s="161" t="str">
        <f>Planning!$Q304</f>
        <v>1. FC Köln</v>
      </c>
      <c r="G306" s="162" t="s">
        <v>4</v>
      </c>
      <c r="H306" s="161" t="str">
        <f>Planning!$S304</f>
        <v>1. FC Heidenheim 1846</v>
      </c>
      <c r="I306" s="163"/>
      <c r="J306" s="315" t="str">
        <f>Language!$E$90</f>
        <v xml:space="preserve"> - </v>
      </c>
      <c r="K306" s="318"/>
      <c r="L306" s="163"/>
      <c r="M306" s="360" t="str">
        <f>Language!$E$90</f>
        <v xml:space="preserve"> - </v>
      </c>
      <c r="N306" s="318"/>
      <c r="O306" s="163"/>
      <c r="P306" s="360" t="str">
        <f>Language!$E$90</f>
        <v xml:space="preserve"> - </v>
      </c>
      <c r="Q306" s="318"/>
      <c r="R306" s="354" t="str">
        <f t="shared" si="59"/>
        <v/>
      </c>
      <c r="S306" s="357" t="str">
        <f>Language!$E$90</f>
        <v xml:space="preserve"> - </v>
      </c>
      <c r="T306" s="321" t="str">
        <f t="shared" si="60"/>
        <v/>
      </c>
      <c r="U306" s="294"/>
      <c r="V306" s="295"/>
      <c r="BM306" s="193" t="b">
        <f t="shared" si="61"/>
        <v>1</v>
      </c>
      <c r="BN306" s="19" t="b">
        <f t="shared" si="62"/>
        <v>1</v>
      </c>
      <c r="BO306" s="19" t="b">
        <f t="shared" si="63"/>
        <v>1</v>
      </c>
      <c r="BP306" s="19" t="b">
        <f t="shared" si="64"/>
        <v>1</v>
      </c>
      <c r="BQ306" s="19" t="b">
        <f t="shared" si="65"/>
        <v>0</v>
      </c>
      <c r="BR306" s="19" t="b">
        <f t="shared" si="66"/>
        <v>0</v>
      </c>
      <c r="BS306" s="19" t="b">
        <f t="shared" si="67"/>
        <v>0</v>
      </c>
    </row>
    <row r="307" spans="2:71" ht="15.75" x14ac:dyDescent="0.2">
      <c r="B307" s="248" t="str">
        <f>IF(Calc!$F$26=0,"",IF(OR($C307&gt;Calc!$B$24,MOD($C307-1,Calc!$F$26)&gt;0),"",QUOTIENT($C307-1,Calc!$F$26)+1))</f>
        <v/>
      </c>
      <c r="C307" s="244">
        <v>299</v>
      </c>
      <c r="D307" s="142">
        <f>IF(Planning!$T305="","",Planning!$T305)</f>
        <v>46158</v>
      </c>
      <c r="E307" s="143">
        <f>IF(Planning!$U305="","",Planning!$U305)</f>
        <v>0.64583333333333337</v>
      </c>
      <c r="F307" s="161" t="str">
        <f>Planning!$Q305</f>
        <v>1. FC Union Berlin</v>
      </c>
      <c r="G307" s="162" t="s">
        <v>4</v>
      </c>
      <c r="H307" s="161" t="str">
        <f>Planning!$S305</f>
        <v>VfL Wolfsburg</v>
      </c>
      <c r="I307" s="163"/>
      <c r="J307" s="315" t="str">
        <f>Language!$E$90</f>
        <v xml:space="preserve"> - </v>
      </c>
      <c r="K307" s="318"/>
      <c r="L307" s="163"/>
      <c r="M307" s="360" t="str">
        <f>Language!$E$90</f>
        <v xml:space="preserve"> - </v>
      </c>
      <c r="N307" s="318"/>
      <c r="O307" s="163"/>
      <c r="P307" s="360" t="str">
        <f>Language!$E$90</f>
        <v xml:space="preserve"> - </v>
      </c>
      <c r="Q307" s="318"/>
      <c r="R307" s="354" t="str">
        <f t="shared" si="59"/>
        <v/>
      </c>
      <c r="S307" s="357" t="str">
        <f>Language!$E$90</f>
        <v xml:space="preserve"> - </v>
      </c>
      <c r="T307" s="321" t="str">
        <f t="shared" si="60"/>
        <v/>
      </c>
      <c r="U307" s="294"/>
      <c r="V307" s="295"/>
      <c r="BM307" s="193" t="b">
        <f t="shared" si="61"/>
        <v>1</v>
      </c>
      <c r="BN307" s="19" t="b">
        <f t="shared" si="62"/>
        <v>1</v>
      </c>
      <c r="BO307" s="19" t="b">
        <f t="shared" si="63"/>
        <v>1</v>
      </c>
      <c r="BP307" s="19" t="b">
        <f t="shared" si="64"/>
        <v>1</v>
      </c>
      <c r="BQ307" s="19" t="b">
        <f t="shared" si="65"/>
        <v>0</v>
      </c>
      <c r="BR307" s="19" t="b">
        <f t="shared" si="66"/>
        <v>0</v>
      </c>
      <c r="BS307" s="19" t="b">
        <f t="shared" si="67"/>
        <v>0</v>
      </c>
    </row>
    <row r="308" spans="2:71" ht="15.75" x14ac:dyDescent="0.2">
      <c r="B308" s="248" t="str">
        <f>IF(Calc!$F$26=0,"",IF(OR($C308&gt;Calc!$B$24,MOD($C308-1,Calc!$F$26)&gt;0),"",QUOTIENT($C308-1,Calc!$F$26)+1))</f>
        <v/>
      </c>
      <c r="C308" s="244">
        <v>300</v>
      </c>
      <c r="D308" s="142">
        <f>IF(Planning!$T306="","",Planning!$T306)</f>
        <v>46158</v>
      </c>
      <c r="E308" s="143">
        <f>IF(Planning!$U306="","",Planning!$U306)</f>
        <v>0.64583333333333337</v>
      </c>
      <c r="F308" s="161" t="str">
        <f>Planning!$Q306</f>
        <v>VfB Stuttgart</v>
      </c>
      <c r="G308" s="162" t="s">
        <v>4</v>
      </c>
      <c r="H308" s="161" t="str">
        <f>Planning!$S306</f>
        <v>1. FSV Mainz 05</v>
      </c>
      <c r="I308" s="163"/>
      <c r="J308" s="315" t="str">
        <f>Language!$E$90</f>
        <v xml:space="preserve"> - </v>
      </c>
      <c r="K308" s="318"/>
      <c r="L308" s="163"/>
      <c r="M308" s="360" t="str">
        <f>Language!$E$90</f>
        <v xml:space="preserve"> - </v>
      </c>
      <c r="N308" s="318"/>
      <c r="O308" s="163"/>
      <c r="P308" s="360" t="str">
        <f>Language!$E$90</f>
        <v xml:space="preserve"> - </v>
      </c>
      <c r="Q308" s="318"/>
      <c r="R308" s="354" t="str">
        <f t="shared" si="59"/>
        <v/>
      </c>
      <c r="S308" s="357" t="str">
        <f>Language!$E$90</f>
        <v xml:space="preserve"> - </v>
      </c>
      <c r="T308" s="321" t="str">
        <f t="shared" si="60"/>
        <v/>
      </c>
      <c r="U308" s="294"/>
      <c r="V308" s="295"/>
      <c r="BM308" s="193" t="b">
        <f t="shared" si="61"/>
        <v>1</v>
      </c>
      <c r="BN308" s="19" t="b">
        <f t="shared" si="62"/>
        <v>1</v>
      </c>
      <c r="BO308" s="19" t="b">
        <f t="shared" si="63"/>
        <v>1</v>
      </c>
      <c r="BP308" s="19" t="b">
        <f t="shared" si="64"/>
        <v>1</v>
      </c>
      <c r="BQ308" s="19" t="b">
        <f t="shared" si="65"/>
        <v>0</v>
      </c>
      <c r="BR308" s="19" t="b">
        <f t="shared" si="66"/>
        <v>0</v>
      </c>
      <c r="BS308" s="19" t="b">
        <f t="shared" si="67"/>
        <v>0</v>
      </c>
    </row>
    <row r="309" spans="2:71" ht="15.75" x14ac:dyDescent="0.2">
      <c r="B309" s="248" t="str">
        <f>IF(Calc!$F$26=0,"",IF(OR($C309&gt;Calc!$B$24,MOD($C309-1,Calc!$F$26)&gt;0),"",QUOTIENT($C309-1,Calc!$F$26)+1))</f>
        <v/>
      </c>
      <c r="C309" s="244">
        <v>301</v>
      </c>
      <c r="D309" s="142">
        <f>IF(Planning!$T307="","",Planning!$T307)</f>
        <v>46158</v>
      </c>
      <c r="E309" s="143">
        <f>IF(Planning!$U307="","",Planning!$U307)</f>
        <v>0.64583333333333337</v>
      </c>
      <c r="F309" s="161" t="str">
        <f>Planning!$Q307</f>
        <v>Bayer 04 Leverkusen</v>
      </c>
      <c r="G309" s="162" t="s">
        <v>4</v>
      </c>
      <c r="H309" s="161" t="str">
        <f>Planning!$S307</f>
        <v>TSG Hoffenheim</v>
      </c>
      <c r="I309" s="163"/>
      <c r="J309" s="315" t="str">
        <f>Language!$E$90</f>
        <v xml:space="preserve"> - </v>
      </c>
      <c r="K309" s="318"/>
      <c r="L309" s="163"/>
      <c r="M309" s="360" t="str">
        <f>Language!$E$90</f>
        <v xml:space="preserve"> - </v>
      </c>
      <c r="N309" s="318"/>
      <c r="O309" s="163"/>
      <c r="P309" s="360" t="str">
        <f>Language!$E$90</f>
        <v xml:space="preserve"> - </v>
      </c>
      <c r="Q309" s="318"/>
      <c r="R309" s="354" t="str">
        <f t="shared" si="59"/>
        <v/>
      </c>
      <c r="S309" s="357" t="str">
        <f>Language!$E$90</f>
        <v xml:space="preserve"> - </v>
      </c>
      <c r="T309" s="321" t="str">
        <f t="shared" si="60"/>
        <v/>
      </c>
      <c r="U309" s="294"/>
      <c r="V309" s="295"/>
      <c r="BM309" s="193" t="b">
        <f t="shared" si="61"/>
        <v>1</v>
      </c>
      <c r="BN309" s="19" t="b">
        <f t="shared" si="62"/>
        <v>1</v>
      </c>
      <c r="BO309" s="19" t="b">
        <f t="shared" si="63"/>
        <v>1</v>
      </c>
      <c r="BP309" s="19" t="b">
        <f t="shared" si="64"/>
        <v>1</v>
      </c>
      <c r="BQ309" s="19" t="b">
        <f t="shared" si="65"/>
        <v>0</v>
      </c>
      <c r="BR309" s="19" t="b">
        <f t="shared" si="66"/>
        <v>0</v>
      </c>
      <c r="BS309" s="19" t="b">
        <f t="shared" si="67"/>
        <v>0</v>
      </c>
    </row>
    <row r="310" spans="2:71" ht="15.75" x14ac:dyDescent="0.2">
      <c r="B310" s="248" t="str">
        <f>IF(Calc!$F$26=0,"",IF(OR($C310&gt;Calc!$B$24,MOD($C310-1,Calc!$F$26)&gt;0),"",QUOTIENT($C310-1,Calc!$F$26)+1))</f>
        <v/>
      </c>
      <c r="C310" s="244">
        <v>302</v>
      </c>
      <c r="D310" s="142">
        <f>IF(Planning!$T308="","",Planning!$T308)</f>
        <v>46158</v>
      </c>
      <c r="E310" s="143">
        <f>IF(Planning!$U308="","",Planning!$U308)</f>
        <v>0.64583333333333337</v>
      </c>
      <c r="F310" s="161" t="str">
        <f>Planning!$Q308</f>
        <v>SV Werder Bremen</v>
      </c>
      <c r="G310" s="162" t="s">
        <v>4</v>
      </c>
      <c r="H310" s="161" t="str">
        <f>Planning!$S308</f>
        <v>Borussia Dortmund</v>
      </c>
      <c r="I310" s="163"/>
      <c r="J310" s="315" t="str">
        <f>Language!$E$90</f>
        <v xml:space="preserve"> - </v>
      </c>
      <c r="K310" s="318"/>
      <c r="L310" s="163"/>
      <c r="M310" s="360" t="str">
        <f>Language!$E$90</f>
        <v xml:space="preserve"> - </v>
      </c>
      <c r="N310" s="318"/>
      <c r="O310" s="163"/>
      <c r="P310" s="360" t="str">
        <f>Language!$E$90</f>
        <v xml:space="preserve"> - </v>
      </c>
      <c r="Q310" s="318"/>
      <c r="R310" s="354" t="str">
        <f t="shared" si="59"/>
        <v/>
      </c>
      <c r="S310" s="357" t="str">
        <f>Language!$E$90</f>
        <v xml:space="preserve"> - </v>
      </c>
      <c r="T310" s="321" t="str">
        <f t="shared" si="60"/>
        <v/>
      </c>
      <c r="U310" s="294"/>
      <c r="V310" s="295"/>
      <c r="BM310" s="193" t="b">
        <f t="shared" si="61"/>
        <v>1</v>
      </c>
      <c r="BN310" s="19" t="b">
        <f t="shared" si="62"/>
        <v>1</v>
      </c>
      <c r="BO310" s="19" t="b">
        <f t="shared" si="63"/>
        <v>1</v>
      </c>
      <c r="BP310" s="19" t="b">
        <f t="shared" si="64"/>
        <v>1</v>
      </c>
      <c r="BQ310" s="19" t="b">
        <f t="shared" si="65"/>
        <v>0</v>
      </c>
      <c r="BR310" s="19" t="b">
        <f t="shared" si="66"/>
        <v>0</v>
      </c>
      <c r="BS310" s="19" t="b">
        <f t="shared" si="67"/>
        <v>0</v>
      </c>
    </row>
    <row r="311" spans="2:71" ht="15.75" x14ac:dyDescent="0.2">
      <c r="B311" s="248" t="str">
        <f>IF(Calc!$F$26=0,"",IF(OR($C311&gt;Calc!$B$24,MOD($C311-1,Calc!$F$26)&gt;0),"",QUOTIENT($C311-1,Calc!$F$26)+1))</f>
        <v/>
      </c>
      <c r="C311" s="244">
        <v>303</v>
      </c>
      <c r="D311" s="142">
        <f>IF(Planning!$T309="","",Planning!$T309)</f>
        <v>46158</v>
      </c>
      <c r="E311" s="143">
        <f>IF(Planning!$U309="","",Planning!$U309)</f>
        <v>0.64583333333333337</v>
      </c>
      <c r="F311" s="161" t="str">
        <f>Planning!$Q309</f>
        <v>Borussia Mönchengladbach</v>
      </c>
      <c r="G311" s="162" t="s">
        <v>4</v>
      </c>
      <c r="H311" s="161" t="str">
        <f>Planning!$S309</f>
        <v>SC Freiburg</v>
      </c>
      <c r="I311" s="163"/>
      <c r="J311" s="315" t="str">
        <f>Language!$E$90</f>
        <v xml:space="preserve"> - </v>
      </c>
      <c r="K311" s="318"/>
      <c r="L311" s="163"/>
      <c r="M311" s="360" t="str">
        <f>Language!$E$90</f>
        <v xml:space="preserve"> - </v>
      </c>
      <c r="N311" s="318"/>
      <c r="O311" s="163"/>
      <c r="P311" s="360" t="str">
        <f>Language!$E$90</f>
        <v xml:space="preserve"> - </v>
      </c>
      <c r="Q311" s="318"/>
      <c r="R311" s="354" t="str">
        <f t="shared" si="59"/>
        <v/>
      </c>
      <c r="S311" s="357" t="str">
        <f>Language!$E$90</f>
        <v xml:space="preserve"> - </v>
      </c>
      <c r="T311" s="321" t="str">
        <f t="shared" si="60"/>
        <v/>
      </c>
      <c r="U311" s="294"/>
      <c r="V311" s="295"/>
      <c r="BM311" s="193" t="b">
        <f t="shared" si="61"/>
        <v>1</v>
      </c>
      <c r="BN311" s="19" t="b">
        <f t="shared" si="62"/>
        <v>1</v>
      </c>
      <c r="BO311" s="19" t="b">
        <f t="shared" si="63"/>
        <v>1</v>
      </c>
      <c r="BP311" s="19" t="b">
        <f t="shared" si="64"/>
        <v>1</v>
      </c>
      <c r="BQ311" s="19" t="b">
        <f t="shared" si="65"/>
        <v>0</v>
      </c>
      <c r="BR311" s="19" t="b">
        <f t="shared" si="66"/>
        <v>0</v>
      </c>
      <c r="BS311" s="19" t="b">
        <f t="shared" si="67"/>
        <v>0</v>
      </c>
    </row>
    <row r="312" spans="2:71" ht="15.75" x14ac:dyDescent="0.2">
      <c r="B312" s="248" t="str">
        <f>IF(Calc!$F$26=0,"",IF(OR($C312&gt;Calc!$B$24,MOD($C312-1,Calc!$F$26)&gt;0),"",QUOTIENT($C312-1,Calc!$F$26)+1))</f>
        <v/>
      </c>
      <c r="C312" s="244">
        <v>304</v>
      </c>
      <c r="D312" s="142">
        <f>IF(Planning!$T310="","",Planning!$T310)</f>
        <v>46158</v>
      </c>
      <c r="E312" s="143">
        <f>IF(Planning!$U310="","",Planning!$U310)</f>
        <v>0.64583333333333337</v>
      </c>
      <c r="F312" s="161" t="str">
        <f>Planning!$Q310</f>
        <v>RB Leipzig</v>
      </c>
      <c r="G312" s="162" t="s">
        <v>4</v>
      </c>
      <c r="H312" s="161" t="str">
        <f>Planning!$S310</f>
        <v>Eintracht Frankfurt</v>
      </c>
      <c r="I312" s="163"/>
      <c r="J312" s="315" t="str">
        <f>Language!$E$90</f>
        <v xml:space="preserve"> - </v>
      </c>
      <c r="K312" s="318"/>
      <c r="L312" s="163"/>
      <c r="M312" s="360" t="str">
        <f>Language!$E$90</f>
        <v xml:space="preserve"> - </v>
      </c>
      <c r="N312" s="318"/>
      <c r="O312" s="163"/>
      <c r="P312" s="360" t="str">
        <f>Language!$E$90</f>
        <v xml:space="preserve"> - </v>
      </c>
      <c r="Q312" s="318"/>
      <c r="R312" s="354" t="str">
        <f t="shared" si="59"/>
        <v/>
      </c>
      <c r="S312" s="357" t="str">
        <f>Language!$E$90</f>
        <v xml:space="preserve"> - </v>
      </c>
      <c r="T312" s="321" t="str">
        <f t="shared" si="60"/>
        <v/>
      </c>
      <c r="U312" s="294"/>
      <c r="V312" s="295"/>
      <c r="BM312" s="193" t="b">
        <f t="shared" si="61"/>
        <v>1</v>
      </c>
      <c r="BN312" s="19" t="b">
        <f t="shared" si="62"/>
        <v>1</v>
      </c>
      <c r="BO312" s="19" t="b">
        <f t="shared" si="63"/>
        <v>1</v>
      </c>
      <c r="BP312" s="19" t="b">
        <f t="shared" si="64"/>
        <v>1</v>
      </c>
      <c r="BQ312" s="19" t="b">
        <f t="shared" si="65"/>
        <v>0</v>
      </c>
      <c r="BR312" s="19" t="b">
        <f t="shared" si="66"/>
        <v>0</v>
      </c>
      <c r="BS312" s="19" t="b">
        <f t="shared" si="67"/>
        <v>0</v>
      </c>
    </row>
    <row r="313" spans="2:71" ht="15.75" x14ac:dyDescent="0.2">
      <c r="B313" s="248" t="str">
        <f>IF(Calc!$F$26=0,"",IF(OR($C313&gt;Calc!$B$24,MOD($C313-1,Calc!$F$26)&gt;0),"",QUOTIENT($C313-1,Calc!$F$26)+1))</f>
        <v/>
      </c>
      <c r="C313" s="244">
        <v>305</v>
      </c>
      <c r="D313" s="142">
        <f>IF(Planning!$T311="","",Planning!$T311)</f>
        <v>46158</v>
      </c>
      <c r="E313" s="143">
        <f>IF(Planning!$U311="","",Planning!$U311)</f>
        <v>0.64583333333333337</v>
      </c>
      <c r="F313" s="161" t="str">
        <f>Planning!$Q311</f>
        <v>FC Augsburg</v>
      </c>
      <c r="G313" s="162" t="s">
        <v>4</v>
      </c>
      <c r="H313" s="161" t="str">
        <f>Planning!$S311</f>
        <v>Hamburger SV</v>
      </c>
      <c r="I313" s="163"/>
      <c r="J313" s="315" t="str">
        <f>Language!$E$90</f>
        <v xml:space="preserve"> - </v>
      </c>
      <c r="K313" s="318"/>
      <c r="L313" s="163"/>
      <c r="M313" s="360" t="str">
        <f>Language!$E$90</f>
        <v xml:space="preserve"> - </v>
      </c>
      <c r="N313" s="318"/>
      <c r="O313" s="163"/>
      <c r="P313" s="360" t="str">
        <f>Language!$E$90</f>
        <v xml:space="preserve"> - </v>
      </c>
      <c r="Q313" s="318"/>
      <c r="R313" s="354" t="str">
        <f t="shared" si="59"/>
        <v/>
      </c>
      <c r="S313" s="357" t="str">
        <f>Language!$E$90</f>
        <v xml:space="preserve"> - </v>
      </c>
      <c r="T313" s="321" t="str">
        <f t="shared" si="60"/>
        <v/>
      </c>
      <c r="U313" s="294"/>
      <c r="V313" s="295"/>
      <c r="BM313" s="193" t="b">
        <f t="shared" si="61"/>
        <v>1</v>
      </c>
      <c r="BN313" s="19" t="b">
        <f t="shared" si="62"/>
        <v>1</v>
      </c>
      <c r="BO313" s="19" t="b">
        <f t="shared" si="63"/>
        <v>1</v>
      </c>
      <c r="BP313" s="19" t="b">
        <f t="shared" si="64"/>
        <v>1</v>
      </c>
      <c r="BQ313" s="19" t="b">
        <f t="shared" si="65"/>
        <v>0</v>
      </c>
      <c r="BR313" s="19" t="b">
        <f t="shared" si="66"/>
        <v>0</v>
      </c>
      <c r="BS313" s="19" t="b">
        <f t="shared" si="67"/>
        <v>0</v>
      </c>
    </row>
    <row r="314" spans="2:71" ht="15.75" x14ac:dyDescent="0.2">
      <c r="B314" s="248" t="str">
        <f>IF(Calc!$F$26=0,"",IF(OR($C314&gt;Calc!$B$24,MOD($C314-1,Calc!$F$26)&gt;0),"",QUOTIENT($C314-1,Calc!$F$26)+1))</f>
        <v/>
      </c>
      <c r="C314" s="244">
        <v>306</v>
      </c>
      <c r="D314" s="142">
        <f>IF(Planning!$T312="","",Planning!$T312)</f>
        <v>46158</v>
      </c>
      <c r="E314" s="143">
        <f>IF(Planning!$U312="","",Planning!$U312)</f>
        <v>0.64583333333333337</v>
      </c>
      <c r="F314" s="161" t="str">
        <f>Planning!$Q312</f>
        <v>FC St. Pauli</v>
      </c>
      <c r="G314" s="162" t="s">
        <v>4</v>
      </c>
      <c r="H314" s="161" t="str">
        <f>Planning!$S312</f>
        <v>FC Bayern München</v>
      </c>
      <c r="I314" s="163"/>
      <c r="J314" s="315" t="str">
        <f>Language!$E$90</f>
        <v xml:space="preserve"> - </v>
      </c>
      <c r="K314" s="318"/>
      <c r="L314" s="163"/>
      <c r="M314" s="360" t="str">
        <f>Language!$E$90</f>
        <v xml:space="preserve"> - </v>
      </c>
      <c r="N314" s="318"/>
      <c r="O314" s="163"/>
      <c r="P314" s="360" t="str">
        <f>Language!$E$90</f>
        <v xml:space="preserve"> - </v>
      </c>
      <c r="Q314" s="318"/>
      <c r="R314" s="354" t="str">
        <f t="shared" si="59"/>
        <v/>
      </c>
      <c r="S314" s="357" t="str">
        <f>Language!$E$90</f>
        <v xml:space="preserve"> - </v>
      </c>
      <c r="T314" s="321" t="str">
        <f t="shared" si="60"/>
        <v/>
      </c>
      <c r="U314" s="294"/>
      <c r="V314" s="295"/>
      <c r="BM314" s="193" t="b">
        <f t="shared" si="61"/>
        <v>1</v>
      </c>
      <c r="BN314" s="19" t="b">
        <f t="shared" si="62"/>
        <v>1</v>
      </c>
      <c r="BO314" s="19" t="b">
        <f t="shared" si="63"/>
        <v>1</v>
      </c>
      <c r="BP314" s="19" t="b">
        <f t="shared" si="64"/>
        <v>1</v>
      </c>
      <c r="BQ314" s="19" t="b">
        <f t="shared" si="65"/>
        <v>0</v>
      </c>
      <c r="BR314" s="19" t="b">
        <f t="shared" si="66"/>
        <v>0</v>
      </c>
      <c r="BS314" s="19" t="b">
        <f t="shared" si="67"/>
        <v>0</v>
      </c>
    </row>
    <row r="315" spans="2:71" ht="15.75" x14ac:dyDescent="0.2">
      <c r="B315" s="248" t="str">
        <f>IF(Calc!$F$26=0,"",IF(OR($C315&gt;Calc!$B$24,MOD($C315-1,Calc!$F$26)&gt;0),"",QUOTIENT($C315-1,Calc!$F$26)+1))</f>
        <v/>
      </c>
      <c r="C315" s="244">
        <v>307</v>
      </c>
      <c r="D315" s="142" t="str">
        <f>IF(Planning!$T313="","",Planning!$T313)</f>
        <v/>
      </c>
      <c r="E315" s="143" t="str">
        <f>IF(Planning!$U313="","",Planning!$U313)</f>
        <v/>
      </c>
      <c r="F315" s="161" t="str">
        <f>Planning!$Q313</f>
        <v/>
      </c>
      <c r="G315" s="162" t="s">
        <v>4</v>
      </c>
      <c r="H315" s="161" t="str">
        <f>Planning!$S313</f>
        <v/>
      </c>
      <c r="I315" s="163"/>
      <c r="J315" s="315" t="str">
        <f>Language!$E$90</f>
        <v xml:space="preserve"> - </v>
      </c>
      <c r="K315" s="318"/>
      <c r="L315" s="163"/>
      <c r="M315" s="360" t="str">
        <f>Language!$E$90</f>
        <v xml:space="preserve"> - </v>
      </c>
      <c r="N315" s="318"/>
      <c r="O315" s="163"/>
      <c r="P315" s="360" t="str">
        <f>Language!$E$90</f>
        <v xml:space="preserve"> - </v>
      </c>
      <c r="Q315" s="318"/>
      <c r="R315" s="354" t="str">
        <f t="shared" si="59"/>
        <v/>
      </c>
      <c r="S315" s="357" t="str">
        <f>Language!$E$90</f>
        <v xml:space="preserve"> - </v>
      </c>
      <c r="T315" s="321" t="str">
        <f t="shared" si="60"/>
        <v/>
      </c>
      <c r="U315" s="294"/>
      <c r="V315" s="295"/>
      <c r="BM315" s="193" t="b">
        <f t="shared" si="61"/>
        <v>1</v>
      </c>
      <c r="BN315" s="19" t="b">
        <f t="shared" si="62"/>
        <v>1</v>
      </c>
      <c r="BO315" s="19" t="b">
        <f t="shared" si="63"/>
        <v>1</v>
      </c>
      <c r="BP315" s="19" t="b">
        <f t="shared" si="64"/>
        <v>1</v>
      </c>
      <c r="BQ315" s="19" t="b">
        <f t="shared" si="65"/>
        <v>0</v>
      </c>
      <c r="BR315" s="19" t="b">
        <f t="shared" si="66"/>
        <v>0</v>
      </c>
      <c r="BS315" s="19" t="b">
        <f t="shared" si="67"/>
        <v>0</v>
      </c>
    </row>
    <row r="316" spans="2:71" ht="15.75" x14ac:dyDescent="0.2">
      <c r="B316" s="248" t="str">
        <f>IF(Calc!$F$26=0,"",IF(OR($C316&gt;Calc!$B$24,MOD($C316-1,Calc!$F$26)&gt;0),"",QUOTIENT($C316-1,Calc!$F$26)+1))</f>
        <v/>
      </c>
      <c r="C316" s="244">
        <v>308</v>
      </c>
      <c r="D316" s="142" t="str">
        <f>IF(Planning!$T314="","",Planning!$T314)</f>
        <v/>
      </c>
      <c r="E316" s="143" t="str">
        <f>IF(Planning!$U314="","",Planning!$U314)</f>
        <v/>
      </c>
      <c r="F316" s="161" t="str">
        <f>Planning!$Q314</f>
        <v/>
      </c>
      <c r="G316" s="162" t="s">
        <v>4</v>
      </c>
      <c r="H316" s="161" t="str">
        <f>Planning!$S314</f>
        <v/>
      </c>
      <c r="I316" s="163"/>
      <c r="J316" s="315" t="str">
        <f>Language!$E$90</f>
        <v xml:space="preserve"> - </v>
      </c>
      <c r="K316" s="318"/>
      <c r="L316" s="163"/>
      <c r="M316" s="360" t="str">
        <f>Language!$E$90</f>
        <v xml:space="preserve"> - </v>
      </c>
      <c r="N316" s="318"/>
      <c r="O316" s="163"/>
      <c r="P316" s="360" t="str">
        <f>Language!$E$90</f>
        <v xml:space="preserve"> - </v>
      </c>
      <c r="Q316" s="318"/>
      <c r="R316" s="354" t="str">
        <f t="shared" si="59"/>
        <v/>
      </c>
      <c r="S316" s="357" t="str">
        <f>Language!$E$90</f>
        <v xml:space="preserve"> - </v>
      </c>
      <c r="T316" s="321" t="str">
        <f t="shared" si="60"/>
        <v/>
      </c>
      <c r="U316" s="294"/>
      <c r="V316" s="295"/>
      <c r="BM316" s="193" t="b">
        <f t="shared" si="61"/>
        <v>1</v>
      </c>
      <c r="BN316" s="19" t="b">
        <f t="shared" si="62"/>
        <v>1</v>
      </c>
      <c r="BO316" s="19" t="b">
        <f t="shared" si="63"/>
        <v>1</v>
      </c>
      <c r="BP316" s="19" t="b">
        <f t="shared" si="64"/>
        <v>1</v>
      </c>
      <c r="BQ316" s="19" t="b">
        <f t="shared" si="65"/>
        <v>0</v>
      </c>
      <c r="BR316" s="19" t="b">
        <f t="shared" si="66"/>
        <v>0</v>
      </c>
      <c r="BS316" s="19" t="b">
        <f t="shared" si="67"/>
        <v>0</v>
      </c>
    </row>
    <row r="317" spans="2:71" ht="15.75" x14ac:dyDescent="0.2">
      <c r="B317" s="248" t="str">
        <f>IF(Calc!$F$26=0,"",IF(OR($C317&gt;Calc!$B$24,MOD($C317-1,Calc!$F$26)&gt;0),"",QUOTIENT($C317-1,Calc!$F$26)+1))</f>
        <v/>
      </c>
      <c r="C317" s="244">
        <v>309</v>
      </c>
      <c r="D317" s="142" t="str">
        <f>IF(Planning!$T315="","",Planning!$T315)</f>
        <v/>
      </c>
      <c r="E317" s="143" t="str">
        <f>IF(Planning!$U315="","",Planning!$U315)</f>
        <v/>
      </c>
      <c r="F317" s="161" t="str">
        <f>Planning!$Q315</f>
        <v/>
      </c>
      <c r="G317" s="162" t="s">
        <v>4</v>
      </c>
      <c r="H317" s="161" t="str">
        <f>Planning!$S315</f>
        <v/>
      </c>
      <c r="I317" s="163"/>
      <c r="J317" s="315" t="str">
        <f>Language!$E$90</f>
        <v xml:space="preserve"> - </v>
      </c>
      <c r="K317" s="318"/>
      <c r="L317" s="163"/>
      <c r="M317" s="360" t="str">
        <f>Language!$E$90</f>
        <v xml:space="preserve"> - </v>
      </c>
      <c r="N317" s="318"/>
      <c r="O317" s="163"/>
      <c r="P317" s="360" t="str">
        <f>Language!$E$90</f>
        <v xml:space="preserve"> - </v>
      </c>
      <c r="Q317" s="318"/>
      <c r="R317" s="354" t="str">
        <f t="shared" si="59"/>
        <v/>
      </c>
      <c r="S317" s="357" t="str">
        <f>Language!$E$90</f>
        <v xml:space="preserve"> - </v>
      </c>
      <c r="T317" s="321" t="str">
        <f t="shared" si="60"/>
        <v/>
      </c>
      <c r="U317" s="294"/>
      <c r="V317" s="295"/>
      <c r="BM317" s="193" t="b">
        <f t="shared" si="61"/>
        <v>1</v>
      </c>
      <c r="BN317" s="19" t="b">
        <f t="shared" si="62"/>
        <v>1</v>
      </c>
      <c r="BO317" s="19" t="b">
        <f t="shared" si="63"/>
        <v>1</v>
      </c>
      <c r="BP317" s="19" t="b">
        <f t="shared" si="64"/>
        <v>1</v>
      </c>
      <c r="BQ317" s="19" t="b">
        <f t="shared" si="65"/>
        <v>0</v>
      </c>
      <c r="BR317" s="19" t="b">
        <f t="shared" si="66"/>
        <v>0</v>
      </c>
      <c r="BS317" s="19" t="b">
        <f t="shared" si="67"/>
        <v>0</v>
      </c>
    </row>
    <row r="318" spans="2:71" ht="15.75" x14ac:dyDescent="0.2">
      <c r="B318" s="248" t="str">
        <f>IF(Calc!$F$26=0,"",IF(OR($C318&gt;Calc!$B$24,MOD($C318-1,Calc!$F$26)&gt;0),"",QUOTIENT($C318-1,Calc!$F$26)+1))</f>
        <v/>
      </c>
      <c r="C318" s="244">
        <v>310</v>
      </c>
      <c r="D318" s="142" t="str">
        <f>IF(Planning!$T316="","",Planning!$T316)</f>
        <v/>
      </c>
      <c r="E318" s="143" t="str">
        <f>IF(Planning!$U316="","",Planning!$U316)</f>
        <v/>
      </c>
      <c r="F318" s="161" t="str">
        <f>Planning!$Q316</f>
        <v/>
      </c>
      <c r="G318" s="162" t="s">
        <v>4</v>
      </c>
      <c r="H318" s="161" t="str">
        <f>Planning!$S316</f>
        <v/>
      </c>
      <c r="I318" s="163"/>
      <c r="J318" s="315" t="str">
        <f>Language!$E$90</f>
        <v xml:space="preserve"> - </v>
      </c>
      <c r="K318" s="318"/>
      <c r="L318" s="163"/>
      <c r="M318" s="360" t="str">
        <f>Language!$E$90</f>
        <v xml:space="preserve"> - </v>
      </c>
      <c r="N318" s="318"/>
      <c r="O318" s="163"/>
      <c r="P318" s="360" t="str">
        <f>Language!$E$90</f>
        <v xml:space="preserve"> - </v>
      </c>
      <c r="Q318" s="318"/>
      <c r="R318" s="354" t="str">
        <f t="shared" si="59"/>
        <v/>
      </c>
      <c r="S318" s="357" t="str">
        <f>Language!$E$90</f>
        <v xml:space="preserve"> - </v>
      </c>
      <c r="T318" s="321" t="str">
        <f t="shared" si="60"/>
        <v/>
      </c>
      <c r="U318" s="294"/>
      <c r="V318" s="295"/>
      <c r="BM318" s="193" t="b">
        <f t="shared" si="61"/>
        <v>1</v>
      </c>
      <c r="BN318" s="19" t="b">
        <f t="shared" si="62"/>
        <v>1</v>
      </c>
      <c r="BO318" s="19" t="b">
        <f t="shared" si="63"/>
        <v>1</v>
      </c>
      <c r="BP318" s="19" t="b">
        <f t="shared" si="64"/>
        <v>1</v>
      </c>
      <c r="BQ318" s="19" t="b">
        <f t="shared" si="65"/>
        <v>0</v>
      </c>
      <c r="BR318" s="19" t="b">
        <f t="shared" si="66"/>
        <v>0</v>
      </c>
      <c r="BS318" s="19" t="b">
        <f t="shared" si="67"/>
        <v>0</v>
      </c>
    </row>
    <row r="319" spans="2:71" ht="15.75" x14ac:dyDescent="0.2">
      <c r="B319" s="248" t="str">
        <f>IF(Calc!$F$26=0,"",IF(OR($C319&gt;Calc!$B$24,MOD($C319-1,Calc!$F$26)&gt;0),"",QUOTIENT($C319-1,Calc!$F$26)+1))</f>
        <v/>
      </c>
      <c r="C319" s="244">
        <v>311</v>
      </c>
      <c r="D319" s="142" t="str">
        <f>IF(Planning!$T317="","",Planning!$T317)</f>
        <v/>
      </c>
      <c r="E319" s="143" t="str">
        <f>IF(Planning!$U317="","",Planning!$U317)</f>
        <v/>
      </c>
      <c r="F319" s="161" t="str">
        <f>Planning!$Q317</f>
        <v/>
      </c>
      <c r="G319" s="162" t="s">
        <v>4</v>
      </c>
      <c r="H319" s="161" t="str">
        <f>Planning!$S317</f>
        <v/>
      </c>
      <c r="I319" s="163"/>
      <c r="J319" s="315" t="str">
        <f>Language!$E$90</f>
        <v xml:space="preserve"> - </v>
      </c>
      <c r="K319" s="318"/>
      <c r="L319" s="163"/>
      <c r="M319" s="360" t="str">
        <f>Language!$E$90</f>
        <v xml:space="preserve"> - </v>
      </c>
      <c r="N319" s="318"/>
      <c r="O319" s="163"/>
      <c r="P319" s="360" t="str">
        <f>Language!$E$90</f>
        <v xml:space="preserve"> - </v>
      </c>
      <c r="Q319" s="318"/>
      <c r="R319" s="354" t="str">
        <f t="shared" si="59"/>
        <v/>
      </c>
      <c r="S319" s="357" t="str">
        <f>Language!$E$90</f>
        <v xml:space="preserve"> - </v>
      </c>
      <c r="T319" s="321" t="str">
        <f t="shared" si="60"/>
        <v/>
      </c>
      <c r="U319" s="294"/>
      <c r="V319" s="295"/>
      <c r="BM319" s="193" t="b">
        <f t="shared" si="61"/>
        <v>1</v>
      </c>
      <c r="BN319" s="19" t="b">
        <f t="shared" si="62"/>
        <v>1</v>
      </c>
      <c r="BO319" s="19" t="b">
        <f t="shared" si="63"/>
        <v>1</v>
      </c>
      <c r="BP319" s="19" t="b">
        <f t="shared" si="64"/>
        <v>1</v>
      </c>
      <c r="BQ319" s="19" t="b">
        <f t="shared" si="65"/>
        <v>0</v>
      </c>
      <c r="BR319" s="19" t="b">
        <f t="shared" si="66"/>
        <v>0</v>
      </c>
      <c r="BS319" s="19" t="b">
        <f t="shared" si="67"/>
        <v>0</v>
      </c>
    </row>
    <row r="320" spans="2:71" ht="15.75" x14ac:dyDescent="0.2">
      <c r="B320" s="248" t="str">
        <f>IF(Calc!$F$26=0,"",IF(OR($C320&gt;Calc!$B$24,MOD($C320-1,Calc!$F$26)&gt;0),"",QUOTIENT($C320-1,Calc!$F$26)+1))</f>
        <v/>
      </c>
      <c r="C320" s="244">
        <v>312</v>
      </c>
      <c r="D320" s="142" t="str">
        <f>IF(Planning!$T318="","",Planning!$T318)</f>
        <v/>
      </c>
      <c r="E320" s="143" t="str">
        <f>IF(Planning!$U318="","",Planning!$U318)</f>
        <v/>
      </c>
      <c r="F320" s="161" t="str">
        <f>Planning!$Q318</f>
        <v/>
      </c>
      <c r="G320" s="162" t="s">
        <v>4</v>
      </c>
      <c r="H320" s="161" t="str">
        <f>Planning!$S318</f>
        <v/>
      </c>
      <c r="I320" s="163"/>
      <c r="J320" s="315" t="str">
        <f>Language!$E$90</f>
        <v xml:space="preserve"> - </v>
      </c>
      <c r="K320" s="318"/>
      <c r="L320" s="163"/>
      <c r="M320" s="360" t="str">
        <f>Language!$E$90</f>
        <v xml:space="preserve"> - </v>
      </c>
      <c r="N320" s="318"/>
      <c r="O320" s="163"/>
      <c r="P320" s="360" t="str">
        <f>Language!$E$90</f>
        <v xml:space="preserve"> - </v>
      </c>
      <c r="Q320" s="318"/>
      <c r="R320" s="354" t="str">
        <f t="shared" si="59"/>
        <v/>
      </c>
      <c r="S320" s="357" t="str">
        <f>Language!$E$90</f>
        <v xml:space="preserve"> - </v>
      </c>
      <c r="T320" s="321" t="str">
        <f t="shared" si="60"/>
        <v/>
      </c>
      <c r="U320" s="294"/>
      <c r="V320" s="295"/>
      <c r="BM320" s="193" t="b">
        <f t="shared" si="61"/>
        <v>1</v>
      </c>
      <c r="BN320" s="19" t="b">
        <f t="shared" si="62"/>
        <v>1</v>
      </c>
      <c r="BO320" s="19" t="b">
        <f t="shared" si="63"/>
        <v>1</v>
      </c>
      <c r="BP320" s="19" t="b">
        <f t="shared" si="64"/>
        <v>1</v>
      </c>
      <c r="BQ320" s="19" t="b">
        <f t="shared" si="65"/>
        <v>0</v>
      </c>
      <c r="BR320" s="19" t="b">
        <f t="shared" si="66"/>
        <v>0</v>
      </c>
      <c r="BS320" s="19" t="b">
        <f t="shared" si="67"/>
        <v>0</v>
      </c>
    </row>
    <row r="321" spans="2:71" ht="15.75" x14ac:dyDescent="0.2">
      <c r="B321" s="248" t="str">
        <f>IF(Calc!$F$26=0,"",IF(OR($C321&gt;Calc!$B$24,MOD($C321-1,Calc!$F$26)&gt;0),"",QUOTIENT($C321-1,Calc!$F$26)+1))</f>
        <v/>
      </c>
      <c r="C321" s="244">
        <v>313</v>
      </c>
      <c r="D321" s="142" t="str">
        <f>IF(Planning!$T319="","",Planning!$T319)</f>
        <v/>
      </c>
      <c r="E321" s="143" t="str">
        <f>IF(Planning!$U319="","",Planning!$U319)</f>
        <v/>
      </c>
      <c r="F321" s="161" t="str">
        <f>Planning!$Q319</f>
        <v/>
      </c>
      <c r="G321" s="162" t="s">
        <v>4</v>
      </c>
      <c r="H321" s="161" t="str">
        <f>Planning!$S319</f>
        <v/>
      </c>
      <c r="I321" s="163"/>
      <c r="J321" s="315" t="str">
        <f>Language!$E$90</f>
        <v xml:space="preserve"> - </v>
      </c>
      <c r="K321" s="318"/>
      <c r="L321" s="163"/>
      <c r="M321" s="360" t="str">
        <f>Language!$E$90</f>
        <v xml:space="preserve"> - </v>
      </c>
      <c r="N321" s="318"/>
      <c r="O321" s="163"/>
      <c r="P321" s="360" t="str">
        <f>Language!$E$90</f>
        <v xml:space="preserve"> - </v>
      </c>
      <c r="Q321" s="318"/>
      <c r="R321" s="354" t="str">
        <f t="shared" si="59"/>
        <v/>
      </c>
      <c r="S321" s="357" t="str">
        <f>Language!$E$90</f>
        <v xml:space="preserve"> - </v>
      </c>
      <c r="T321" s="321" t="str">
        <f t="shared" si="60"/>
        <v/>
      </c>
      <c r="U321" s="294"/>
      <c r="V321" s="295"/>
      <c r="BM321" s="193" t="b">
        <f t="shared" si="61"/>
        <v>1</v>
      </c>
      <c r="BN321" s="19" t="b">
        <f t="shared" si="62"/>
        <v>1</v>
      </c>
      <c r="BO321" s="19" t="b">
        <f t="shared" si="63"/>
        <v>1</v>
      </c>
      <c r="BP321" s="19" t="b">
        <f t="shared" si="64"/>
        <v>1</v>
      </c>
      <c r="BQ321" s="19" t="b">
        <f t="shared" si="65"/>
        <v>0</v>
      </c>
      <c r="BR321" s="19" t="b">
        <f t="shared" si="66"/>
        <v>0</v>
      </c>
      <c r="BS321" s="19" t="b">
        <f t="shared" si="67"/>
        <v>0</v>
      </c>
    </row>
    <row r="322" spans="2:71" ht="15.75" x14ac:dyDescent="0.2">
      <c r="B322" s="248" t="str">
        <f>IF(Calc!$F$26=0,"",IF(OR($C322&gt;Calc!$B$24,MOD($C322-1,Calc!$F$26)&gt;0),"",QUOTIENT($C322-1,Calc!$F$26)+1))</f>
        <v/>
      </c>
      <c r="C322" s="244">
        <v>314</v>
      </c>
      <c r="D322" s="142" t="str">
        <f>IF(Planning!$T320="","",Planning!$T320)</f>
        <v/>
      </c>
      <c r="E322" s="143" t="str">
        <f>IF(Planning!$U320="","",Planning!$U320)</f>
        <v/>
      </c>
      <c r="F322" s="161" t="str">
        <f>Planning!$Q320</f>
        <v/>
      </c>
      <c r="G322" s="162" t="s">
        <v>4</v>
      </c>
      <c r="H322" s="161" t="str">
        <f>Planning!$S320</f>
        <v/>
      </c>
      <c r="I322" s="163"/>
      <c r="J322" s="315" t="str">
        <f>Language!$E$90</f>
        <v xml:space="preserve"> - </v>
      </c>
      <c r="K322" s="318"/>
      <c r="L322" s="163"/>
      <c r="M322" s="360" t="str">
        <f>Language!$E$90</f>
        <v xml:space="preserve"> - </v>
      </c>
      <c r="N322" s="318"/>
      <c r="O322" s="163"/>
      <c r="P322" s="360" t="str">
        <f>Language!$E$90</f>
        <v xml:space="preserve"> - </v>
      </c>
      <c r="Q322" s="318"/>
      <c r="R322" s="354" t="str">
        <f t="shared" si="59"/>
        <v/>
      </c>
      <c r="S322" s="357" t="str">
        <f>Language!$E$90</f>
        <v xml:space="preserve"> - </v>
      </c>
      <c r="T322" s="321" t="str">
        <f t="shared" si="60"/>
        <v/>
      </c>
      <c r="U322" s="294"/>
      <c r="V322" s="295"/>
      <c r="BM322" s="193" t="b">
        <f t="shared" si="61"/>
        <v>1</v>
      </c>
      <c r="BN322" s="19" t="b">
        <f t="shared" si="62"/>
        <v>1</v>
      </c>
      <c r="BO322" s="19" t="b">
        <f t="shared" si="63"/>
        <v>1</v>
      </c>
      <c r="BP322" s="19" t="b">
        <f t="shared" si="64"/>
        <v>1</v>
      </c>
      <c r="BQ322" s="19" t="b">
        <f t="shared" si="65"/>
        <v>0</v>
      </c>
      <c r="BR322" s="19" t="b">
        <f t="shared" si="66"/>
        <v>0</v>
      </c>
      <c r="BS322" s="19" t="b">
        <f t="shared" si="67"/>
        <v>0</v>
      </c>
    </row>
    <row r="323" spans="2:71" ht="15.75" x14ac:dyDescent="0.2">
      <c r="B323" s="248" t="str">
        <f>IF(Calc!$F$26=0,"",IF(OR($C323&gt;Calc!$B$24,MOD($C323-1,Calc!$F$26)&gt;0),"",QUOTIENT($C323-1,Calc!$F$26)+1))</f>
        <v/>
      </c>
      <c r="C323" s="244">
        <v>315</v>
      </c>
      <c r="D323" s="142" t="str">
        <f>IF(Planning!$T321="","",Planning!$T321)</f>
        <v/>
      </c>
      <c r="E323" s="143" t="str">
        <f>IF(Planning!$U321="","",Planning!$U321)</f>
        <v/>
      </c>
      <c r="F323" s="161" t="str">
        <f>Planning!$Q321</f>
        <v/>
      </c>
      <c r="G323" s="162" t="s">
        <v>4</v>
      </c>
      <c r="H323" s="161" t="str">
        <f>Planning!$S321</f>
        <v/>
      </c>
      <c r="I323" s="163"/>
      <c r="J323" s="315" t="str">
        <f>Language!$E$90</f>
        <v xml:space="preserve"> - </v>
      </c>
      <c r="K323" s="318"/>
      <c r="L323" s="163"/>
      <c r="M323" s="360" t="str">
        <f>Language!$E$90</f>
        <v xml:space="preserve"> - </v>
      </c>
      <c r="N323" s="318"/>
      <c r="O323" s="163"/>
      <c r="P323" s="360" t="str">
        <f>Language!$E$90</f>
        <v xml:space="preserve"> - </v>
      </c>
      <c r="Q323" s="318"/>
      <c r="R323" s="354" t="str">
        <f t="shared" si="59"/>
        <v/>
      </c>
      <c r="S323" s="357" t="str">
        <f>Language!$E$90</f>
        <v xml:space="preserve"> - </v>
      </c>
      <c r="T323" s="321" t="str">
        <f t="shared" si="60"/>
        <v/>
      </c>
      <c r="U323" s="294"/>
      <c r="V323" s="295"/>
      <c r="BM323" s="193" t="b">
        <f t="shared" si="61"/>
        <v>1</v>
      </c>
      <c r="BN323" s="19" t="b">
        <f t="shared" si="62"/>
        <v>1</v>
      </c>
      <c r="BO323" s="19" t="b">
        <f t="shared" si="63"/>
        <v>1</v>
      </c>
      <c r="BP323" s="19" t="b">
        <f t="shared" si="64"/>
        <v>1</v>
      </c>
      <c r="BQ323" s="19" t="b">
        <f t="shared" si="65"/>
        <v>0</v>
      </c>
      <c r="BR323" s="19" t="b">
        <f t="shared" si="66"/>
        <v>0</v>
      </c>
      <c r="BS323" s="19" t="b">
        <f t="shared" si="67"/>
        <v>0</v>
      </c>
    </row>
    <row r="324" spans="2:71" ht="15.75" x14ac:dyDescent="0.2">
      <c r="B324" s="248" t="str">
        <f>IF(Calc!$F$26=0,"",IF(OR($C324&gt;Calc!$B$24,MOD($C324-1,Calc!$F$26)&gt;0),"",QUOTIENT($C324-1,Calc!$F$26)+1))</f>
        <v/>
      </c>
      <c r="C324" s="244">
        <v>316</v>
      </c>
      <c r="D324" s="142" t="str">
        <f>IF(Planning!$T322="","",Planning!$T322)</f>
        <v/>
      </c>
      <c r="E324" s="143" t="str">
        <f>IF(Planning!$U322="","",Planning!$U322)</f>
        <v/>
      </c>
      <c r="F324" s="161" t="str">
        <f>Planning!$Q322</f>
        <v/>
      </c>
      <c r="G324" s="162" t="s">
        <v>4</v>
      </c>
      <c r="H324" s="161" t="str">
        <f>Planning!$S322</f>
        <v/>
      </c>
      <c r="I324" s="163"/>
      <c r="J324" s="315" t="str">
        <f>Language!$E$90</f>
        <v xml:space="preserve"> - </v>
      </c>
      <c r="K324" s="318"/>
      <c r="L324" s="163"/>
      <c r="M324" s="360" t="str">
        <f>Language!$E$90</f>
        <v xml:space="preserve"> - </v>
      </c>
      <c r="N324" s="318"/>
      <c r="O324" s="163"/>
      <c r="P324" s="360" t="str">
        <f>Language!$E$90</f>
        <v xml:space="preserve"> - </v>
      </c>
      <c r="Q324" s="318"/>
      <c r="R324" s="354" t="str">
        <f t="shared" si="59"/>
        <v/>
      </c>
      <c r="S324" s="357" t="str">
        <f>Language!$E$90</f>
        <v xml:space="preserve"> - </v>
      </c>
      <c r="T324" s="321" t="str">
        <f t="shared" si="60"/>
        <v/>
      </c>
      <c r="U324" s="294"/>
      <c r="V324" s="295"/>
      <c r="BM324" s="193" t="b">
        <f t="shared" si="61"/>
        <v>1</v>
      </c>
      <c r="BN324" s="19" t="b">
        <f t="shared" si="62"/>
        <v>1</v>
      </c>
      <c r="BO324" s="19" t="b">
        <f t="shared" si="63"/>
        <v>1</v>
      </c>
      <c r="BP324" s="19" t="b">
        <f t="shared" si="64"/>
        <v>1</v>
      </c>
      <c r="BQ324" s="19" t="b">
        <f t="shared" si="65"/>
        <v>0</v>
      </c>
      <c r="BR324" s="19" t="b">
        <f t="shared" si="66"/>
        <v>0</v>
      </c>
      <c r="BS324" s="19" t="b">
        <f t="shared" si="67"/>
        <v>0</v>
      </c>
    </row>
    <row r="325" spans="2:71" ht="15.75" x14ac:dyDescent="0.2">
      <c r="B325" s="248" t="str">
        <f>IF(Calc!$F$26=0,"",IF(OR($C325&gt;Calc!$B$24,MOD($C325-1,Calc!$F$26)&gt;0),"",QUOTIENT($C325-1,Calc!$F$26)+1))</f>
        <v/>
      </c>
      <c r="C325" s="244">
        <v>317</v>
      </c>
      <c r="D325" s="142" t="str">
        <f>IF(Planning!$T323="","",Planning!$T323)</f>
        <v/>
      </c>
      <c r="E325" s="143" t="str">
        <f>IF(Planning!$U323="","",Planning!$U323)</f>
        <v/>
      </c>
      <c r="F325" s="161" t="str">
        <f>Planning!$Q323</f>
        <v/>
      </c>
      <c r="G325" s="162" t="s">
        <v>4</v>
      </c>
      <c r="H325" s="161" t="str">
        <f>Planning!$S323</f>
        <v/>
      </c>
      <c r="I325" s="163"/>
      <c r="J325" s="315" t="str">
        <f>Language!$E$90</f>
        <v xml:space="preserve"> - </v>
      </c>
      <c r="K325" s="318"/>
      <c r="L325" s="163"/>
      <c r="M325" s="360" t="str">
        <f>Language!$E$90</f>
        <v xml:space="preserve"> - </v>
      </c>
      <c r="N325" s="318"/>
      <c r="O325" s="163"/>
      <c r="P325" s="360" t="str">
        <f>Language!$E$90</f>
        <v xml:space="preserve"> - </v>
      </c>
      <c r="Q325" s="318"/>
      <c r="R325" s="354" t="str">
        <f t="shared" si="59"/>
        <v/>
      </c>
      <c r="S325" s="357" t="str">
        <f>Language!$E$90</f>
        <v xml:space="preserve"> - </v>
      </c>
      <c r="T325" s="321" t="str">
        <f t="shared" si="60"/>
        <v/>
      </c>
      <c r="U325" s="294"/>
      <c r="V325" s="295"/>
      <c r="BM325" s="193" t="b">
        <f t="shared" si="61"/>
        <v>1</v>
      </c>
      <c r="BN325" s="19" t="b">
        <f t="shared" si="62"/>
        <v>1</v>
      </c>
      <c r="BO325" s="19" t="b">
        <f t="shared" si="63"/>
        <v>1</v>
      </c>
      <c r="BP325" s="19" t="b">
        <f t="shared" si="64"/>
        <v>1</v>
      </c>
      <c r="BQ325" s="19" t="b">
        <f t="shared" si="65"/>
        <v>0</v>
      </c>
      <c r="BR325" s="19" t="b">
        <f t="shared" si="66"/>
        <v>0</v>
      </c>
      <c r="BS325" s="19" t="b">
        <f t="shared" si="67"/>
        <v>0</v>
      </c>
    </row>
    <row r="326" spans="2:71" ht="15.75" x14ac:dyDescent="0.2">
      <c r="B326" s="248" t="str">
        <f>IF(Calc!$F$26=0,"",IF(OR($C326&gt;Calc!$B$24,MOD($C326-1,Calc!$F$26)&gt;0),"",QUOTIENT($C326-1,Calc!$F$26)+1))</f>
        <v/>
      </c>
      <c r="C326" s="244">
        <v>318</v>
      </c>
      <c r="D326" s="142" t="str">
        <f>IF(Planning!$T324="","",Planning!$T324)</f>
        <v/>
      </c>
      <c r="E326" s="143" t="str">
        <f>IF(Planning!$U324="","",Planning!$U324)</f>
        <v/>
      </c>
      <c r="F326" s="161" t="str">
        <f>Planning!$Q324</f>
        <v/>
      </c>
      <c r="G326" s="162" t="s">
        <v>4</v>
      </c>
      <c r="H326" s="161" t="str">
        <f>Planning!$S324</f>
        <v/>
      </c>
      <c r="I326" s="163"/>
      <c r="J326" s="315" t="str">
        <f>Language!$E$90</f>
        <v xml:space="preserve"> - </v>
      </c>
      <c r="K326" s="318"/>
      <c r="L326" s="163"/>
      <c r="M326" s="360" t="str">
        <f>Language!$E$90</f>
        <v xml:space="preserve"> - </v>
      </c>
      <c r="N326" s="318"/>
      <c r="O326" s="163"/>
      <c r="P326" s="360" t="str">
        <f>Language!$E$90</f>
        <v xml:space="preserve"> - </v>
      </c>
      <c r="Q326" s="318"/>
      <c r="R326" s="354" t="str">
        <f t="shared" si="59"/>
        <v/>
      </c>
      <c r="S326" s="357" t="str">
        <f>Language!$E$90</f>
        <v xml:space="preserve"> - </v>
      </c>
      <c r="T326" s="321" t="str">
        <f t="shared" si="60"/>
        <v/>
      </c>
      <c r="U326" s="294"/>
      <c r="V326" s="295"/>
      <c r="BM326" s="193" t="b">
        <f t="shared" si="61"/>
        <v>1</v>
      </c>
      <c r="BN326" s="19" t="b">
        <f t="shared" si="62"/>
        <v>1</v>
      </c>
      <c r="BO326" s="19" t="b">
        <f t="shared" si="63"/>
        <v>1</v>
      </c>
      <c r="BP326" s="19" t="b">
        <f t="shared" si="64"/>
        <v>1</v>
      </c>
      <c r="BQ326" s="19" t="b">
        <f t="shared" si="65"/>
        <v>0</v>
      </c>
      <c r="BR326" s="19" t="b">
        <f t="shared" si="66"/>
        <v>0</v>
      </c>
      <c r="BS326" s="19" t="b">
        <f t="shared" si="67"/>
        <v>0</v>
      </c>
    </row>
    <row r="327" spans="2:71" ht="15.75" x14ac:dyDescent="0.2">
      <c r="B327" s="248" t="str">
        <f>IF(Calc!$F$26=0,"",IF(OR($C327&gt;Calc!$B$24,MOD($C327-1,Calc!$F$26)&gt;0),"",QUOTIENT($C327-1,Calc!$F$26)+1))</f>
        <v/>
      </c>
      <c r="C327" s="244">
        <v>319</v>
      </c>
      <c r="D327" s="142" t="str">
        <f>IF(Planning!$T325="","",Planning!$T325)</f>
        <v/>
      </c>
      <c r="E327" s="143" t="str">
        <f>IF(Planning!$U325="","",Planning!$U325)</f>
        <v/>
      </c>
      <c r="F327" s="161" t="str">
        <f>Planning!$Q325</f>
        <v/>
      </c>
      <c r="G327" s="162" t="s">
        <v>4</v>
      </c>
      <c r="H327" s="161" t="str">
        <f>Planning!$S325</f>
        <v/>
      </c>
      <c r="I327" s="163"/>
      <c r="J327" s="315" t="str">
        <f>Language!$E$90</f>
        <v xml:space="preserve"> - </v>
      </c>
      <c r="K327" s="318"/>
      <c r="L327" s="163"/>
      <c r="M327" s="360" t="str">
        <f>Language!$E$90</f>
        <v xml:space="preserve"> - </v>
      </c>
      <c r="N327" s="318"/>
      <c r="O327" s="163"/>
      <c r="P327" s="360" t="str">
        <f>Language!$E$90</f>
        <v xml:space="preserve"> - </v>
      </c>
      <c r="Q327" s="318"/>
      <c r="R327" s="354" t="str">
        <f t="shared" si="59"/>
        <v/>
      </c>
      <c r="S327" s="357" t="str">
        <f>Language!$E$90</f>
        <v xml:space="preserve"> - </v>
      </c>
      <c r="T327" s="321" t="str">
        <f t="shared" si="60"/>
        <v/>
      </c>
      <c r="U327" s="294"/>
      <c r="V327" s="295"/>
      <c r="BM327" s="193" t="b">
        <f t="shared" si="61"/>
        <v>1</v>
      </c>
      <c r="BN327" s="19" t="b">
        <f t="shared" si="62"/>
        <v>1</v>
      </c>
      <c r="BO327" s="19" t="b">
        <f t="shared" si="63"/>
        <v>1</v>
      </c>
      <c r="BP327" s="19" t="b">
        <f t="shared" si="64"/>
        <v>1</v>
      </c>
      <c r="BQ327" s="19" t="b">
        <f t="shared" si="65"/>
        <v>0</v>
      </c>
      <c r="BR327" s="19" t="b">
        <f t="shared" si="66"/>
        <v>0</v>
      </c>
      <c r="BS327" s="19" t="b">
        <f t="shared" si="67"/>
        <v>0</v>
      </c>
    </row>
    <row r="328" spans="2:71" ht="15.75" x14ac:dyDescent="0.2">
      <c r="B328" s="248" t="str">
        <f>IF(Calc!$F$26=0,"",IF(OR($C328&gt;Calc!$B$24,MOD($C328-1,Calc!$F$26)&gt;0),"",QUOTIENT($C328-1,Calc!$F$26)+1))</f>
        <v/>
      </c>
      <c r="C328" s="244">
        <v>320</v>
      </c>
      <c r="D328" s="142" t="str">
        <f>IF(Planning!$T326="","",Planning!$T326)</f>
        <v/>
      </c>
      <c r="E328" s="143" t="str">
        <f>IF(Planning!$U326="","",Planning!$U326)</f>
        <v/>
      </c>
      <c r="F328" s="161" t="str">
        <f>Planning!$Q326</f>
        <v/>
      </c>
      <c r="G328" s="162" t="s">
        <v>4</v>
      </c>
      <c r="H328" s="161" t="str">
        <f>Planning!$S326</f>
        <v/>
      </c>
      <c r="I328" s="163"/>
      <c r="J328" s="315" t="str">
        <f>Language!$E$90</f>
        <v xml:space="preserve"> - </v>
      </c>
      <c r="K328" s="318"/>
      <c r="L328" s="163"/>
      <c r="M328" s="360" t="str">
        <f>Language!$E$90</f>
        <v xml:space="preserve"> - </v>
      </c>
      <c r="N328" s="318"/>
      <c r="O328" s="163"/>
      <c r="P328" s="360" t="str">
        <f>Language!$E$90</f>
        <v xml:space="preserve"> - </v>
      </c>
      <c r="Q328" s="318"/>
      <c r="R328" s="354" t="str">
        <f t="shared" si="59"/>
        <v/>
      </c>
      <c r="S328" s="357" t="str">
        <f>Language!$E$90</f>
        <v xml:space="preserve"> - </v>
      </c>
      <c r="T328" s="321" t="str">
        <f t="shared" si="60"/>
        <v/>
      </c>
      <c r="U328" s="294"/>
      <c r="V328" s="295"/>
      <c r="BM328" s="193" t="b">
        <f t="shared" si="61"/>
        <v>1</v>
      </c>
      <c r="BN328" s="19" t="b">
        <f t="shared" si="62"/>
        <v>1</v>
      </c>
      <c r="BO328" s="19" t="b">
        <f t="shared" si="63"/>
        <v>1</v>
      </c>
      <c r="BP328" s="19" t="b">
        <f t="shared" si="64"/>
        <v>1</v>
      </c>
      <c r="BQ328" s="19" t="b">
        <f t="shared" si="65"/>
        <v>0</v>
      </c>
      <c r="BR328" s="19" t="b">
        <f t="shared" si="66"/>
        <v>0</v>
      </c>
      <c r="BS328" s="19" t="b">
        <f t="shared" si="67"/>
        <v>0</v>
      </c>
    </row>
    <row r="329" spans="2:71" ht="15.75" x14ac:dyDescent="0.2">
      <c r="B329" s="248" t="str">
        <f>IF(Calc!$F$26=0,"",IF(OR($C329&gt;Calc!$B$24,MOD($C329-1,Calc!$F$26)&gt;0),"",QUOTIENT($C329-1,Calc!$F$26)+1))</f>
        <v/>
      </c>
      <c r="C329" s="244">
        <v>321</v>
      </c>
      <c r="D329" s="142" t="str">
        <f>IF(Planning!$T327="","",Planning!$T327)</f>
        <v/>
      </c>
      <c r="E329" s="143" t="str">
        <f>IF(Planning!$U327="","",Planning!$U327)</f>
        <v/>
      </c>
      <c r="F329" s="161" t="str">
        <f>Planning!$Q327</f>
        <v/>
      </c>
      <c r="G329" s="162" t="s">
        <v>4</v>
      </c>
      <c r="H329" s="161" t="str">
        <f>Planning!$S327</f>
        <v/>
      </c>
      <c r="I329" s="163"/>
      <c r="J329" s="315" t="str">
        <f>Language!$E$90</f>
        <v xml:space="preserve"> - </v>
      </c>
      <c r="K329" s="318"/>
      <c r="L329" s="163"/>
      <c r="M329" s="360" t="str">
        <f>Language!$E$90</f>
        <v xml:space="preserve"> - </v>
      </c>
      <c r="N329" s="318"/>
      <c r="O329" s="163"/>
      <c r="P329" s="360" t="str">
        <f>Language!$E$90</f>
        <v xml:space="preserve"> - </v>
      </c>
      <c r="Q329" s="318"/>
      <c r="R329" s="354" t="str">
        <f t="shared" si="59"/>
        <v/>
      </c>
      <c r="S329" s="357" t="str">
        <f>Language!$E$90</f>
        <v xml:space="preserve"> - </v>
      </c>
      <c r="T329" s="321" t="str">
        <f t="shared" si="60"/>
        <v/>
      </c>
      <c r="U329" s="294"/>
      <c r="V329" s="295"/>
      <c r="BM329" s="193" t="b">
        <f t="shared" si="61"/>
        <v>1</v>
      </c>
      <c r="BN329" s="19" t="b">
        <f t="shared" si="62"/>
        <v>1</v>
      </c>
      <c r="BO329" s="19" t="b">
        <f t="shared" si="63"/>
        <v>1</v>
      </c>
      <c r="BP329" s="19" t="b">
        <f t="shared" si="64"/>
        <v>1</v>
      </c>
      <c r="BQ329" s="19" t="b">
        <f t="shared" si="65"/>
        <v>0</v>
      </c>
      <c r="BR329" s="19" t="b">
        <f t="shared" si="66"/>
        <v>0</v>
      </c>
      <c r="BS329" s="19" t="b">
        <f t="shared" si="67"/>
        <v>0</v>
      </c>
    </row>
    <row r="330" spans="2:71" ht="15.75" x14ac:dyDescent="0.2">
      <c r="B330" s="248" t="str">
        <f>IF(Calc!$F$26=0,"",IF(OR($C330&gt;Calc!$B$24,MOD($C330-1,Calc!$F$26)&gt;0),"",QUOTIENT($C330-1,Calc!$F$26)+1))</f>
        <v/>
      </c>
      <c r="C330" s="244">
        <v>322</v>
      </c>
      <c r="D330" s="142" t="str">
        <f>IF(Planning!$T328="","",Planning!$T328)</f>
        <v/>
      </c>
      <c r="E330" s="143" t="str">
        <f>IF(Planning!$U328="","",Planning!$U328)</f>
        <v/>
      </c>
      <c r="F330" s="161" t="str">
        <f>Planning!$Q328</f>
        <v/>
      </c>
      <c r="G330" s="162" t="s">
        <v>4</v>
      </c>
      <c r="H330" s="161" t="str">
        <f>Planning!$S328</f>
        <v/>
      </c>
      <c r="I330" s="163"/>
      <c r="J330" s="315" t="str">
        <f>Language!$E$90</f>
        <v xml:space="preserve"> - </v>
      </c>
      <c r="K330" s="318"/>
      <c r="L330" s="163"/>
      <c r="M330" s="360" t="str">
        <f>Language!$E$90</f>
        <v xml:space="preserve"> - </v>
      </c>
      <c r="N330" s="318"/>
      <c r="O330" s="163"/>
      <c r="P330" s="360" t="str">
        <f>Language!$E$90</f>
        <v xml:space="preserve"> - </v>
      </c>
      <c r="Q330" s="318"/>
      <c r="R330" s="354" t="str">
        <f t="shared" si="59"/>
        <v/>
      </c>
      <c r="S330" s="357" t="str">
        <f>Language!$E$90</f>
        <v xml:space="preserve"> - </v>
      </c>
      <c r="T330" s="321" t="str">
        <f t="shared" si="60"/>
        <v/>
      </c>
      <c r="U330" s="294"/>
      <c r="V330" s="295"/>
      <c r="BM330" s="193" t="b">
        <f t="shared" si="61"/>
        <v>1</v>
      </c>
      <c r="BN330" s="19" t="b">
        <f t="shared" si="62"/>
        <v>1</v>
      </c>
      <c r="BO330" s="19" t="b">
        <f t="shared" si="63"/>
        <v>1</v>
      </c>
      <c r="BP330" s="19" t="b">
        <f t="shared" si="64"/>
        <v>1</v>
      </c>
      <c r="BQ330" s="19" t="b">
        <f t="shared" si="65"/>
        <v>0</v>
      </c>
      <c r="BR330" s="19" t="b">
        <f t="shared" si="66"/>
        <v>0</v>
      </c>
      <c r="BS330" s="19" t="b">
        <f t="shared" si="67"/>
        <v>0</v>
      </c>
    </row>
    <row r="331" spans="2:71" ht="15.75" x14ac:dyDescent="0.2">
      <c r="B331" s="248" t="str">
        <f>IF(Calc!$F$26=0,"",IF(OR($C331&gt;Calc!$B$24,MOD($C331-1,Calc!$F$26)&gt;0),"",QUOTIENT($C331-1,Calc!$F$26)+1))</f>
        <v/>
      </c>
      <c r="C331" s="244">
        <v>323</v>
      </c>
      <c r="D331" s="142" t="str">
        <f>IF(Planning!$T329="","",Planning!$T329)</f>
        <v/>
      </c>
      <c r="E331" s="143" t="str">
        <f>IF(Planning!$U329="","",Planning!$U329)</f>
        <v/>
      </c>
      <c r="F331" s="161" t="str">
        <f>Planning!$Q329</f>
        <v/>
      </c>
      <c r="G331" s="162" t="s">
        <v>4</v>
      </c>
      <c r="H331" s="161" t="str">
        <f>Planning!$S329</f>
        <v/>
      </c>
      <c r="I331" s="163"/>
      <c r="J331" s="315" t="str">
        <f>Language!$E$90</f>
        <v xml:space="preserve"> - </v>
      </c>
      <c r="K331" s="318"/>
      <c r="L331" s="163"/>
      <c r="M331" s="360" t="str">
        <f>Language!$E$90</f>
        <v xml:space="preserve"> - </v>
      </c>
      <c r="N331" s="318"/>
      <c r="O331" s="163"/>
      <c r="P331" s="360" t="str">
        <f>Language!$E$90</f>
        <v xml:space="preserve"> - </v>
      </c>
      <c r="Q331" s="318"/>
      <c r="R331" s="354" t="str">
        <f t="shared" ref="R331:R388" si="68">IF(BM331,"",(I331&lt;&gt;"")*(K331&lt;&gt;"")*NOT(BN331)*(I331&gt;K331)+(L331&lt;&gt;"")*(N331&lt;&gt;"")*NOT(BO331)*(L331&gt;N331)+(O331&lt;&gt;"")*(Q331&lt;&gt;"")*NOT(BP331)*(O331&gt;Q331))</f>
        <v/>
      </c>
      <c r="S331" s="357" t="str">
        <f>Language!$E$90</f>
        <v xml:space="preserve"> - </v>
      </c>
      <c r="T331" s="321" t="str">
        <f t="shared" ref="T331:T388" si="69">IF(BM331,"",(I331&lt;&gt;"")*(K331&lt;&gt;"")*NOT(BN331)*(I331&lt;K331)+(L331&lt;&gt;"")*(N331&lt;&gt;"")*NOT(BO331)*(L331&lt;N331)+(O331&lt;&gt;"")*(Q331&lt;&gt;"")*NOT(BP331)*(O331&lt;Q331))</f>
        <v/>
      </c>
      <c r="U331" s="294"/>
      <c r="V331" s="295"/>
      <c r="BM331" s="193" t="b">
        <f t="shared" ref="BM331:BM388" si="70">OR(F331="",H331="",AND(OR(I331="",K331="",BN331),OR(L331="",N331="",BO331),OR(O331="",Q331="",BP331)))</f>
        <v>1</v>
      </c>
      <c r="BN331" s="19" t="b">
        <f t="shared" ref="BN331:BN388" si="71">ABS(I331-K331)&lt;2</f>
        <v>1</v>
      </c>
      <c r="BO331" s="19" t="b">
        <f t="shared" ref="BO331:BO388" si="72">ABS(L331-N331)&lt;2</f>
        <v>1</v>
      </c>
      <c r="BP331" s="19" t="b">
        <f t="shared" ref="BP331:BP388" si="73">ABS(O331-Q331)&lt;2</f>
        <v>1</v>
      </c>
      <c r="BQ331" s="19" t="b">
        <f t="shared" ref="BQ331:BQ388" si="74">AND(BN331,I331&lt;&gt;"",K331&lt;&gt;"")</f>
        <v>0</v>
      </c>
      <c r="BR331" s="19" t="b">
        <f t="shared" ref="BR331:BR388" si="75">AND(BO331,L331&lt;&gt;"",N331&lt;&gt;"")</f>
        <v>0</v>
      </c>
      <c r="BS331" s="19" t="b">
        <f t="shared" ref="BS331:BS388" si="76">AND(BP331,O331&lt;&gt;"",Q331&lt;&gt;"")</f>
        <v>0</v>
      </c>
    </row>
    <row r="332" spans="2:71" ht="15.75" x14ac:dyDescent="0.2">
      <c r="B332" s="248" t="str">
        <f>IF(Calc!$F$26=0,"",IF(OR($C332&gt;Calc!$B$24,MOD($C332-1,Calc!$F$26)&gt;0),"",QUOTIENT($C332-1,Calc!$F$26)+1))</f>
        <v/>
      </c>
      <c r="C332" s="244">
        <v>324</v>
      </c>
      <c r="D332" s="142" t="str">
        <f>IF(Planning!$T330="","",Planning!$T330)</f>
        <v/>
      </c>
      <c r="E332" s="143" t="str">
        <f>IF(Planning!$U330="","",Planning!$U330)</f>
        <v/>
      </c>
      <c r="F332" s="161" t="str">
        <f>Planning!$Q330</f>
        <v/>
      </c>
      <c r="G332" s="162" t="s">
        <v>4</v>
      </c>
      <c r="H332" s="161" t="str">
        <f>Planning!$S330</f>
        <v/>
      </c>
      <c r="I332" s="163"/>
      <c r="J332" s="315" t="str">
        <f>Language!$E$90</f>
        <v xml:space="preserve"> - </v>
      </c>
      <c r="K332" s="318"/>
      <c r="L332" s="163"/>
      <c r="M332" s="360" t="str">
        <f>Language!$E$90</f>
        <v xml:space="preserve"> - </v>
      </c>
      <c r="N332" s="318"/>
      <c r="O332" s="163"/>
      <c r="P332" s="360" t="str">
        <f>Language!$E$90</f>
        <v xml:space="preserve"> - </v>
      </c>
      <c r="Q332" s="318"/>
      <c r="R332" s="354" t="str">
        <f t="shared" si="68"/>
        <v/>
      </c>
      <c r="S332" s="357" t="str">
        <f>Language!$E$90</f>
        <v xml:space="preserve"> - </v>
      </c>
      <c r="T332" s="321" t="str">
        <f t="shared" si="69"/>
        <v/>
      </c>
      <c r="U332" s="294"/>
      <c r="V332" s="295"/>
      <c r="BM332" s="193" t="b">
        <f t="shared" si="70"/>
        <v>1</v>
      </c>
      <c r="BN332" s="19" t="b">
        <f t="shared" si="71"/>
        <v>1</v>
      </c>
      <c r="BO332" s="19" t="b">
        <f t="shared" si="72"/>
        <v>1</v>
      </c>
      <c r="BP332" s="19" t="b">
        <f t="shared" si="73"/>
        <v>1</v>
      </c>
      <c r="BQ332" s="19" t="b">
        <f t="shared" si="74"/>
        <v>0</v>
      </c>
      <c r="BR332" s="19" t="b">
        <f t="shared" si="75"/>
        <v>0</v>
      </c>
      <c r="BS332" s="19" t="b">
        <f t="shared" si="76"/>
        <v>0</v>
      </c>
    </row>
    <row r="333" spans="2:71" ht="15.75" x14ac:dyDescent="0.2">
      <c r="B333" s="248" t="str">
        <f>IF(Calc!$F$26=0,"",IF(OR($C333&gt;Calc!$B$24,MOD($C333-1,Calc!$F$26)&gt;0),"",QUOTIENT($C333-1,Calc!$F$26)+1))</f>
        <v/>
      </c>
      <c r="C333" s="244">
        <v>325</v>
      </c>
      <c r="D333" s="142" t="str">
        <f>IF(Planning!$T331="","",Planning!$T331)</f>
        <v/>
      </c>
      <c r="E333" s="143" t="str">
        <f>IF(Planning!$U331="","",Planning!$U331)</f>
        <v/>
      </c>
      <c r="F333" s="161" t="str">
        <f>Planning!$Q331</f>
        <v/>
      </c>
      <c r="G333" s="162" t="s">
        <v>4</v>
      </c>
      <c r="H333" s="161" t="str">
        <f>Planning!$S331</f>
        <v/>
      </c>
      <c r="I333" s="163"/>
      <c r="J333" s="315" t="str">
        <f>Language!$E$90</f>
        <v xml:space="preserve"> - </v>
      </c>
      <c r="K333" s="318"/>
      <c r="L333" s="163"/>
      <c r="M333" s="360" t="str">
        <f>Language!$E$90</f>
        <v xml:space="preserve"> - </v>
      </c>
      <c r="N333" s="318"/>
      <c r="O333" s="163"/>
      <c r="P333" s="360" t="str">
        <f>Language!$E$90</f>
        <v xml:space="preserve"> - </v>
      </c>
      <c r="Q333" s="318"/>
      <c r="R333" s="354" t="str">
        <f t="shared" si="68"/>
        <v/>
      </c>
      <c r="S333" s="357" t="str">
        <f>Language!$E$90</f>
        <v xml:space="preserve"> - </v>
      </c>
      <c r="T333" s="321" t="str">
        <f t="shared" si="69"/>
        <v/>
      </c>
      <c r="U333" s="294"/>
      <c r="V333" s="295"/>
      <c r="BM333" s="193" t="b">
        <f t="shared" si="70"/>
        <v>1</v>
      </c>
      <c r="BN333" s="19" t="b">
        <f t="shared" si="71"/>
        <v>1</v>
      </c>
      <c r="BO333" s="19" t="b">
        <f t="shared" si="72"/>
        <v>1</v>
      </c>
      <c r="BP333" s="19" t="b">
        <f t="shared" si="73"/>
        <v>1</v>
      </c>
      <c r="BQ333" s="19" t="b">
        <f t="shared" si="74"/>
        <v>0</v>
      </c>
      <c r="BR333" s="19" t="b">
        <f t="shared" si="75"/>
        <v>0</v>
      </c>
      <c r="BS333" s="19" t="b">
        <f t="shared" si="76"/>
        <v>0</v>
      </c>
    </row>
    <row r="334" spans="2:71" ht="15.75" x14ac:dyDescent="0.2">
      <c r="B334" s="248" t="str">
        <f>IF(Calc!$F$26=0,"",IF(OR($C334&gt;Calc!$B$24,MOD($C334-1,Calc!$F$26)&gt;0),"",QUOTIENT($C334-1,Calc!$F$26)+1))</f>
        <v/>
      </c>
      <c r="C334" s="244">
        <v>326</v>
      </c>
      <c r="D334" s="142" t="str">
        <f>IF(Planning!$T332="","",Planning!$T332)</f>
        <v/>
      </c>
      <c r="E334" s="143" t="str">
        <f>IF(Planning!$U332="","",Planning!$U332)</f>
        <v/>
      </c>
      <c r="F334" s="161" t="str">
        <f>Planning!$Q332</f>
        <v/>
      </c>
      <c r="G334" s="162" t="s">
        <v>4</v>
      </c>
      <c r="H334" s="161" t="str">
        <f>Planning!$S332</f>
        <v/>
      </c>
      <c r="I334" s="163"/>
      <c r="J334" s="315" t="str">
        <f>Language!$E$90</f>
        <v xml:space="preserve"> - </v>
      </c>
      <c r="K334" s="318"/>
      <c r="L334" s="163"/>
      <c r="M334" s="360" t="str">
        <f>Language!$E$90</f>
        <v xml:space="preserve"> - </v>
      </c>
      <c r="N334" s="318"/>
      <c r="O334" s="163"/>
      <c r="P334" s="360" t="str">
        <f>Language!$E$90</f>
        <v xml:space="preserve"> - </v>
      </c>
      <c r="Q334" s="318"/>
      <c r="R334" s="354" t="str">
        <f t="shared" si="68"/>
        <v/>
      </c>
      <c r="S334" s="357" t="str">
        <f>Language!$E$90</f>
        <v xml:space="preserve"> - </v>
      </c>
      <c r="T334" s="321" t="str">
        <f t="shared" si="69"/>
        <v/>
      </c>
      <c r="U334" s="294"/>
      <c r="V334" s="295"/>
      <c r="BM334" s="193" t="b">
        <f t="shared" si="70"/>
        <v>1</v>
      </c>
      <c r="BN334" s="19" t="b">
        <f t="shared" si="71"/>
        <v>1</v>
      </c>
      <c r="BO334" s="19" t="b">
        <f t="shared" si="72"/>
        <v>1</v>
      </c>
      <c r="BP334" s="19" t="b">
        <f t="shared" si="73"/>
        <v>1</v>
      </c>
      <c r="BQ334" s="19" t="b">
        <f t="shared" si="74"/>
        <v>0</v>
      </c>
      <c r="BR334" s="19" t="b">
        <f t="shared" si="75"/>
        <v>0</v>
      </c>
      <c r="BS334" s="19" t="b">
        <f t="shared" si="76"/>
        <v>0</v>
      </c>
    </row>
    <row r="335" spans="2:71" ht="15.75" x14ac:dyDescent="0.2">
      <c r="B335" s="248" t="str">
        <f>IF(Calc!$F$26=0,"",IF(OR($C335&gt;Calc!$B$24,MOD($C335-1,Calc!$F$26)&gt;0),"",QUOTIENT($C335-1,Calc!$F$26)+1))</f>
        <v/>
      </c>
      <c r="C335" s="244">
        <v>327</v>
      </c>
      <c r="D335" s="142" t="str">
        <f>IF(Planning!$T333="","",Planning!$T333)</f>
        <v/>
      </c>
      <c r="E335" s="143" t="str">
        <f>IF(Planning!$U333="","",Planning!$U333)</f>
        <v/>
      </c>
      <c r="F335" s="161" t="str">
        <f>Planning!$Q333</f>
        <v/>
      </c>
      <c r="G335" s="162" t="s">
        <v>4</v>
      </c>
      <c r="H335" s="161" t="str">
        <f>Planning!$S333</f>
        <v/>
      </c>
      <c r="I335" s="163"/>
      <c r="J335" s="315" t="str">
        <f>Language!$E$90</f>
        <v xml:space="preserve"> - </v>
      </c>
      <c r="K335" s="318"/>
      <c r="L335" s="163"/>
      <c r="M335" s="360" t="str">
        <f>Language!$E$90</f>
        <v xml:space="preserve"> - </v>
      </c>
      <c r="N335" s="318"/>
      <c r="O335" s="163"/>
      <c r="P335" s="360" t="str">
        <f>Language!$E$90</f>
        <v xml:space="preserve"> - </v>
      </c>
      <c r="Q335" s="318"/>
      <c r="R335" s="354" t="str">
        <f t="shared" si="68"/>
        <v/>
      </c>
      <c r="S335" s="357" t="str">
        <f>Language!$E$90</f>
        <v xml:space="preserve"> - </v>
      </c>
      <c r="T335" s="321" t="str">
        <f t="shared" si="69"/>
        <v/>
      </c>
      <c r="U335" s="294"/>
      <c r="V335" s="295"/>
      <c r="BM335" s="193" t="b">
        <f t="shared" si="70"/>
        <v>1</v>
      </c>
      <c r="BN335" s="19" t="b">
        <f t="shared" si="71"/>
        <v>1</v>
      </c>
      <c r="BO335" s="19" t="b">
        <f t="shared" si="72"/>
        <v>1</v>
      </c>
      <c r="BP335" s="19" t="b">
        <f t="shared" si="73"/>
        <v>1</v>
      </c>
      <c r="BQ335" s="19" t="b">
        <f t="shared" si="74"/>
        <v>0</v>
      </c>
      <c r="BR335" s="19" t="b">
        <f t="shared" si="75"/>
        <v>0</v>
      </c>
      <c r="BS335" s="19" t="b">
        <f t="shared" si="76"/>
        <v>0</v>
      </c>
    </row>
    <row r="336" spans="2:71" ht="15.75" x14ac:dyDescent="0.2">
      <c r="B336" s="248" t="str">
        <f>IF(Calc!$F$26=0,"",IF(OR($C336&gt;Calc!$B$24,MOD($C336-1,Calc!$F$26)&gt;0),"",QUOTIENT($C336-1,Calc!$F$26)+1))</f>
        <v/>
      </c>
      <c r="C336" s="244">
        <v>328</v>
      </c>
      <c r="D336" s="142" t="str">
        <f>IF(Planning!$T334="","",Planning!$T334)</f>
        <v/>
      </c>
      <c r="E336" s="143" t="str">
        <f>IF(Planning!$U334="","",Planning!$U334)</f>
        <v/>
      </c>
      <c r="F336" s="161" t="str">
        <f>Planning!$Q334</f>
        <v/>
      </c>
      <c r="G336" s="162" t="s">
        <v>4</v>
      </c>
      <c r="H336" s="161" t="str">
        <f>Planning!$S334</f>
        <v/>
      </c>
      <c r="I336" s="163"/>
      <c r="J336" s="315" t="str">
        <f>Language!$E$90</f>
        <v xml:space="preserve"> - </v>
      </c>
      <c r="K336" s="318"/>
      <c r="L336" s="163"/>
      <c r="M336" s="360" t="str">
        <f>Language!$E$90</f>
        <v xml:space="preserve"> - </v>
      </c>
      <c r="N336" s="318"/>
      <c r="O336" s="163"/>
      <c r="P336" s="360" t="str">
        <f>Language!$E$90</f>
        <v xml:space="preserve"> - </v>
      </c>
      <c r="Q336" s="318"/>
      <c r="R336" s="354" t="str">
        <f t="shared" si="68"/>
        <v/>
      </c>
      <c r="S336" s="357" t="str">
        <f>Language!$E$90</f>
        <v xml:space="preserve"> - </v>
      </c>
      <c r="T336" s="321" t="str">
        <f t="shared" si="69"/>
        <v/>
      </c>
      <c r="U336" s="294"/>
      <c r="V336" s="295"/>
      <c r="BM336" s="193" t="b">
        <f t="shared" si="70"/>
        <v>1</v>
      </c>
      <c r="BN336" s="19" t="b">
        <f t="shared" si="71"/>
        <v>1</v>
      </c>
      <c r="BO336" s="19" t="b">
        <f t="shared" si="72"/>
        <v>1</v>
      </c>
      <c r="BP336" s="19" t="b">
        <f t="shared" si="73"/>
        <v>1</v>
      </c>
      <c r="BQ336" s="19" t="b">
        <f t="shared" si="74"/>
        <v>0</v>
      </c>
      <c r="BR336" s="19" t="b">
        <f t="shared" si="75"/>
        <v>0</v>
      </c>
      <c r="BS336" s="19" t="b">
        <f t="shared" si="76"/>
        <v>0</v>
      </c>
    </row>
    <row r="337" spans="2:71" ht="15.75" x14ac:dyDescent="0.2">
      <c r="B337" s="248" t="str">
        <f>IF(Calc!$F$26=0,"",IF(OR($C337&gt;Calc!$B$24,MOD($C337-1,Calc!$F$26)&gt;0),"",QUOTIENT($C337-1,Calc!$F$26)+1))</f>
        <v/>
      </c>
      <c r="C337" s="244">
        <v>329</v>
      </c>
      <c r="D337" s="142" t="str">
        <f>IF(Planning!$T335="","",Planning!$T335)</f>
        <v/>
      </c>
      <c r="E337" s="143" t="str">
        <f>IF(Planning!$U335="","",Planning!$U335)</f>
        <v/>
      </c>
      <c r="F337" s="161" t="str">
        <f>Planning!$Q335</f>
        <v/>
      </c>
      <c r="G337" s="162" t="s">
        <v>4</v>
      </c>
      <c r="H337" s="161" t="str">
        <f>Planning!$S335</f>
        <v/>
      </c>
      <c r="I337" s="163"/>
      <c r="J337" s="315" t="str">
        <f>Language!$E$90</f>
        <v xml:space="preserve"> - </v>
      </c>
      <c r="K337" s="318"/>
      <c r="L337" s="163"/>
      <c r="M337" s="360" t="str">
        <f>Language!$E$90</f>
        <v xml:space="preserve"> - </v>
      </c>
      <c r="N337" s="318"/>
      <c r="O337" s="163"/>
      <c r="P337" s="360" t="str">
        <f>Language!$E$90</f>
        <v xml:space="preserve"> - </v>
      </c>
      <c r="Q337" s="318"/>
      <c r="R337" s="354" t="str">
        <f t="shared" si="68"/>
        <v/>
      </c>
      <c r="S337" s="357" t="str">
        <f>Language!$E$90</f>
        <v xml:space="preserve"> - </v>
      </c>
      <c r="T337" s="321" t="str">
        <f t="shared" si="69"/>
        <v/>
      </c>
      <c r="U337" s="294"/>
      <c r="V337" s="295"/>
      <c r="BM337" s="193" t="b">
        <f t="shared" si="70"/>
        <v>1</v>
      </c>
      <c r="BN337" s="19" t="b">
        <f t="shared" si="71"/>
        <v>1</v>
      </c>
      <c r="BO337" s="19" t="b">
        <f t="shared" si="72"/>
        <v>1</v>
      </c>
      <c r="BP337" s="19" t="b">
        <f t="shared" si="73"/>
        <v>1</v>
      </c>
      <c r="BQ337" s="19" t="b">
        <f t="shared" si="74"/>
        <v>0</v>
      </c>
      <c r="BR337" s="19" t="b">
        <f t="shared" si="75"/>
        <v>0</v>
      </c>
      <c r="BS337" s="19" t="b">
        <f t="shared" si="76"/>
        <v>0</v>
      </c>
    </row>
    <row r="338" spans="2:71" ht="15.75" x14ac:dyDescent="0.2">
      <c r="B338" s="248" t="str">
        <f>IF(Calc!$F$26=0,"",IF(OR($C338&gt;Calc!$B$24,MOD($C338-1,Calc!$F$26)&gt;0),"",QUOTIENT($C338-1,Calc!$F$26)+1))</f>
        <v/>
      </c>
      <c r="C338" s="244">
        <v>330</v>
      </c>
      <c r="D338" s="142" t="str">
        <f>IF(Planning!$T336="","",Planning!$T336)</f>
        <v/>
      </c>
      <c r="E338" s="143" t="str">
        <f>IF(Planning!$U336="","",Planning!$U336)</f>
        <v/>
      </c>
      <c r="F338" s="161" t="str">
        <f>Planning!$Q336</f>
        <v/>
      </c>
      <c r="G338" s="162" t="s">
        <v>4</v>
      </c>
      <c r="H338" s="161" t="str">
        <f>Planning!$S336</f>
        <v/>
      </c>
      <c r="I338" s="163"/>
      <c r="J338" s="315" t="str">
        <f>Language!$E$90</f>
        <v xml:space="preserve"> - </v>
      </c>
      <c r="K338" s="318"/>
      <c r="L338" s="163"/>
      <c r="M338" s="360" t="str">
        <f>Language!$E$90</f>
        <v xml:space="preserve"> - </v>
      </c>
      <c r="N338" s="318"/>
      <c r="O338" s="163"/>
      <c r="P338" s="360" t="str">
        <f>Language!$E$90</f>
        <v xml:space="preserve"> - </v>
      </c>
      <c r="Q338" s="318"/>
      <c r="R338" s="354" t="str">
        <f t="shared" si="68"/>
        <v/>
      </c>
      <c r="S338" s="357" t="str">
        <f>Language!$E$90</f>
        <v xml:space="preserve"> - </v>
      </c>
      <c r="T338" s="321" t="str">
        <f t="shared" si="69"/>
        <v/>
      </c>
      <c r="U338" s="294"/>
      <c r="V338" s="295"/>
      <c r="BM338" s="193" t="b">
        <f t="shared" si="70"/>
        <v>1</v>
      </c>
      <c r="BN338" s="19" t="b">
        <f t="shared" si="71"/>
        <v>1</v>
      </c>
      <c r="BO338" s="19" t="b">
        <f t="shared" si="72"/>
        <v>1</v>
      </c>
      <c r="BP338" s="19" t="b">
        <f t="shared" si="73"/>
        <v>1</v>
      </c>
      <c r="BQ338" s="19" t="b">
        <f t="shared" si="74"/>
        <v>0</v>
      </c>
      <c r="BR338" s="19" t="b">
        <f t="shared" si="75"/>
        <v>0</v>
      </c>
      <c r="BS338" s="19" t="b">
        <f t="shared" si="76"/>
        <v>0</v>
      </c>
    </row>
    <row r="339" spans="2:71" ht="15.75" x14ac:dyDescent="0.2">
      <c r="B339" s="248" t="str">
        <f>IF(Calc!$F$26=0,"",IF(OR($C339&gt;Calc!$B$24,MOD($C339-1,Calc!$F$26)&gt;0),"",QUOTIENT($C339-1,Calc!$F$26)+1))</f>
        <v/>
      </c>
      <c r="C339" s="244">
        <v>331</v>
      </c>
      <c r="D339" s="142" t="str">
        <f>IF(Planning!$T337="","",Planning!$T337)</f>
        <v/>
      </c>
      <c r="E339" s="143" t="str">
        <f>IF(Planning!$U337="","",Planning!$U337)</f>
        <v/>
      </c>
      <c r="F339" s="161" t="str">
        <f>Planning!$Q337</f>
        <v/>
      </c>
      <c r="G339" s="162" t="s">
        <v>4</v>
      </c>
      <c r="H339" s="161" t="str">
        <f>Planning!$S337</f>
        <v/>
      </c>
      <c r="I339" s="163"/>
      <c r="J339" s="315" t="str">
        <f>Language!$E$90</f>
        <v xml:space="preserve"> - </v>
      </c>
      <c r="K339" s="318"/>
      <c r="L339" s="163"/>
      <c r="M339" s="360" t="str">
        <f>Language!$E$90</f>
        <v xml:space="preserve"> - </v>
      </c>
      <c r="N339" s="318"/>
      <c r="O339" s="163"/>
      <c r="P339" s="360" t="str">
        <f>Language!$E$90</f>
        <v xml:space="preserve"> - </v>
      </c>
      <c r="Q339" s="318"/>
      <c r="R339" s="354" t="str">
        <f t="shared" si="68"/>
        <v/>
      </c>
      <c r="S339" s="357" t="str">
        <f>Language!$E$90</f>
        <v xml:space="preserve"> - </v>
      </c>
      <c r="T339" s="321" t="str">
        <f t="shared" si="69"/>
        <v/>
      </c>
      <c r="U339" s="294"/>
      <c r="V339" s="295"/>
      <c r="BM339" s="193" t="b">
        <f t="shared" si="70"/>
        <v>1</v>
      </c>
      <c r="BN339" s="19" t="b">
        <f t="shared" si="71"/>
        <v>1</v>
      </c>
      <c r="BO339" s="19" t="b">
        <f t="shared" si="72"/>
        <v>1</v>
      </c>
      <c r="BP339" s="19" t="b">
        <f t="shared" si="73"/>
        <v>1</v>
      </c>
      <c r="BQ339" s="19" t="b">
        <f t="shared" si="74"/>
        <v>0</v>
      </c>
      <c r="BR339" s="19" t="b">
        <f t="shared" si="75"/>
        <v>0</v>
      </c>
      <c r="BS339" s="19" t="b">
        <f t="shared" si="76"/>
        <v>0</v>
      </c>
    </row>
    <row r="340" spans="2:71" ht="15.75" x14ac:dyDescent="0.2">
      <c r="B340" s="248" t="str">
        <f>IF(Calc!$F$26=0,"",IF(OR($C340&gt;Calc!$B$24,MOD($C340-1,Calc!$F$26)&gt;0),"",QUOTIENT($C340-1,Calc!$F$26)+1))</f>
        <v/>
      </c>
      <c r="C340" s="244">
        <v>332</v>
      </c>
      <c r="D340" s="142" t="str">
        <f>IF(Planning!$T338="","",Planning!$T338)</f>
        <v/>
      </c>
      <c r="E340" s="143" t="str">
        <f>IF(Planning!$U338="","",Planning!$U338)</f>
        <v/>
      </c>
      <c r="F340" s="161" t="str">
        <f>Planning!$Q338</f>
        <v/>
      </c>
      <c r="G340" s="162" t="s">
        <v>4</v>
      </c>
      <c r="H340" s="161" t="str">
        <f>Planning!$S338</f>
        <v/>
      </c>
      <c r="I340" s="163"/>
      <c r="J340" s="315" t="str">
        <f>Language!$E$90</f>
        <v xml:space="preserve"> - </v>
      </c>
      <c r="K340" s="318"/>
      <c r="L340" s="163"/>
      <c r="M340" s="360" t="str">
        <f>Language!$E$90</f>
        <v xml:space="preserve"> - </v>
      </c>
      <c r="N340" s="318"/>
      <c r="O340" s="163"/>
      <c r="P340" s="360" t="str">
        <f>Language!$E$90</f>
        <v xml:space="preserve"> - </v>
      </c>
      <c r="Q340" s="318"/>
      <c r="R340" s="354" t="str">
        <f t="shared" si="68"/>
        <v/>
      </c>
      <c r="S340" s="357" t="str">
        <f>Language!$E$90</f>
        <v xml:space="preserve"> - </v>
      </c>
      <c r="T340" s="321" t="str">
        <f t="shared" si="69"/>
        <v/>
      </c>
      <c r="U340" s="294"/>
      <c r="V340" s="295"/>
      <c r="BM340" s="193" t="b">
        <f t="shared" si="70"/>
        <v>1</v>
      </c>
      <c r="BN340" s="19" t="b">
        <f t="shared" si="71"/>
        <v>1</v>
      </c>
      <c r="BO340" s="19" t="b">
        <f t="shared" si="72"/>
        <v>1</v>
      </c>
      <c r="BP340" s="19" t="b">
        <f t="shared" si="73"/>
        <v>1</v>
      </c>
      <c r="BQ340" s="19" t="b">
        <f t="shared" si="74"/>
        <v>0</v>
      </c>
      <c r="BR340" s="19" t="b">
        <f t="shared" si="75"/>
        <v>0</v>
      </c>
      <c r="BS340" s="19" t="b">
        <f t="shared" si="76"/>
        <v>0</v>
      </c>
    </row>
    <row r="341" spans="2:71" ht="15.75" x14ac:dyDescent="0.2">
      <c r="B341" s="248" t="str">
        <f>IF(Calc!$F$26=0,"",IF(OR($C341&gt;Calc!$B$24,MOD($C341-1,Calc!$F$26)&gt;0),"",QUOTIENT($C341-1,Calc!$F$26)+1))</f>
        <v/>
      </c>
      <c r="C341" s="244">
        <v>333</v>
      </c>
      <c r="D341" s="142" t="str">
        <f>IF(Planning!$T339="","",Planning!$T339)</f>
        <v/>
      </c>
      <c r="E341" s="143" t="str">
        <f>IF(Planning!$U339="","",Planning!$U339)</f>
        <v/>
      </c>
      <c r="F341" s="161" t="str">
        <f>Planning!$Q339</f>
        <v/>
      </c>
      <c r="G341" s="162" t="s">
        <v>4</v>
      </c>
      <c r="H341" s="161" t="str">
        <f>Planning!$S339</f>
        <v/>
      </c>
      <c r="I341" s="163"/>
      <c r="J341" s="315" t="str">
        <f>Language!$E$90</f>
        <v xml:space="preserve"> - </v>
      </c>
      <c r="K341" s="318"/>
      <c r="L341" s="163"/>
      <c r="M341" s="360" t="str">
        <f>Language!$E$90</f>
        <v xml:space="preserve"> - </v>
      </c>
      <c r="N341" s="318"/>
      <c r="O341" s="163"/>
      <c r="P341" s="360" t="str">
        <f>Language!$E$90</f>
        <v xml:space="preserve"> - </v>
      </c>
      <c r="Q341" s="318"/>
      <c r="R341" s="354" t="str">
        <f t="shared" si="68"/>
        <v/>
      </c>
      <c r="S341" s="357" t="str">
        <f>Language!$E$90</f>
        <v xml:space="preserve"> - </v>
      </c>
      <c r="T341" s="321" t="str">
        <f t="shared" si="69"/>
        <v/>
      </c>
      <c r="U341" s="294"/>
      <c r="V341" s="295"/>
      <c r="BM341" s="193" t="b">
        <f t="shared" si="70"/>
        <v>1</v>
      </c>
      <c r="BN341" s="19" t="b">
        <f t="shared" si="71"/>
        <v>1</v>
      </c>
      <c r="BO341" s="19" t="b">
        <f t="shared" si="72"/>
        <v>1</v>
      </c>
      <c r="BP341" s="19" t="b">
        <f t="shared" si="73"/>
        <v>1</v>
      </c>
      <c r="BQ341" s="19" t="b">
        <f t="shared" si="74"/>
        <v>0</v>
      </c>
      <c r="BR341" s="19" t="b">
        <f t="shared" si="75"/>
        <v>0</v>
      </c>
      <c r="BS341" s="19" t="b">
        <f t="shared" si="76"/>
        <v>0</v>
      </c>
    </row>
    <row r="342" spans="2:71" ht="15.75" x14ac:dyDescent="0.2">
      <c r="B342" s="248" t="str">
        <f>IF(Calc!$F$26=0,"",IF(OR($C342&gt;Calc!$B$24,MOD($C342-1,Calc!$F$26)&gt;0),"",QUOTIENT($C342-1,Calc!$F$26)+1))</f>
        <v/>
      </c>
      <c r="C342" s="244">
        <v>334</v>
      </c>
      <c r="D342" s="142" t="str">
        <f>IF(Planning!$T340="","",Planning!$T340)</f>
        <v/>
      </c>
      <c r="E342" s="143" t="str">
        <f>IF(Planning!$U340="","",Planning!$U340)</f>
        <v/>
      </c>
      <c r="F342" s="161" t="str">
        <f>Planning!$Q340</f>
        <v/>
      </c>
      <c r="G342" s="162" t="s">
        <v>4</v>
      </c>
      <c r="H342" s="161" t="str">
        <f>Planning!$S340</f>
        <v/>
      </c>
      <c r="I342" s="163"/>
      <c r="J342" s="315" t="str">
        <f>Language!$E$90</f>
        <v xml:space="preserve"> - </v>
      </c>
      <c r="K342" s="318"/>
      <c r="L342" s="163"/>
      <c r="M342" s="360" t="str">
        <f>Language!$E$90</f>
        <v xml:space="preserve"> - </v>
      </c>
      <c r="N342" s="318"/>
      <c r="O342" s="163"/>
      <c r="P342" s="360" t="str">
        <f>Language!$E$90</f>
        <v xml:space="preserve"> - </v>
      </c>
      <c r="Q342" s="318"/>
      <c r="R342" s="354" t="str">
        <f t="shared" si="68"/>
        <v/>
      </c>
      <c r="S342" s="357" t="str">
        <f>Language!$E$90</f>
        <v xml:space="preserve"> - </v>
      </c>
      <c r="T342" s="321" t="str">
        <f t="shared" si="69"/>
        <v/>
      </c>
      <c r="U342" s="294"/>
      <c r="V342" s="295"/>
      <c r="BM342" s="193" t="b">
        <f t="shared" si="70"/>
        <v>1</v>
      </c>
      <c r="BN342" s="19" t="b">
        <f t="shared" si="71"/>
        <v>1</v>
      </c>
      <c r="BO342" s="19" t="b">
        <f t="shared" si="72"/>
        <v>1</v>
      </c>
      <c r="BP342" s="19" t="b">
        <f t="shared" si="73"/>
        <v>1</v>
      </c>
      <c r="BQ342" s="19" t="b">
        <f t="shared" si="74"/>
        <v>0</v>
      </c>
      <c r="BR342" s="19" t="b">
        <f t="shared" si="75"/>
        <v>0</v>
      </c>
      <c r="BS342" s="19" t="b">
        <f t="shared" si="76"/>
        <v>0</v>
      </c>
    </row>
    <row r="343" spans="2:71" ht="15.75" x14ac:dyDescent="0.2">
      <c r="B343" s="248" t="str">
        <f>IF(Calc!$F$26=0,"",IF(OR($C343&gt;Calc!$B$24,MOD($C343-1,Calc!$F$26)&gt;0),"",QUOTIENT($C343-1,Calc!$F$26)+1))</f>
        <v/>
      </c>
      <c r="C343" s="244">
        <v>335</v>
      </c>
      <c r="D343" s="142" t="str">
        <f>IF(Planning!$T341="","",Planning!$T341)</f>
        <v/>
      </c>
      <c r="E343" s="143" t="str">
        <f>IF(Planning!$U341="","",Planning!$U341)</f>
        <v/>
      </c>
      <c r="F343" s="161" t="str">
        <f>Planning!$Q341</f>
        <v/>
      </c>
      <c r="G343" s="162" t="s">
        <v>4</v>
      </c>
      <c r="H343" s="161" t="str">
        <f>Planning!$S341</f>
        <v/>
      </c>
      <c r="I343" s="163"/>
      <c r="J343" s="315" t="str">
        <f>Language!$E$90</f>
        <v xml:space="preserve"> - </v>
      </c>
      <c r="K343" s="318"/>
      <c r="L343" s="163"/>
      <c r="M343" s="360" t="str">
        <f>Language!$E$90</f>
        <v xml:space="preserve"> - </v>
      </c>
      <c r="N343" s="318"/>
      <c r="O343" s="163"/>
      <c r="P343" s="360" t="str">
        <f>Language!$E$90</f>
        <v xml:space="preserve"> - </v>
      </c>
      <c r="Q343" s="318"/>
      <c r="R343" s="354" t="str">
        <f t="shared" si="68"/>
        <v/>
      </c>
      <c r="S343" s="357" t="str">
        <f>Language!$E$90</f>
        <v xml:space="preserve"> - </v>
      </c>
      <c r="T343" s="321" t="str">
        <f t="shared" si="69"/>
        <v/>
      </c>
      <c r="U343" s="294"/>
      <c r="V343" s="295"/>
      <c r="BM343" s="193" t="b">
        <f t="shared" si="70"/>
        <v>1</v>
      </c>
      <c r="BN343" s="19" t="b">
        <f t="shared" si="71"/>
        <v>1</v>
      </c>
      <c r="BO343" s="19" t="b">
        <f t="shared" si="72"/>
        <v>1</v>
      </c>
      <c r="BP343" s="19" t="b">
        <f t="shared" si="73"/>
        <v>1</v>
      </c>
      <c r="BQ343" s="19" t="b">
        <f t="shared" si="74"/>
        <v>0</v>
      </c>
      <c r="BR343" s="19" t="b">
        <f t="shared" si="75"/>
        <v>0</v>
      </c>
      <c r="BS343" s="19" t="b">
        <f t="shared" si="76"/>
        <v>0</v>
      </c>
    </row>
    <row r="344" spans="2:71" ht="15.75" x14ac:dyDescent="0.2">
      <c r="B344" s="248" t="str">
        <f>IF(Calc!$F$26=0,"",IF(OR($C344&gt;Calc!$B$24,MOD($C344-1,Calc!$F$26)&gt;0),"",QUOTIENT($C344-1,Calc!$F$26)+1))</f>
        <v/>
      </c>
      <c r="C344" s="244">
        <v>336</v>
      </c>
      <c r="D344" s="142" t="str">
        <f>IF(Planning!$T342="","",Planning!$T342)</f>
        <v/>
      </c>
      <c r="E344" s="143" t="str">
        <f>IF(Planning!$U342="","",Planning!$U342)</f>
        <v/>
      </c>
      <c r="F344" s="161" t="str">
        <f>Planning!$Q342</f>
        <v/>
      </c>
      <c r="G344" s="162" t="s">
        <v>4</v>
      </c>
      <c r="H344" s="161" t="str">
        <f>Planning!$S342</f>
        <v/>
      </c>
      <c r="I344" s="163"/>
      <c r="J344" s="315" t="str">
        <f>Language!$E$90</f>
        <v xml:space="preserve"> - </v>
      </c>
      <c r="K344" s="318"/>
      <c r="L344" s="163"/>
      <c r="M344" s="360" t="str">
        <f>Language!$E$90</f>
        <v xml:space="preserve"> - </v>
      </c>
      <c r="N344" s="318"/>
      <c r="O344" s="163"/>
      <c r="P344" s="360" t="str">
        <f>Language!$E$90</f>
        <v xml:space="preserve"> - </v>
      </c>
      <c r="Q344" s="318"/>
      <c r="R344" s="354" t="str">
        <f t="shared" si="68"/>
        <v/>
      </c>
      <c r="S344" s="357" t="str">
        <f>Language!$E$90</f>
        <v xml:space="preserve"> - </v>
      </c>
      <c r="T344" s="321" t="str">
        <f t="shared" si="69"/>
        <v/>
      </c>
      <c r="U344" s="294"/>
      <c r="V344" s="295"/>
      <c r="BM344" s="193" t="b">
        <f t="shared" si="70"/>
        <v>1</v>
      </c>
      <c r="BN344" s="19" t="b">
        <f t="shared" si="71"/>
        <v>1</v>
      </c>
      <c r="BO344" s="19" t="b">
        <f t="shared" si="72"/>
        <v>1</v>
      </c>
      <c r="BP344" s="19" t="b">
        <f t="shared" si="73"/>
        <v>1</v>
      </c>
      <c r="BQ344" s="19" t="b">
        <f t="shared" si="74"/>
        <v>0</v>
      </c>
      <c r="BR344" s="19" t="b">
        <f t="shared" si="75"/>
        <v>0</v>
      </c>
      <c r="BS344" s="19" t="b">
        <f t="shared" si="76"/>
        <v>0</v>
      </c>
    </row>
    <row r="345" spans="2:71" ht="15.75" x14ac:dyDescent="0.2">
      <c r="B345" s="248" t="str">
        <f>IF(Calc!$F$26=0,"",IF(OR($C345&gt;Calc!$B$24,MOD($C345-1,Calc!$F$26)&gt;0),"",QUOTIENT($C345-1,Calc!$F$26)+1))</f>
        <v/>
      </c>
      <c r="C345" s="244">
        <v>337</v>
      </c>
      <c r="D345" s="142" t="str">
        <f>IF(Planning!$T343="","",Planning!$T343)</f>
        <v/>
      </c>
      <c r="E345" s="143" t="str">
        <f>IF(Planning!$U343="","",Planning!$U343)</f>
        <v/>
      </c>
      <c r="F345" s="161" t="str">
        <f>Planning!$Q343</f>
        <v/>
      </c>
      <c r="G345" s="162" t="s">
        <v>4</v>
      </c>
      <c r="H345" s="161" t="str">
        <f>Planning!$S343</f>
        <v/>
      </c>
      <c r="I345" s="163"/>
      <c r="J345" s="315" t="str">
        <f>Language!$E$90</f>
        <v xml:space="preserve"> - </v>
      </c>
      <c r="K345" s="318"/>
      <c r="L345" s="163"/>
      <c r="M345" s="360" t="str">
        <f>Language!$E$90</f>
        <v xml:space="preserve"> - </v>
      </c>
      <c r="N345" s="318"/>
      <c r="O345" s="163"/>
      <c r="P345" s="360" t="str">
        <f>Language!$E$90</f>
        <v xml:space="preserve"> - </v>
      </c>
      <c r="Q345" s="318"/>
      <c r="R345" s="354" t="str">
        <f t="shared" si="68"/>
        <v/>
      </c>
      <c r="S345" s="357" t="str">
        <f>Language!$E$90</f>
        <v xml:space="preserve"> - </v>
      </c>
      <c r="T345" s="321" t="str">
        <f t="shared" si="69"/>
        <v/>
      </c>
      <c r="U345" s="294"/>
      <c r="V345" s="295"/>
      <c r="BM345" s="193" t="b">
        <f t="shared" si="70"/>
        <v>1</v>
      </c>
      <c r="BN345" s="19" t="b">
        <f t="shared" si="71"/>
        <v>1</v>
      </c>
      <c r="BO345" s="19" t="b">
        <f t="shared" si="72"/>
        <v>1</v>
      </c>
      <c r="BP345" s="19" t="b">
        <f t="shared" si="73"/>
        <v>1</v>
      </c>
      <c r="BQ345" s="19" t="b">
        <f t="shared" si="74"/>
        <v>0</v>
      </c>
      <c r="BR345" s="19" t="b">
        <f t="shared" si="75"/>
        <v>0</v>
      </c>
      <c r="BS345" s="19" t="b">
        <f t="shared" si="76"/>
        <v>0</v>
      </c>
    </row>
    <row r="346" spans="2:71" ht="15.75" x14ac:dyDescent="0.2">
      <c r="B346" s="248" t="str">
        <f>IF(Calc!$F$26=0,"",IF(OR($C346&gt;Calc!$B$24,MOD($C346-1,Calc!$F$26)&gt;0),"",QUOTIENT($C346-1,Calc!$F$26)+1))</f>
        <v/>
      </c>
      <c r="C346" s="244">
        <v>338</v>
      </c>
      <c r="D346" s="142" t="str">
        <f>IF(Planning!$T344="","",Planning!$T344)</f>
        <v/>
      </c>
      <c r="E346" s="143" t="str">
        <f>IF(Planning!$U344="","",Planning!$U344)</f>
        <v/>
      </c>
      <c r="F346" s="161" t="str">
        <f>Planning!$Q344</f>
        <v/>
      </c>
      <c r="G346" s="162" t="s">
        <v>4</v>
      </c>
      <c r="H346" s="161" t="str">
        <f>Planning!$S344</f>
        <v/>
      </c>
      <c r="I346" s="163"/>
      <c r="J346" s="315" t="str">
        <f>Language!$E$90</f>
        <v xml:space="preserve"> - </v>
      </c>
      <c r="K346" s="318"/>
      <c r="L346" s="163"/>
      <c r="M346" s="360" t="str">
        <f>Language!$E$90</f>
        <v xml:space="preserve"> - </v>
      </c>
      <c r="N346" s="318"/>
      <c r="O346" s="163"/>
      <c r="P346" s="360" t="str">
        <f>Language!$E$90</f>
        <v xml:space="preserve"> - </v>
      </c>
      <c r="Q346" s="318"/>
      <c r="R346" s="354" t="str">
        <f t="shared" si="68"/>
        <v/>
      </c>
      <c r="S346" s="357" t="str">
        <f>Language!$E$90</f>
        <v xml:space="preserve"> - </v>
      </c>
      <c r="T346" s="321" t="str">
        <f t="shared" si="69"/>
        <v/>
      </c>
      <c r="U346" s="294"/>
      <c r="V346" s="295"/>
      <c r="BM346" s="193" t="b">
        <f t="shared" si="70"/>
        <v>1</v>
      </c>
      <c r="BN346" s="19" t="b">
        <f t="shared" si="71"/>
        <v>1</v>
      </c>
      <c r="BO346" s="19" t="b">
        <f t="shared" si="72"/>
        <v>1</v>
      </c>
      <c r="BP346" s="19" t="b">
        <f t="shared" si="73"/>
        <v>1</v>
      </c>
      <c r="BQ346" s="19" t="b">
        <f t="shared" si="74"/>
        <v>0</v>
      </c>
      <c r="BR346" s="19" t="b">
        <f t="shared" si="75"/>
        <v>0</v>
      </c>
      <c r="BS346" s="19" t="b">
        <f t="shared" si="76"/>
        <v>0</v>
      </c>
    </row>
    <row r="347" spans="2:71" ht="15.75" x14ac:dyDescent="0.2">
      <c r="B347" s="248" t="str">
        <f>IF(Calc!$F$26=0,"",IF(OR($C347&gt;Calc!$B$24,MOD($C347-1,Calc!$F$26)&gt;0),"",QUOTIENT($C347-1,Calc!$F$26)+1))</f>
        <v/>
      </c>
      <c r="C347" s="244">
        <v>339</v>
      </c>
      <c r="D347" s="142" t="str">
        <f>IF(Planning!$T345="","",Planning!$T345)</f>
        <v/>
      </c>
      <c r="E347" s="143" t="str">
        <f>IF(Planning!$U345="","",Planning!$U345)</f>
        <v/>
      </c>
      <c r="F347" s="161" t="str">
        <f>Planning!$Q345</f>
        <v/>
      </c>
      <c r="G347" s="162" t="s">
        <v>4</v>
      </c>
      <c r="H347" s="161" t="str">
        <f>Planning!$S345</f>
        <v/>
      </c>
      <c r="I347" s="163"/>
      <c r="J347" s="315" t="str">
        <f>Language!$E$90</f>
        <v xml:space="preserve"> - </v>
      </c>
      <c r="K347" s="318"/>
      <c r="L347" s="163"/>
      <c r="M347" s="360" t="str">
        <f>Language!$E$90</f>
        <v xml:space="preserve"> - </v>
      </c>
      <c r="N347" s="318"/>
      <c r="O347" s="163"/>
      <c r="P347" s="360" t="str">
        <f>Language!$E$90</f>
        <v xml:space="preserve"> - </v>
      </c>
      <c r="Q347" s="318"/>
      <c r="R347" s="354" t="str">
        <f t="shared" si="68"/>
        <v/>
      </c>
      <c r="S347" s="357" t="str">
        <f>Language!$E$90</f>
        <v xml:space="preserve"> - </v>
      </c>
      <c r="T347" s="321" t="str">
        <f t="shared" si="69"/>
        <v/>
      </c>
      <c r="U347" s="294"/>
      <c r="V347" s="295"/>
      <c r="BM347" s="193" t="b">
        <f t="shared" si="70"/>
        <v>1</v>
      </c>
      <c r="BN347" s="19" t="b">
        <f t="shared" si="71"/>
        <v>1</v>
      </c>
      <c r="BO347" s="19" t="b">
        <f t="shared" si="72"/>
        <v>1</v>
      </c>
      <c r="BP347" s="19" t="b">
        <f t="shared" si="73"/>
        <v>1</v>
      </c>
      <c r="BQ347" s="19" t="b">
        <f t="shared" si="74"/>
        <v>0</v>
      </c>
      <c r="BR347" s="19" t="b">
        <f t="shared" si="75"/>
        <v>0</v>
      </c>
      <c r="BS347" s="19" t="b">
        <f t="shared" si="76"/>
        <v>0</v>
      </c>
    </row>
    <row r="348" spans="2:71" ht="15.75" x14ac:dyDescent="0.2">
      <c r="B348" s="248" t="str">
        <f>IF(Calc!$F$26=0,"",IF(OR($C348&gt;Calc!$B$24,MOD($C348-1,Calc!$F$26)&gt;0),"",QUOTIENT($C348-1,Calc!$F$26)+1))</f>
        <v/>
      </c>
      <c r="C348" s="244">
        <v>340</v>
      </c>
      <c r="D348" s="142" t="str">
        <f>IF(Planning!$T346="","",Planning!$T346)</f>
        <v/>
      </c>
      <c r="E348" s="143" t="str">
        <f>IF(Planning!$U346="","",Planning!$U346)</f>
        <v/>
      </c>
      <c r="F348" s="161" t="str">
        <f>Planning!$Q346</f>
        <v/>
      </c>
      <c r="G348" s="162" t="s">
        <v>4</v>
      </c>
      <c r="H348" s="161" t="str">
        <f>Planning!$S346</f>
        <v/>
      </c>
      <c r="I348" s="163"/>
      <c r="J348" s="315" t="str">
        <f>Language!$E$90</f>
        <v xml:space="preserve"> - </v>
      </c>
      <c r="K348" s="318"/>
      <c r="L348" s="163"/>
      <c r="M348" s="360" t="str">
        <f>Language!$E$90</f>
        <v xml:space="preserve"> - </v>
      </c>
      <c r="N348" s="318"/>
      <c r="O348" s="163"/>
      <c r="P348" s="360" t="str">
        <f>Language!$E$90</f>
        <v xml:space="preserve"> - </v>
      </c>
      <c r="Q348" s="318"/>
      <c r="R348" s="354" t="str">
        <f t="shared" si="68"/>
        <v/>
      </c>
      <c r="S348" s="357" t="str">
        <f>Language!$E$90</f>
        <v xml:space="preserve"> - </v>
      </c>
      <c r="T348" s="321" t="str">
        <f t="shared" si="69"/>
        <v/>
      </c>
      <c r="U348" s="294"/>
      <c r="V348" s="295"/>
      <c r="BM348" s="193" t="b">
        <f t="shared" si="70"/>
        <v>1</v>
      </c>
      <c r="BN348" s="19" t="b">
        <f t="shared" si="71"/>
        <v>1</v>
      </c>
      <c r="BO348" s="19" t="b">
        <f t="shared" si="72"/>
        <v>1</v>
      </c>
      <c r="BP348" s="19" t="b">
        <f t="shared" si="73"/>
        <v>1</v>
      </c>
      <c r="BQ348" s="19" t="b">
        <f t="shared" si="74"/>
        <v>0</v>
      </c>
      <c r="BR348" s="19" t="b">
        <f t="shared" si="75"/>
        <v>0</v>
      </c>
      <c r="BS348" s="19" t="b">
        <f t="shared" si="76"/>
        <v>0</v>
      </c>
    </row>
    <row r="349" spans="2:71" ht="15.75" x14ac:dyDescent="0.2">
      <c r="B349" s="248" t="str">
        <f>IF(Calc!$F$26=0,"",IF(OR($C349&gt;Calc!$B$24,MOD($C349-1,Calc!$F$26)&gt;0),"",QUOTIENT($C349-1,Calc!$F$26)+1))</f>
        <v/>
      </c>
      <c r="C349" s="244">
        <v>341</v>
      </c>
      <c r="D349" s="142" t="str">
        <f>IF(Planning!$T347="","",Planning!$T347)</f>
        <v/>
      </c>
      <c r="E349" s="143" t="str">
        <f>IF(Planning!$U347="","",Planning!$U347)</f>
        <v/>
      </c>
      <c r="F349" s="161" t="str">
        <f>Planning!$Q347</f>
        <v/>
      </c>
      <c r="G349" s="162" t="s">
        <v>4</v>
      </c>
      <c r="H349" s="161" t="str">
        <f>Planning!$S347</f>
        <v/>
      </c>
      <c r="I349" s="163"/>
      <c r="J349" s="315" t="str">
        <f>Language!$E$90</f>
        <v xml:space="preserve"> - </v>
      </c>
      <c r="K349" s="318"/>
      <c r="L349" s="163"/>
      <c r="M349" s="360" t="str">
        <f>Language!$E$90</f>
        <v xml:space="preserve"> - </v>
      </c>
      <c r="N349" s="318"/>
      <c r="O349" s="163"/>
      <c r="P349" s="360" t="str">
        <f>Language!$E$90</f>
        <v xml:space="preserve"> - </v>
      </c>
      <c r="Q349" s="318"/>
      <c r="R349" s="354" t="str">
        <f t="shared" si="68"/>
        <v/>
      </c>
      <c r="S349" s="357" t="str">
        <f>Language!$E$90</f>
        <v xml:space="preserve"> - </v>
      </c>
      <c r="T349" s="321" t="str">
        <f t="shared" si="69"/>
        <v/>
      </c>
      <c r="U349" s="294"/>
      <c r="V349" s="295"/>
      <c r="BM349" s="193" t="b">
        <f t="shared" si="70"/>
        <v>1</v>
      </c>
      <c r="BN349" s="19" t="b">
        <f t="shared" si="71"/>
        <v>1</v>
      </c>
      <c r="BO349" s="19" t="b">
        <f t="shared" si="72"/>
        <v>1</v>
      </c>
      <c r="BP349" s="19" t="b">
        <f t="shared" si="73"/>
        <v>1</v>
      </c>
      <c r="BQ349" s="19" t="b">
        <f t="shared" si="74"/>
        <v>0</v>
      </c>
      <c r="BR349" s="19" t="b">
        <f t="shared" si="75"/>
        <v>0</v>
      </c>
      <c r="BS349" s="19" t="b">
        <f t="shared" si="76"/>
        <v>0</v>
      </c>
    </row>
    <row r="350" spans="2:71" ht="15.75" x14ac:dyDescent="0.2">
      <c r="B350" s="248" t="str">
        <f>IF(Calc!$F$26=0,"",IF(OR($C350&gt;Calc!$B$24,MOD($C350-1,Calc!$F$26)&gt;0),"",QUOTIENT($C350-1,Calc!$F$26)+1))</f>
        <v/>
      </c>
      <c r="C350" s="244">
        <v>342</v>
      </c>
      <c r="D350" s="142" t="str">
        <f>IF(Planning!$T348="","",Planning!$T348)</f>
        <v/>
      </c>
      <c r="E350" s="143" t="str">
        <f>IF(Planning!$U348="","",Planning!$U348)</f>
        <v/>
      </c>
      <c r="F350" s="161" t="str">
        <f>Planning!$Q348</f>
        <v/>
      </c>
      <c r="G350" s="162" t="s">
        <v>4</v>
      </c>
      <c r="H350" s="161" t="str">
        <f>Planning!$S348</f>
        <v/>
      </c>
      <c r="I350" s="163"/>
      <c r="J350" s="315" t="str">
        <f>Language!$E$90</f>
        <v xml:space="preserve"> - </v>
      </c>
      <c r="K350" s="318"/>
      <c r="L350" s="163"/>
      <c r="M350" s="360" t="str">
        <f>Language!$E$90</f>
        <v xml:space="preserve"> - </v>
      </c>
      <c r="N350" s="318"/>
      <c r="O350" s="163"/>
      <c r="P350" s="360" t="str">
        <f>Language!$E$90</f>
        <v xml:space="preserve"> - </v>
      </c>
      <c r="Q350" s="318"/>
      <c r="R350" s="354" t="str">
        <f t="shared" si="68"/>
        <v/>
      </c>
      <c r="S350" s="357" t="str">
        <f>Language!$E$90</f>
        <v xml:space="preserve"> - </v>
      </c>
      <c r="T350" s="321" t="str">
        <f t="shared" si="69"/>
        <v/>
      </c>
      <c r="U350" s="294"/>
      <c r="V350" s="295"/>
      <c r="BM350" s="193" t="b">
        <f t="shared" si="70"/>
        <v>1</v>
      </c>
      <c r="BN350" s="19" t="b">
        <f t="shared" si="71"/>
        <v>1</v>
      </c>
      <c r="BO350" s="19" t="b">
        <f t="shared" si="72"/>
        <v>1</v>
      </c>
      <c r="BP350" s="19" t="b">
        <f t="shared" si="73"/>
        <v>1</v>
      </c>
      <c r="BQ350" s="19" t="b">
        <f t="shared" si="74"/>
        <v>0</v>
      </c>
      <c r="BR350" s="19" t="b">
        <f t="shared" si="75"/>
        <v>0</v>
      </c>
      <c r="BS350" s="19" t="b">
        <f t="shared" si="76"/>
        <v>0</v>
      </c>
    </row>
    <row r="351" spans="2:71" ht="15.75" x14ac:dyDescent="0.2">
      <c r="B351" s="248" t="str">
        <f>IF(Calc!$F$26=0,"",IF(OR($C351&gt;Calc!$B$24,MOD($C351-1,Calc!$F$26)&gt;0),"",QUOTIENT($C351-1,Calc!$F$26)+1))</f>
        <v/>
      </c>
      <c r="C351" s="244">
        <v>343</v>
      </c>
      <c r="D351" s="142" t="str">
        <f>IF(Planning!$T349="","",Planning!$T349)</f>
        <v/>
      </c>
      <c r="E351" s="143" t="str">
        <f>IF(Planning!$U349="","",Planning!$U349)</f>
        <v/>
      </c>
      <c r="F351" s="161" t="str">
        <f>Planning!$Q349</f>
        <v/>
      </c>
      <c r="G351" s="162" t="s">
        <v>4</v>
      </c>
      <c r="H351" s="161" t="str">
        <f>Planning!$S349</f>
        <v/>
      </c>
      <c r="I351" s="163"/>
      <c r="J351" s="315" t="str">
        <f>Language!$E$90</f>
        <v xml:space="preserve"> - </v>
      </c>
      <c r="K351" s="318"/>
      <c r="L351" s="163"/>
      <c r="M351" s="360" t="str">
        <f>Language!$E$90</f>
        <v xml:space="preserve"> - </v>
      </c>
      <c r="N351" s="318"/>
      <c r="O351" s="163"/>
      <c r="P351" s="360" t="str">
        <f>Language!$E$90</f>
        <v xml:space="preserve"> - </v>
      </c>
      <c r="Q351" s="318"/>
      <c r="R351" s="354" t="str">
        <f t="shared" si="68"/>
        <v/>
      </c>
      <c r="S351" s="357" t="str">
        <f>Language!$E$90</f>
        <v xml:space="preserve"> - </v>
      </c>
      <c r="T351" s="321" t="str">
        <f t="shared" si="69"/>
        <v/>
      </c>
      <c r="U351" s="294"/>
      <c r="V351" s="295"/>
      <c r="BM351" s="193" t="b">
        <f t="shared" si="70"/>
        <v>1</v>
      </c>
      <c r="BN351" s="19" t="b">
        <f t="shared" si="71"/>
        <v>1</v>
      </c>
      <c r="BO351" s="19" t="b">
        <f t="shared" si="72"/>
        <v>1</v>
      </c>
      <c r="BP351" s="19" t="b">
        <f t="shared" si="73"/>
        <v>1</v>
      </c>
      <c r="BQ351" s="19" t="b">
        <f t="shared" si="74"/>
        <v>0</v>
      </c>
      <c r="BR351" s="19" t="b">
        <f t="shared" si="75"/>
        <v>0</v>
      </c>
      <c r="BS351" s="19" t="b">
        <f t="shared" si="76"/>
        <v>0</v>
      </c>
    </row>
    <row r="352" spans="2:71" ht="15.75" x14ac:dyDescent="0.2">
      <c r="B352" s="248" t="str">
        <f>IF(Calc!$F$26=0,"",IF(OR($C352&gt;Calc!$B$24,MOD($C352-1,Calc!$F$26)&gt;0),"",QUOTIENT($C352-1,Calc!$F$26)+1))</f>
        <v/>
      </c>
      <c r="C352" s="244">
        <v>344</v>
      </c>
      <c r="D352" s="142" t="str">
        <f>IF(Planning!$T350="","",Planning!$T350)</f>
        <v/>
      </c>
      <c r="E352" s="143" t="str">
        <f>IF(Planning!$U350="","",Planning!$U350)</f>
        <v/>
      </c>
      <c r="F352" s="161" t="str">
        <f>Planning!$Q350</f>
        <v/>
      </c>
      <c r="G352" s="162" t="s">
        <v>4</v>
      </c>
      <c r="H352" s="161" t="str">
        <f>Planning!$S350</f>
        <v/>
      </c>
      <c r="I352" s="163"/>
      <c r="J352" s="315" t="str">
        <f>Language!$E$90</f>
        <v xml:space="preserve"> - </v>
      </c>
      <c r="K352" s="318"/>
      <c r="L352" s="163"/>
      <c r="M352" s="360" t="str">
        <f>Language!$E$90</f>
        <v xml:space="preserve"> - </v>
      </c>
      <c r="N352" s="318"/>
      <c r="O352" s="163"/>
      <c r="P352" s="360" t="str">
        <f>Language!$E$90</f>
        <v xml:space="preserve"> - </v>
      </c>
      <c r="Q352" s="318"/>
      <c r="R352" s="354" t="str">
        <f t="shared" si="68"/>
        <v/>
      </c>
      <c r="S352" s="357" t="str">
        <f>Language!$E$90</f>
        <v xml:space="preserve"> - </v>
      </c>
      <c r="T352" s="321" t="str">
        <f t="shared" si="69"/>
        <v/>
      </c>
      <c r="U352" s="294"/>
      <c r="V352" s="295"/>
      <c r="BM352" s="193" t="b">
        <f t="shared" si="70"/>
        <v>1</v>
      </c>
      <c r="BN352" s="19" t="b">
        <f t="shared" si="71"/>
        <v>1</v>
      </c>
      <c r="BO352" s="19" t="b">
        <f t="shared" si="72"/>
        <v>1</v>
      </c>
      <c r="BP352" s="19" t="b">
        <f t="shared" si="73"/>
        <v>1</v>
      </c>
      <c r="BQ352" s="19" t="b">
        <f t="shared" si="74"/>
        <v>0</v>
      </c>
      <c r="BR352" s="19" t="b">
        <f t="shared" si="75"/>
        <v>0</v>
      </c>
      <c r="BS352" s="19" t="b">
        <f t="shared" si="76"/>
        <v>0</v>
      </c>
    </row>
    <row r="353" spans="2:71" ht="15.75" x14ac:dyDescent="0.2">
      <c r="B353" s="248" t="str">
        <f>IF(Calc!$F$26=0,"",IF(OR($C353&gt;Calc!$B$24,MOD($C353-1,Calc!$F$26)&gt;0),"",QUOTIENT($C353-1,Calc!$F$26)+1))</f>
        <v/>
      </c>
      <c r="C353" s="244">
        <v>345</v>
      </c>
      <c r="D353" s="142" t="str">
        <f>IF(Planning!$T351="","",Planning!$T351)</f>
        <v/>
      </c>
      <c r="E353" s="143" t="str">
        <f>IF(Planning!$U351="","",Planning!$U351)</f>
        <v/>
      </c>
      <c r="F353" s="161" t="str">
        <f>Planning!$Q351</f>
        <v/>
      </c>
      <c r="G353" s="162" t="s">
        <v>4</v>
      </c>
      <c r="H353" s="161" t="str">
        <f>Planning!$S351</f>
        <v/>
      </c>
      <c r="I353" s="163"/>
      <c r="J353" s="315" t="str">
        <f>Language!$E$90</f>
        <v xml:space="preserve"> - </v>
      </c>
      <c r="K353" s="318"/>
      <c r="L353" s="163"/>
      <c r="M353" s="360" t="str">
        <f>Language!$E$90</f>
        <v xml:space="preserve"> - </v>
      </c>
      <c r="N353" s="318"/>
      <c r="O353" s="163"/>
      <c r="P353" s="360" t="str">
        <f>Language!$E$90</f>
        <v xml:space="preserve"> - </v>
      </c>
      <c r="Q353" s="318"/>
      <c r="R353" s="354" t="str">
        <f t="shared" si="68"/>
        <v/>
      </c>
      <c r="S353" s="357" t="str">
        <f>Language!$E$90</f>
        <v xml:space="preserve"> - </v>
      </c>
      <c r="T353" s="321" t="str">
        <f t="shared" si="69"/>
        <v/>
      </c>
      <c r="U353" s="294"/>
      <c r="V353" s="295"/>
      <c r="BM353" s="193" t="b">
        <f t="shared" si="70"/>
        <v>1</v>
      </c>
      <c r="BN353" s="19" t="b">
        <f t="shared" si="71"/>
        <v>1</v>
      </c>
      <c r="BO353" s="19" t="b">
        <f t="shared" si="72"/>
        <v>1</v>
      </c>
      <c r="BP353" s="19" t="b">
        <f t="shared" si="73"/>
        <v>1</v>
      </c>
      <c r="BQ353" s="19" t="b">
        <f t="shared" si="74"/>
        <v>0</v>
      </c>
      <c r="BR353" s="19" t="b">
        <f t="shared" si="75"/>
        <v>0</v>
      </c>
      <c r="BS353" s="19" t="b">
        <f t="shared" si="76"/>
        <v>0</v>
      </c>
    </row>
    <row r="354" spans="2:71" ht="15.75" x14ac:dyDescent="0.2">
      <c r="B354" s="248" t="str">
        <f>IF(Calc!$F$26=0,"",IF(OR($C354&gt;Calc!$B$24,MOD($C354-1,Calc!$F$26)&gt;0),"",QUOTIENT($C354-1,Calc!$F$26)+1))</f>
        <v/>
      </c>
      <c r="C354" s="244">
        <v>346</v>
      </c>
      <c r="D354" s="142" t="str">
        <f>IF(Planning!$T352="","",Planning!$T352)</f>
        <v/>
      </c>
      <c r="E354" s="143" t="str">
        <f>IF(Planning!$U352="","",Planning!$U352)</f>
        <v/>
      </c>
      <c r="F354" s="161" t="str">
        <f>Planning!$Q352</f>
        <v/>
      </c>
      <c r="G354" s="162" t="s">
        <v>4</v>
      </c>
      <c r="H354" s="161" t="str">
        <f>Planning!$S352</f>
        <v/>
      </c>
      <c r="I354" s="163"/>
      <c r="J354" s="315" t="str">
        <f>Language!$E$90</f>
        <v xml:space="preserve"> - </v>
      </c>
      <c r="K354" s="318"/>
      <c r="L354" s="163"/>
      <c r="M354" s="360" t="str">
        <f>Language!$E$90</f>
        <v xml:space="preserve"> - </v>
      </c>
      <c r="N354" s="318"/>
      <c r="O354" s="163"/>
      <c r="P354" s="360" t="str">
        <f>Language!$E$90</f>
        <v xml:space="preserve"> - </v>
      </c>
      <c r="Q354" s="318"/>
      <c r="R354" s="354" t="str">
        <f t="shared" si="68"/>
        <v/>
      </c>
      <c r="S354" s="357" t="str">
        <f>Language!$E$90</f>
        <v xml:space="preserve"> - </v>
      </c>
      <c r="T354" s="321" t="str">
        <f t="shared" si="69"/>
        <v/>
      </c>
      <c r="U354" s="294"/>
      <c r="V354" s="295"/>
      <c r="BM354" s="193" t="b">
        <f t="shared" si="70"/>
        <v>1</v>
      </c>
      <c r="BN354" s="19" t="b">
        <f t="shared" si="71"/>
        <v>1</v>
      </c>
      <c r="BO354" s="19" t="b">
        <f t="shared" si="72"/>
        <v>1</v>
      </c>
      <c r="BP354" s="19" t="b">
        <f t="shared" si="73"/>
        <v>1</v>
      </c>
      <c r="BQ354" s="19" t="b">
        <f t="shared" si="74"/>
        <v>0</v>
      </c>
      <c r="BR354" s="19" t="b">
        <f t="shared" si="75"/>
        <v>0</v>
      </c>
      <c r="BS354" s="19" t="b">
        <f t="shared" si="76"/>
        <v>0</v>
      </c>
    </row>
    <row r="355" spans="2:71" ht="15.75" x14ac:dyDescent="0.2">
      <c r="B355" s="248" t="str">
        <f>IF(Calc!$F$26=0,"",IF(OR($C355&gt;Calc!$B$24,MOD($C355-1,Calc!$F$26)&gt;0),"",QUOTIENT($C355-1,Calc!$F$26)+1))</f>
        <v/>
      </c>
      <c r="C355" s="244">
        <v>347</v>
      </c>
      <c r="D355" s="142" t="str">
        <f>IF(Planning!$T353="","",Planning!$T353)</f>
        <v/>
      </c>
      <c r="E355" s="143" t="str">
        <f>IF(Planning!$U353="","",Planning!$U353)</f>
        <v/>
      </c>
      <c r="F355" s="161" t="str">
        <f>Planning!$Q353</f>
        <v/>
      </c>
      <c r="G355" s="162" t="s">
        <v>4</v>
      </c>
      <c r="H355" s="161" t="str">
        <f>Planning!$S353</f>
        <v/>
      </c>
      <c r="I355" s="163"/>
      <c r="J355" s="315" t="str">
        <f>Language!$E$90</f>
        <v xml:space="preserve"> - </v>
      </c>
      <c r="K355" s="318"/>
      <c r="L355" s="163"/>
      <c r="M355" s="360" t="str">
        <f>Language!$E$90</f>
        <v xml:space="preserve"> - </v>
      </c>
      <c r="N355" s="318"/>
      <c r="O355" s="163"/>
      <c r="P355" s="360" t="str">
        <f>Language!$E$90</f>
        <v xml:space="preserve"> - </v>
      </c>
      <c r="Q355" s="318"/>
      <c r="R355" s="354" t="str">
        <f t="shared" si="68"/>
        <v/>
      </c>
      <c r="S355" s="357" t="str">
        <f>Language!$E$90</f>
        <v xml:space="preserve"> - </v>
      </c>
      <c r="T355" s="321" t="str">
        <f t="shared" si="69"/>
        <v/>
      </c>
      <c r="U355" s="294"/>
      <c r="V355" s="295"/>
      <c r="BM355" s="193" t="b">
        <f t="shared" si="70"/>
        <v>1</v>
      </c>
      <c r="BN355" s="19" t="b">
        <f t="shared" si="71"/>
        <v>1</v>
      </c>
      <c r="BO355" s="19" t="b">
        <f t="shared" si="72"/>
        <v>1</v>
      </c>
      <c r="BP355" s="19" t="b">
        <f t="shared" si="73"/>
        <v>1</v>
      </c>
      <c r="BQ355" s="19" t="b">
        <f t="shared" si="74"/>
        <v>0</v>
      </c>
      <c r="BR355" s="19" t="b">
        <f t="shared" si="75"/>
        <v>0</v>
      </c>
      <c r="BS355" s="19" t="b">
        <f t="shared" si="76"/>
        <v>0</v>
      </c>
    </row>
    <row r="356" spans="2:71" ht="15.75" x14ac:dyDescent="0.2">
      <c r="B356" s="248" t="str">
        <f>IF(Calc!$F$26=0,"",IF(OR($C356&gt;Calc!$B$24,MOD($C356-1,Calc!$F$26)&gt;0),"",QUOTIENT($C356-1,Calc!$F$26)+1))</f>
        <v/>
      </c>
      <c r="C356" s="244">
        <v>348</v>
      </c>
      <c r="D356" s="142" t="str">
        <f>IF(Planning!$T354="","",Planning!$T354)</f>
        <v/>
      </c>
      <c r="E356" s="143" t="str">
        <f>IF(Planning!$U354="","",Planning!$U354)</f>
        <v/>
      </c>
      <c r="F356" s="161" t="str">
        <f>Planning!$Q354</f>
        <v/>
      </c>
      <c r="G356" s="162" t="s">
        <v>4</v>
      </c>
      <c r="H356" s="161" t="str">
        <f>Planning!$S354</f>
        <v/>
      </c>
      <c r="I356" s="163"/>
      <c r="J356" s="315" t="str">
        <f>Language!$E$90</f>
        <v xml:space="preserve"> - </v>
      </c>
      <c r="K356" s="318"/>
      <c r="L356" s="163"/>
      <c r="M356" s="360" t="str">
        <f>Language!$E$90</f>
        <v xml:space="preserve"> - </v>
      </c>
      <c r="N356" s="318"/>
      <c r="O356" s="163"/>
      <c r="P356" s="360" t="str">
        <f>Language!$E$90</f>
        <v xml:space="preserve"> - </v>
      </c>
      <c r="Q356" s="318"/>
      <c r="R356" s="354" t="str">
        <f t="shared" si="68"/>
        <v/>
      </c>
      <c r="S356" s="357" t="str">
        <f>Language!$E$90</f>
        <v xml:space="preserve"> - </v>
      </c>
      <c r="T356" s="321" t="str">
        <f t="shared" si="69"/>
        <v/>
      </c>
      <c r="U356" s="294"/>
      <c r="V356" s="295"/>
      <c r="BM356" s="193" t="b">
        <f t="shared" si="70"/>
        <v>1</v>
      </c>
      <c r="BN356" s="19" t="b">
        <f t="shared" si="71"/>
        <v>1</v>
      </c>
      <c r="BO356" s="19" t="b">
        <f t="shared" si="72"/>
        <v>1</v>
      </c>
      <c r="BP356" s="19" t="b">
        <f t="shared" si="73"/>
        <v>1</v>
      </c>
      <c r="BQ356" s="19" t="b">
        <f t="shared" si="74"/>
        <v>0</v>
      </c>
      <c r="BR356" s="19" t="b">
        <f t="shared" si="75"/>
        <v>0</v>
      </c>
      <c r="BS356" s="19" t="b">
        <f t="shared" si="76"/>
        <v>0</v>
      </c>
    </row>
    <row r="357" spans="2:71" ht="15.75" x14ac:dyDescent="0.2">
      <c r="B357" s="248" t="str">
        <f>IF(Calc!$F$26=0,"",IF(OR($C357&gt;Calc!$B$24,MOD($C357-1,Calc!$F$26)&gt;0),"",QUOTIENT($C357-1,Calc!$F$26)+1))</f>
        <v/>
      </c>
      <c r="C357" s="244">
        <v>349</v>
      </c>
      <c r="D357" s="142" t="str">
        <f>IF(Planning!$T355="","",Planning!$T355)</f>
        <v/>
      </c>
      <c r="E357" s="143" t="str">
        <f>IF(Planning!$U355="","",Planning!$U355)</f>
        <v/>
      </c>
      <c r="F357" s="161" t="str">
        <f>Planning!$Q355</f>
        <v/>
      </c>
      <c r="G357" s="162" t="s">
        <v>4</v>
      </c>
      <c r="H357" s="161" t="str">
        <f>Planning!$S355</f>
        <v/>
      </c>
      <c r="I357" s="163"/>
      <c r="J357" s="315" t="str">
        <f>Language!$E$90</f>
        <v xml:space="preserve"> - </v>
      </c>
      <c r="K357" s="318"/>
      <c r="L357" s="163"/>
      <c r="M357" s="360" t="str">
        <f>Language!$E$90</f>
        <v xml:space="preserve"> - </v>
      </c>
      <c r="N357" s="318"/>
      <c r="O357" s="163"/>
      <c r="P357" s="360" t="str">
        <f>Language!$E$90</f>
        <v xml:space="preserve"> - </v>
      </c>
      <c r="Q357" s="318"/>
      <c r="R357" s="354" t="str">
        <f t="shared" si="68"/>
        <v/>
      </c>
      <c r="S357" s="357" t="str">
        <f>Language!$E$90</f>
        <v xml:space="preserve"> - </v>
      </c>
      <c r="T357" s="321" t="str">
        <f t="shared" si="69"/>
        <v/>
      </c>
      <c r="U357" s="294"/>
      <c r="V357" s="295"/>
      <c r="BM357" s="193" t="b">
        <f t="shared" si="70"/>
        <v>1</v>
      </c>
      <c r="BN357" s="19" t="b">
        <f t="shared" si="71"/>
        <v>1</v>
      </c>
      <c r="BO357" s="19" t="b">
        <f t="shared" si="72"/>
        <v>1</v>
      </c>
      <c r="BP357" s="19" t="b">
        <f t="shared" si="73"/>
        <v>1</v>
      </c>
      <c r="BQ357" s="19" t="b">
        <f t="shared" si="74"/>
        <v>0</v>
      </c>
      <c r="BR357" s="19" t="b">
        <f t="shared" si="75"/>
        <v>0</v>
      </c>
      <c r="BS357" s="19" t="b">
        <f t="shared" si="76"/>
        <v>0</v>
      </c>
    </row>
    <row r="358" spans="2:71" ht="15.75" x14ac:dyDescent="0.2">
      <c r="B358" s="248" t="str">
        <f>IF(Calc!$F$26=0,"",IF(OR($C358&gt;Calc!$B$24,MOD($C358-1,Calc!$F$26)&gt;0),"",QUOTIENT($C358-1,Calc!$F$26)+1))</f>
        <v/>
      </c>
      <c r="C358" s="244">
        <v>350</v>
      </c>
      <c r="D358" s="142" t="str">
        <f>IF(Planning!$T356="","",Planning!$T356)</f>
        <v/>
      </c>
      <c r="E358" s="143" t="str">
        <f>IF(Planning!$U356="","",Planning!$U356)</f>
        <v/>
      </c>
      <c r="F358" s="161" t="str">
        <f>Planning!$Q356</f>
        <v/>
      </c>
      <c r="G358" s="162" t="s">
        <v>4</v>
      </c>
      <c r="H358" s="161" t="str">
        <f>Planning!$S356</f>
        <v/>
      </c>
      <c r="I358" s="163"/>
      <c r="J358" s="315" t="str">
        <f>Language!$E$90</f>
        <v xml:space="preserve"> - </v>
      </c>
      <c r="K358" s="318"/>
      <c r="L358" s="163"/>
      <c r="M358" s="360" t="str">
        <f>Language!$E$90</f>
        <v xml:space="preserve"> - </v>
      </c>
      <c r="N358" s="318"/>
      <c r="O358" s="163"/>
      <c r="P358" s="360" t="str">
        <f>Language!$E$90</f>
        <v xml:space="preserve"> - </v>
      </c>
      <c r="Q358" s="318"/>
      <c r="R358" s="354" t="str">
        <f t="shared" si="68"/>
        <v/>
      </c>
      <c r="S358" s="357" t="str">
        <f>Language!$E$90</f>
        <v xml:space="preserve"> - </v>
      </c>
      <c r="T358" s="321" t="str">
        <f t="shared" si="69"/>
        <v/>
      </c>
      <c r="U358" s="294"/>
      <c r="V358" s="295"/>
      <c r="BM358" s="193" t="b">
        <f t="shared" si="70"/>
        <v>1</v>
      </c>
      <c r="BN358" s="19" t="b">
        <f t="shared" si="71"/>
        <v>1</v>
      </c>
      <c r="BO358" s="19" t="b">
        <f t="shared" si="72"/>
        <v>1</v>
      </c>
      <c r="BP358" s="19" t="b">
        <f t="shared" si="73"/>
        <v>1</v>
      </c>
      <c r="BQ358" s="19" t="b">
        <f t="shared" si="74"/>
        <v>0</v>
      </c>
      <c r="BR358" s="19" t="b">
        <f t="shared" si="75"/>
        <v>0</v>
      </c>
      <c r="BS358" s="19" t="b">
        <f t="shared" si="76"/>
        <v>0</v>
      </c>
    </row>
    <row r="359" spans="2:71" ht="15.75" x14ac:dyDescent="0.2">
      <c r="B359" s="248" t="str">
        <f>IF(Calc!$F$26=0,"",IF(OR($C359&gt;Calc!$B$24,MOD($C359-1,Calc!$F$26)&gt;0),"",QUOTIENT($C359-1,Calc!$F$26)+1))</f>
        <v/>
      </c>
      <c r="C359" s="244">
        <v>351</v>
      </c>
      <c r="D359" s="142" t="str">
        <f>IF(Planning!$T357="","",Planning!$T357)</f>
        <v/>
      </c>
      <c r="E359" s="143" t="str">
        <f>IF(Planning!$U357="","",Planning!$U357)</f>
        <v/>
      </c>
      <c r="F359" s="161" t="str">
        <f>Planning!$Q357</f>
        <v/>
      </c>
      <c r="G359" s="162" t="s">
        <v>4</v>
      </c>
      <c r="H359" s="161" t="str">
        <f>Planning!$S357</f>
        <v/>
      </c>
      <c r="I359" s="163"/>
      <c r="J359" s="315" t="str">
        <f>Language!$E$90</f>
        <v xml:space="preserve"> - </v>
      </c>
      <c r="K359" s="318"/>
      <c r="L359" s="163"/>
      <c r="M359" s="360" t="str">
        <f>Language!$E$90</f>
        <v xml:space="preserve"> - </v>
      </c>
      <c r="N359" s="318"/>
      <c r="O359" s="163"/>
      <c r="P359" s="360" t="str">
        <f>Language!$E$90</f>
        <v xml:space="preserve"> - </v>
      </c>
      <c r="Q359" s="318"/>
      <c r="R359" s="354" t="str">
        <f t="shared" si="68"/>
        <v/>
      </c>
      <c r="S359" s="357" t="str">
        <f>Language!$E$90</f>
        <v xml:space="preserve"> - </v>
      </c>
      <c r="T359" s="321" t="str">
        <f t="shared" si="69"/>
        <v/>
      </c>
      <c r="U359" s="294"/>
      <c r="V359" s="295"/>
      <c r="BM359" s="193" t="b">
        <f t="shared" si="70"/>
        <v>1</v>
      </c>
      <c r="BN359" s="19" t="b">
        <f t="shared" si="71"/>
        <v>1</v>
      </c>
      <c r="BO359" s="19" t="b">
        <f t="shared" si="72"/>
        <v>1</v>
      </c>
      <c r="BP359" s="19" t="b">
        <f t="shared" si="73"/>
        <v>1</v>
      </c>
      <c r="BQ359" s="19" t="b">
        <f t="shared" si="74"/>
        <v>0</v>
      </c>
      <c r="BR359" s="19" t="b">
        <f t="shared" si="75"/>
        <v>0</v>
      </c>
      <c r="BS359" s="19" t="b">
        <f t="shared" si="76"/>
        <v>0</v>
      </c>
    </row>
    <row r="360" spans="2:71" ht="15.75" x14ac:dyDescent="0.2">
      <c r="B360" s="248" t="str">
        <f>IF(Calc!$F$26=0,"",IF(OR($C360&gt;Calc!$B$24,MOD($C360-1,Calc!$F$26)&gt;0),"",QUOTIENT($C360-1,Calc!$F$26)+1))</f>
        <v/>
      </c>
      <c r="C360" s="244">
        <v>352</v>
      </c>
      <c r="D360" s="142" t="str">
        <f>IF(Planning!$T358="","",Planning!$T358)</f>
        <v/>
      </c>
      <c r="E360" s="143" t="str">
        <f>IF(Planning!$U358="","",Planning!$U358)</f>
        <v/>
      </c>
      <c r="F360" s="161" t="str">
        <f>Planning!$Q358</f>
        <v/>
      </c>
      <c r="G360" s="162" t="s">
        <v>4</v>
      </c>
      <c r="H360" s="161" t="str">
        <f>Planning!$S358</f>
        <v/>
      </c>
      <c r="I360" s="163"/>
      <c r="J360" s="315" t="str">
        <f>Language!$E$90</f>
        <v xml:space="preserve"> - </v>
      </c>
      <c r="K360" s="318"/>
      <c r="L360" s="163"/>
      <c r="M360" s="360" t="str">
        <f>Language!$E$90</f>
        <v xml:space="preserve"> - </v>
      </c>
      <c r="N360" s="318"/>
      <c r="O360" s="163"/>
      <c r="P360" s="360" t="str">
        <f>Language!$E$90</f>
        <v xml:space="preserve"> - </v>
      </c>
      <c r="Q360" s="318"/>
      <c r="R360" s="354" t="str">
        <f t="shared" si="68"/>
        <v/>
      </c>
      <c r="S360" s="357" t="str">
        <f>Language!$E$90</f>
        <v xml:space="preserve"> - </v>
      </c>
      <c r="T360" s="321" t="str">
        <f t="shared" si="69"/>
        <v/>
      </c>
      <c r="U360" s="294"/>
      <c r="V360" s="295"/>
      <c r="BM360" s="193" t="b">
        <f t="shared" si="70"/>
        <v>1</v>
      </c>
      <c r="BN360" s="19" t="b">
        <f t="shared" si="71"/>
        <v>1</v>
      </c>
      <c r="BO360" s="19" t="b">
        <f t="shared" si="72"/>
        <v>1</v>
      </c>
      <c r="BP360" s="19" t="b">
        <f t="shared" si="73"/>
        <v>1</v>
      </c>
      <c r="BQ360" s="19" t="b">
        <f t="shared" si="74"/>
        <v>0</v>
      </c>
      <c r="BR360" s="19" t="b">
        <f t="shared" si="75"/>
        <v>0</v>
      </c>
      <c r="BS360" s="19" t="b">
        <f t="shared" si="76"/>
        <v>0</v>
      </c>
    </row>
    <row r="361" spans="2:71" ht="15.75" x14ac:dyDescent="0.2">
      <c r="B361" s="248" t="str">
        <f>IF(Calc!$F$26=0,"",IF(OR($C361&gt;Calc!$B$24,MOD($C361-1,Calc!$F$26)&gt;0),"",QUOTIENT($C361-1,Calc!$F$26)+1))</f>
        <v/>
      </c>
      <c r="C361" s="244">
        <v>353</v>
      </c>
      <c r="D361" s="142" t="str">
        <f>IF(Planning!$T359="","",Planning!$T359)</f>
        <v/>
      </c>
      <c r="E361" s="143" t="str">
        <f>IF(Planning!$U359="","",Planning!$U359)</f>
        <v/>
      </c>
      <c r="F361" s="161" t="str">
        <f>Planning!$Q359</f>
        <v/>
      </c>
      <c r="G361" s="162" t="s">
        <v>4</v>
      </c>
      <c r="H361" s="161" t="str">
        <f>Planning!$S359</f>
        <v/>
      </c>
      <c r="I361" s="163"/>
      <c r="J361" s="315" t="str">
        <f>Language!$E$90</f>
        <v xml:space="preserve"> - </v>
      </c>
      <c r="K361" s="318"/>
      <c r="L361" s="163"/>
      <c r="M361" s="360" t="str">
        <f>Language!$E$90</f>
        <v xml:space="preserve"> - </v>
      </c>
      <c r="N361" s="318"/>
      <c r="O361" s="163"/>
      <c r="P361" s="360" t="str">
        <f>Language!$E$90</f>
        <v xml:space="preserve"> - </v>
      </c>
      <c r="Q361" s="318"/>
      <c r="R361" s="354" t="str">
        <f t="shared" si="68"/>
        <v/>
      </c>
      <c r="S361" s="357" t="str">
        <f>Language!$E$90</f>
        <v xml:space="preserve"> - </v>
      </c>
      <c r="T361" s="321" t="str">
        <f t="shared" si="69"/>
        <v/>
      </c>
      <c r="U361" s="294"/>
      <c r="V361" s="295"/>
      <c r="BM361" s="193" t="b">
        <f t="shared" si="70"/>
        <v>1</v>
      </c>
      <c r="BN361" s="19" t="b">
        <f t="shared" si="71"/>
        <v>1</v>
      </c>
      <c r="BO361" s="19" t="b">
        <f t="shared" si="72"/>
        <v>1</v>
      </c>
      <c r="BP361" s="19" t="b">
        <f t="shared" si="73"/>
        <v>1</v>
      </c>
      <c r="BQ361" s="19" t="b">
        <f t="shared" si="74"/>
        <v>0</v>
      </c>
      <c r="BR361" s="19" t="b">
        <f t="shared" si="75"/>
        <v>0</v>
      </c>
      <c r="BS361" s="19" t="b">
        <f t="shared" si="76"/>
        <v>0</v>
      </c>
    </row>
    <row r="362" spans="2:71" ht="15.75" x14ac:dyDescent="0.2">
      <c r="B362" s="248" t="str">
        <f>IF(Calc!$F$26=0,"",IF(OR($C362&gt;Calc!$B$24,MOD($C362-1,Calc!$F$26)&gt;0),"",QUOTIENT($C362-1,Calc!$F$26)+1))</f>
        <v/>
      </c>
      <c r="C362" s="244">
        <v>354</v>
      </c>
      <c r="D362" s="142" t="str">
        <f>IF(Planning!$T360="","",Planning!$T360)</f>
        <v/>
      </c>
      <c r="E362" s="143" t="str">
        <f>IF(Planning!$U360="","",Planning!$U360)</f>
        <v/>
      </c>
      <c r="F362" s="161" t="str">
        <f>Planning!$Q360</f>
        <v/>
      </c>
      <c r="G362" s="162" t="s">
        <v>4</v>
      </c>
      <c r="H362" s="161" t="str">
        <f>Planning!$S360</f>
        <v/>
      </c>
      <c r="I362" s="163"/>
      <c r="J362" s="315" t="str">
        <f>Language!$E$90</f>
        <v xml:space="preserve"> - </v>
      </c>
      <c r="K362" s="318"/>
      <c r="L362" s="163"/>
      <c r="M362" s="360" t="str">
        <f>Language!$E$90</f>
        <v xml:space="preserve"> - </v>
      </c>
      <c r="N362" s="318"/>
      <c r="O362" s="163"/>
      <c r="P362" s="360" t="str">
        <f>Language!$E$90</f>
        <v xml:space="preserve"> - </v>
      </c>
      <c r="Q362" s="318"/>
      <c r="R362" s="354" t="str">
        <f t="shared" si="68"/>
        <v/>
      </c>
      <c r="S362" s="357" t="str">
        <f>Language!$E$90</f>
        <v xml:space="preserve"> - </v>
      </c>
      <c r="T362" s="321" t="str">
        <f t="shared" si="69"/>
        <v/>
      </c>
      <c r="U362" s="294"/>
      <c r="V362" s="295"/>
      <c r="BM362" s="193" t="b">
        <f t="shared" si="70"/>
        <v>1</v>
      </c>
      <c r="BN362" s="19" t="b">
        <f t="shared" si="71"/>
        <v>1</v>
      </c>
      <c r="BO362" s="19" t="b">
        <f t="shared" si="72"/>
        <v>1</v>
      </c>
      <c r="BP362" s="19" t="b">
        <f t="shared" si="73"/>
        <v>1</v>
      </c>
      <c r="BQ362" s="19" t="b">
        <f t="shared" si="74"/>
        <v>0</v>
      </c>
      <c r="BR362" s="19" t="b">
        <f t="shared" si="75"/>
        <v>0</v>
      </c>
      <c r="BS362" s="19" t="b">
        <f t="shared" si="76"/>
        <v>0</v>
      </c>
    </row>
    <row r="363" spans="2:71" ht="15.75" x14ac:dyDescent="0.2">
      <c r="B363" s="248" t="str">
        <f>IF(Calc!$F$26=0,"",IF(OR($C363&gt;Calc!$B$24,MOD($C363-1,Calc!$F$26)&gt;0),"",QUOTIENT($C363-1,Calc!$F$26)+1))</f>
        <v/>
      </c>
      <c r="C363" s="244">
        <v>355</v>
      </c>
      <c r="D363" s="142" t="str">
        <f>IF(Planning!$T361="","",Planning!$T361)</f>
        <v/>
      </c>
      <c r="E363" s="143" t="str">
        <f>IF(Planning!$U361="","",Planning!$U361)</f>
        <v/>
      </c>
      <c r="F363" s="161" t="str">
        <f>Planning!$Q361</f>
        <v/>
      </c>
      <c r="G363" s="162" t="s">
        <v>4</v>
      </c>
      <c r="H363" s="161" t="str">
        <f>Planning!$S361</f>
        <v/>
      </c>
      <c r="I363" s="163"/>
      <c r="J363" s="315" t="str">
        <f>Language!$E$90</f>
        <v xml:space="preserve"> - </v>
      </c>
      <c r="K363" s="318"/>
      <c r="L363" s="163"/>
      <c r="M363" s="360" t="str">
        <f>Language!$E$90</f>
        <v xml:space="preserve"> - </v>
      </c>
      <c r="N363" s="318"/>
      <c r="O363" s="163"/>
      <c r="P363" s="360" t="str">
        <f>Language!$E$90</f>
        <v xml:space="preserve"> - </v>
      </c>
      <c r="Q363" s="318"/>
      <c r="R363" s="354" t="str">
        <f t="shared" si="68"/>
        <v/>
      </c>
      <c r="S363" s="357" t="str">
        <f>Language!$E$90</f>
        <v xml:space="preserve"> - </v>
      </c>
      <c r="T363" s="321" t="str">
        <f t="shared" si="69"/>
        <v/>
      </c>
      <c r="U363" s="294"/>
      <c r="V363" s="295"/>
      <c r="BM363" s="193" t="b">
        <f t="shared" si="70"/>
        <v>1</v>
      </c>
      <c r="BN363" s="19" t="b">
        <f t="shared" si="71"/>
        <v>1</v>
      </c>
      <c r="BO363" s="19" t="b">
        <f t="shared" si="72"/>
        <v>1</v>
      </c>
      <c r="BP363" s="19" t="b">
        <f t="shared" si="73"/>
        <v>1</v>
      </c>
      <c r="BQ363" s="19" t="b">
        <f t="shared" si="74"/>
        <v>0</v>
      </c>
      <c r="BR363" s="19" t="b">
        <f t="shared" si="75"/>
        <v>0</v>
      </c>
      <c r="BS363" s="19" t="b">
        <f t="shared" si="76"/>
        <v>0</v>
      </c>
    </row>
    <row r="364" spans="2:71" ht="15.75" x14ac:dyDescent="0.2">
      <c r="B364" s="248" t="str">
        <f>IF(Calc!$F$26=0,"",IF(OR($C364&gt;Calc!$B$24,MOD($C364-1,Calc!$F$26)&gt;0),"",QUOTIENT($C364-1,Calc!$F$26)+1))</f>
        <v/>
      </c>
      <c r="C364" s="244">
        <v>356</v>
      </c>
      <c r="D364" s="142" t="str">
        <f>IF(Planning!$T362="","",Planning!$T362)</f>
        <v/>
      </c>
      <c r="E364" s="143" t="str">
        <f>IF(Planning!$U362="","",Planning!$U362)</f>
        <v/>
      </c>
      <c r="F364" s="161" t="str">
        <f>Planning!$Q362</f>
        <v/>
      </c>
      <c r="G364" s="162" t="s">
        <v>4</v>
      </c>
      <c r="H364" s="161" t="str">
        <f>Planning!$S362</f>
        <v/>
      </c>
      <c r="I364" s="163"/>
      <c r="J364" s="315" t="str">
        <f>Language!$E$90</f>
        <v xml:space="preserve"> - </v>
      </c>
      <c r="K364" s="318"/>
      <c r="L364" s="163"/>
      <c r="M364" s="360" t="str">
        <f>Language!$E$90</f>
        <v xml:space="preserve"> - </v>
      </c>
      <c r="N364" s="318"/>
      <c r="O364" s="163"/>
      <c r="P364" s="360" t="str">
        <f>Language!$E$90</f>
        <v xml:space="preserve"> - </v>
      </c>
      <c r="Q364" s="318"/>
      <c r="R364" s="354" t="str">
        <f t="shared" si="68"/>
        <v/>
      </c>
      <c r="S364" s="357" t="str">
        <f>Language!$E$90</f>
        <v xml:space="preserve"> - </v>
      </c>
      <c r="T364" s="321" t="str">
        <f t="shared" si="69"/>
        <v/>
      </c>
      <c r="U364" s="294"/>
      <c r="V364" s="295"/>
      <c r="BM364" s="193" t="b">
        <f t="shared" si="70"/>
        <v>1</v>
      </c>
      <c r="BN364" s="19" t="b">
        <f t="shared" si="71"/>
        <v>1</v>
      </c>
      <c r="BO364" s="19" t="b">
        <f t="shared" si="72"/>
        <v>1</v>
      </c>
      <c r="BP364" s="19" t="b">
        <f t="shared" si="73"/>
        <v>1</v>
      </c>
      <c r="BQ364" s="19" t="b">
        <f t="shared" si="74"/>
        <v>0</v>
      </c>
      <c r="BR364" s="19" t="b">
        <f t="shared" si="75"/>
        <v>0</v>
      </c>
      <c r="BS364" s="19" t="b">
        <f t="shared" si="76"/>
        <v>0</v>
      </c>
    </row>
    <row r="365" spans="2:71" ht="15.75" x14ac:dyDescent="0.2">
      <c r="B365" s="248" t="str">
        <f>IF(Calc!$F$26=0,"",IF(OR($C365&gt;Calc!$B$24,MOD($C365-1,Calc!$F$26)&gt;0),"",QUOTIENT($C365-1,Calc!$F$26)+1))</f>
        <v/>
      </c>
      <c r="C365" s="244">
        <v>357</v>
      </c>
      <c r="D365" s="142" t="str">
        <f>IF(Planning!$T363="","",Planning!$T363)</f>
        <v/>
      </c>
      <c r="E365" s="143" t="str">
        <f>IF(Planning!$U363="","",Planning!$U363)</f>
        <v/>
      </c>
      <c r="F365" s="161" t="str">
        <f>Planning!$Q363</f>
        <v/>
      </c>
      <c r="G365" s="162" t="s">
        <v>4</v>
      </c>
      <c r="H365" s="161" t="str">
        <f>Planning!$S363</f>
        <v/>
      </c>
      <c r="I365" s="163"/>
      <c r="J365" s="315" t="str">
        <f>Language!$E$90</f>
        <v xml:space="preserve"> - </v>
      </c>
      <c r="K365" s="318"/>
      <c r="L365" s="163"/>
      <c r="M365" s="360" t="str">
        <f>Language!$E$90</f>
        <v xml:space="preserve"> - </v>
      </c>
      <c r="N365" s="318"/>
      <c r="O365" s="163"/>
      <c r="P365" s="360" t="str">
        <f>Language!$E$90</f>
        <v xml:space="preserve"> - </v>
      </c>
      <c r="Q365" s="318"/>
      <c r="R365" s="354" t="str">
        <f t="shared" si="68"/>
        <v/>
      </c>
      <c r="S365" s="357" t="str">
        <f>Language!$E$90</f>
        <v xml:space="preserve"> - </v>
      </c>
      <c r="T365" s="321" t="str">
        <f t="shared" si="69"/>
        <v/>
      </c>
      <c r="U365" s="294"/>
      <c r="V365" s="295"/>
      <c r="BM365" s="193" t="b">
        <f t="shared" si="70"/>
        <v>1</v>
      </c>
      <c r="BN365" s="19" t="b">
        <f t="shared" si="71"/>
        <v>1</v>
      </c>
      <c r="BO365" s="19" t="b">
        <f t="shared" si="72"/>
        <v>1</v>
      </c>
      <c r="BP365" s="19" t="b">
        <f t="shared" si="73"/>
        <v>1</v>
      </c>
      <c r="BQ365" s="19" t="b">
        <f t="shared" si="74"/>
        <v>0</v>
      </c>
      <c r="BR365" s="19" t="b">
        <f t="shared" si="75"/>
        <v>0</v>
      </c>
      <c r="BS365" s="19" t="b">
        <f t="shared" si="76"/>
        <v>0</v>
      </c>
    </row>
    <row r="366" spans="2:71" ht="15.75" x14ac:dyDescent="0.2">
      <c r="B366" s="248" t="str">
        <f>IF(Calc!$F$26=0,"",IF(OR($C366&gt;Calc!$B$24,MOD($C366-1,Calc!$F$26)&gt;0),"",QUOTIENT($C366-1,Calc!$F$26)+1))</f>
        <v/>
      </c>
      <c r="C366" s="244">
        <v>358</v>
      </c>
      <c r="D366" s="142" t="str">
        <f>IF(Planning!$T364="","",Planning!$T364)</f>
        <v/>
      </c>
      <c r="E366" s="143" t="str">
        <f>IF(Planning!$U364="","",Planning!$U364)</f>
        <v/>
      </c>
      <c r="F366" s="161" t="str">
        <f>Planning!$Q364</f>
        <v/>
      </c>
      <c r="G366" s="162" t="s">
        <v>4</v>
      </c>
      <c r="H366" s="161" t="str">
        <f>Planning!$S364</f>
        <v/>
      </c>
      <c r="I366" s="163"/>
      <c r="J366" s="315" t="str">
        <f>Language!$E$90</f>
        <v xml:space="preserve"> - </v>
      </c>
      <c r="K366" s="318"/>
      <c r="L366" s="163"/>
      <c r="M366" s="360" t="str">
        <f>Language!$E$90</f>
        <v xml:space="preserve"> - </v>
      </c>
      <c r="N366" s="318"/>
      <c r="O366" s="163"/>
      <c r="P366" s="360" t="str">
        <f>Language!$E$90</f>
        <v xml:space="preserve"> - </v>
      </c>
      <c r="Q366" s="318"/>
      <c r="R366" s="354" t="str">
        <f t="shared" si="68"/>
        <v/>
      </c>
      <c r="S366" s="357" t="str">
        <f>Language!$E$90</f>
        <v xml:space="preserve"> - </v>
      </c>
      <c r="T366" s="321" t="str">
        <f t="shared" si="69"/>
        <v/>
      </c>
      <c r="U366" s="294"/>
      <c r="V366" s="295"/>
      <c r="BM366" s="193" t="b">
        <f t="shared" si="70"/>
        <v>1</v>
      </c>
      <c r="BN366" s="19" t="b">
        <f t="shared" si="71"/>
        <v>1</v>
      </c>
      <c r="BO366" s="19" t="b">
        <f t="shared" si="72"/>
        <v>1</v>
      </c>
      <c r="BP366" s="19" t="b">
        <f t="shared" si="73"/>
        <v>1</v>
      </c>
      <c r="BQ366" s="19" t="b">
        <f t="shared" si="74"/>
        <v>0</v>
      </c>
      <c r="BR366" s="19" t="b">
        <f t="shared" si="75"/>
        <v>0</v>
      </c>
      <c r="BS366" s="19" t="b">
        <f t="shared" si="76"/>
        <v>0</v>
      </c>
    </row>
    <row r="367" spans="2:71" ht="15.75" x14ac:dyDescent="0.2">
      <c r="B367" s="248" t="str">
        <f>IF(Calc!$F$26=0,"",IF(OR($C367&gt;Calc!$B$24,MOD($C367-1,Calc!$F$26)&gt;0),"",QUOTIENT($C367-1,Calc!$F$26)+1))</f>
        <v/>
      </c>
      <c r="C367" s="244">
        <v>359</v>
      </c>
      <c r="D367" s="142" t="str">
        <f>IF(Planning!$T365="","",Planning!$T365)</f>
        <v/>
      </c>
      <c r="E367" s="143" t="str">
        <f>IF(Planning!$U365="","",Planning!$U365)</f>
        <v/>
      </c>
      <c r="F367" s="161" t="str">
        <f>Planning!$Q365</f>
        <v/>
      </c>
      <c r="G367" s="162" t="s">
        <v>4</v>
      </c>
      <c r="H367" s="161" t="str">
        <f>Planning!$S365</f>
        <v/>
      </c>
      <c r="I367" s="163"/>
      <c r="J367" s="315" t="str">
        <f>Language!$E$90</f>
        <v xml:space="preserve"> - </v>
      </c>
      <c r="K367" s="318"/>
      <c r="L367" s="163"/>
      <c r="M367" s="360" t="str">
        <f>Language!$E$90</f>
        <v xml:space="preserve"> - </v>
      </c>
      <c r="N367" s="318"/>
      <c r="O367" s="163"/>
      <c r="P367" s="360" t="str">
        <f>Language!$E$90</f>
        <v xml:space="preserve"> - </v>
      </c>
      <c r="Q367" s="318"/>
      <c r="R367" s="354" t="str">
        <f t="shared" si="68"/>
        <v/>
      </c>
      <c r="S367" s="357" t="str">
        <f>Language!$E$90</f>
        <v xml:space="preserve"> - </v>
      </c>
      <c r="T367" s="321" t="str">
        <f t="shared" si="69"/>
        <v/>
      </c>
      <c r="U367" s="294"/>
      <c r="V367" s="295"/>
      <c r="BM367" s="193" t="b">
        <f t="shared" si="70"/>
        <v>1</v>
      </c>
      <c r="BN367" s="19" t="b">
        <f t="shared" si="71"/>
        <v>1</v>
      </c>
      <c r="BO367" s="19" t="b">
        <f t="shared" si="72"/>
        <v>1</v>
      </c>
      <c r="BP367" s="19" t="b">
        <f t="shared" si="73"/>
        <v>1</v>
      </c>
      <c r="BQ367" s="19" t="b">
        <f t="shared" si="74"/>
        <v>0</v>
      </c>
      <c r="BR367" s="19" t="b">
        <f t="shared" si="75"/>
        <v>0</v>
      </c>
      <c r="BS367" s="19" t="b">
        <f t="shared" si="76"/>
        <v>0</v>
      </c>
    </row>
    <row r="368" spans="2:71" ht="15.75" x14ac:dyDescent="0.2">
      <c r="B368" s="248" t="str">
        <f>IF(Calc!$F$26=0,"",IF(OR($C368&gt;Calc!$B$24,MOD($C368-1,Calc!$F$26)&gt;0),"",QUOTIENT($C368-1,Calc!$F$26)+1))</f>
        <v/>
      </c>
      <c r="C368" s="244">
        <v>360</v>
      </c>
      <c r="D368" s="142" t="str">
        <f>IF(Planning!$T366="","",Planning!$T366)</f>
        <v/>
      </c>
      <c r="E368" s="143" t="str">
        <f>IF(Planning!$U366="","",Planning!$U366)</f>
        <v/>
      </c>
      <c r="F368" s="161" t="str">
        <f>Planning!$Q366</f>
        <v/>
      </c>
      <c r="G368" s="162" t="s">
        <v>4</v>
      </c>
      <c r="H368" s="161" t="str">
        <f>Planning!$S366</f>
        <v/>
      </c>
      <c r="I368" s="163"/>
      <c r="J368" s="315" t="str">
        <f>Language!$E$90</f>
        <v xml:space="preserve"> - </v>
      </c>
      <c r="K368" s="318"/>
      <c r="L368" s="163"/>
      <c r="M368" s="360" t="str">
        <f>Language!$E$90</f>
        <v xml:space="preserve"> - </v>
      </c>
      <c r="N368" s="318"/>
      <c r="O368" s="163"/>
      <c r="P368" s="360" t="str">
        <f>Language!$E$90</f>
        <v xml:space="preserve"> - </v>
      </c>
      <c r="Q368" s="318"/>
      <c r="R368" s="354" t="str">
        <f t="shared" si="68"/>
        <v/>
      </c>
      <c r="S368" s="357" t="str">
        <f>Language!$E$90</f>
        <v xml:space="preserve"> - </v>
      </c>
      <c r="T368" s="321" t="str">
        <f t="shared" si="69"/>
        <v/>
      </c>
      <c r="U368" s="294"/>
      <c r="V368" s="295"/>
      <c r="BM368" s="193" t="b">
        <f t="shared" si="70"/>
        <v>1</v>
      </c>
      <c r="BN368" s="19" t="b">
        <f t="shared" si="71"/>
        <v>1</v>
      </c>
      <c r="BO368" s="19" t="b">
        <f t="shared" si="72"/>
        <v>1</v>
      </c>
      <c r="BP368" s="19" t="b">
        <f t="shared" si="73"/>
        <v>1</v>
      </c>
      <c r="BQ368" s="19" t="b">
        <f t="shared" si="74"/>
        <v>0</v>
      </c>
      <c r="BR368" s="19" t="b">
        <f t="shared" si="75"/>
        <v>0</v>
      </c>
      <c r="BS368" s="19" t="b">
        <f t="shared" si="76"/>
        <v>0</v>
      </c>
    </row>
    <row r="369" spans="2:71" ht="15.75" x14ac:dyDescent="0.2">
      <c r="B369" s="248" t="str">
        <f>IF(Calc!$F$26=0,"",IF(OR($C369&gt;Calc!$B$24,MOD($C369-1,Calc!$F$26)&gt;0),"",QUOTIENT($C369-1,Calc!$F$26)+1))</f>
        <v/>
      </c>
      <c r="C369" s="244">
        <v>361</v>
      </c>
      <c r="D369" s="142" t="str">
        <f>IF(Planning!$T367="","",Planning!$T367)</f>
        <v/>
      </c>
      <c r="E369" s="143" t="str">
        <f>IF(Planning!$U367="","",Planning!$U367)</f>
        <v/>
      </c>
      <c r="F369" s="161" t="str">
        <f>Planning!$Q367</f>
        <v/>
      </c>
      <c r="G369" s="162" t="s">
        <v>4</v>
      </c>
      <c r="H369" s="161" t="str">
        <f>Planning!$S367</f>
        <v/>
      </c>
      <c r="I369" s="163"/>
      <c r="J369" s="315" t="str">
        <f>Language!$E$90</f>
        <v xml:space="preserve"> - </v>
      </c>
      <c r="K369" s="318"/>
      <c r="L369" s="163"/>
      <c r="M369" s="360" t="str">
        <f>Language!$E$90</f>
        <v xml:space="preserve"> - </v>
      </c>
      <c r="N369" s="318"/>
      <c r="O369" s="163"/>
      <c r="P369" s="360" t="str">
        <f>Language!$E$90</f>
        <v xml:space="preserve"> - </v>
      </c>
      <c r="Q369" s="318"/>
      <c r="R369" s="354" t="str">
        <f t="shared" si="68"/>
        <v/>
      </c>
      <c r="S369" s="357" t="str">
        <f>Language!$E$90</f>
        <v xml:space="preserve"> - </v>
      </c>
      <c r="T369" s="321" t="str">
        <f t="shared" si="69"/>
        <v/>
      </c>
      <c r="U369" s="294"/>
      <c r="V369" s="295"/>
      <c r="BM369" s="193" t="b">
        <f t="shared" si="70"/>
        <v>1</v>
      </c>
      <c r="BN369" s="19" t="b">
        <f t="shared" si="71"/>
        <v>1</v>
      </c>
      <c r="BO369" s="19" t="b">
        <f t="shared" si="72"/>
        <v>1</v>
      </c>
      <c r="BP369" s="19" t="b">
        <f t="shared" si="73"/>
        <v>1</v>
      </c>
      <c r="BQ369" s="19" t="b">
        <f t="shared" si="74"/>
        <v>0</v>
      </c>
      <c r="BR369" s="19" t="b">
        <f t="shared" si="75"/>
        <v>0</v>
      </c>
      <c r="BS369" s="19" t="b">
        <f t="shared" si="76"/>
        <v>0</v>
      </c>
    </row>
    <row r="370" spans="2:71" ht="15.75" x14ac:dyDescent="0.2">
      <c r="B370" s="248" t="str">
        <f>IF(Calc!$F$26=0,"",IF(OR($C370&gt;Calc!$B$24,MOD($C370-1,Calc!$F$26)&gt;0),"",QUOTIENT($C370-1,Calc!$F$26)+1))</f>
        <v/>
      </c>
      <c r="C370" s="244">
        <v>362</v>
      </c>
      <c r="D370" s="142" t="str">
        <f>IF(Planning!$T368="","",Planning!$T368)</f>
        <v/>
      </c>
      <c r="E370" s="143" t="str">
        <f>IF(Planning!$U368="","",Planning!$U368)</f>
        <v/>
      </c>
      <c r="F370" s="161" t="str">
        <f>Planning!$Q368</f>
        <v/>
      </c>
      <c r="G370" s="162" t="s">
        <v>4</v>
      </c>
      <c r="H370" s="161" t="str">
        <f>Planning!$S368</f>
        <v/>
      </c>
      <c r="I370" s="163"/>
      <c r="J370" s="315" t="str">
        <f>Language!$E$90</f>
        <v xml:space="preserve"> - </v>
      </c>
      <c r="K370" s="318"/>
      <c r="L370" s="163"/>
      <c r="M370" s="360" t="str">
        <f>Language!$E$90</f>
        <v xml:space="preserve"> - </v>
      </c>
      <c r="N370" s="318"/>
      <c r="O370" s="163"/>
      <c r="P370" s="360" t="str">
        <f>Language!$E$90</f>
        <v xml:space="preserve"> - </v>
      </c>
      <c r="Q370" s="318"/>
      <c r="R370" s="354" t="str">
        <f t="shared" si="68"/>
        <v/>
      </c>
      <c r="S370" s="357" t="str">
        <f>Language!$E$90</f>
        <v xml:space="preserve"> - </v>
      </c>
      <c r="T370" s="321" t="str">
        <f t="shared" si="69"/>
        <v/>
      </c>
      <c r="U370" s="294"/>
      <c r="V370" s="295"/>
      <c r="BM370" s="193" t="b">
        <f t="shared" si="70"/>
        <v>1</v>
      </c>
      <c r="BN370" s="19" t="b">
        <f t="shared" si="71"/>
        <v>1</v>
      </c>
      <c r="BO370" s="19" t="b">
        <f t="shared" si="72"/>
        <v>1</v>
      </c>
      <c r="BP370" s="19" t="b">
        <f t="shared" si="73"/>
        <v>1</v>
      </c>
      <c r="BQ370" s="19" t="b">
        <f t="shared" si="74"/>
        <v>0</v>
      </c>
      <c r="BR370" s="19" t="b">
        <f t="shared" si="75"/>
        <v>0</v>
      </c>
      <c r="BS370" s="19" t="b">
        <f t="shared" si="76"/>
        <v>0</v>
      </c>
    </row>
    <row r="371" spans="2:71" ht="15.75" x14ac:dyDescent="0.2">
      <c r="B371" s="248" t="str">
        <f>IF(Calc!$F$26=0,"",IF(OR($C371&gt;Calc!$B$24,MOD($C371-1,Calc!$F$26)&gt;0),"",QUOTIENT($C371-1,Calc!$F$26)+1))</f>
        <v/>
      </c>
      <c r="C371" s="244">
        <v>363</v>
      </c>
      <c r="D371" s="142" t="str">
        <f>IF(Planning!$T369="","",Planning!$T369)</f>
        <v/>
      </c>
      <c r="E371" s="143" t="str">
        <f>IF(Planning!$U369="","",Planning!$U369)</f>
        <v/>
      </c>
      <c r="F371" s="161" t="str">
        <f>Planning!$Q369</f>
        <v/>
      </c>
      <c r="G371" s="162" t="s">
        <v>4</v>
      </c>
      <c r="H371" s="161" t="str">
        <f>Planning!$S369</f>
        <v/>
      </c>
      <c r="I371" s="163"/>
      <c r="J371" s="315" t="str">
        <f>Language!$E$90</f>
        <v xml:space="preserve"> - </v>
      </c>
      <c r="K371" s="318"/>
      <c r="L371" s="163"/>
      <c r="M371" s="360" t="str">
        <f>Language!$E$90</f>
        <v xml:space="preserve"> - </v>
      </c>
      <c r="N371" s="318"/>
      <c r="O371" s="163"/>
      <c r="P371" s="360" t="str">
        <f>Language!$E$90</f>
        <v xml:space="preserve"> - </v>
      </c>
      <c r="Q371" s="318"/>
      <c r="R371" s="354" t="str">
        <f t="shared" si="68"/>
        <v/>
      </c>
      <c r="S371" s="357" t="str">
        <f>Language!$E$90</f>
        <v xml:space="preserve"> - </v>
      </c>
      <c r="T371" s="321" t="str">
        <f t="shared" si="69"/>
        <v/>
      </c>
      <c r="U371" s="294"/>
      <c r="V371" s="295"/>
      <c r="BM371" s="193" t="b">
        <f t="shared" si="70"/>
        <v>1</v>
      </c>
      <c r="BN371" s="19" t="b">
        <f t="shared" si="71"/>
        <v>1</v>
      </c>
      <c r="BO371" s="19" t="b">
        <f t="shared" si="72"/>
        <v>1</v>
      </c>
      <c r="BP371" s="19" t="b">
        <f t="shared" si="73"/>
        <v>1</v>
      </c>
      <c r="BQ371" s="19" t="b">
        <f t="shared" si="74"/>
        <v>0</v>
      </c>
      <c r="BR371" s="19" t="b">
        <f t="shared" si="75"/>
        <v>0</v>
      </c>
      <c r="BS371" s="19" t="b">
        <f t="shared" si="76"/>
        <v>0</v>
      </c>
    </row>
    <row r="372" spans="2:71" ht="15.75" x14ac:dyDescent="0.2">
      <c r="B372" s="248" t="str">
        <f>IF(Calc!$F$26=0,"",IF(OR($C372&gt;Calc!$B$24,MOD($C372-1,Calc!$F$26)&gt;0),"",QUOTIENT($C372-1,Calc!$F$26)+1))</f>
        <v/>
      </c>
      <c r="C372" s="244">
        <v>364</v>
      </c>
      <c r="D372" s="142" t="str">
        <f>IF(Planning!$T370="","",Planning!$T370)</f>
        <v/>
      </c>
      <c r="E372" s="143" t="str">
        <f>IF(Planning!$U370="","",Planning!$U370)</f>
        <v/>
      </c>
      <c r="F372" s="161" t="str">
        <f>Planning!$Q370</f>
        <v/>
      </c>
      <c r="G372" s="162" t="s">
        <v>4</v>
      </c>
      <c r="H372" s="161" t="str">
        <f>Planning!$S370</f>
        <v/>
      </c>
      <c r="I372" s="163"/>
      <c r="J372" s="315" t="str">
        <f>Language!$E$90</f>
        <v xml:space="preserve"> - </v>
      </c>
      <c r="K372" s="318"/>
      <c r="L372" s="163"/>
      <c r="M372" s="360" t="str">
        <f>Language!$E$90</f>
        <v xml:space="preserve"> - </v>
      </c>
      <c r="N372" s="318"/>
      <c r="O372" s="163"/>
      <c r="P372" s="360" t="str">
        <f>Language!$E$90</f>
        <v xml:space="preserve"> - </v>
      </c>
      <c r="Q372" s="318"/>
      <c r="R372" s="354" t="str">
        <f t="shared" si="68"/>
        <v/>
      </c>
      <c r="S372" s="357" t="str">
        <f>Language!$E$90</f>
        <v xml:space="preserve"> - </v>
      </c>
      <c r="T372" s="321" t="str">
        <f t="shared" si="69"/>
        <v/>
      </c>
      <c r="U372" s="294"/>
      <c r="V372" s="295"/>
      <c r="BM372" s="193" t="b">
        <f t="shared" si="70"/>
        <v>1</v>
      </c>
      <c r="BN372" s="19" t="b">
        <f t="shared" si="71"/>
        <v>1</v>
      </c>
      <c r="BO372" s="19" t="b">
        <f t="shared" si="72"/>
        <v>1</v>
      </c>
      <c r="BP372" s="19" t="b">
        <f t="shared" si="73"/>
        <v>1</v>
      </c>
      <c r="BQ372" s="19" t="b">
        <f t="shared" si="74"/>
        <v>0</v>
      </c>
      <c r="BR372" s="19" t="b">
        <f t="shared" si="75"/>
        <v>0</v>
      </c>
      <c r="BS372" s="19" t="b">
        <f t="shared" si="76"/>
        <v>0</v>
      </c>
    </row>
    <row r="373" spans="2:71" ht="15.75" x14ac:dyDescent="0.2">
      <c r="B373" s="248" t="str">
        <f>IF(Calc!$F$26=0,"",IF(OR($C373&gt;Calc!$B$24,MOD($C373-1,Calc!$F$26)&gt;0),"",QUOTIENT($C373-1,Calc!$F$26)+1))</f>
        <v/>
      </c>
      <c r="C373" s="244">
        <v>365</v>
      </c>
      <c r="D373" s="142" t="str">
        <f>IF(Planning!$T371="","",Planning!$T371)</f>
        <v/>
      </c>
      <c r="E373" s="143" t="str">
        <f>IF(Planning!$U371="","",Planning!$U371)</f>
        <v/>
      </c>
      <c r="F373" s="161" t="str">
        <f>Planning!$Q371</f>
        <v/>
      </c>
      <c r="G373" s="162" t="s">
        <v>4</v>
      </c>
      <c r="H373" s="161" t="str">
        <f>Planning!$S371</f>
        <v/>
      </c>
      <c r="I373" s="163"/>
      <c r="J373" s="315" t="str">
        <f>Language!$E$90</f>
        <v xml:space="preserve"> - </v>
      </c>
      <c r="K373" s="318"/>
      <c r="L373" s="163"/>
      <c r="M373" s="360" t="str">
        <f>Language!$E$90</f>
        <v xml:space="preserve"> - </v>
      </c>
      <c r="N373" s="318"/>
      <c r="O373" s="163"/>
      <c r="P373" s="360" t="str">
        <f>Language!$E$90</f>
        <v xml:space="preserve"> - </v>
      </c>
      <c r="Q373" s="318"/>
      <c r="R373" s="354" t="str">
        <f t="shared" si="68"/>
        <v/>
      </c>
      <c r="S373" s="357" t="str">
        <f>Language!$E$90</f>
        <v xml:space="preserve"> - </v>
      </c>
      <c r="T373" s="321" t="str">
        <f t="shared" si="69"/>
        <v/>
      </c>
      <c r="U373" s="294"/>
      <c r="V373" s="295"/>
      <c r="BM373" s="193" t="b">
        <f t="shared" si="70"/>
        <v>1</v>
      </c>
      <c r="BN373" s="19" t="b">
        <f t="shared" si="71"/>
        <v>1</v>
      </c>
      <c r="BO373" s="19" t="b">
        <f t="shared" si="72"/>
        <v>1</v>
      </c>
      <c r="BP373" s="19" t="b">
        <f t="shared" si="73"/>
        <v>1</v>
      </c>
      <c r="BQ373" s="19" t="b">
        <f t="shared" si="74"/>
        <v>0</v>
      </c>
      <c r="BR373" s="19" t="b">
        <f t="shared" si="75"/>
        <v>0</v>
      </c>
      <c r="BS373" s="19" t="b">
        <f t="shared" si="76"/>
        <v>0</v>
      </c>
    </row>
    <row r="374" spans="2:71" ht="15.75" x14ac:dyDescent="0.2">
      <c r="B374" s="248" t="str">
        <f>IF(Calc!$F$26=0,"",IF(OR($C374&gt;Calc!$B$24,MOD($C374-1,Calc!$F$26)&gt;0),"",QUOTIENT($C374-1,Calc!$F$26)+1))</f>
        <v/>
      </c>
      <c r="C374" s="244">
        <v>366</v>
      </c>
      <c r="D374" s="142" t="str">
        <f>IF(Planning!$T372="","",Planning!$T372)</f>
        <v/>
      </c>
      <c r="E374" s="143" t="str">
        <f>IF(Planning!$U372="","",Planning!$U372)</f>
        <v/>
      </c>
      <c r="F374" s="161" t="str">
        <f>Planning!$Q372</f>
        <v/>
      </c>
      <c r="G374" s="162" t="s">
        <v>4</v>
      </c>
      <c r="H374" s="161" t="str">
        <f>Planning!$S372</f>
        <v/>
      </c>
      <c r="I374" s="163"/>
      <c r="J374" s="315" t="str">
        <f>Language!$E$90</f>
        <v xml:space="preserve"> - </v>
      </c>
      <c r="K374" s="318"/>
      <c r="L374" s="163"/>
      <c r="M374" s="360" t="str">
        <f>Language!$E$90</f>
        <v xml:space="preserve"> - </v>
      </c>
      <c r="N374" s="318"/>
      <c r="O374" s="163"/>
      <c r="P374" s="360" t="str">
        <f>Language!$E$90</f>
        <v xml:space="preserve"> - </v>
      </c>
      <c r="Q374" s="318"/>
      <c r="R374" s="354" t="str">
        <f t="shared" si="68"/>
        <v/>
      </c>
      <c r="S374" s="357" t="str">
        <f>Language!$E$90</f>
        <v xml:space="preserve"> - </v>
      </c>
      <c r="T374" s="321" t="str">
        <f t="shared" si="69"/>
        <v/>
      </c>
      <c r="U374" s="294"/>
      <c r="V374" s="295"/>
      <c r="BM374" s="193" t="b">
        <f t="shared" si="70"/>
        <v>1</v>
      </c>
      <c r="BN374" s="19" t="b">
        <f t="shared" si="71"/>
        <v>1</v>
      </c>
      <c r="BO374" s="19" t="b">
        <f t="shared" si="72"/>
        <v>1</v>
      </c>
      <c r="BP374" s="19" t="b">
        <f t="shared" si="73"/>
        <v>1</v>
      </c>
      <c r="BQ374" s="19" t="b">
        <f t="shared" si="74"/>
        <v>0</v>
      </c>
      <c r="BR374" s="19" t="b">
        <f t="shared" si="75"/>
        <v>0</v>
      </c>
      <c r="BS374" s="19" t="b">
        <f t="shared" si="76"/>
        <v>0</v>
      </c>
    </row>
    <row r="375" spans="2:71" ht="15.75" x14ac:dyDescent="0.2">
      <c r="B375" s="248" t="str">
        <f>IF(Calc!$F$26=0,"",IF(OR($C375&gt;Calc!$B$24,MOD($C375-1,Calc!$F$26)&gt;0),"",QUOTIENT($C375-1,Calc!$F$26)+1))</f>
        <v/>
      </c>
      <c r="C375" s="244">
        <v>367</v>
      </c>
      <c r="D375" s="142" t="str">
        <f>IF(Planning!$T373="","",Planning!$T373)</f>
        <v/>
      </c>
      <c r="E375" s="143" t="str">
        <f>IF(Planning!$U373="","",Planning!$U373)</f>
        <v/>
      </c>
      <c r="F375" s="161" t="str">
        <f>Planning!$Q373</f>
        <v/>
      </c>
      <c r="G375" s="162" t="s">
        <v>4</v>
      </c>
      <c r="H375" s="161" t="str">
        <f>Planning!$S373</f>
        <v/>
      </c>
      <c r="I375" s="163"/>
      <c r="J375" s="315" t="str">
        <f>Language!$E$90</f>
        <v xml:space="preserve"> - </v>
      </c>
      <c r="K375" s="318"/>
      <c r="L375" s="163"/>
      <c r="M375" s="360" t="str">
        <f>Language!$E$90</f>
        <v xml:space="preserve"> - </v>
      </c>
      <c r="N375" s="318"/>
      <c r="O375" s="163"/>
      <c r="P375" s="360" t="str">
        <f>Language!$E$90</f>
        <v xml:space="preserve"> - </v>
      </c>
      <c r="Q375" s="318"/>
      <c r="R375" s="354" t="str">
        <f t="shared" si="68"/>
        <v/>
      </c>
      <c r="S375" s="357" t="str">
        <f>Language!$E$90</f>
        <v xml:space="preserve"> - </v>
      </c>
      <c r="T375" s="321" t="str">
        <f t="shared" si="69"/>
        <v/>
      </c>
      <c r="U375" s="294"/>
      <c r="V375" s="295"/>
      <c r="BM375" s="193" t="b">
        <f t="shared" si="70"/>
        <v>1</v>
      </c>
      <c r="BN375" s="19" t="b">
        <f t="shared" si="71"/>
        <v>1</v>
      </c>
      <c r="BO375" s="19" t="b">
        <f t="shared" si="72"/>
        <v>1</v>
      </c>
      <c r="BP375" s="19" t="b">
        <f t="shared" si="73"/>
        <v>1</v>
      </c>
      <c r="BQ375" s="19" t="b">
        <f t="shared" si="74"/>
        <v>0</v>
      </c>
      <c r="BR375" s="19" t="b">
        <f t="shared" si="75"/>
        <v>0</v>
      </c>
      <c r="BS375" s="19" t="b">
        <f t="shared" si="76"/>
        <v>0</v>
      </c>
    </row>
    <row r="376" spans="2:71" ht="15.75" x14ac:dyDescent="0.2">
      <c r="B376" s="248" t="str">
        <f>IF(Calc!$F$26=0,"",IF(OR($C376&gt;Calc!$B$24,MOD($C376-1,Calc!$F$26)&gt;0),"",QUOTIENT($C376-1,Calc!$F$26)+1))</f>
        <v/>
      </c>
      <c r="C376" s="244">
        <v>368</v>
      </c>
      <c r="D376" s="142" t="str">
        <f>IF(Planning!$T374="","",Planning!$T374)</f>
        <v/>
      </c>
      <c r="E376" s="143" t="str">
        <f>IF(Planning!$U374="","",Planning!$U374)</f>
        <v/>
      </c>
      <c r="F376" s="161" t="str">
        <f>Planning!$Q374</f>
        <v/>
      </c>
      <c r="G376" s="162" t="s">
        <v>4</v>
      </c>
      <c r="H376" s="161" t="str">
        <f>Planning!$S374</f>
        <v/>
      </c>
      <c r="I376" s="163"/>
      <c r="J376" s="315" t="str">
        <f>Language!$E$90</f>
        <v xml:space="preserve"> - </v>
      </c>
      <c r="K376" s="318"/>
      <c r="L376" s="163"/>
      <c r="M376" s="360" t="str">
        <f>Language!$E$90</f>
        <v xml:space="preserve"> - </v>
      </c>
      <c r="N376" s="318"/>
      <c r="O376" s="163"/>
      <c r="P376" s="360" t="str">
        <f>Language!$E$90</f>
        <v xml:space="preserve"> - </v>
      </c>
      <c r="Q376" s="318"/>
      <c r="R376" s="354" t="str">
        <f t="shared" si="68"/>
        <v/>
      </c>
      <c r="S376" s="357" t="str">
        <f>Language!$E$90</f>
        <v xml:space="preserve"> - </v>
      </c>
      <c r="T376" s="321" t="str">
        <f t="shared" si="69"/>
        <v/>
      </c>
      <c r="U376" s="294"/>
      <c r="V376" s="295"/>
      <c r="BM376" s="193" t="b">
        <f t="shared" si="70"/>
        <v>1</v>
      </c>
      <c r="BN376" s="19" t="b">
        <f t="shared" si="71"/>
        <v>1</v>
      </c>
      <c r="BO376" s="19" t="b">
        <f t="shared" si="72"/>
        <v>1</v>
      </c>
      <c r="BP376" s="19" t="b">
        <f t="shared" si="73"/>
        <v>1</v>
      </c>
      <c r="BQ376" s="19" t="b">
        <f t="shared" si="74"/>
        <v>0</v>
      </c>
      <c r="BR376" s="19" t="b">
        <f t="shared" si="75"/>
        <v>0</v>
      </c>
      <c r="BS376" s="19" t="b">
        <f t="shared" si="76"/>
        <v>0</v>
      </c>
    </row>
    <row r="377" spans="2:71" ht="15.75" x14ac:dyDescent="0.2">
      <c r="B377" s="248" t="str">
        <f>IF(Calc!$F$26=0,"",IF(OR($C377&gt;Calc!$B$24,MOD($C377-1,Calc!$F$26)&gt;0),"",QUOTIENT($C377-1,Calc!$F$26)+1))</f>
        <v/>
      </c>
      <c r="C377" s="244">
        <v>369</v>
      </c>
      <c r="D377" s="142" t="str">
        <f>IF(Planning!$T375="","",Planning!$T375)</f>
        <v/>
      </c>
      <c r="E377" s="143" t="str">
        <f>IF(Planning!$U375="","",Planning!$U375)</f>
        <v/>
      </c>
      <c r="F377" s="161" t="str">
        <f>Planning!$Q375</f>
        <v/>
      </c>
      <c r="G377" s="162" t="s">
        <v>4</v>
      </c>
      <c r="H377" s="161" t="str">
        <f>Planning!$S375</f>
        <v/>
      </c>
      <c r="I377" s="163"/>
      <c r="J377" s="315" t="str">
        <f>Language!$E$90</f>
        <v xml:space="preserve"> - </v>
      </c>
      <c r="K377" s="318"/>
      <c r="L377" s="163"/>
      <c r="M377" s="360" t="str">
        <f>Language!$E$90</f>
        <v xml:space="preserve"> - </v>
      </c>
      <c r="N377" s="318"/>
      <c r="O377" s="163"/>
      <c r="P377" s="360" t="str">
        <f>Language!$E$90</f>
        <v xml:space="preserve"> - </v>
      </c>
      <c r="Q377" s="318"/>
      <c r="R377" s="354" t="str">
        <f t="shared" si="68"/>
        <v/>
      </c>
      <c r="S377" s="357" t="str">
        <f>Language!$E$90</f>
        <v xml:space="preserve"> - </v>
      </c>
      <c r="T377" s="321" t="str">
        <f t="shared" si="69"/>
        <v/>
      </c>
      <c r="U377" s="294"/>
      <c r="V377" s="295"/>
      <c r="BM377" s="193" t="b">
        <f t="shared" si="70"/>
        <v>1</v>
      </c>
      <c r="BN377" s="19" t="b">
        <f t="shared" si="71"/>
        <v>1</v>
      </c>
      <c r="BO377" s="19" t="b">
        <f t="shared" si="72"/>
        <v>1</v>
      </c>
      <c r="BP377" s="19" t="b">
        <f t="shared" si="73"/>
        <v>1</v>
      </c>
      <c r="BQ377" s="19" t="b">
        <f t="shared" si="74"/>
        <v>0</v>
      </c>
      <c r="BR377" s="19" t="b">
        <f t="shared" si="75"/>
        <v>0</v>
      </c>
      <c r="BS377" s="19" t="b">
        <f t="shared" si="76"/>
        <v>0</v>
      </c>
    </row>
    <row r="378" spans="2:71" ht="15.75" x14ac:dyDescent="0.2">
      <c r="B378" s="248" t="str">
        <f>IF(Calc!$F$26=0,"",IF(OR($C378&gt;Calc!$B$24,MOD($C378-1,Calc!$F$26)&gt;0),"",QUOTIENT($C378-1,Calc!$F$26)+1))</f>
        <v/>
      </c>
      <c r="C378" s="244">
        <v>370</v>
      </c>
      <c r="D378" s="142" t="str">
        <f>IF(Planning!$T376="","",Planning!$T376)</f>
        <v/>
      </c>
      <c r="E378" s="143" t="str">
        <f>IF(Planning!$U376="","",Planning!$U376)</f>
        <v/>
      </c>
      <c r="F378" s="161" t="str">
        <f>Planning!$Q376</f>
        <v/>
      </c>
      <c r="G378" s="162" t="s">
        <v>4</v>
      </c>
      <c r="H378" s="161" t="str">
        <f>Planning!$S376</f>
        <v/>
      </c>
      <c r="I378" s="163"/>
      <c r="J378" s="315" t="str">
        <f>Language!$E$90</f>
        <v xml:space="preserve"> - </v>
      </c>
      <c r="K378" s="318"/>
      <c r="L378" s="163"/>
      <c r="M378" s="360" t="str">
        <f>Language!$E$90</f>
        <v xml:space="preserve"> - </v>
      </c>
      <c r="N378" s="318"/>
      <c r="O378" s="163"/>
      <c r="P378" s="360" t="str">
        <f>Language!$E$90</f>
        <v xml:space="preserve"> - </v>
      </c>
      <c r="Q378" s="318"/>
      <c r="R378" s="354" t="str">
        <f t="shared" si="68"/>
        <v/>
      </c>
      <c r="S378" s="357" t="str">
        <f>Language!$E$90</f>
        <v xml:space="preserve"> - </v>
      </c>
      <c r="T378" s="321" t="str">
        <f t="shared" si="69"/>
        <v/>
      </c>
      <c r="U378" s="294"/>
      <c r="V378" s="295"/>
      <c r="BM378" s="193" t="b">
        <f t="shared" si="70"/>
        <v>1</v>
      </c>
      <c r="BN378" s="19" t="b">
        <f t="shared" si="71"/>
        <v>1</v>
      </c>
      <c r="BO378" s="19" t="b">
        <f t="shared" si="72"/>
        <v>1</v>
      </c>
      <c r="BP378" s="19" t="b">
        <f t="shared" si="73"/>
        <v>1</v>
      </c>
      <c r="BQ378" s="19" t="b">
        <f t="shared" si="74"/>
        <v>0</v>
      </c>
      <c r="BR378" s="19" t="b">
        <f t="shared" si="75"/>
        <v>0</v>
      </c>
      <c r="BS378" s="19" t="b">
        <f t="shared" si="76"/>
        <v>0</v>
      </c>
    </row>
    <row r="379" spans="2:71" ht="15.75" x14ac:dyDescent="0.2">
      <c r="B379" s="248" t="str">
        <f>IF(Calc!$F$26=0,"",IF(OR($C379&gt;Calc!$B$24,MOD($C379-1,Calc!$F$26)&gt;0),"",QUOTIENT($C379-1,Calc!$F$26)+1))</f>
        <v/>
      </c>
      <c r="C379" s="244">
        <v>371</v>
      </c>
      <c r="D379" s="142" t="str">
        <f>IF(Planning!$T377="","",Planning!$T377)</f>
        <v/>
      </c>
      <c r="E379" s="143" t="str">
        <f>IF(Planning!$U377="","",Planning!$U377)</f>
        <v/>
      </c>
      <c r="F379" s="161" t="str">
        <f>Planning!$Q377</f>
        <v/>
      </c>
      <c r="G379" s="162" t="s">
        <v>4</v>
      </c>
      <c r="H379" s="161" t="str">
        <f>Planning!$S377</f>
        <v/>
      </c>
      <c r="I379" s="163"/>
      <c r="J379" s="315" t="str">
        <f>Language!$E$90</f>
        <v xml:space="preserve"> - </v>
      </c>
      <c r="K379" s="318"/>
      <c r="L379" s="163"/>
      <c r="M379" s="360" t="str">
        <f>Language!$E$90</f>
        <v xml:space="preserve"> - </v>
      </c>
      <c r="N379" s="318"/>
      <c r="O379" s="163"/>
      <c r="P379" s="360" t="str">
        <f>Language!$E$90</f>
        <v xml:space="preserve"> - </v>
      </c>
      <c r="Q379" s="318"/>
      <c r="R379" s="354" t="str">
        <f t="shared" si="68"/>
        <v/>
      </c>
      <c r="S379" s="357" t="str">
        <f>Language!$E$90</f>
        <v xml:space="preserve"> - </v>
      </c>
      <c r="T379" s="321" t="str">
        <f t="shared" si="69"/>
        <v/>
      </c>
      <c r="U379" s="294"/>
      <c r="V379" s="295"/>
      <c r="BM379" s="193" t="b">
        <f t="shared" si="70"/>
        <v>1</v>
      </c>
      <c r="BN379" s="19" t="b">
        <f t="shared" si="71"/>
        <v>1</v>
      </c>
      <c r="BO379" s="19" t="b">
        <f t="shared" si="72"/>
        <v>1</v>
      </c>
      <c r="BP379" s="19" t="b">
        <f t="shared" si="73"/>
        <v>1</v>
      </c>
      <c r="BQ379" s="19" t="b">
        <f t="shared" si="74"/>
        <v>0</v>
      </c>
      <c r="BR379" s="19" t="b">
        <f t="shared" si="75"/>
        <v>0</v>
      </c>
      <c r="BS379" s="19" t="b">
        <f t="shared" si="76"/>
        <v>0</v>
      </c>
    </row>
    <row r="380" spans="2:71" ht="15.75" x14ac:dyDescent="0.2">
      <c r="B380" s="248" t="str">
        <f>IF(Calc!$F$26=0,"",IF(OR($C380&gt;Calc!$B$24,MOD($C380-1,Calc!$F$26)&gt;0),"",QUOTIENT($C380-1,Calc!$F$26)+1))</f>
        <v/>
      </c>
      <c r="C380" s="244">
        <v>372</v>
      </c>
      <c r="D380" s="142" t="str">
        <f>IF(Planning!$T378="","",Planning!$T378)</f>
        <v/>
      </c>
      <c r="E380" s="143" t="str">
        <f>IF(Planning!$U378="","",Planning!$U378)</f>
        <v/>
      </c>
      <c r="F380" s="161" t="str">
        <f>Planning!$Q378</f>
        <v/>
      </c>
      <c r="G380" s="162" t="s">
        <v>4</v>
      </c>
      <c r="H380" s="161" t="str">
        <f>Planning!$S378</f>
        <v/>
      </c>
      <c r="I380" s="163"/>
      <c r="J380" s="315" t="str">
        <f>Language!$E$90</f>
        <v xml:space="preserve"> - </v>
      </c>
      <c r="K380" s="318"/>
      <c r="L380" s="163"/>
      <c r="M380" s="360" t="str">
        <f>Language!$E$90</f>
        <v xml:space="preserve"> - </v>
      </c>
      <c r="N380" s="318"/>
      <c r="O380" s="163"/>
      <c r="P380" s="360" t="str">
        <f>Language!$E$90</f>
        <v xml:space="preserve"> - </v>
      </c>
      <c r="Q380" s="318"/>
      <c r="R380" s="354" t="str">
        <f t="shared" si="68"/>
        <v/>
      </c>
      <c r="S380" s="357" t="str">
        <f>Language!$E$90</f>
        <v xml:space="preserve"> - </v>
      </c>
      <c r="T380" s="321" t="str">
        <f t="shared" si="69"/>
        <v/>
      </c>
      <c r="U380" s="294"/>
      <c r="V380" s="295"/>
      <c r="BM380" s="193" t="b">
        <f t="shared" si="70"/>
        <v>1</v>
      </c>
      <c r="BN380" s="19" t="b">
        <f t="shared" si="71"/>
        <v>1</v>
      </c>
      <c r="BO380" s="19" t="b">
        <f t="shared" si="72"/>
        <v>1</v>
      </c>
      <c r="BP380" s="19" t="b">
        <f t="shared" si="73"/>
        <v>1</v>
      </c>
      <c r="BQ380" s="19" t="b">
        <f t="shared" si="74"/>
        <v>0</v>
      </c>
      <c r="BR380" s="19" t="b">
        <f t="shared" si="75"/>
        <v>0</v>
      </c>
      <c r="BS380" s="19" t="b">
        <f t="shared" si="76"/>
        <v>0</v>
      </c>
    </row>
    <row r="381" spans="2:71" ht="15.75" x14ac:dyDescent="0.2">
      <c r="B381" s="248" t="str">
        <f>IF(Calc!$F$26=0,"",IF(OR($C381&gt;Calc!$B$24,MOD($C381-1,Calc!$F$26)&gt;0),"",QUOTIENT($C381-1,Calc!$F$26)+1))</f>
        <v/>
      </c>
      <c r="C381" s="244">
        <v>373</v>
      </c>
      <c r="D381" s="142" t="str">
        <f>IF(Planning!$T379="","",Planning!$T379)</f>
        <v/>
      </c>
      <c r="E381" s="143" t="str">
        <f>IF(Planning!$U379="","",Planning!$U379)</f>
        <v/>
      </c>
      <c r="F381" s="161" t="str">
        <f>Planning!$Q379</f>
        <v/>
      </c>
      <c r="G381" s="162" t="s">
        <v>4</v>
      </c>
      <c r="H381" s="161" t="str">
        <f>Planning!$S379</f>
        <v/>
      </c>
      <c r="I381" s="163"/>
      <c r="J381" s="315" t="str">
        <f>Language!$E$90</f>
        <v xml:space="preserve"> - </v>
      </c>
      <c r="K381" s="318"/>
      <c r="L381" s="163"/>
      <c r="M381" s="360" t="str">
        <f>Language!$E$90</f>
        <v xml:space="preserve"> - </v>
      </c>
      <c r="N381" s="318"/>
      <c r="O381" s="163"/>
      <c r="P381" s="360" t="str">
        <f>Language!$E$90</f>
        <v xml:space="preserve"> - </v>
      </c>
      <c r="Q381" s="318"/>
      <c r="R381" s="354" t="str">
        <f t="shared" si="68"/>
        <v/>
      </c>
      <c r="S381" s="357" t="str">
        <f>Language!$E$90</f>
        <v xml:space="preserve"> - </v>
      </c>
      <c r="T381" s="321" t="str">
        <f t="shared" si="69"/>
        <v/>
      </c>
      <c r="U381" s="294"/>
      <c r="V381" s="295"/>
      <c r="BM381" s="193" t="b">
        <f t="shared" si="70"/>
        <v>1</v>
      </c>
      <c r="BN381" s="19" t="b">
        <f t="shared" si="71"/>
        <v>1</v>
      </c>
      <c r="BO381" s="19" t="b">
        <f t="shared" si="72"/>
        <v>1</v>
      </c>
      <c r="BP381" s="19" t="b">
        <f t="shared" si="73"/>
        <v>1</v>
      </c>
      <c r="BQ381" s="19" t="b">
        <f t="shared" si="74"/>
        <v>0</v>
      </c>
      <c r="BR381" s="19" t="b">
        <f t="shared" si="75"/>
        <v>0</v>
      </c>
      <c r="BS381" s="19" t="b">
        <f t="shared" si="76"/>
        <v>0</v>
      </c>
    </row>
    <row r="382" spans="2:71" ht="15.75" x14ac:dyDescent="0.2">
      <c r="B382" s="248" t="str">
        <f>IF(Calc!$F$26=0,"",IF(OR($C382&gt;Calc!$B$24,MOD($C382-1,Calc!$F$26)&gt;0),"",QUOTIENT($C382-1,Calc!$F$26)+1))</f>
        <v/>
      </c>
      <c r="C382" s="244">
        <v>374</v>
      </c>
      <c r="D382" s="142" t="str">
        <f>IF(Planning!$T380="","",Planning!$T380)</f>
        <v/>
      </c>
      <c r="E382" s="143" t="str">
        <f>IF(Planning!$U380="","",Planning!$U380)</f>
        <v/>
      </c>
      <c r="F382" s="161" t="str">
        <f>Planning!$Q380</f>
        <v/>
      </c>
      <c r="G382" s="162" t="s">
        <v>4</v>
      </c>
      <c r="H382" s="161" t="str">
        <f>Planning!$S380</f>
        <v/>
      </c>
      <c r="I382" s="163"/>
      <c r="J382" s="315" t="str">
        <f>Language!$E$90</f>
        <v xml:space="preserve"> - </v>
      </c>
      <c r="K382" s="318"/>
      <c r="L382" s="163"/>
      <c r="M382" s="360" t="str">
        <f>Language!$E$90</f>
        <v xml:space="preserve"> - </v>
      </c>
      <c r="N382" s="318"/>
      <c r="O382" s="163"/>
      <c r="P382" s="360" t="str">
        <f>Language!$E$90</f>
        <v xml:space="preserve"> - </v>
      </c>
      <c r="Q382" s="318"/>
      <c r="R382" s="354" t="str">
        <f t="shared" si="68"/>
        <v/>
      </c>
      <c r="S382" s="357" t="str">
        <f>Language!$E$90</f>
        <v xml:space="preserve"> - </v>
      </c>
      <c r="T382" s="321" t="str">
        <f t="shared" si="69"/>
        <v/>
      </c>
      <c r="U382" s="294"/>
      <c r="V382" s="295"/>
      <c r="BM382" s="193" t="b">
        <f t="shared" si="70"/>
        <v>1</v>
      </c>
      <c r="BN382" s="19" t="b">
        <f t="shared" si="71"/>
        <v>1</v>
      </c>
      <c r="BO382" s="19" t="b">
        <f t="shared" si="72"/>
        <v>1</v>
      </c>
      <c r="BP382" s="19" t="b">
        <f t="shared" si="73"/>
        <v>1</v>
      </c>
      <c r="BQ382" s="19" t="b">
        <f t="shared" si="74"/>
        <v>0</v>
      </c>
      <c r="BR382" s="19" t="b">
        <f t="shared" si="75"/>
        <v>0</v>
      </c>
      <c r="BS382" s="19" t="b">
        <f t="shared" si="76"/>
        <v>0</v>
      </c>
    </row>
    <row r="383" spans="2:71" ht="15.75" x14ac:dyDescent="0.2">
      <c r="B383" s="248" t="str">
        <f>IF(Calc!$F$26=0,"",IF(OR($C383&gt;Calc!$B$24,MOD($C383-1,Calc!$F$26)&gt;0),"",QUOTIENT($C383-1,Calc!$F$26)+1))</f>
        <v/>
      </c>
      <c r="C383" s="244">
        <v>375</v>
      </c>
      <c r="D383" s="142" t="str">
        <f>IF(Planning!$T381="","",Planning!$T381)</f>
        <v/>
      </c>
      <c r="E383" s="143" t="str">
        <f>IF(Planning!$U381="","",Planning!$U381)</f>
        <v/>
      </c>
      <c r="F383" s="161" t="str">
        <f>Planning!$Q381</f>
        <v/>
      </c>
      <c r="G383" s="162" t="s">
        <v>4</v>
      </c>
      <c r="H383" s="161" t="str">
        <f>Planning!$S381</f>
        <v/>
      </c>
      <c r="I383" s="163"/>
      <c r="J383" s="315" t="str">
        <f>Language!$E$90</f>
        <v xml:space="preserve"> - </v>
      </c>
      <c r="K383" s="318"/>
      <c r="L383" s="163"/>
      <c r="M383" s="360" t="str">
        <f>Language!$E$90</f>
        <v xml:space="preserve"> - </v>
      </c>
      <c r="N383" s="318"/>
      <c r="O383" s="163"/>
      <c r="P383" s="360" t="str">
        <f>Language!$E$90</f>
        <v xml:space="preserve"> - </v>
      </c>
      <c r="Q383" s="318"/>
      <c r="R383" s="354" t="str">
        <f t="shared" si="68"/>
        <v/>
      </c>
      <c r="S383" s="357" t="str">
        <f>Language!$E$90</f>
        <v xml:space="preserve"> - </v>
      </c>
      <c r="T383" s="321" t="str">
        <f t="shared" si="69"/>
        <v/>
      </c>
      <c r="U383" s="294"/>
      <c r="V383" s="295"/>
      <c r="BM383" s="193" t="b">
        <f t="shared" si="70"/>
        <v>1</v>
      </c>
      <c r="BN383" s="19" t="b">
        <f t="shared" si="71"/>
        <v>1</v>
      </c>
      <c r="BO383" s="19" t="b">
        <f t="shared" si="72"/>
        <v>1</v>
      </c>
      <c r="BP383" s="19" t="b">
        <f t="shared" si="73"/>
        <v>1</v>
      </c>
      <c r="BQ383" s="19" t="b">
        <f t="shared" si="74"/>
        <v>0</v>
      </c>
      <c r="BR383" s="19" t="b">
        <f t="shared" si="75"/>
        <v>0</v>
      </c>
      <c r="BS383" s="19" t="b">
        <f t="shared" si="76"/>
        <v>0</v>
      </c>
    </row>
    <row r="384" spans="2:71" ht="15.75" x14ac:dyDescent="0.2">
      <c r="B384" s="248" t="str">
        <f>IF(Calc!$F$26=0,"",IF(OR($C384&gt;Calc!$B$24,MOD($C384-1,Calc!$F$26)&gt;0),"",QUOTIENT($C384-1,Calc!$F$26)+1))</f>
        <v/>
      </c>
      <c r="C384" s="244">
        <v>376</v>
      </c>
      <c r="D384" s="142" t="str">
        <f>IF(Planning!$T382="","",Planning!$T382)</f>
        <v/>
      </c>
      <c r="E384" s="143" t="str">
        <f>IF(Planning!$U382="","",Planning!$U382)</f>
        <v/>
      </c>
      <c r="F384" s="161" t="str">
        <f>Planning!$Q382</f>
        <v/>
      </c>
      <c r="G384" s="162" t="s">
        <v>4</v>
      </c>
      <c r="H384" s="161" t="str">
        <f>Planning!$S382</f>
        <v/>
      </c>
      <c r="I384" s="163"/>
      <c r="J384" s="315" t="str">
        <f>Language!$E$90</f>
        <v xml:space="preserve"> - </v>
      </c>
      <c r="K384" s="318"/>
      <c r="L384" s="163"/>
      <c r="M384" s="360" t="str">
        <f>Language!$E$90</f>
        <v xml:space="preserve"> - </v>
      </c>
      <c r="N384" s="318"/>
      <c r="O384" s="163"/>
      <c r="P384" s="360" t="str">
        <f>Language!$E$90</f>
        <v xml:space="preserve"> - </v>
      </c>
      <c r="Q384" s="318"/>
      <c r="R384" s="354" t="str">
        <f t="shared" si="68"/>
        <v/>
      </c>
      <c r="S384" s="357" t="str">
        <f>Language!$E$90</f>
        <v xml:space="preserve"> - </v>
      </c>
      <c r="T384" s="321" t="str">
        <f t="shared" si="69"/>
        <v/>
      </c>
      <c r="U384" s="294"/>
      <c r="V384" s="295"/>
      <c r="BM384" s="193" t="b">
        <f t="shared" si="70"/>
        <v>1</v>
      </c>
      <c r="BN384" s="19" t="b">
        <f t="shared" si="71"/>
        <v>1</v>
      </c>
      <c r="BO384" s="19" t="b">
        <f t="shared" si="72"/>
        <v>1</v>
      </c>
      <c r="BP384" s="19" t="b">
        <f t="shared" si="73"/>
        <v>1</v>
      </c>
      <c r="BQ384" s="19" t="b">
        <f t="shared" si="74"/>
        <v>0</v>
      </c>
      <c r="BR384" s="19" t="b">
        <f t="shared" si="75"/>
        <v>0</v>
      </c>
      <c r="BS384" s="19" t="b">
        <f t="shared" si="76"/>
        <v>0</v>
      </c>
    </row>
    <row r="385" spans="2:71" ht="15.75" x14ac:dyDescent="0.2">
      <c r="B385" s="248" t="str">
        <f>IF(Calc!$F$26=0,"",IF(OR($C385&gt;Calc!$B$24,MOD($C385-1,Calc!$F$26)&gt;0),"",QUOTIENT($C385-1,Calc!$F$26)+1))</f>
        <v/>
      </c>
      <c r="C385" s="244">
        <v>377</v>
      </c>
      <c r="D385" s="142" t="str">
        <f>IF(Planning!$T383="","",Planning!$T383)</f>
        <v/>
      </c>
      <c r="E385" s="143" t="str">
        <f>IF(Planning!$U383="","",Planning!$U383)</f>
        <v/>
      </c>
      <c r="F385" s="161" t="str">
        <f>Planning!$Q383</f>
        <v/>
      </c>
      <c r="G385" s="162" t="s">
        <v>4</v>
      </c>
      <c r="H385" s="161" t="str">
        <f>Planning!$S383</f>
        <v/>
      </c>
      <c r="I385" s="163"/>
      <c r="J385" s="315" t="str">
        <f>Language!$E$90</f>
        <v xml:space="preserve"> - </v>
      </c>
      <c r="K385" s="318"/>
      <c r="L385" s="163"/>
      <c r="M385" s="360" t="str">
        <f>Language!$E$90</f>
        <v xml:space="preserve"> - </v>
      </c>
      <c r="N385" s="318"/>
      <c r="O385" s="163"/>
      <c r="P385" s="360" t="str">
        <f>Language!$E$90</f>
        <v xml:space="preserve"> - </v>
      </c>
      <c r="Q385" s="318"/>
      <c r="R385" s="354" t="str">
        <f t="shared" si="68"/>
        <v/>
      </c>
      <c r="S385" s="357" t="str">
        <f>Language!$E$90</f>
        <v xml:space="preserve"> - </v>
      </c>
      <c r="T385" s="321" t="str">
        <f t="shared" si="69"/>
        <v/>
      </c>
      <c r="U385" s="294"/>
      <c r="V385" s="295"/>
      <c r="BM385" s="193" t="b">
        <f t="shared" si="70"/>
        <v>1</v>
      </c>
      <c r="BN385" s="19" t="b">
        <f t="shared" si="71"/>
        <v>1</v>
      </c>
      <c r="BO385" s="19" t="b">
        <f t="shared" si="72"/>
        <v>1</v>
      </c>
      <c r="BP385" s="19" t="b">
        <f t="shared" si="73"/>
        <v>1</v>
      </c>
      <c r="BQ385" s="19" t="b">
        <f t="shared" si="74"/>
        <v>0</v>
      </c>
      <c r="BR385" s="19" t="b">
        <f t="shared" si="75"/>
        <v>0</v>
      </c>
      <c r="BS385" s="19" t="b">
        <f t="shared" si="76"/>
        <v>0</v>
      </c>
    </row>
    <row r="386" spans="2:71" ht="15.75" x14ac:dyDescent="0.2">
      <c r="B386" s="248" t="str">
        <f>IF(Calc!$F$26=0,"",IF(OR($C386&gt;Calc!$B$24,MOD($C386-1,Calc!$F$26)&gt;0),"",QUOTIENT($C386-1,Calc!$F$26)+1))</f>
        <v/>
      </c>
      <c r="C386" s="244">
        <v>378</v>
      </c>
      <c r="D386" s="142" t="str">
        <f>IF(Planning!$T384="","",Planning!$T384)</f>
        <v/>
      </c>
      <c r="E386" s="143" t="str">
        <f>IF(Planning!$U384="","",Planning!$U384)</f>
        <v/>
      </c>
      <c r="F386" s="161" t="str">
        <f>Planning!$Q384</f>
        <v/>
      </c>
      <c r="G386" s="162" t="s">
        <v>4</v>
      </c>
      <c r="H386" s="161" t="str">
        <f>Planning!$S384</f>
        <v/>
      </c>
      <c r="I386" s="163"/>
      <c r="J386" s="315" t="str">
        <f>Language!$E$90</f>
        <v xml:space="preserve"> - </v>
      </c>
      <c r="K386" s="318"/>
      <c r="L386" s="163"/>
      <c r="M386" s="360" t="str">
        <f>Language!$E$90</f>
        <v xml:space="preserve"> - </v>
      </c>
      <c r="N386" s="318"/>
      <c r="O386" s="163"/>
      <c r="P386" s="360" t="str">
        <f>Language!$E$90</f>
        <v xml:space="preserve"> - </v>
      </c>
      <c r="Q386" s="318"/>
      <c r="R386" s="354" t="str">
        <f t="shared" si="68"/>
        <v/>
      </c>
      <c r="S386" s="357" t="str">
        <f>Language!$E$90</f>
        <v xml:space="preserve"> - </v>
      </c>
      <c r="T386" s="321" t="str">
        <f t="shared" si="69"/>
        <v/>
      </c>
      <c r="U386" s="294"/>
      <c r="V386" s="295"/>
      <c r="BM386" s="193" t="b">
        <f t="shared" si="70"/>
        <v>1</v>
      </c>
      <c r="BN386" s="19" t="b">
        <f t="shared" si="71"/>
        <v>1</v>
      </c>
      <c r="BO386" s="19" t="b">
        <f t="shared" si="72"/>
        <v>1</v>
      </c>
      <c r="BP386" s="19" t="b">
        <f t="shared" si="73"/>
        <v>1</v>
      </c>
      <c r="BQ386" s="19" t="b">
        <f t="shared" si="74"/>
        <v>0</v>
      </c>
      <c r="BR386" s="19" t="b">
        <f t="shared" si="75"/>
        <v>0</v>
      </c>
      <c r="BS386" s="19" t="b">
        <f t="shared" si="76"/>
        <v>0</v>
      </c>
    </row>
    <row r="387" spans="2:71" ht="15.75" x14ac:dyDescent="0.2">
      <c r="B387" s="248" t="str">
        <f>IF(Calc!$F$26=0,"",IF(OR($C387&gt;Calc!$B$24,MOD($C387-1,Calc!$F$26)&gt;0),"",QUOTIENT($C387-1,Calc!$F$26)+1))</f>
        <v/>
      </c>
      <c r="C387" s="244">
        <v>379</v>
      </c>
      <c r="D387" s="142" t="str">
        <f>IF(Planning!$T385="","",Planning!$T385)</f>
        <v/>
      </c>
      <c r="E387" s="143" t="str">
        <f>IF(Planning!$U385="","",Planning!$U385)</f>
        <v/>
      </c>
      <c r="F387" s="161" t="str">
        <f>Planning!$Q385</f>
        <v/>
      </c>
      <c r="G387" s="162" t="s">
        <v>4</v>
      </c>
      <c r="H387" s="161" t="str">
        <f>Planning!$S385</f>
        <v/>
      </c>
      <c r="I387" s="163"/>
      <c r="J387" s="315" t="str">
        <f>Language!$E$90</f>
        <v xml:space="preserve"> - </v>
      </c>
      <c r="K387" s="318"/>
      <c r="L387" s="163"/>
      <c r="M387" s="360" t="str">
        <f>Language!$E$90</f>
        <v xml:space="preserve"> - </v>
      </c>
      <c r="N387" s="318"/>
      <c r="O387" s="163"/>
      <c r="P387" s="360" t="str">
        <f>Language!$E$90</f>
        <v xml:space="preserve"> - </v>
      </c>
      <c r="Q387" s="318"/>
      <c r="R387" s="354" t="str">
        <f t="shared" si="68"/>
        <v/>
      </c>
      <c r="S387" s="357" t="str">
        <f>Language!$E$90</f>
        <v xml:space="preserve"> - </v>
      </c>
      <c r="T387" s="321" t="str">
        <f t="shared" si="69"/>
        <v/>
      </c>
      <c r="U387" s="294"/>
      <c r="V387" s="295"/>
      <c r="BM387" s="193" t="b">
        <f t="shared" si="70"/>
        <v>1</v>
      </c>
      <c r="BN387" s="19" t="b">
        <f t="shared" si="71"/>
        <v>1</v>
      </c>
      <c r="BO387" s="19" t="b">
        <f t="shared" si="72"/>
        <v>1</v>
      </c>
      <c r="BP387" s="19" t="b">
        <f t="shared" si="73"/>
        <v>1</v>
      </c>
      <c r="BQ387" s="19" t="b">
        <f t="shared" si="74"/>
        <v>0</v>
      </c>
      <c r="BR387" s="19" t="b">
        <f t="shared" si="75"/>
        <v>0</v>
      </c>
      <c r="BS387" s="19" t="b">
        <f t="shared" si="76"/>
        <v>0</v>
      </c>
    </row>
    <row r="388" spans="2:71" ht="16.5" thickBot="1" x14ac:dyDescent="0.25">
      <c r="B388" s="249"/>
      <c r="C388" s="246">
        <v>380</v>
      </c>
      <c r="D388" s="144" t="str">
        <f>IF(Planning!$T386="","",Planning!$T386)</f>
        <v/>
      </c>
      <c r="E388" s="145" t="str">
        <f>IF(Planning!$U386="","",Planning!$U386)</f>
        <v/>
      </c>
      <c r="F388" s="164" t="str">
        <f>Planning!$Q386</f>
        <v/>
      </c>
      <c r="G388" s="165" t="s">
        <v>4</v>
      </c>
      <c r="H388" s="164" t="str">
        <f>Planning!$S386</f>
        <v/>
      </c>
      <c r="I388" s="166"/>
      <c r="J388" s="317" t="str">
        <f>Language!$E$90</f>
        <v xml:space="preserve"> - </v>
      </c>
      <c r="K388" s="320"/>
      <c r="L388" s="166"/>
      <c r="M388" s="362" t="str">
        <f>Language!$E$90</f>
        <v xml:space="preserve"> - </v>
      </c>
      <c r="N388" s="320"/>
      <c r="O388" s="166"/>
      <c r="P388" s="362" t="str">
        <f>Language!$E$90</f>
        <v xml:space="preserve"> - </v>
      </c>
      <c r="Q388" s="320"/>
      <c r="R388" s="356" t="str">
        <f t="shared" si="68"/>
        <v/>
      </c>
      <c r="S388" s="359" t="str">
        <f>Language!$E$90</f>
        <v xml:space="preserve"> - </v>
      </c>
      <c r="T388" s="323" t="str">
        <f t="shared" si="69"/>
        <v/>
      </c>
      <c r="U388" s="296"/>
      <c r="V388" s="297"/>
      <c r="BM388" s="193" t="b">
        <f t="shared" si="70"/>
        <v>1</v>
      </c>
      <c r="BN388" s="19" t="b">
        <f t="shared" si="71"/>
        <v>1</v>
      </c>
      <c r="BO388" s="19" t="b">
        <f t="shared" si="72"/>
        <v>1</v>
      </c>
      <c r="BP388" s="19" t="b">
        <f t="shared" si="73"/>
        <v>1</v>
      </c>
      <c r="BQ388" s="19" t="b">
        <f t="shared" si="74"/>
        <v>0</v>
      </c>
      <c r="BR388" s="19" t="b">
        <f t="shared" si="75"/>
        <v>0</v>
      </c>
      <c r="BS388" s="19" t="b">
        <f t="shared" si="76"/>
        <v>0</v>
      </c>
    </row>
    <row r="389" spans="2:71" x14ac:dyDescent="0.2"/>
    <row r="390" spans="2:71" x14ac:dyDescent="0.2"/>
    <row r="391" spans="2:71" x14ac:dyDescent="0.2"/>
    <row r="392" spans="2:71" x14ac:dyDescent="0.2"/>
  </sheetData>
  <sheetProtection sheet="1" selectLockedCells="1"/>
  <mergeCells count="22">
    <mergeCell ref="AL1:AM1"/>
    <mergeCell ref="AL2:AM2"/>
    <mergeCell ref="AJ45:AK45"/>
    <mergeCell ref="AD34:AF34"/>
    <mergeCell ref="AH34:AJ34"/>
    <mergeCell ref="AR31:BK32"/>
    <mergeCell ref="F8:H8"/>
    <mergeCell ref="I8:K8"/>
    <mergeCell ref="C7:K7"/>
    <mergeCell ref="AH8:AJ8"/>
    <mergeCell ref="X8:Y8"/>
    <mergeCell ref="U8:V8"/>
    <mergeCell ref="R8:T8"/>
    <mergeCell ref="AD8:AF8"/>
    <mergeCell ref="L8:N8"/>
    <mergeCell ref="O8:Q8"/>
    <mergeCell ref="X31:AL32"/>
    <mergeCell ref="AR6:BK6"/>
    <mergeCell ref="X6:Y6"/>
    <mergeCell ref="G3:Z3"/>
    <mergeCell ref="G4:Z4"/>
    <mergeCell ref="AA6:AL6"/>
  </mergeCells>
  <conditionalFormatting sqref="X58 BA58:BL58">
    <cfRule type="expression" dxfId="40" priority="296">
      <formula>$Y$10=""</formula>
    </cfRule>
    <cfRule type="expression" dxfId="39" priority="311">
      <formula>OR(AND($X$10=$X$9,$Y$9&lt;&gt;""),AND($X$10=$X$11,$Y$11&lt;&gt;""))</formula>
    </cfRule>
  </conditionalFormatting>
  <conditionalFormatting sqref="X59 BA59:BL59">
    <cfRule type="expression" dxfId="38" priority="297">
      <formula>$Y$11=""</formula>
    </cfRule>
    <cfRule type="expression" dxfId="37" priority="310">
      <formula>OR(AND($X$11=$X$10,$Y$10&lt;&gt;""),AND($X$11=$X$12,$Y$12&lt;&gt;""))</formula>
    </cfRule>
  </conditionalFormatting>
  <conditionalFormatting sqref="X60 BA60:BL60">
    <cfRule type="expression" dxfId="36" priority="298">
      <formula>$Y$12=""</formula>
    </cfRule>
    <cfRule type="expression" dxfId="35" priority="309">
      <formula>OR(AND($X$12=$X$11,$Y$11&lt;&gt;""),AND($X$12=$X$13,$Y$13&lt;&gt;""))</formula>
    </cfRule>
  </conditionalFormatting>
  <conditionalFormatting sqref="X61 BA61:BL61">
    <cfRule type="expression" dxfId="34" priority="299">
      <formula>$Y$13=""</formula>
    </cfRule>
    <cfRule type="expression" dxfId="33" priority="308">
      <formula>OR(AND($X$13=$X$12,$Y$12&lt;&gt;""),AND($X$13=$X$14,$Y$14&lt;&gt;""))</formula>
    </cfRule>
  </conditionalFormatting>
  <conditionalFormatting sqref="X38 X62 BA62:BL62">
    <cfRule type="expression" dxfId="32" priority="300">
      <formula>$Y$14=""</formula>
    </cfRule>
    <cfRule type="expression" dxfId="31" priority="307">
      <formula>OR(AND($X$14=$X$13,$Y$13&lt;&gt;""),AND($X$14=$X$15,$Y$15&lt;&gt;""))</formula>
    </cfRule>
  </conditionalFormatting>
  <conditionalFormatting sqref="X39 X63 BA63:BL63">
    <cfRule type="expression" dxfId="30" priority="301">
      <formula>$Y$15=""</formula>
    </cfRule>
    <cfRule type="expression" dxfId="29" priority="306">
      <formula>OR(AND($X$15=$X$14,$Y$14&lt;&gt;""),AND($X$15=$X$16,$Y$16&lt;&gt;""))</formula>
    </cfRule>
  </conditionalFormatting>
  <conditionalFormatting sqref="X40 X64 BA64:BL64">
    <cfRule type="expression" dxfId="28" priority="302">
      <formula>$Y$16=""</formula>
    </cfRule>
    <cfRule type="expression" dxfId="27" priority="305">
      <formula>OR(AND($X$16=$X$15,$Y$15&lt;&gt;""),AND($X$16=$X$17,$Y$17&lt;&gt;""))</formula>
    </cfRule>
  </conditionalFormatting>
  <conditionalFormatting sqref="X41 X65 BA65:BL65">
    <cfRule type="expression" dxfId="26" priority="271">
      <formula>$Y$17=""</formula>
    </cfRule>
    <cfRule type="expression" dxfId="25" priority="272">
      <formula>AND($X$17=$X$16,$Y$16&lt;&gt;"")</formula>
    </cfRule>
  </conditionalFormatting>
  <conditionalFormatting sqref="AN9:AO9 AN10:AN28">
    <cfRule type="expression" dxfId="24" priority="124">
      <formula>$Y$9=""</formula>
    </cfRule>
    <cfRule type="expression" dxfId="23" priority="171">
      <formula>AND($X$9=$X$10,$Y$10&lt;&gt;"")</formula>
    </cfRule>
  </conditionalFormatting>
  <conditionalFormatting sqref="AO10:AO27">
    <cfRule type="expression" dxfId="22" priority="123">
      <formula>$Y10=""</formula>
    </cfRule>
    <cfRule type="expression" dxfId="21" priority="170">
      <formula>OR(AND($X10=$X9,$Y9&lt;&gt;""),AND($X10=$X11,$Y11&lt;&gt;""))</formula>
    </cfRule>
  </conditionalFormatting>
  <conditionalFormatting sqref="AO28">
    <cfRule type="expression" dxfId="20" priority="122">
      <formula>$Y$28=""</formula>
    </cfRule>
    <cfRule type="expression" dxfId="19" priority="145">
      <formula>AND($X28=$X27,$Y27&lt;&gt;"")</formula>
    </cfRule>
  </conditionalFormatting>
  <conditionalFormatting sqref="I9:T388">
    <cfRule type="expression" dxfId="18" priority="12">
      <formula>OR($F9="",$H9="")</formula>
    </cfRule>
  </conditionalFormatting>
  <conditionalFormatting sqref="I9:I388 K9:K388">
    <cfRule type="expression" dxfId="17" priority="11">
      <formula>$BQ9</formula>
    </cfRule>
  </conditionalFormatting>
  <conditionalFormatting sqref="L9:L388 N9:N388">
    <cfRule type="expression" dxfId="16" priority="10">
      <formula>$BR9</formula>
    </cfRule>
  </conditionalFormatting>
  <conditionalFormatting sqref="O9:O388 Q9:Q388">
    <cfRule type="expression" dxfId="15" priority="9">
      <formula>$BS9</formula>
    </cfRule>
  </conditionalFormatting>
  <conditionalFormatting sqref="AP9:BK28 AP35:BK54">
    <cfRule type="expression" dxfId="14" priority="3">
      <formula>$AQ9=""</formula>
    </cfRule>
    <cfRule type="expression" dxfId="13" priority="4">
      <formula>OR(AND($AP9=$AP8,$AQ8&lt;&gt;""),AND($AP9=$AP10,$AQ10&lt;&gt;""))</formula>
    </cfRule>
  </conditionalFormatting>
  <conditionalFormatting sqref="X9:AM28">
    <cfRule type="expression" dxfId="12" priority="2">
      <formula>OR(AND($X9=$X8,$Y8&lt;&gt;""),AND($X9=$X10,$Y10&lt;&gt;""))</formula>
    </cfRule>
  </conditionalFormatting>
  <conditionalFormatting sqref="X9:AL28">
    <cfRule type="expression" dxfId="11" priority="1">
      <formula>$Y9=""</formula>
    </cfRule>
  </conditionalFormatting>
  <dataValidations count="7">
    <dataValidation type="whole" allowBlank="1" showErrorMessage="1" errorTitle="Error" error="Maximal 999 !" sqref="I9:I388 K9:T388" xr:uid="{70760399-EA00-4F11-A39C-51272A8CDA9B}">
      <formula1>0</formula1>
      <formula2>999</formula2>
    </dataValidation>
    <dataValidation type="list" allowBlank="1" showInputMessage="1" showErrorMessage="1" sqref="Z6" xr:uid="{A1112F86-B7A8-41BF-8085-9EF9CEF6829E}">
      <formula1>"1,2,3,4,5,6,7,8,9,10,11,12,13,14,15,16,17,18,19,20,21,22,23,24,25,26,27,28,29,30,31,32,33,34,35,36,37,38"</formula1>
    </dataValidation>
    <dataValidation type="custom" allowBlank="1" showInputMessage="1" showErrorMessage="1" errorTitle="Unzulässiger Wert" sqref="AA46" xr:uid="{B19785A7-6C1C-4613-B181-8E7657977DB9}">
      <formula1>AND(AA46&gt;0,AA46&lt;39,AA46&gt;=Z46)</formula1>
    </dataValidation>
    <dataValidation type="custom" allowBlank="1" showInputMessage="1" showErrorMessage="1" errorTitle="Unzulässiger Wert" sqref="Z46" xr:uid="{8F59AA61-B759-438A-AE87-B48367919A0E}">
      <formula1>AND(Z46&gt;0,Z46&lt;39,AA46&gt;=Z46)</formula1>
    </dataValidation>
    <dataValidation type="whole" allowBlank="1" showErrorMessage="1" errorTitle="Error" error="Maximal 999 !" sqref="U9:V388" xr:uid="{6319A784-1EAE-4BA1-8E27-F155D0A29F57}">
      <formula1>-999</formula1>
      <formula2>999</formula2>
    </dataValidation>
    <dataValidation type="custom" allowBlank="1" showInputMessage="1" showErrorMessage="1" errorTitle="Unzulässiger Wert" sqref="AC33" xr:uid="{B0413633-489D-4B01-940F-6031E1B627FE}">
      <formula1>AND(AC33&gt;0,AC33&lt;39,AC33&gt;=AA33)</formula1>
    </dataValidation>
    <dataValidation type="custom" allowBlank="1" showInputMessage="1" showErrorMessage="1" errorTitle="Unzulässiger Wert" sqref="AA33" xr:uid="{79A7333B-030E-4E85-A300-91FDE8C2CE66}">
      <formula1>AND(AA33&gt;0,AA33&lt;39,AC33&gt;=AA33)</formula1>
    </dataValidation>
  </dataValidations>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55" id="{242813DE-F3F3-44A7-9A94-97985788F385}">
            <xm:f>Planning!$F$6=2</xm:f>
            <x14:dxf>
              <font>
                <color rgb="FF00B050"/>
              </font>
              <numFmt numFmtId="30" formatCode="@"/>
            </x14:dxf>
          </x14:cfRule>
          <xm:sqref>AR29:BL29</xm:sqref>
        </x14:conditionalFormatting>
        <x14:conditionalFormatting xmlns:xm="http://schemas.microsoft.com/office/excel/2006/main">
          <x14:cfRule type="expression" priority="354" id="{F4F10527-B686-4CA2-80FD-18E51A3B22D2}">
            <xm:f>OR(Planning!$F$6&gt;2,Planning!$B$6&gt;1)</xm:f>
            <x14:dxf>
              <numFmt numFmtId="30" formatCode="@"/>
            </x14:dxf>
          </x14:cfRule>
          <xm:sqref>AN4:AQ4 AA6</xm:sqref>
        </x14:conditionalFormatting>
        <x14:conditionalFormatting xmlns:xm="http://schemas.microsoft.com/office/excel/2006/main">
          <x14:cfRule type="expression" priority="333" id="{D61927F1-072E-4B54-9191-2BD855D0BD51}">
            <xm:f>OR(Planning!$F$6&gt;2,Planning!$B$6&gt;1)</xm:f>
            <x14:dxf>
              <numFmt numFmtId="30" formatCode="@"/>
            </x14:dxf>
          </x14:cfRule>
          <xm:sqref>BA66:BL66</xm:sqref>
        </x14:conditionalFormatting>
        <x14:conditionalFormatting xmlns:xm="http://schemas.microsoft.com/office/excel/2006/main">
          <x14:cfRule type="expression" priority="173" id="{53B520CA-9173-4CE5-AAB8-807CC57F70AD}">
            <xm:f>Planning!$F$6=2</xm:f>
            <x14:dxf>
              <font>
                <color rgb="FF00B050"/>
              </font>
              <numFmt numFmtId="30" formatCode="@"/>
            </x14:dxf>
          </x14:cfRule>
          <xm:sqref>AQ32</xm:sqref>
        </x14:conditionalFormatting>
        <x14:conditionalFormatting xmlns:xm="http://schemas.microsoft.com/office/excel/2006/main">
          <x14:cfRule type="expression" priority="14" id="{0256E546-3D79-4898-A80B-8F8D2A60B084}">
            <xm:f>$C9=Calc!$B$24/2</xm:f>
            <x14:dxf>
              <border>
                <bottom style="dashDot">
                  <color rgb="FFDA0000"/>
                </bottom>
                <vertical/>
                <horizontal/>
              </border>
            </x14:dxf>
          </x14:cfRule>
          <x14:cfRule type="expression" priority="15" id="{D7D268B8-91DE-426E-91ED-22689BEDC870}">
            <xm:f>$C9=Calc!$B$24</xm:f>
            <x14:dxf>
              <border>
                <bottom style="thin">
                  <color rgb="FFDA0000"/>
                </bottom>
                <vertical/>
                <horizontal/>
              </border>
            </x14:dxf>
          </x14:cfRule>
          <x14:cfRule type="expression" priority="16" id="{564E11D0-4D64-40C3-A980-8CBFE77FDE63}">
            <xm:f>AND($C9&lt;Calc!$B$24,Calc!$F$24&gt;1,MOD($C9,Calc!$F$26)=0,$C9&lt;&gt;Calc!$B$24/2)</xm:f>
            <x14:dxf>
              <border>
                <bottom style="thin">
                  <color theme="4"/>
                </bottom>
                <vertical/>
                <horizontal/>
              </border>
            </x14:dxf>
          </x14:cfRule>
          <xm:sqref>B9:V387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C8AEE-2FC0-40F1-B072-0AAB658EE6D9}">
  <sheetPr codeName="Tabelle2"/>
  <dimension ref="B2:AA764"/>
  <sheetViews>
    <sheetView workbookViewId="0"/>
  </sheetViews>
  <sheetFormatPr baseColWidth="10" defaultRowHeight="12.75" x14ac:dyDescent="0.2"/>
  <cols>
    <col min="2" max="2" width="7.7109375" customWidth="1"/>
    <col min="3" max="3" width="22.85546875" customWidth="1"/>
    <col min="4" max="4" width="7" customWidth="1"/>
    <col min="5" max="5" width="7.28515625" customWidth="1"/>
    <col min="6" max="6" width="18.7109375" style="175" customWidth="1"/>
    <col min="7" max="7" width="18.5703125" style="175" customWidth="1"/>
    <col min="8" max="12" width="4.7109375" customWidth="1"/>
    <col min="13" max="13" width="5.85546875" customWidth="1"/>
    <col min="14" max="14" width="36.28515625" customWidth="1"/>
    <col min="15" max="15" width="5.85546875" customWidth="1"/>
    <col min="16" max="16" width="9.140625" customWidth="1"/>
    <col min="17" max="17" width="34.85546875" customWidth="1"/>
    <col min="18" max="18" width="8.85546875" customWidth="1"/>
    <col min="19" max="19" width="11.140625" customWidth="1"/>
    <col min="20" max="27" width="4.7109375" customWidth="1"/>
  </cols>
  <sheetData>
    <row r="2" spans="2:27" x14ac:dyDescent="0.2">
      <c r="P2" s="397" t="s">
        <v>564</v>
      </c>
      <c r="R2" s="397" t="s">
        <v>564</v>
      </c>
    </row>
    <row r="3" spans="2:27" ht="13.5" thickBot="1" x14ac:dyDescent="0.25">
      <c r="B3" s="2"/>
      <c r="C3" s="2"/>
      <c r="D3" s="2"/>
      <c r="E3" s="2"/>
      <c r="F3" s="169"/>
      <c r="G3" s="169"/>
      <c r="H3" s="474" t="s">
        <v>560</v>
      </c>
      <c r="I3" s="474"/>
      <c r="J3" s="474" t="s">
        <v>562</v>
      </c>
      <c r="K3" s="474"/>
      <c r="L3" s="474" t="s">
        <v>561</v>
      </c>
      <c r="M3" s="474"/>
      <c r="N3" s="91" t="s">
        <v>139</v>
      </c>
      <c r="O3" s="91" t="s">
        <v>12</v>
      </c>
      <c r="P3" s="91" t="s">
        <v>133</v>
      </c>
      <c r="Q3" s="92" t="s">
        <v>140</v>
      </c>
      <c r="R3" s="91" t="s">
        <v>134</v>
      </c>
      <c r="S3" s="91" t="s">
        <v>565</v>
      </c>
      <c r="T3" s="474" t="s">
        <v>563</v>
      </c>
      <c r="U3" s="474"/>
      <c r="V3" s="474" t="s">
        <v>564</v>
      </c>
      <c r="W3" s="474"/>
      <c r="X3" s="474" t="s">
        <v>565</v>
      </c>
      <c r="Y3" s="474"/>
      <c r="Z3" s="474" t="s">
        <v>566</v>
      </c>
      <c r="AA3" s="474"/>
    </row>
    <row r="4" spans="2:27" ht="13.5" thickTop="1" x14ac:dyDescent="0.2">
      <c r="B4" s="21" t="s">
        <v>5</v>
      </c>
      <c r="C4" s="25" t="str">
        <f>IF(Planning!$D7="","",Planning!$D7)</f>
        <v>1. FC Heidenheim 1846</v>
      </c>
      <c r="D4" s="2"/>
      <c r="E4" s="265">
        <v>1</v>
      </c>
      <c r="F4" s="170" t="str">
        <f>Planning!$Q7</f>
        <v>1. FC Heidenheim 1846</v>
      </c>
      <c r="G4" s="347" t="str">
        <f>Planning!$S7</f>
        <v>VfL Wolfsburg</v>
      </c>
      <c r="H4" s="342">
        <f>IF(AND(Results!$I9&lt;&gt;"",Results!$K9&lt;&gt;"",Results!$F9&lt;&gt;Results!$H9,$F4&lt;&gt;"",$G4&lt;&gt;""),Results!$I9,"")</f>
        <v>25</v>
      </c>
      <c r="I4" s="341">
        <f>IF(AND(Results!$I9&lt;&gt;"",Results!$K9&lt;&gt;"",Results!$F9&lt;&gt;Results!$H9,$F4&lt;&gt;"",$G4&lt;&gt;""),Results!$K9,"")</f>
        <v>18</v>
      </c>
      <c r="J4" s="342">
        <f>IF(AND(Results!$L9&lt;&gt;"",Results!$N9&lt;&gt;"",Results!$F9&lt;&gt;Results!$H9,$F4&lt;&gt;"",$G4&lt;&gt;""),Results!$L9,"")</f>
        <v>17</v>
      </c>
      <c r="K4" s="341">
        <f>IF(AND(Results!$L9&lt;&gt;"",Results!$N9&lt;&gt;"",Results!$F9&lt;&gt;Results!$H9,$F4&lt;&gt;"",$G4&lt;&gt;""),Results!$N9,"")</f>
        <v>25</v>
      </c>
      <c r="L4" s="342">
        <f>IF(AND(Results!$O9&lt;&gt;"",Results!$Q9&lt;&gt;"",Results!$F9&lt;&gt;Results!$H9,$F4&lt;&gt;"",$G4&lt;&gt;""),Results!$O9,"")</f>
        <v>11</v>
      </c>
      <c r="M4" s="15">
        <f>IF(AND(Results!$O9&lt;&gt;"",Results!$Q9&lt;&gt;"",Results!$F9&lt;&gt;Results!$H9,$F4&lt;&gt;"",$G4&lt;&gt;""),Results!$Q9,"")</f>
        <v>15</v>
      </c>
      <c r="N4" s="14" t="str">
        <f>IF(Planning!$I7=0,F4&amp;G4,"")</f>
        <v>1. FC Heidenheim 1846VfL Wolfsburg</v>
      </c>
      <c r="O4" s="15">
        <f>IF(AND(Results!$Z$6&gt;0,$E4-1&gt;=Results!$Z$6*Calc!$F$26),0,IF(AND(F4&lt;&gt;"",G4&lt;&gt;"",F4&lt;&gt;G4,Results!$R9&lt;&gt;"",Results!$T9&lt;&gt;""),1,0))</f>
        <v>1</v>
      </c>
      <c r="P4" s="86" t="str">
        <f>IF(AND(O4&gt;0,Planning!$I7=0),V4&amp;Language!$E$90&amp;W4,"")</f>
        <v>53 - 58</v>
      </c>
      <c r="Q4" s="2" t="str">
        <f>IF(Planning!$I7=1,F4&amp;G4,"")</f>
        <v/>
      </c>
      <c r="R4" s="87" t="str">
        <f>IF(AND(O4&gt;0,Planning!$I7=1),V4&amp;Language!$E$90&amp;W4,"")</f>
        <v/>
      </c>
      <c r="S4" s="87" t="str">
        <f>IF(O4&gt;0,X4&amp;Language!$E$90&amp;Y4,"")</f>
        <v>1 - 2</v>
      </c>
      <c r="T4" s="288">
        <f>IF($H4="",0,Results!$U9)</f>
        <v>0</v>
      </c>
      <c r="U4" s="289">
        <f>IF($I4="",0,Results!$V9)</f>
        <v>0</v>
      </c>
      <c r="V4" s="270">
        <f>IF(O4&gt;0,SUM(H4,J4,L4),"")</f>
        <v>53</v>
      </c>
      <c r="W4" s="289">
        <f>IF(O4&gt;0,SUM(I4,K4,M4),"")</f>
        <v>58</v>
      </c>
      <c r="X4" s="270">
        <f>IF($O4=0,0,IF(Results!$R9="",0,Results!$R9))</f>
        <v>1</v>
      </c>
      <c r="Y4" s="289">
        <f>IF($O4=0,0,IF(Results!$T9="",0,Results!$T9))</f>
        <v>2</v>
      </c>
      <c r="Z4" s="270">
        <f>IF($O4=0,"",IF($X4&gt;$Y4,Settings!$C$4,IF($X4=$Y4,1,0)))</f>
        <v>0</v>
      </c>
      <c r="AA4" s="289">
        <f>IF($O4=0,"",IF($X4&lt;$Y4,Settings!$C$4,IF($X4=$Y4,1,0)))</f>
        <v>2</v>
      </c>
    </row>
    <row r="5" spans="2:27" x14ac:dyDescent="0.2">
      <c r="B5" s="22" t="s">
        <v>6</v>
      </c>
      <c r="C5" s="26" t="str">
        <f>IF(Planning!$D8="","",Planning!$D8)</f>
        <v>1. FC Köln</v>
      </c>
      <c r="D5" s="2"/>
      <c r="E5" s="266">
        <v>2</v>
      </c>
      <c r="F5" s="171" t="str">
        <f>Planning!$Q8</f>
        <v>VfB Stuttgart</v>
      </c>
      <c r="G5" s="348" t="str">
        <f>Planning!$S8</f>
        <v>1. FC Köln</v>
      </c>
      <c r="H5" s="344">
        <f>IF(AND(Results!$I10&lt;&gt;"",Results!$K10&lt;&gt;"",Results!$F10&lt;&gt;Results!$H10,$F5&lt;&gt;"",$G5&lt;&gt;""),Results!$I10,"")</f>
        <v>25</v>
      </c>
      <c r="I5" s="343">
        <f>IF(AND(Results!$I10&lt;&gt;"",Results!$K10&lt;&gt;"",Results!$F10&lt;&gt;Results!$H10,$F5&lt;&gt;"",$G5&lt;&gt;""),Results!$K10,"")</f>
        <v>20</v>
      </c>
      <c r="J5" s="344">
        <f>IF(AND(Results!$L10&lt;&gt;"",Results!$N10&lt;&gt;"",Results!$F10&lt;&gt;Results!$H10,$F5&lt;&gt;"",$G5&lt;&gt;""),Results!$L10,"")</f>
        <v>25</v>
      </c>
      <c r="K5" s="343">
        <f>IF(AND(Results!$L10&lt;&gt;"",Results!$N10&lt;&gt;"",Results!$F10&lt;&gt;Results!$H10,$F5&lt;&gt;"",$G5&lt;&gt;""),Results!$N10,"")</f>
        <v>22</v>
      </c>
      <c r="L5" s="344" t="str">
        <f>IF(AND(Results!$O10&lt;&gt;"",Results!$Q10&lt;&gt;"",Results!$F10&lt;&gt;Results!$H10,$F5&lt;&gt;"",$G5&lt;&gt;""),Results!$O10,"")</f>
        <v/>
      </c>
      <c r="M5" s="122" t="str">
        <f>IF(AND(Results!$O10&lt;&gt;"",Results!$Q10&lt;&gt;"",Results!$F10&lt;&gt;Results!$H10,$F5&lt;&gt;"",$G5&lt;&gt;""),Results!$Q10,"")</f>
        <v/>
      </c>
      <c r="N5" s="16" t="str">
        <f>IF(Planning!$I8=0,F5&amp;G5,"")</f>
        <v>VfB Stuttgart1. FC Köln</v>
      </c>
      <c r="O5" s="7">
        <f>IF(AND(Results!$Z$6&gt;0,$E5-1&gt;=Results!$Z$6*Calc!$F$26),0,IF(AND(F5&lt;&gt;"",G5&lt;&gt;"",F5&lt;&gt;G5,Results!$R10&lt;&gt;"",Results!$T10&lt;&gt;""),1,0))</f>
        <v>1</v>
      </c>
      <c r="P5" s="7" t="str">
        <f>IF(AND(O5&gt;0,Planning!$I8=0),V5&amp;Language!$E$90&amp;W5,"")</f>
        <v>50 - 42</v>
      </c>
      <c r="Q5" s="2" t="str">
        <f>IF(Planning!$I8=1,F5&amp;G5,"")</f>
        <v/>
      </c>
      <c r="R5" s="88" t="str">
        <f>IF(AND(O5&gt;0,Planning!$I8=1),V5&amp;Language!$E$90&amp;W5,"")</f>
        <v/>
      </c>
      <c r="S5" s="122" t="str">
        <f>IF(O5&gt;0,X5&amp;Language!$E$90&amp;Y5,"")</f>
        <v>2 - 0</v>
      </c>
      <c r="T5" s="290">
        <f>IF($H5="",0,Results!$U10)</f>
        <v>0</v>
      </c>
      <c r="U5" s="291">
        <f>IF($I5="",0,Results!$V10)</f>
        <v>0</v>
      </c>
      <c r="V5" s="270">
        <f t="shared" ref="V5:V68" si="0">IF(O5&gt;0,SUM(H5,J5,L5),"")</f>
        <v>50</v>
      </c>
      <c r="W5" s="291">
        <f t="shared" ref="W5:W68" si="1">IF(O5&gt;0,SUM(I5,K5,M5),"")</f>
        <v>42</v>
      </c>
      <c r="X5" s="270">
        <f>IF($O5=0,0,IF(Results!$R10="",0,Results!$R10))</f>
        <v>2</v>
      </c>
      <c r="Y5" s="291">
        <f>IF($O5=0,0,IF(Results!$T10="",0,Results!$T10))</f>
        <v>0</v>
      </c>
      <c r="Z5" s="270">
        <f>IF($O5=0,"",IF($X5&gt;$Y5,Settings!$C$4,IF($X5=$Y5,1,0)))</f>
        <v>2</v>
      </c>
      <c r="AA5" s="291">
        <f>IF($O5=0,"",IF($X5&lt;$Y5,Settings!$C$4,IF($X5=$Y5,1,0)))</f>
        <v>0</v>
      </c>
    </row>
    <row r="6" spans="2:27" x14ac:dyDescent="0.2">
      <c r="B6" s="22" t="s">
        <v>7</v>
      </c>
      <c r="C6" s="26" t="str">
        <f>IF(Planning!$D9="","",Planning!$D9)</f>
        <v>1. FC Union Berlin</v>
      </c>
      <c r="D6" s="2"/>
      <c r="E6" s="266">
        <v>3</v>
      </c>
      <c r="F6" s="171" t="str">
        <f>Planning!$Q9</f>
        <v>1. FC Union Berlin</v>
      </c>
      <c r="G6" s="348" t="str">
        <f>Planning!$S9</f>
        <v>TSG Hoffenheim</v>
      </c>
      <c r="H6" s="344">
        <f>IF(AND(Results!$I11&lt;&gt;"",Results!$K11&lt;&gt;"",Results!$F11&lt;&gt;Results!$H11,$F6&lt;&gt;"",$G6&lt;&gt;""),Results!$I11,"")</f>
        <v>25</v>
      </c>
      <c r="I6" s="343">
        <f>IF(AND(Results!$I11&lt;&gt;"",Results!$K11&lt;&gt;"",Results!$F11&lt;&gt;Results!$H11,$F6&lt;&gt;"",$G6&lt;&gt;""),Results!$K11,"")</f>
        <v>19</v>
      </c>
      <c r="J6" s="344">
        <f>IF(AND(Results!$L11&lt;&gt;"",Results!$N11&lt;&gt;"",Results!$F11&lt;&gt;Results!$H11,$F6&lt;&gt;"",$G6&lt;&gt;""),Results!$L11,"")</f>
        <v>25</v>
      </c>
      <c r="K6" s="343">
        <f>IF(AND(Results!$L11&lt;&gt;"",Results!$N11&lt;&gt;"",Results!$F11&lt;&gt;Results!$H11,$F6&lt;&gt;"",$G6&lt;&gt;""),Results!$N11,"")</f>
        <v>21</v>
      </c>
      <c r="L6" s="344" t="str">
        <f>IF(AND(Results!$O11&lt;&gt;"",Results!$Q11&lt;&gt;"",Results!$F11&lt;&gt;Results!$H11,$F6&lt;&gt;"",$G6&lt;&gt;""),Results!$O11,"")</f>
        <v/>
      </c>
      <c r="M6" s="122" t="str">
        <f>IF(AND(Results!$O11&lt;&gt;"",Results!$Q11&lt;&gt;"",Results!$F11&lt;&gt;Results!$H11,$F6&lt;&gt;"",$G6&lt;&gt;""),Results!$Q11,"")</f>
        <v/>
      </c>
      <c r="N6" s="16" t="str">
        <f>IF(Planning!$I9=0,F6&amp;G6,"")</f>
        <v>1. FC Union BerlinTSG Hoffenheim</v>
      </c>
      <c r="O6" s="7">
        <f>IF(AND(Results!$Z$6&gt;0,$E6-1&gt;=Results!$Z$6*Calc!$F$26),0,IF(AND(F6&lt;&gt;"",G6&lt;&gt;"",F6&lt;&gt;G6,Results!$R11&lt;&gt;"",Results!$T11&lt;&gt;""),1,0))</f>
        <v>1</v>
      </c>
      <c r="P6" s="7" t="str">
        <f>IF(AND(O6&gt;0,Planning!$I9=0),V6&amp;Language!$E$90&amp;W6,"")</f>
        <v>50 - 40</v>
      </c>
      <c r="Q6" s="2" t="str">
        <f>IF(Planning!$I9=1,F6&amp;G6,"")</f>
        <v/>
      </c>
      <c r="R6" s="88" t="str">
        <f>IF(AND(O6&gt;0,Planning!$I9=1),V6&amp;Language!$E$90&amp;W6,"")</f>
        <v/>
      </c>
      <c r="S6" s="122" t="str">
        <f>IF(O6&gt;0,X6&amp;Language!$E$90&amp;Y6,"")</f>
        <v>2 - 0</v>
      </c>
      <c r="T6" s="290">
        <f>IF($H6="",0,Results!$U11)</f>
        <v>0</v>
      </c>
      <c r="U6" s="291">
        <f>IF($I6="",0,Results!$V11)</f>
        <v>0</v>
      </c>
      <c r="V6" s="270">
        <f t="shared" si="0"/>
        <v>50</v>
      </c>
      <c r="W6" s="291">
        <f t="shared" si="1"/>
        <v>40</v>
      </c>
      <c r="X6" s="270">
        <f>IF($O6=0,0,IF(Results!$R11="",0,Results!$R11))</f>
        <v>2</v>
      </c>
      <c r="Y6" s="291">
        <f>IF($O6=0,0,IF(Results!$T11="",0,Results!$T11))</f>
        <v>0</v>
      </c>
      <c r="Z6" s="270">
        <f>IF($O6=0,"",IF($X6&gt;$Y6,Settings!$C$4,IF($X6=$Y6,1,0)))</f>
        <v>2</v>
      </c>
      <c r="AA6" s="291">
        <f>IF($O6=0,"",IF($X6&lt;$Y6,Settings!$C$4,IF($X6=$Y6,1,0)))</f>
        <v>0</v>
      </c>
    </row>
    <row r="7" spans="2:27" x14ac:dyDescent="0.2">
      <c r="B7" s="22" t="s">
        <v>8</v>
      </c>
      <c r="C7" s="26" t="str">
        <f>IF(Planning!$D10="","",Planning!$D10)</f>
        <v>1. FSV Mainz 05</v>
      </c>
      <c r="D7" s="2"/>
      <c r="E7" s="266">
        <v>4</v>
      </c>
      <c r="F7" s="171" t="str">
        <f>Planning!$Q10</f>
        <v>SV Werder Bremen</v>
      </c>
      <c r="G7" s="348" t="str">
        <f>Planning!$S10</f>
        <v>1. FSV Mainz 05</v>
      </c>
      <c r="H7" s="344">
        <f>IF(AND(Results!$I12&lt;&gt;"",Results!$K12&lt;&gt;"",Results!$F12&lt;&gt;Results!$H12,$F7&lt;&gt;"",$G7&lt;&gt;""),Results!$I12,"")</f>
        <v>15</v>
      </c>
      <c r="I7" s="343">
        <f>IF(AND(Results!$I12&lt;&gt;"",Results!$K12&lt;&gt;"",Results!$F12&lt;&gt;Results!$H12,$F7&lt;&gt;"",$G7&lt;&gt;""),Results!$K12,"")</f>
        <v>25</v>
      </c>
      <c r="J7" s="344">
        <f>IF(AND(Results!$L12&lt;&gt;"",Results!$N12&lt;&gt;"",Results!$F12&lt;&gt;Results!$H12,$F7&lt;&gt;"",$G7&lt;&gt;""),Results!$L12,"")</f>
        <v>16</v>
      </c>
      <c r="K7" s="343">
        <f>IF(AND(Results!$L12&lt;&gt;"",Results!$N12&lt;&gt;"",Results!$F12&lt;&gt;Results!$H12,$F7&lt;&gt;"",$G7&lt;&gt;""),Results!$N12,"")</f>
        <v>25</v>
      </c>
      <c r="L7" s="344" t="str">
        <f>IF(AND(Results!$O12&lt;&gt;"",Results!$Q12&lt;&gt;"",Results!$F12&lt;&gt;Results!$H12,$F7&lt;&gt;"",$G7&lt;&gt;""),Results!$O12,"")</f>
        <v/>
      </c>
      <c r="M7" s="122" t="str">
        <f>IF(AND(Results!$O12&lt;&gt;"",Results!$Q12&lt;&gt;"",Results!$F12&lt;&gt;Results!$H12,$F7&lt;&gt;"",$G7&lt;&gt;""),Results!$Q12,"")</f>
        <v/>
      </c>
      <c r="N7" s="16" t="str">
        <f>IF(Planning!$I10=0,F7&amp;G7,"")</f>
        <v>SV Werder Bremen1. FSV Mainz 05</v>
      </c>
      <c r="O7" s="7">
        <f>IF(AND(Results!$Z$6&gt;0,$E7-1&gt;=Results!$Z$6*Calc!$F$26),0,IF(AND(F7&lt;&gt;"",G7&lt;&gt;"",F7&lt;&gt;G7,Results!$R12&lt;&gt;"",Results!$T12&lt;&gt;""),1,0))</f>
        <v>1</v>
      </c>
      <c r="P7" s="7" t="str">
        <f>IF(AND(O7&gt;0,Planning!$I10=0),V7&amp;Language!$E$90&amp;W7,"")</f>
        <v>31 - 50</v>
      </c>
      <c r="Q7" s="2" t="str">
        <f>IF(Planning!$I10=1,F7&amp;G7,"")</f>
        <v/>
      </c>
      <c r="R7" s="88" t="str">
        <f>IF(AND(O7&gt;0,Planning!$I10=1),V7&amp;Language!$E$90&amp;W7,"")</f>
        <v/>
      </c>
      <c r="S7" s="122" t="str">
        <f>IF(O7&gt;0,X7&amp;Language!$E$90&amp;Y7,"")</f>
        <v>0 - 2</v>
      </c>
      <c r="T7" s="290">
        <f>IF($H7="",0,Results!$U12)</f>
        <v>0</v>
      </c>
      <c r="U7" s="291">
        <f>IF($I7="",0,Results!$V12)</f>
        <v>0</v>
      </c>
      <c r="V7" s="270">
        <f t="shared" si="0"/>
        <v>31</v>
      </c>
      <c r="W7" s="291">
        <f t="shared" si="1"/>
        <v>50</v>
      </c>
      <c r="X7" s="270">
        <f>IF($O7=0,0,IF(Results!$R12="",0,Results!$R12))</f>
        <v>0</v>
      </c>
      <c r="Y7" s="291">
        <f>IF($O7=0,0,IF(Results!$T12="",0,Results!$T12))</f>
        <v>2</v>
      </c>
      <c r="Z7" s="270">
        <f>IF($O7=0,"",IF($X7&gt;$Y7,Settings!$C$4,IF($X7=$Y7,1,0)))</f>
        <v>0</v>
      </c>
      <c r="AA7" s="291">
        <f>IF($O7=0,"",IF($X7&lt;$Y7,Settings!$C$4,IF($X7=$Y7,1,0)))</f>
        <v>2</v>
      </c>
    </row>
    <row r="8" spans="2:27" x14ac:dyDescent="0.2">
      <c r="B8" s="22" t="s">
        <v>9</v>
      </c>
      <c r="C8" s="26" t="str">
        <f>IF(Planning!$D11="","",Planning!$D11)</f>
        <v>Bayer 04 Leverkusen</v>
      </c>
      <c r="D8" s="2"/>
      <c r="E8" s="266">
        <v>5</v>
      </c>
      <c r="F8" s="171" t="str">
        <f>Planning!$Q11</f>
        <v>Bayer 04 Leverkusen</v>
      </c>
      <c r="G8" s="348" t="str">
        <f>Planning!$S11</f>
        <v>SC Freiburg</v>
      </c>
      <c r="H8" s="344">
        <f>IF(AND(Results!$I13&lt;&gt;"",Results!$K13&lt;&gt;"",Results!$F13&lt;&gt;Results!$H13,$F8&lt;&gt;"",$G8&lt;&gt;""),Results!$I13,"")</f>
        <v>25</v>
      </c>
      <c r="I8" s="343">
        <f>IF(AND(Results!$I13&lt;&gt;"",Results!$K13&lt;&gt;"",Results!$F13&lt;&gt;Results!$H13,$F8&lt;&gt;"",$G8&lt;&gt;""),Results!$K13,"")</f>
        <v>23</v>
      </c>
      <c r="J8" s="344">
        <f>IF(AND(Results!$L13&lt;&gt;"",Results!$N13&lt;&gt;"",Results!$F13&lt;&gt;Results!$H13,$F8&lt;&gt;"",$G8&lt;&gt;""),Results!$L13,"")</f>
        <v>25</v>
      </c>
      <c r="K8" s="343">
        <f>IF(AND(Results!$L13&lt;&gt;"",Results!$N13&lt;&gt;"",Results!$F13&lt;&gt;Results!$H13,$F8&lt;&gt;"",$G8&lt;&gt;""),Results!$N13,"")</f>
        <v>23</v>
      </c>
      <c r="L8" s="344" t="str">
        <f>IF(AND(Results!$O13&lt;&gt;"",Results!$Q13&lt;&gt;"",Results!$F13&lt;&gt;Results!$H13,$F8&lt;&gt;"",$G8&lt;&gt;""),Results!$O13,"")</f>
        <v/>
      </c>
      <c r="M8" s="122" t="str">
        <f>IF(AND(Results!$O13&lt;&gt;"",Results!$Q13&lt;&gt;"",Results!$F13&lt;&gt;Results!$H13,$F8&lt;&gt;"",$G8&lt;&gt;""),Results!$Q13,"")</f>
        <v/>
      </c>
      <c r="N8" s="16" t="str">
        <f>IF(Planning!$I11=0,F8&amp;G8,"")</f>
        <v>Bayer 04 LeverkusenSC Freiburg</v>
      </c>
      <c r="O8" s="7">
        <f>IF(AND(Results!$Z$6&gt;0,$E8-1&gt;=Results!$Z$6*Calc!$F$26),0,IF(AND(F8&lt;&gt;"",G8&lt;&gt;"",F8&lt;&gt;G8,Results!$R13&lt;&gt;"",Results!$T13&lt;&gt;""),1,0))</f>
        <v>1</v>
      </c>
      <c r="P8" s="7" t="str">
        <f>IF(AND(O8&gt;0,Planning!$I11=0),V8&amp;Language!$E$90&amp;W8,"")</f>
        <v>50 - 46</v>
      </c>
      <c r="Q8" s="2" t="str">
        <f>IF(Planning!$I11=1,F8&amp;G8,"")</f>
        <v/>
      </c>
      <c r="R8" s="88" t="str">
        <f>IF(AND(O8&gt;0,Planning!$I11=1),V8&amp;Language!$E$90&amp;W8,"")</f>
        <v/>
      </c>
      <c r="S8" s="122" t="str">
        <f>IF(O8&gt;0,X8&amp;Language!$E$90&amp;Y8,"")</f>
        <v>2 - 0</v>
      </c>
      <c r="T8" s="290">
        <f>IF($H8="",0,Results!$U13)</f>
        <v>0</v>
      </c>
      <c r="U8" s="291">
        <f>IF($I8="",0,Results!$V13)</f>
        <v>0</v>
      </c>
      <c r="V8" s="270">
        <f t="shared" si="0"/>
        <v>50</v>
      </c>
      <c r="W8" s="291">
        <f t="shared" si="1"/>
        <v>46</v>
      </c>
      <c r="X8" s="270">
        <f>IF($O8=0,0,IF(Results!$R13="",0,Results!$R13))</f>
        <v>2</v>
      </c>
      <c r="Y8" s="291">
        <f>IF($O8=0,0,IF(Results!$T13="",0,Results!$T13))</f>
        <v>0</v>
      </c>
      <c r="Z8" s="270">
        <f>IF($O8=0,"",IF($X8&gt;$Y8,Settings!$C$4,IF($X8=$Y8,1,0)))</f>
        <v>2</v>
      </c>
      <c r="AA8" s="291">
        <f>IF($O8=0,"",IF($X8&lt;$Y8,Settings!$C$4,IF($X8=$Y8,1,0)))</f>
        <v>0</v>
      </c>
    </row>
    <row r="9" spans="2:27" x14ac:dyDescent="0.2">
      <c r="B9" s="22" t="s">
        <v>10</v>
      </c>
      <c r="C9" s="26" t="str">
        <f>IF(Planning!$D12="","",Planning!$D12)</f>
        <v>Borussia Dortmund</v>
      </c>
      <c r="D9" s="2"/>
      <c r="E9" s="266">
        <v>6</v>
      </c>
      <c r="F9" s="171" t="str">
        <f>Planning!$Q12</f>
        <v>RB Leipzig</v>
      </c>
      <c r="G9" s="348" t="str">
        <f>Planning!$S12</f>
        <v>Borussia Dortmund</v>
      </c>
      <c r="H9" s="344">
        <f>IF(AND(Results!$I14&lt;&gt;"",Results!$K14&lt;&gt;"",Results!$F14&lt;&gt;Results!$H14,$F9&lt;&gt;"",$G9&lt;&gt;""),Results!$I14,"")</f>
        <v>25</v>
      </c>
      <c r="I9" s="343">
        <f>IF(AND(Results!$I14&lt;&gt;"",Results!$K14&lt;&gt;"",Results!$F14&lt;&gt;Results!$H14,$F9&lt;&gt;"",$G9&lt;&gt;""),Results!$K14,"")</f>
        <v>17</v>
      </c>
      <c r="J9" s="344">
        <f>IF(AND(Results!$L14&lt;&gt;"",Results!$N14&lt;&gt;"",Results!$F14&lt;&gt;Results!$H14,$F9&lt;&gt;"",$G9&lt;&gt;""),Results!$L14,"")</f>
        <v>25</v>
      </c>
      <c r="K9" s="343">
        <f>IF(AND(Results!$L14&lt;&gt;"",Results!$N14&lt;&gt;"",Results!$F14&lt;&gt;Results!$H14,$F9&lt;&gt;"",$G9&lt;&gt;""),Results!$N14,"")</f>
        <v>22</v>
      </c>
      <c r="L9" s="344" t="str">
        <f>IF(AND(Results!$O14&lt;&gt;"",Results!$Q14&lt;&gt;"",Results!$F14&lt;&gt;Results!$H14,$F9&lt;&gt;"",$G9&lt;&gt;""),Results!$O14,"")</f>
        <v/>
      </c>
      <c r="M9" s="122" t="str">
        <f>IF(AND(Results!$O14&lt;&gt;"",Results!$Q14&lt;&gt;"",Results!$F14&lt;&gt;Results!$H14,$F9&lt;&gt;"",$G9&lt;&gt;""),Results!$Q14,"")</f>
        <v/>
      </c>
      <c r="N9" s="16" t="str">
        <f>IF(Planning!$I12=0,F9&amp;G9,"")</f>
        <v>RB LeipzigBorussia Dortmund</v>
      </c>
      <c r="O9" s="7">
        <f>IF(AND(Results!$Z$6&gt;0,$E9-1&gt;=Results!$Z$6*Calc!$F$26),0,IF(AND(F9&lt;&gt;"",G9&lt;&gt;"",F9&lt;&gt;G9,Results!$R14&lt;&gt;"",Results!$T14&lt;&gt;""),1,0))</f>
        <v>1</v>
      </c>
      <c r="P9" s="7" t="str">
        <f>IF(AND(O9&gt;0,Planning!$I12=0),V9&amp;Language!$E$90&amp;W9,"")</f>
        <v>50 - 39</v>
      </c>
      <c r="Q9" s="2" t="str">
        <f>IF(Planning!$I12=1,F9&amp;G9,"")</f>
        <v/>
      </c>
      <c r="R9" s="88" t="str">
        <f>IF(AND(O9&gt;0,Planning!$I12=1),V9&amp;Language!$E$90&amp;W9,"")</f>
        <v/>
      </c>
      <c r="S9" s="122" t="str">
        <f>IF(O9&gt;0,X9&amp;Language!$E$90&amp;Y9,"")</f>
        <v>2 - 0</v>
      </c>
      <c r="T9" s="290">
        <f>IF($H9="",0,Results!$U14)</f>
        <v>0</v>
      </c>
      <c r="U9" s="291">
        <f>IF($I9="",0,Results!$V14)</f>
        <v>0</v>
      </c>
      <c r="V9" s="270">
        <f t="shared" si="0"/>
        <v>50</v>
      </c>
      <c r="W9" s="291">
        <f t="shared" si="1"/>
        <v>39</v>
      </c>
      <c r="X9" s="270">
        <f>IF($O9=0,0,IF(Results!$R14="",0,Results!$R14))</f>
        <v>2</v>
      </c>
      <c r="Y9" s="291">
        <f>IF($O9=0,0,IF(Results!$T14="",0,Results!$T14))</f>
        <v>0</v>
      </c>
      <c r="Z9" s="270">
        <f>IF($O9=0,"",IF($X9&gt;$Y9,Settings!$C$4,IF($X9=$Y9,1,0)))</f>
        <v>2</v>
      </c>
      <c r="AA9" s="291">
        <f>IF($O9=0,"",IF($X9&lt;$Y9,Settings!$C$4,IF($X9=$Y9,1,0)))</f>
        <v>0</v>
      </c>
    </row>
    <row r="10" spans="2:27" x14ac:dyDescent="0.2">
      <c r="B10" s="22" t="s">
        <v>13</v>
      </c>
      <c r="C10" s="26" t="str">
        <f>IF(Planning!$D13="","",Planning!$D13)</f>
        <v>Borussia Mönchengladbach</v>
      </c>
      <c r="D10" s="2"/>
      <c r="E10" s="266">
        <v>7</v>
      </c>
      <c r="F10" s="171" t="str">
        <f>Planning!$Q13</f>
        <v>Borussia Mönchengladbach</v>
      </c>
      <c r="G10" s="348" t="str">
        <f>Planning!$S13</f>
        <v>Hamburger SV</v>
      </c>
      <c r="H10" s="344">
        <f>IF(AND(Results!$I15&lt;&gt;"",Results!$K15&lt;&gt;"",Results!$F15&lt;&gt;Results!$H15,$F10&lt;&gt;"",$G10&lt;&gt;""),Results!$I15,"")</f>
        <v>23</v>
      </c>
      <c r="I10" s="343">
        <f>IF(AND(Results!$I15&lt;&gt;"",Results!$K15&lt;&gt;"",Results!$F15&lt;&gt;Results!$H15,$F10&lt;&gt;"",$G10&lt;&gt;""),Results!$K15,"")</f>
        <v>25</v>
      </c>
      <c r="J10" s="344">
        <f>IF(AND(Results!$L15&lt;&gt;"",Results!$N15&lt;&gt;"",Results!$F15&lt;&gt;Results!$H15,$F10&lt;&gt;"",$G10&lt;&gt;""),Results!$L15,"")</f>
        <v>25</v>
      </c>
      <c r="K10" s="343">
        <f>IF(AND(Results!$L15&lt;&gt;"",Results!$N15&lt;&gt;"",Results!$F15&lt;&gt;Results!$H15,$F10&lt;&gt;"",$G10&lt;&gt;""),Results!$N15,"")</f>
        <v>23</v>
      </c>
      <c r="L10" s="344">
        <f>IF(AND(Results!$O15&lt;&gt;"",Results!$Q15&lt;&gt;"",Results!$F15&lt;&gt;Results!$H15,$F10&lt;&gt;"",$G10&lt;&gt;""),Results!$O15,"")</f>
        <v>14</v>
      </c>
      <c r="M10" s="122">
        <f>IF(AND(Results!$O15&lt;&gt;"",Results!$Q15&lt;&gt;"",Results!$F15&lt;&gt;Results!$H15,$F10&lt;&gt;"",$G10&lt;&gt;""),Results!$Q15,"")</f>
        <v>16</v>
      </c>
      <c r="N10" s="16" t="str">
        <f>IF(Planning!$I13=0,F10&amp;G10,"")</f>
        <v>Borussia MönchengladbachHamburger SV</v>
      </c>
      <c r="O10" s="7">
        <f>IF(AND(Results!$Z$6&gt;0,$E10-1&gt;=Results!$Z$6*Calc!$F$26),0,IF(AND(F10&lt;&gt;"",G10&lt;&gt;"",F10&lt;&gt;G10,Results!$R15&lt;&gt;"",Results!$T15&lt;&gt;""),1,0))</f>
        <v>1</v>
      </c>
      <c r="P10" s="7" t="str">
        <f>IF(AND(O10&gt;0,Planning!$I13=0),V10&amp;Language!$E$90&amp;W10,"")</f>
        <v>62 - 64</v>
      </c>
      <c r="Q10" s="2" t="str">
        <f>IF(Planning!$I13=1,F10&amp;G10,"")</f>
        <v/>
      </c>
      <c r="R10" s="88" t="str">
        <f>IF(AND(O10&gt;0,Planning!$I13=1),V10&amp;Language!$E$90&amp;W10,"")</f>
        <v/>
      </c>
      <c r="S10" s="122" t="str">
        <f>IF(O10&gt;0,X10&amp;Language!$E$90&amp;Y10,"")</f>
        <v>1 - 2</v>
      </c>
      <c r="T10" s="290">
        <f>IF($H10="",0,Results!$U15)</f>
        <v>0</v>
      </c>
      <c r="U10" s="291">
        <f>IF($I10="",0,Results!$V15)</f>
        <v>0</v>
      </c>
      <c r="V10" s="270">
        <f t="shared" si="0"/>
        <v>62</v>
      </c>
      <c r="W10" s="291">
        <f t="shared" si="1"/>
        <v>64</v>
      </c>
      <c r="X10" s="270">
        <f>IF($O10=0,0,IF(Results!$R15="",0,Results!$R15))</f>
        <v>1</v>
      </c>
      <c r="Y10" s="291">
        <f>IF($O10=0,0,IF(Results!$T15="",0,Results!$T15))</f>
        <v>2</v>
      </c>
      <c r="Z10" s="270">
        <f>IF($O10=0,"",IF($X10&gt;$Y10,Settings!$C$4,IF($X10=$Y10,1,0)))</f>
        <v>0</v>
      </c>
      <c r="AA10" s="291">
        <f>IF($O10=0,"",IF($X10&lt;$Y10,Settings!$C$4,IF($X10=$Y10,1,0)))</f>
        <v>2</v>
      </c>
    </row>
    <row r="11" spans="2:27" x14ac:dyDescent="0.2">
      <c r="B11" s="22" t="s">
        <v>14</v>
      </c>
      <c r="C11" s="26" t="str">
        <f>IF(Planning!$D14="","",Planning!$D14)</f>
        <v>Eintracht Frankfurt</v>
      </c>
      <c r="D11" s="2"/>
      <c r="E11" s="266">
        <v>8</v>
      </c>
      <c r="F11" s="171" t="str">
        <f>Planning!$Q14</f>
        <v>FC St. Pauli</v>
      </c>
      <c r="G11" s="348" t="str">
        <f>Planning!$S14</f>
        <v>Eintracht Frankfurt</v>
      </c>
      <c r="H11" s="344">
        <f>IF(AND(Results!$I16&lt;&gt;"",Results!$K16&lt;&gt;"",Results!$F16&lt;&gt;Results!$H16,$F11&lt;&gt;"",$G11&lt;&gt;""),Results!$I16,"")</f>
        <v>19</v>
      </c>
      <c r="I11" s="343">
        <f>IF(AND(Results!$I16&lt;&gt;"",Results!$K16&lt;&gt;"",Results!$F16&lt;&gt;Results!$H16,$F11&lt;&gt;"",$G11&lt;&gt;""),Results!$K16,"")</f>
        <v>25</v>
      </c>
      <c r="J11" s="344">
        <f>IF(AND(Results!$L16&lt;&gt;"",Results!$N16&lt;&gt;"",Results!$F16&lt;&gt;Results!$H16,$F11&lt;&gt;"",$G11&lt;&gt;""),Results!$L16,"")</f>
        <v>25</v>
      </c>
      <c r="K11" s="343">
        <f>IF(AND(Results!$L16&lt;&gt;"",Results!$N16&lt;&gt;"",Results!$F16&lt;&gt;Results!$H16,$F11&lt;&gt;"",$G11&lt;&gt;""),Results!$N16,"")</f>
        <v>17</v>
      </c>
      <c r="L11" s="344">
        <f>IF(AND(Results!$O16&lt;&gt;"",Results!$Q16&lt;&gt;"",Results!$F16&lt;&gt;Results!$H16,$F11&lt;&gt;"",$G11&lt;&gt;""),Results!$O16,"")</f>
        <v>15</v>
      </c>
      <c r="M11" s="122">
        <f>IF(AND(Results!$O16&lt;&gt;"",Results!$Q16&lt;&gt;"",Results!$F16&lt;&gt;Results!$H16,$F11&lt;&gt;"",$G11&lt;&gt;""),Results!$Q16,"")</f>
        <v>11</v>
      </c>
      <c r="N11" s="16" t="str">
        <f>IF(Planning!$I14=0,F11&amp;G11,"")</f>
        <v>FC St. PauliEintracht Frankfurt</v>
      </c>
      <c r="O11" s="7">
        <f>IF(AND(Results!$Z$6&gt;0,$E11-1&gt;=Results!$Z$6*Calc!$F$26),0,IF(AND(F11&lt;&gt;"",G11&lt;&gt;"",F11&lt;&gt;G11,Results!$R16&lt;&gt;"",Results!$T16&lt;&gt;""),1,0))</f>
        <v>1</v>
      </c>
      <c r="P11" s="7" t="str">
        <f>IF(AND(O11&gt;0,Planning!$I14=0),V11&amp;Language!$E$90&amp;W11,"")</f>
        <v>59 - 53</v>
      </c>
      <c r="Q11" s="2" t="str">
        <f>IF(Planning!$I14=1,F11&amp;G11,"")</f>
        <v/>
      </c>
      <c r="R11" s="88" t="str">
        <f>IF(AND(O11&gt;0,Planning!$I14=1),V11&amp;Language!$E$90&amp;W11,"")</f>
        <v/>
      </c>
      <c r="S11" s="122" t="str">
        <f>IF(O11&gt;0,X11&amp;Language!$E$90&amp;Y11,"")</f>
        <v>2 - 1</v>
      </c>
      <c r="T11" s="290">
        <f>IF($H11="",0,Results!$U16)</f>
        <v>0</v>
      </c>
      <c r="U11" s="291">
        <f>IF($I11="",0,Results!$V16)</f>
        <v>0</v>
      </c>
      <c r="V11" s="270">
        <f t="shared" si="0"/>
        <v>59</v>
      </c>
      <c r="W11" s="291">
        <f t="shared" si="1"/>
        <v>53</v>
      </c>
      <c r="X11" s="270">
        <f>IF($O11=0,0,IF(Results!$R16="",0,Results!$R16))</f>
        <v>2</v>
      </c>
      <c r="Y11" s="291">
        <f>IF($O11=0,0,IF(Results!$T16="",0,Results!$T16))</f>
        <v>1</v>
      </c>
      <c r="Z11" s="270">
        <f>IF($O11=0,"",IF($X11&gt;$Y11,Settings!$C$4,IF($X11=$Y11,1,0)))</f>
        <v>2</v>
      </c>
      <c r="AA11" s="291">
        <f>IF($O11=0,"",IF($X11&lt;$Y11,Settings!$C$4,IF($X11=$Y11,1,0)))</f>
        <v>0</v>
      </c>
    </row>
    <row r="12" spans="2:27" x14ac:dyDescent="0.2">
      <c r="B12" s="22" t="s">
        <v>15</v>
      </c>
      <c r="C12" s="26" t="str">
        <f>IF(Planning!$D15="","",Planning!$D15)</f>
        <v>FC Augsburg</v>
      </c>
      <c r="D12" s="2"/>
      <c r="E12" s="266">
        <v>9</v>
      </c>
      <c r="F12" s="171" t="str">
        <f>Planning!$Q15</f>
        <v>FC Augsburg</v>
      </c>
      <c r="G12" s="348" t="str">
        <f>Planning!$S15</f>
        <v>FC Bayern München</v>
      </c>
      <c r="H12" s="344">
        <f>IF(AND(Results!$I17&lt;&gt;"",Results!$K17&lt;&gt;"",Results!$F17&lt;&gt;Results!$H17,$F12&lt;&gt;"",$G12&lt;&gt;""),Results!$I17,"")</f>
        <v>16</v>
      </c>
      <c r="I12" s="343">
        <f>IF(AND(Results!$I17&lt;&gt;"",Results!$K17&lt;&gt;"",Results!$F17&lt;&gt;Results!$H17,$F12&lt;&gt;"",$G12&lt;&gt;""),Results!$K17,"")</f>
        <v>25</v>
      </c>
      <c r="J12" s="344">
        <f>IF(AND(Results!$L17&lt;&gt;"",Results!$N17&lt;&gt;"",Results!$F17&lt;&gt;Results!$H17,$F12&lt;&gt;"",$G12&lt;&gt;""),Results!$L17,"")</f>
        <v>25</v>
      </c>
      <c r="K12" s="343">
        <f>IF(AND(Results!$L17&lt;&gt;"",Results!$N17&lt;&gt;"",Results!$F17&lt;&gt;Results!$H17,$F12&lt;&gt;"",$G12&lt;&gt;""),Results!$N17,"")</f>
        <v>14</v>
      </c>
      <c r="L12" s="344">
        <f>IF(AND(Results!$O17&lt;&gt;"",Results!$Q17&lt;&gt;"",Results!$F17&lt;&gt;Results!$H17,$F12&lt;&gt;"",$G12&lt;&gt;""),Results!$O17,"")</f>
        <v>17</v>
      </c>
      <c r="M12" s="122">
        <f>IF(AND(Results!$O17&lt;&gt;"",Results!$Q17&lt;&gt;"",Results!$F17&lt;&gt;Results!$H17,$F12&lt;&gt;"",$G12&lt;&gt;""),Results!$Q17,"")</f>
        <v>15</v>
      </c>
      <c r="N12" s="16" t="str">
        <f>IF(Planning!$I15=0,F12&amp;G12,"")</f>
        <v>FC AugsburgFC Bayern München</v>
      </c>
      <c r="O12" s="7">
        <f>IF(AND(Results!$Z$6&gt;0,$E12-1&gt;=Results!$Z$6*Calc!$F$26),0,IF(AND(F12&lt;&gt;"",G12&lt;&gt;"",F12&lt;&gt;G12,Results!$R17&lt;&gt;"",Results!$T17&lt;&gt;""),1,0))</f>
        <v>1</v>
      </c>
      <c r="P12" s="7" t="str">
        <f>IF(AND(O12&gt;0,Planning!$I15=0),V12&amp;Language!$E$90&amp;W12,"")</f>
        <v>58 - 54</v>
      </c>
      <c r="Q12" s="2" t="str">
        <f>IF(Planning!$I15=1,F12&amp;G12,"")</f>
        <v/>
      </c>
      <c r="R12" s="88" t="str">
        <f>IF(AND(O12&gt;0,Planning!$I15=1),V12&amp;Language!$E$90&amp;W12,"")</f>
        <v/>
      </c>
      <c r="S12" s="122" t="str">
        <f>IF(O12&gt;0,X12&amp;Language!$E$90&amp;Y12,"")</f>
        <v>2 - 1</v>
      </c>
      <c r="T12" s="290">
        <f>IF($H12="",0,Results!$U17)</f>
        <v>0</v>
      </c>
      <c r="U12" s="291">
        <f>IF($I12="",0,Results!$V17)</f>
        <v>0</v>
      </c>
      <c r="V12" s="270">
        <f t="shared" si="0"/>
        <v>58</v>
      </c>
      <c r="W12" s="291">
        <f t="shared" si="1"/>
        <v>54</v>
      </c>
      <c r="X12" s="270">
        <f>IF($O12=0,0,IF(Results!$R17="",0,Results!$R17))</f>
        <v>2</v>
      </c>
      <c r="Y12" s="291">
        <f>IF($O12=0,0,IF(Results!$T17="",0,Results!$T17))</f>
        <v>1</v>
      </c>
      <c r="Z12" s="270">
        <f>IF($O12=0,"",IF($X12&gt;$Y12,Settings!$C$4,IF($X12=$Y12,1,0)))</f>
        <v>2</v>
      </c>
      <c r="AA12" s="291">
        <f>IF($O12=0,"",IF($X12&lt;$Y12,Settings!$C$4,IF($X12=$Y12,1,0)))</f>
        <v>0</v>
      </c>
    </row>
    <row r="13" spans="2:27" x14ac:dyDescent="0.2">
      <c r="B13" s="22" t="s">
        <v>21</v>
      </c>
      <c r="C13" s="26" t="str">
        <f>IF(Planning!$D16="","",Planning!$D16)</f>
        <v>FC Bayern München</v>
      </c>
      <c r="D13" s="2"/>
      <c r="E13" s="266">
        <v>10</v>
      </c>
      <c r="F13" s="171" t="str">
        <f>Planning!$Q16</f>
        <v>VfB Stuttgart</v>
      </c>
      <c r="G13" s="348" t="str">
        <f>Planning!$S16</f>
        <v>1. FC Heidenheim 1846</v>
      </c>
      <c r="H13" s="344">
        <f>IF(AND(Results!$I18&lt;&gt;"",Results!$K18&lt;&gt;"",Results!$F18&lt;&gt;Results!$H18,$F13&lt;&gt;"",$G13&lt;&gt;""),Results!$I18,"")</f>
        <v>25</v>
      </c>
      <c r="I13" s="343">
        <f>IF(AND(Results!$I18&lt;&gt;"",Results!$K18&lt;&gt;"",Results!$F18&lt;&gt;Results!$H18,$F13&lt;&gt;"",$G13&lt;&gt;""),Results!$K18,"")</f>
        <v>22</v>
      </c>
      <c r="J13" s="344">
        <f>IF(AND(Results!$L18&lt;&gt;"",Results!$N18&lt;&gt;"",Results!$F18&lt;&gt;Results!$H18,$F13&lt;&gt;"",$G13&lt;&gt;""),Results!$L18,"")</f>
        <v>25</v>
      </c>
      <c r="K13" s="343">
        <f>IF(AND(Results!$L18&lt;&gt;"",Results!$N18&lt;&gt;"",Results!$F18&lt;&gt;Results!$H18,$F13&lt;&gt;"",$G13&lt;&gt;""),Results!$N18,"")</f>
        <v>19</v>
      </c>
      <c r="L13" s="344" t="str">
        <f>IF(AND(Results!$O18&lt;&gt;"",Results!$Q18&lt;&gt;"",Results!$F18&lt;&gt;Results!$H18,$F13&lt;&gt;"",$G13&lt;&gt;""),Results!$O18,"")</f>
        <v/>
      </c>
      <c r="M13" s="122" t="str">
        <f>IF(AND(Results!$O18&lt;&gt;"",Results!$Q18&lt;&gt;"",Results!$F18&lt;&gt;Results!$H18,$F13&lt;&gt;"",$G13&lt;&gt;""),Results!$Q18,"")</f>
        <v/>
      </c>
      <c r="N13" s="16" t="str">
        <f>IF(Planning!$I16=0,F13&amp;G13,"")</f>
        <v>VfB Stuttgart1. FC Heidenheim 1846</v>
      </c>
      <c r="O13" s="7">
        <f>IF(AND(Results!$Z$6&gt;0,$E13-1&gt;=Results!$Z$6*Calc!$F$26),0,IF(AND(F13&lt;&gt;"",G13&lt;&gt;"",F13&lt;&gt;G13,Results!$R18&lt;&gt;"",Results!$T18&lt;&gt;""),1,0))</f>
        <v>1</v>
      </c>
      <c r="P13" s="7" t="str">
        <f>IF(AND(O13&gt;0,Planning!$I16=0),V13&amp;Language!$E$90&amp;W13,"")</f>
        <v>50 - 41</v>
      </c>
      <c r="Q13" s="2" t="str">
        <f>IF(Planning!$I16=1,F13&amp;G13,"")</f>
        <v/>
      </c>
      <c r="R13" s="88" t="str">
        <f>IF(AND(O13&gt;0,Planning!$I16=1),V13&amp;Language!$E$90&amp;W13,"")</f>
        <v/>
      </c>
      <c r="S13" s="122" t="str">
        <f>IF(O13&gt;0,X13&amp;Language!$E$90&amp;Y13,"")</f>
        <v>2 - 0</v>
      </c>
      <c r="T13" s="290">
        <f>IF($H13="",0,Results!$U18)</f>
        <v>0</v>
      </c>
      <c r="U13" s="291">
        <f>IF($I13="",0,Results!$V18)</f>
        <v>0</v>
      </c>
      <c r="V13" s="270">
        <f t="shared" si="0"/>
        <v>50</v>
      </c>
      <c r="W13" s="291">
        <f t="shared" si="1"/>
        <v>41</v>
      </c>
      <c r="X13" s="270">
        <f>IF($O13=0,0,IF(Results!$R18="",0,Results!$R18))</f>
        <v>2</v>
      </c>
      <c r="Y13" s="291">
        <f>IF($O13=0,0,IF(Results!$T18="",0,Results!$T18))</f>
        <v>0</v>
      </c>
      <c r="Z13" s="270">
        <f>IF($O13=0,"",IF($X13&gt;$Y13,Settings!$C$4,IF($X13=$Y13,1,0)))</f>
        <v>2</v>
      </c>
      <c r="AA13" s="291">
        <f>IF($O13=0,"",IF($X13&lt;$Y13,Settings!$C$4,IF($X13=$Y13,1,0)))</f>
        <v>0</v>
      </c>
    </row>
    <row r="14" spans="2:27" x14ac:dyDescent="0.2">
      <c r="B14" s="22" t="s">
        <v>22</v>
      </c>
      <c r="C14" s="26" t="str">
        <f>IF(Planning!$D17="","",Planning!$D17)</f>
        <v>FC St. Pauli</v>
      </c>
      <c r="D14" s="2"/>
      <c r="E14" s="266">
        <v>11</v>
      </c>
      <c r="F14" s="171" t="str">
        <f>Planning!$Q17</f>
        <v>TSG Hoffenheim</v>
      </c>
      <c r="G14" s="348" t="str">
        <f>Planning!$S17</f>
        <v>VfL Wolfsburg</v>
      </c>
      <c r="H14" s="344">
        <f>IF(AND(Results!$I19&lt;&gt;"",Results!$K19&lt;&gt;"",Results!$F19&lt;&gt;Results!$H19,$F14&lt;&gt;"",$G14&lt;&gt;""),Results!$I19,"")</f>
        <v>22</v>
      </c>
      <c r="I14" s="343">
        <f>IF(AND(Results!$I19&lt;&gt;"",Results!$K19&lt;&gt;"",Results!$F19&lt;&gt;Results!$H19,$F14&lt;&gt;"",$G14&lt;&gt;""),Results!$K19,"")</f>
        <v>25</v>
      </c>
      <c r="J14" s="344">
        <f>IF(AND(Results!$L19&lt;&gt;"",Results!$N19&lt;&gt;"",Results!$F19&lt;&gt;Results!$H19,$F14&lt;&gt;"",$G14&lt;&gt;""),Results!$L19,"")</f>
        <v>25</v>
      </c>
      <c r="K14" s="343">
        <f>IF(AND(Results!$L19&lt;&gt;"",Results!$N19&lt;&gt;"",Results!$F19&lt;&gt;Results!$H19,$F14&lt;&gt;"",$G14&lt;&gt;""),Results!$N19,"")</f>
        <v>20</v>
      </c>
      <c r="L14" s="344">
        <f>IF(AND(Results!$O19&lt;&gt;"",Results!$Q19&lt;&gt;"",Results!$F19&lt;&gt;Results!$H19,$F14&lt;&gt;"",$G14&lt;&gt;""),Results!$O19,"")</f>
        <v>15</v>
      </c>
      <c r="M14" s="122">
        <f>IF(AND(Results!$O19&lt;&gt;"",Results!$Q19&lt;&gt;"",Results!$F19&lt;&gt;Results!$H19,$F14&lt;&gt;"",$G14&lt;&gt;""),Results!$Q19,"")</f>
        <v>11</v>
      </c>
      <c r="N14" s="16" t="str">
        <f>IF(Planning!$I17=0,F14&amp;G14,"")</f>
        <v>TSG HoffenheimVfL Wolfsburg</v>
      </c>
      <c r="O14" s="7">
        <f>IF(AND(Results!$Z$6&gt;0,$E14-1&gt;=Results!$Z$6*Calc!$F$26),0,IF(AND(F14&lt;&gt;"",G14&lt;&gt;"",F14&lt;&gt;G14,Results!$R19&lt;&gt;"",Results!$T19&lt;&gt;""),1,0))</f>
        <v>1</v>
      </c>
      <c r="P14" s="7" t="str">
        <f>IF(AND(O14&gt;0,Planning!$I17=0),V14&amp;Language!$E$90&amp;W14,"")</f>
        <v>62 - 56</v>
      </c>
      <c r="Q14" s="2" t="str">
        <f>IF(Planning!$I17=1,F14&amp;G14,"")</f>
        <v/>
      </c>
      <c r="R14" s="88" t="str">
        <f>IF(AND(O14&gt;0,Planning!$I17=1),V14&amp;Language!$E$90&amp;W14,"")</f>
        <v/>
      </c>
      <c r="S14" s="122" t="str">
        <f>IF(O14&gt;0,X14&amp;Language!$E$90&amp;Y14,"")</f>
        <v>2 - 1</v>
      </c>
      <c r="T14" s="290">
        <f>IF($H14="",0,Results!$U19)</f>
        <v>0</v>
      </c>
      <c r="U14" s="291">
        <f>IF($I14="",0,Results!$V19)</f>
        <v>0</v>
      </c>
      <c r="V14" s="270">
        <f t="shared" si="0"/>
        <v>62</v>
      </c>
      <c r="W14" s="291">
        <f t="shared" si="1"/>
        <v>56</v>
      </c>
      <c r="X14" s="270">
        <f>IF($O14=0,0,IF(Results!$R19="",0,Results!$R19))</f>
        <v>2</v>
      </c>
      <c r="Y14" s="291">
        <f>IF($O14=0,0,IF(Results!$T19="",0,Results!$T19))</f>
        <v>1</v>
      </c>
      <c r="Z14" s="270">
        <f>IF($O14=0,"",IF($X14&gt;$Y14,Settings!$C$4,IF($X14=$Y14,1,0)))</f>
        <v>2</v>
      </c>
      <c r="AA14" s="291">
        <f>IF($O14=0,"",IF($X14&lt;$Y14,Settings!$C$4,IF($X14=$Y14,1,0)))</f>
        <v>0</v>
      </c>
    </row>
    <row r="15" spans="2:27" x14ac:dyDescent="0.2">
      <c r="B15" s="22" t="s">
        <v>23</v>
      </c>
      <c r="C15" s="26" t="str">
        <f>IF(Planning!$D18="","",Planning!$D18)</f>
        <v>Hamburger SV</v>
      </c>
      <c r="D15" s="2"/>
      <c r="E15" s="266">
        <v>12</v>
      </c>
      <c r="F15" s="171" t="str">
        <f>Planning!$Q18</f>
        <v>1. FC Köln</v>
      </c>
      <c r="G15" s="348" t="str">
        <f>Planning!$S18</f>
        <v>SV Werder Bremen</v>
      </c>
      <c r="H15" s="344">
        <f>IF(AND(Results!$I20&lt;&gt;"",Results!$K20&lt;&gt;"",Results!$F20&lt;&gt;Results!$H20,$F15&lt;&gt;"",$G15&lt;&gt;""),Results!$I20,"")</f>
        <v>27</v>
      </c>
      <c r="I15" s="343">
        <f>IF(AND(Results!$I20&lt;&gt;"",Results!$K20&lt;&gt;"",Results!$F20&lt;&gt;Results!$H20,$F15&lt;&gt;"",$G15&lt;&gt;""),Results!$K20,"")</f>
        <v>25</v>
      </c>
      <c r="J15" s="344">
        <f>IF(AND(Results!$L20&lt;&gt;"",Results!$N20&lt;&gt;"",Results!$F20&lt;&gt;Results!$H20,$F15&lt;&gt;"",$G15&lt;&gt;""),Results!$L20,"")</f>
        <v>25</v>
      </c>
      <c r="K15" s="343">
        <f>IF(AND(Results!$L20&lt;&gt;"",Results!$N20&lt;&gt;"",Results!$F20&lt;&gt;Results!$H20,$F15&lt;&gt;"",$G15&lt;&gt;""),Results!$N20,"")</f>
        <v>22</v>
      </c>
      <c r="L15" s="344" t="str">
        <f>IF(AND(Results!$O20&lt;&gt;"",Results!$Q20&lt;&gt;"",Results!$F20&lt;&gt;Results!$H20,$F15&lt;&gt;"",$G15&lt;&gt;""),Results!$O20,"")</f>
        <v/>
      </c>
      <c r="M15" s="122" t="str">
        <f>IF(AND(Results!$O20&lt;&gt;"",Results!$Q20&lt;&gt;"",Results!$F20&lt;&gt;Results!$H20,$F15&lt;&gt;"",$G15&lt;&gt;""),Results!$Q20,"")</f>
        <v/>
      </c>
      <c r="N15" s="16" t="str">
        <f>IF(Planning!$I18=0,F15&amp;G15,"")</f>
        <v>1. FC KölnSV Werder Bremen</v>
      </c>
      <c r="O15" s="7">
        <f>IF(AND(Results!$Z$6&gt;0,$E15-1&gt;=Results!$Z$6*Calc!$F$26),0,IF(AND(F15&lt;&gt;"",G15&lt;&gt;"",F15&lt;&gt;G15,Results!$R20&lt;&gt;"",Results!$T20&lt;&gt;""),1,0))</f>
        <v>1</v>
      </c>
      <c r="P15" s="7" t="str">
        <f>IF(AND(O15&gt;0,Planning!$I18=0),V15&amp;Language!$E$90&amp;W15,"")</f>
        <v>52 - 47</v>
      </c>
      <c r="Q15" s="2" t="str">
        <f>IF(Planning!$I18=1,F15&amp;G15,"")</f>
        <v/>
      </c>
      <c r="R15" s="88" t="str">
        <f>IF(AND(O15&gt;0,Planning!$I18=1),V15&amp;Language!$E$90&amp;W15,"")</f>
        <v/>
      </c>
      <c r="S15" s="122" t="str">
        <f>IF(O15&gt;0,X15&amp;Language!$E$90&amp;Y15,"")</f>
        <v>2 - 0</v>
      </c>
      <c r="T15" s="290">
        <f>IF($H15="",0,Results!$U20)</f>
        <v>0</v>
      </c>
      <c r="U15" s="291">
        <f>IF($I15="",0,Results!$V20)</f>
        <v>0</v>
      </c>
      <c r="V15" s="270">
        <f t="shared" si="0"/>
        <v>52</v>
      </c>
      <c r="W15" s="291">
        <f t="shared" si="1"/>
        <v>47</v>
      </c>
      <c r="X15" s="270">
        <f>IF($O15=0,0,IF(Results!$R20="",0,Results!$R20))</f>
        <v>2</v>
      </c>
      <c r="Y15" s="291">
        <f>IF($O15=0,0,IF(Results!$T20="",0,Results!$T20))</f>
        <v>0</v>
      </c>
      <c r="Z15" s="270">
        <f>IF($O15=0,"",IF($X15&gt;$Y15,Settings!$C$4,IF($X15=$Y15,1,0)))</f>
        <v>2</v>
      </c>
      <c r="AA15" s="291">
        <f>IF($O15=0,"",IF($X15&lt;$Y15,Settings!$C$4,IF($X15=$Y15,1,0)))</f>
        <v>0</v>
      </c>
    </row>
    <row r="16" spans="2:27" x14ac:dyDescent="0.2">
      <c r="B16" s="22" t="s">
        <v>24</v>
      </c>
      <c r="C16" s="26" t="str">
        <f>IF(Planning!$D19="","",Planning!$D19)</f>
        <v>RB Leipzig</v>
      </c>
      <c r="D16" s="2"/>
      <c r="E16" s="266">
        <v>13</v>
      </c>
      <c r="F16" s="171" t="str">
        <f>Planning!$Q19</f>
        <v>SC Freiburg</v>
      </c>
      <c r="G16" s="348" t="str">
        <f>Planning!$S19</f>
        <v>1. FC Union Berlin</v>
      </c>
      <c r="H16" s="344">
        <f>IF(AND(Results!$I21&lt;&gt;"",Results!$K21&lt;&gt;"",Results!$F21&lt;&gt;Results!$H21,$F16&lt;&gt;"",$G16&lt;&gt;""),Results!$I21,"")</f>
        <v>17</v>
      </c>
      <c r="I16" s="343">
        <f>IF(AND(Results!$I21&lt;&gt;"",Results!$K21&lt;&gt;"",Results!$F21&lt;&gt;Results!$H21,$F16&lt;&gt;"",$G16&lt;&gt;""),Results!$K21,"")</f>
        <v>25</v>
      </c>
      <c r="J16" s="344">
        <f>IF(AND(Results!$L21&lt;&gt;"",Results!$N21&lt;&gt;"",Results!$F21&lt;&gt;Results!$H21,$F16&lt;&gt;"",$G16&lt;&gt;""),Results!$L21,"")</f>
        <v>12</v>
      </c>
      <c r="K16" s="343">
        <f>IF(AND(Results!$L21&lt;&gt;"",Results!$N21&lt;&gt;"",Results!$F21&lt;&gt;Results!$H21,$F16&lt;&gt;"",$G16&lt;&gt;""),Results!$N21,"")</f>
        <v>25</v>
      </c>
      <c r="L16" s="344" t="str">
        <f>IF(AND(Results!$O21&lt;&gt;"",Results!$Q21&lt;&gt;"",Results!$F21&lt;&gt;Results!$H21,$F16&lt;&gt;"",$G16&lt;&gt;""),Results!$O21,"")</f>
        <v/>
      </c>
      <c r="M16" s="122" t="str">
        <f>IF(AND(Results!$O21&lt;&gt;"",Results!$Q21&lt;&gt;"",Results!$F21&lt;&gt;Results!$H21,$F16&lt;&gt;"",$G16&lt;&gt;""),Results!$Q21,"")</f>
        <v/>
      </c>
      <c r="N16" s="16" t="str">
        <f>IF(Planning!$I19=0,F16&amp;G16,"")</f>
        <v>SC Freiburg1. FC Union Berlin</v>
      </c>
      <c r="O16" s="7">
        <f>IF(AND(Results!$Z$6&gt;0,$E16-1&gt;=Results!$Z$6*Calc!$F$26),0,IF(AND(F16&lt;&gt;"",G16&lt;&gt;"",F16&lt;&gt;G16,Results!$R21&lt;&gt;"",Results!$T21&lt;&gt;""),1,0))</f>
        <v>1</v>
      </c>
      <c r="P16" s="7" t="str">
        <f>IF(AND(O16&gt;0,Planning!$I19=0),V16&amp;Language!$E$90&amp;W16,"")</f>
        <v>29 - 50</v>
      </c>
      <c r="Q16" s="2" t="str">
        <f>IF(Planning!$I19=1,F16&amp;G16,"")</f>
        <v/>
      </c>
      <c r="R16" s="88" t="str">
        <f>IF(AND(O16&gt;0,Planning!$I19=1),V16&amp;Language!$E$90&amp;W16,"")</f>
        <v/>
      </c>
      <c r="S16" s="122" t="str">
        <f>IF(O16&gt;0,X16&amp;Language!$E$90&amp;Y16,"")</f>
        <v>0 - 2</v>
      </c>
      <c r="T16" s="290">
        <f>IF($H16="",0,Results!$U21)</f>
        <v>0</v>
      </c>
      <c r="U16" s="291">
        <f>IF($I16="",0,Results!$V21)</f>
        <v>0</v>
      </c>
      <c r="V16" s="270">
        <f t="shared" si="0"/>
        <v>29</v>
      </c>
      <c r="W16" s="291">
        <f t="shared" si="1"/>
        <v>50</v>
      </c>
      <c r="X16" s="270">
        <f>IF($O16=0,0,IF(Results!$R21="",0,Results!$R21))</f>
        <v>0</v>
      </c>
      <c r="Y16" s="291">
        <f>IF($O16=0,0,IF(Results!$T21="",0,Results!$T21))</f>
        <v>2</v>
      </c>
      <c r="Z16" s="270">
        <f>IF($O16=0,"",IF($X16&gt;$Y16,Settings!$C$4,IF($X16=$Y16,1,0)))</f>
        <v>0</v>
      </c>
      <c r="AA16" s="291">
        <f>IF($O16=0,"",IF($X16&lt;$Y16,Settings!$C$4,IF($X16=$Y16,1,0)))</f>
        <v>2</v>
      </c>
    </row>
    <row r="17" spans="2:27" x14ac:dyDescent="0.2">
      <c r="B17" s="22" t="s">
        <v>25</v>
      </c>
      <c r="C17" s="26" t="str">
        <f>IF(Planning!$D20="","",Planning!$D20)</f>
        <v>SC Freiburg</v>
      </c>
      <c r="D17" s="2"/>
      <c r="E17" s="266">
        <v>14</v>
      </c>
      <c r="F17" s="171" t="str">
        <f>Planning!$Q20</f>
        <v>1. FSV Mainz 05</v>
      </c>
      <c r="G17" s="348" t="str">
        <f>Planning!$S20</f>
        <v>RB Leipzig</v>
      </c>
      <c r="H17" s="344">
        <f>IF(AND(Results!$I22&lt;&gt;"",Results!$K22&lt;&gt;"",Results!$F22&lt;&gt;Results!$H22,$F17&lt;&gt;"",$G17&lt;&gt;""),Results!$I22,"")</f>
        <v>25</v>
      </c>
      <c r="I17" s="343">
        <f>IF(AND(Results!$I22&lt;&gt;"",Results!$K22&lt;&gt;"",Results!$F22&lt;&gt;Results!$H22,$F17&lt;&gt;"",$G17&lt;&gt;""),Results!$K22,"")</f>
        <v>19</v>
      </c>
      <c r="J17" s="344">
        <f>IF(AND(Results!$L22&lt;&gt;"",Results!$N22&lt;&gt;"",Results!$F22&lt;&gt;Results!$H22,$F17&lt;&gt;"",$G17&lt;&gt;""),Results!$L22,"")</f>
        <v>25</v>
      </c>
      <c r="K17" s="343">
        <f>IF(AND(Results!$L22&lt;&gt;"",Results!$N22&lt;&gt;"",Results!$F22&lt;&gt;Results!$H22,$F17&lt;&gt;"",$G17&lt;&gt;""),Results!$N22,"")</f>
        <v>23</v>
      </c>
      <c r="L17" s="344" t="str">
        <f>IF(AND(Results!$O22&lt;&gt;"",Results!$Q22&lt;&gt;"",Results!$F22&lt;&gt;Results!$H22,$F17&lt;&gt;"",$G17&lt;&gt;""),Results!$O22,"")</f>
        <v/>
      </c>
      <c r="M17" s="122" t="str">
        <f>IF(AND(Results!$O22&lt;&gt;"",Results!$Q22&lt;&gt;"",Results!$F22&lt;&gt;Results!$H22,$F17&lt;&gt;"",$G17&lt;&gt;""),Results!$Q22,"")</f>
        <v/>
      </c>
      <c r="N17" s="16" t="str">
        <f>IF(Planning!$I20=0,F17&amp;G17,"")</f>
        <v>1. FSV Mainz 05RB Leipzig</v>
      </c>
      <c r="O17" s="7">
        <f>IF(AND(Results!$Z$6&gt;0,$E17-1&gt;=Results!$Z$6*Calc!$F$26),0,IF(AND(F17&lt;&gt;"",G17&lt;&gt;"",F17&lt;&gt;G17,Results!$R22&lt;&gt;"",Results!$T22&lt;&gt;""),1,0))</f>
        <v>1</v>
      </c>
      <c r="P17" s="7" t="str">
        <f>IF(AND(O17&gt;0,Planning!$I20=0),V17&amp;Language!$E$90&amp;W17,"")</f>
        <v>50 - 42</v>
      </c>
      <c r="Q17" s="2" t="str">
        <f>IF(Planning!$I20=1,F17&amp;G17,"")</f>
        <v/>
      </c>
      <c r="R17" s="88" t="str">
        <f>IF(AND(O17&gt;0,Planning!$I20=1),V17&amp;Language!$E$90&amp;W17,"")</f>
        <v/>
      </c>
      <c r="S17" s="122" t="str">
        <f>IF(O17&gt;0,X17&amp;Language!$E$90&amp;Y17,"")</f>
        <v>2 - 0</v>
      </c>
      <c r="T17" s="290">
        <f>IF($H17="",0,Results!$U22)</f>
        <v>0</v>
      </c>
      <c r="U17" s="291">
        <f>IF($I17="",0,Results!$V22)</f>
        <v>0</v>
      </c>
      <c r="V17" s="270">
        <f t="shared" si="0"/>
        <v>50</v>
      </c>
      <c r="W17" s="291">
        <f t="shared" si="1"/>
        <v>42</v>
      </c>
      <c r="X17" s="270">
        <f>IF($O17=0,0,IF(Results!$R22="",0,Results!$R22))</f>
        <v>2</v>
      </c>
      <c r="Y17" s="291">
        <f>IF($O17=0,0,IF(Results!$T22="",0,Results!$T22))</f>
        <v>0</v>
      </c>
      <c r="Z17" s="270">
        <f>IF($O17=0,"",IF($X17&gt;$Y17,Settings!$C$4,IF($X17=$Y17,1,0)))</f>
        <v>2</v>
      </c>
      <c r="AA17" s="291">
        <f>IF($O17=0,"",IF($X17&lt;$Y17,Settings!$C$4,IF($X17=$Y17,1,0)))</f>
        <v>0</v>
      </c>
    </row>
    <row r="18" spans="2:27" x14ac:dyDescent="0.2">
      <c r="B18" s="22" t="s">
        <v>26</v>
      </c>
      <c r="C18" s="26" t="str">
        <f>IF(Planning!$D21="","",Planning!$D21)</f>
        <v>SV Werder Bremen</v>
      </c>
      <c r="D18" s="2"/>
      <c r="E18" s="266">
        <v>15</v>
      </c>
      <c r="F18" s="171" t="str">
        <f>Planning!$Q21</f>
        <v>Hamburger SV</v>
      </c>
      <c r="G18" s="348" t="str">
        <f>Planning!$S21</f>
        <v>Bayer 04 Leverkusen</v>
      </c>
      <c r="H18" s="344">
        <f>IF(AND(Results!$I23&lt;&gt;"",Results!$K23&lt;&gt;"",Results!$F23&lt;&gt;Results!$H23,$F18&lt;&gt;"",$G18&lt;&gt;""),Results!$I23,"")</f>
        <v>25</v>
      </c>
      <c r="I18" s="343">
        <f>IF(AND(Results!$I23&lt;&gt;"",Results!$K23&lt;&gt;"",Results!$F23&lt;&gt;Results!$H23,$F18&lt;&gt;"",$G18&lt;&gt;""),Results!$K23,"")</f>
        <v>23</v>
      </c>
      <c r="J18" s="344">
        <f>IF(AND(Results!$L23&lt;&gt;"",Results!$N23&lt;&gt;"",Results!$F23&lt;&gt;Results!$H23,$F18&lt;&gt;"",$G18&lt;&gt;""),Results!$L23,"")</f>
        <v>27</v>
      </c>
      <c r="K18" s="343">
        <f>IF(AND(Results!$L23&lt;&gt;"",Results!$N23&lt;&gt;"",Results!$F23&lt;&gt;Results!$H23,$F18&lt;&gt;"",$G18&lt;&gt;""),Results!$N23,"")</f>
        <v>25</v>
      </c>
      <c r="L18" s="344" t="str">
        <f>IF(AND(Results!$O23&lt;&gt;"",Results!$Q23&lt;&gt;"",Results!$F23&lt;&gt;Results!$H23,$F18&lt;&gt;"",$G18&lt;&gt;""),Results!$O23,"")</f>
        <v/>
      </c>
      <c r="M18" s="122" t="str">
        <f>IF(AND(Results!$O23&lt;&gt;"",Results!$Q23&lt;&gt;"",Results!$F23&lt;&gt;Results!$H23,$F18&lt;&gt;"",$G18&lt;&gt;""),Results!$Q23,"")</f>
        <v/>
      </c>
      <c r="N18" s="16" t="str">
        <f>IF(Planning!$I21=0,F18&amp;G18,"")</f>
        <v>Hamburger SVBayer 04 Leverkusen</v>
      </c>
      <c r="O18" s="7">
        <f>IF(AND(Results!$Z$6&gt;0,$E18-1&gt;=Results!$Z$6*Calc!$F$26),0,IF(AND(F18&lt;&gt;"",G18&lt;&gt;"",F18&lt;&gt;G18,Results!$R23&lt;&gt;"",Results!$T23&lt;&gt;""),1,0))</f>
        <v>1</v>
      </c>
      <c r="P18" s="7" t="str">
        <f>IF(AND(O18&gt;0,Planning!$I21=0),V18&amp;Language!$E$90&amp;W18,"")</f>
        <v>52 - 48</v>
      </c>
      <c r="Q18" s="2" t="str">
        <f>IF(Planning!$I21=1,F18&amp;G18,"")</f>
        <v/>
      </c>
      <c r="R18" s="88" t="str">
        <f>IF(AND(O18&gt;0,Planning!$I21=1),V18&amp;Language!$E$90&amp;W18,"")</f>
        <v/>
      </c>
      <c r="S18" s="122" t="str">
        <f>IF(O18&gt;0,X18&amp;Language!$E$90&amp;Y18,"")</f>
        <v>2 - 0</v>
      </c>
      <c r="T18" s="290">
        <f>IF($H18="",0,Results!$U23)</f>
        <v>0</v>
      </c>
      <c r="U18" s="291">
        <f>IF($I18="",0,Results!$V23)</f>
        <v>0</v>
      </c>
      <c r="V18" s="270">
        <f t="shared" si="0"/>
        <v>52</v>
      </c>
      <c r="W18" s="291">
        <f t="shared" si="1"/>
        <v>48</v>
      </c>
      <c r="X18" s="270">
        <f>IF($O18=0,0,IF(Results!$R23="",0,Results!$R23))</f>
        <v>2</v>
      </c>
      <c r="Y18" s="291">
        <f>IF($O18=0,0,IF(Results!$T23="",0,Results!$T23))</f>
        <v>0</v>
      </c>
      <c r="Z18" s="270">
        <f>IF($O18=0,"",IF($X18&gt;$Y18,Settings!$C$4,IF($X18=$Y18,1,0)))</f>
        <v>2</v>
      </c>
      <c r="AA18" s="291">
        <f>IF($O18=0,"",IF($X18&lt;$Y18,Settings!$C$4,IF($X18=$Y18,1,0)))</f>
        <v>0</v>
      </c>
    </row>
    <row r="19" spans="2:27" x14ac:dyDescent="0.2">
      <c r="B19" s="22" t="s">
        <v>27</v>
      </c>
      <c r="C19" s="26" t="str">
        <f>IF(Planning!$D22="","",Planning!$D22)</f>
        <v>TSG Hoffenheim</v>
      </c>
      <c r="D19" s="2"/>
      <c r="E19" s="266">
        <v>16</v>
      </c>
      <c r="F19" s="171" t="str">
        <f>Planning!$Q22</f>
        <v>Borussia Dortmund</v>
      </c>
      <c r="G19" s="348" t="str">
        <f>Planning!$S22</f>
        <v>FC St. Pauli</v>
      </c>
      <c r="H19" s="344">
        <f>IF(AND(Results!$I24&lt;&gt;"",Results!$K24&lt;&gt;"",Results!$F24&lt;&gt;Results!$H24,$F19&lt;&gt;"",$G19&lt;&gt;""),Results!$I24,"")</f>
        <v>20</v>
      </c>
      <c r="I19" s="343">
        <f>IF(AND(Results!$I24&lt;&gt;"",Results!$K24&lt;&gt;"",Results!$F24&lt;&gt;Results!$H24,$F19&lt;&gt;"",$G19&lt;&gt;""),Results!$K24,"")</f>
        <v>25</v>
      </c>
      <c r="J19" s="344">
        <f>IF(AND(Results!$L24&lt;&gt;"",Results!$N24&lt;&gt;"",Results!$F24&lt;&gt;Results!$H24,$F19&lt;&gt;"",$G19&lt;&gt;""),Results!$L24,"")</f>
        <v>21</v>
      </c>
      <c r="K19" s="343">
        <f>IF(AND(Results!$L24&lt;&gt;"",Results!$N24&lt;&gt;"",Results!$F24&lt;&gt;Results!$H24,$F19&lt;&gt;"",$G19&lt;&gt;""),Results!$N24,"")</f>
        <v>25</v>
      </c>
      <c r="L19" s="344" t="str">
        <f>IF(AND(Results!$O24&lt;&gt;"",Results!$Q24&lt;&gt;"",Results!$F24&lt;&gt;Results!$H24,$F19&lt;&gt;"",$G19&lt;&gt;""),Results!$O24,"")</f>
        <v/>
      </c>
      <c r="M19" s="122" t="str">
        <f>IF(AND(Results!$O24&lt;&gt;"",Results!$Q24&lt;&gt;"",Results!$F24&lt;&gt;Results!$H24,$F19&lt;&gt;"",$G19&lt;&gt;""),Results!$Q24,"")</f>
        <v/>
      </c>
      <c r="N19" s="16" t="str">
        <f>IF(Planning!$I22=0,F19&amp;G19,"")</f>
        <v>Borussia DortmundFC St. Pauli</v>
      </c>
      <c r="O19" s="7">
        <f>IF(AND(Results!$Z$6&gt;0,$E19-1&gt;=Results!$Z$6*Calc!$F$26),0,IF(AND(F19&lt;&gt;"",G19&lt;&gt;"",F19&lt;&gt;G19,Results!$R24&lt;&gt;"",Results!$T24&lt;&gt;""),1,0))</f>
        <v>1</v>
      </c>
      <c r="P19" s="7" t="str">
        <f>IF(AND(O19&gt;0,Planning!$I22=0),V19&amp;Language!$E$90&amp;W19,"")</f>
        <v>41 - 50</v>
      </c>
      <c r="Q19" s="2" t="str">
        <f>IF(Planning!$I22=1,F19&amp;G19,"")</f>
        <v/>
      </c>
      <c r="R19" s="88" t="str">
        <f>IF(AND(O19&gt;0,Planning!$I22=1),V19&amp;Language!$E$90&amp;W19,"")</f>
        <v/>
      </c>
      <c r="S19" s="122" t="str">
        <f>IF(O19&gt;0,X19&amp;Language!$E$90&amp;Y19,"")</f>
        <v>0 - 2</v>
      </c>
      <c r="T19" s="290">
        <f>IF($H19="",0,Results!$U24)</f>
        <v>0</v>
      </c>
      <c r="U19" s="291">
        <f>IF($I19="",0,Results!$V24)</f>
        <v>0</v>
      </c>
      <c r="V19" s="270">
        <f t="shared" si="0"/>
        <v>41</v>
      </c>
      <c r="W19" s="291">
        <f t="shared" si="1"/>
        <v>50</v>
      </c>
      <c r="X19" s="270">
        <f>IF($O19=0,0,IF(Results!$R24="",0,Results!$R24))</f>
        <v>0</v>
      </c>
      <c r="Y19" s="291">
        <f>IF($O19=0,0,IF(Results!$T24="",0,Results!$T24))</f>
        <v>2</v>
      </c>
      <c r="Z19" s="270">
        <f>IF($O19=0,"",IF($X19&gt;$Y19,Settings!$C$4,IF($X19=$Y19,1,0)))</f>
        <v>0</v>
      </c>
      <c r="AA19" s="291">
        <f>IF($O19=0,"",IF($X19&lt;$Y19,Settings!$C$4,IF($X19=$Y19,1,0)))</f>
        <v>2</v>
      </c>
    </row>
    <row r="20" spans="2:27" x14ac:dyDescent="0.2">
      <c r="B20" s="22" t="s">
        <v>28</v>
      </c>
      <c r="C20" s="26" t="str">
        <f>IF(Planning!$D23="","",Planning!$D23)</f>
        <v>VfB Stuttgart</v>
      </c>
      <c r="D20" s="2"/>
      <c r="E20" s="266">
        <v>17</v>
      </c>
      <c r="F20" s="171" t="str">
        <f>Planning!$Q23</f>
        <v>FC Bayern München</v>
      </c>
      <c r="G20" s="348" t="str">
        <f>Planning!$S23</f>
        <v>Borussia Mönchengladbach</v>
      </c>
      <c r="H20" s="344">
        <f>IF(AND(Results!$I25&lt;&gt;"",Results!$K25&lt;&gt;"",Results!$F25&lt;&gt;Results!$H25,$F20&lt;&gt;"",$G20&lt;&gt;""),Results!$I25,"")</f>
        <v>25</v>
      </c>
      <c r="I20" s="343">
        <f>IF(AND(Results!$I25&lt;&gt;"",Results!$K25&lt;&gt;"",Results!$F25&lt;&gt;Results!$H25,$F20&lt;&gt;"",$G20&lt;&gt;""),Results!$K25,"")</f>
        <v>20</v>
      </c>
      <c r="J20" s="344">
        <f>IF(AND(Results!$L25&lt;&gt;"",Results!$N25&lt;&gt;"",Results!$F25&lt;&gt;Results!$H25,$F20&lt;&gt;"",$G20&lt;&gt;""),Results!$L25,"")</f>
        <v>25</v>
      </c>
      <c r="K20" s="343">
        <f>IF(AND(Results!$L25&lt;&gt;"",Results!$N25&lt;&gt;"",Results!$F25&lt;&gt;Results!$H25,$F20&lt;&gt;"",$G20&lt;&gt;""),Results!$N25,"")</f>
        <v>19</v>
      </c>
      <c r="L20" s="344" t="str">
        <f>IF(AND(Results!$O25&lt;&gt;"",Results!$Q25&lt;&gt;"",Results!$F25&lt;&gt;Results!$H25,$F20&lt;&gt;"",$G20&lt;&gt;""),Results!$O25,"")</f>
        <v/>
      </c>
      <c r="M20" s="122" t="str">
        <f>IF(AND(Results!$O25&lt;&gt;"",Results!$Q25&lt;&gt;"",Results!$F25&lt;&gt;Results!$H25,$F20&lt;&gt;"",$G20&lt;&gt;""),Results!$Q25,"")</f>
        <v/>
      </c>
      <c r="N20" s="16" t="str">
        <f>IF(Planning!$I23=0,F20&amp;G20,"")</f>
        <v>FC Bayern MünchenBorussia Mönchengladbach</v>
      </c>
      <c r="O20" s="7">
        <f>IF(AND(Results!$Z$6&gt;0,$E20-1&gt;=Results!$Z$6*Calc!$F$26),0,IF(AND(F20&lt;&gt;"",G20&lt;&gt;"",F20&lt;&gt;G20,Results!$R25&lt;&gt;"",Results!$T25&lt;&gt;""),1,0))</f>
        <v>1</v>
      </c>
      <c r="P20" s="7" t="str">
        <f>IF(AND(O20&gt;0,Planning!$I23=0),V20&amp;Language!$E$90&amp;W20,"")</f>
        <v>50 - 39</v>
      </c>
      <c r="Q20" s="2" t="str">
        <f>IF(Planning!$I23=1,F20&amp;G20,"")</f>
        <v/>
      </c>
      <c r="R20" s="88" t="str">
        <f>IF(AND(O20&gt;0,Planning!$I23=1),V20&amp;Language!$E$90&amp;W20,"")</f>
        <v/>
      </c>
      <c r="S20" s="122" t="str">
        <f>IF(O20&gt;0,X20&amp;Language!$E$90&amp;Y20,"")</f>
        <v>2 - 0</v>
      </c>
      <c r="T20" s="290">
        <f>IF($H20="",0,Results!$U25)</f>
        <v>0</v>
      </c>
      <c r="U20" s="291">
        <f>IF($I20="",0,Results!$V25)</f>
        <v>0</v>
      </c>
      <c r="V20" s="270">
        <f t="shared" si="0"/>
        <v>50</v>
      </c>
      <c r="W20" s="291">
        <f t="shared" si="1"/>
        <v>39</v>
      </c>
      <c r="X20" s="270">
        <f>IF($O20=0,0,IF(Results!$R25="",0,Results!$R25))</f>
        <v>2</v>
      </c>
      <c r="Y20" s="291">
        <f>IF($O20=0,0,IF(Results!$T25="",0,Results!$T25))</f>
        <v>0</v>
      </c>
      <c r="Z20" s="270">
        <f>IF($O20=0,"",IF($X20&gt;$Y20,Settings!$C$4,IF($X20=$Y20,1,0)))</f>
        <v>2</v>
      </c>
      <c r="AA20" s="291">
        <f>IF($O20=0,"",IF($X20&lt;$Y20,Settings!$C$4,IF($X20=$Y20,1,0)))</f>
        <v>0</v>
      </c>
    </row>
    <row r="21" spans="2:27" x14ac:dyDescent="0.2">
      <c r="B21" s="22" t="s">
        <v>29</v>
      </c>
      <c r="C21" s="26" t="str">
        <f>IF(Planning!$D24="","",Planning!$D24)</f>
        <v>VfL Wolfsburg</v>
      </c>
      <c r="D21" s="2"/>
      <c r="E21" s="266">
        <v>18</v>
      </c>
      <c r="F21" s="171" t="str">
        <f>Planning!$Q24</f>
        <v>Eintracht Frankfurt</v>
      </c>
      <c r="G21" s="348" t="str">
        <f>Planning!$S24</f>
        <v>FC Augsburg</v>
      </c>
      <c r="H21" s="344">
        <f>IF(AND(Results!$I26&lt;&gt;"",Results!$K26&lt;&gt;"",Results!$F26&lt;&gt;Results!$H26,$F21&lt;&gt;"",$G21&lt;&gt;""),Results!$I26,"")</f>
        <v>25</v>
      </c>
      <c r="I21" s="343">
        <f>IF(AND(Results!$I26&lt;&gt;"",Results!$K26&lt;&gt;"",Results!$F26&lt;&gt;Results!$H26,$F21&lt;&gt;"",$G21&lt;&gt;""),Results!$K26,"")</f>
        <v>12</v>
      </c>
      <c r="J21" s="344">
        <f>IF(AND(Results!$L26&lt;&gt;"",Results!$N26&lt;&gt;"",Results!$F26&lt;&gt;Results!$H26,$F21&lt;&gt;"",$G21&lt;&gt;""),Results!$L26,"")</f>
        <v>25</v>
      </c>
      <c r="K21" s="343">
        <f>IF(AND(Results!$L26&lt;&gt;"",Results!$N26&lt;&gt;"",Results!$F26&lt;&gt;Results!$H26,$F21&lt;&gt;"",$G21&lt;&gt;""),Results!$N26,"")</f>
        <v>20</v>
      </c>
      <c r="L21" s="344" t="str">
        <f>IF(AND(Results!$O26&lt;&gt;"",Results!$Q26&lt;&gt;"",Results!$F26&lt;&gt;Results!$H26,$F21&lt;&gt;"",$G21&lt;&gt;""),Results!$O26,"")</f>
        <v/>
      </c>
      <c r="M21" s="122" t="str">
        <f>IF(AND(Results!$O26&lt;&gt;"",Results!$Q26&lt;&gt;"",Results!$F26&lt;&gt;Results!$H26,$F21&lt;&gt;"",$G21&lt;&gt;""),Results!$Q26,"")</f>
        <v/>
      </c>
      <c r="N21" s="16" t="str">
        <f>IF(Planning!$I24=0,F21&amp;G21,"")</f>
        <v>Eintracht FrankfurtFC Augsburg</v>
      </c>
      <c r="O21" s="7">
        <f>IF(AND(Results!$Z$6&gt;0,$E21-1&gt;=Results!$Z$6*Calc!$F$26),0,IF(AND(F21&lt;&gt;"",G21&lt;&gt;"",F21&lt;&gt;G21,Results!$R26&lt;&gt;"",Results!$T26&lt;&gt;""),1,0))</f>
        <v>1</v>
      </c>
      <c r="P21" s="7" t="str">
        <f>IF(AND(O21&gt;0,Planning!$I24=0),V21&amp;Language!$E$90&amp;W21,"")</f>
        <v>50 - 32</v>
      </c>
      <c r="Q21" s="2" t="str">
        <f>IF(Planning!$I24=1,F21&amp;G21,"")</f>
        <v/>
      </c>
      <c r="R21" s="88" t="str">
        <f>IF(AND(O21&gt;0,Planning!$I24=1),V21&amp;Language!$E$90&amp;W21,"")</f>
        <v/>
      </c>
      <c r="S21" s="122" t="str">
        <f>IF(O21&gt;0,X21&amp;Language!$E$90&amp;Y21,"")</f>
        <v>2 - 0</v>
      </c>
      <c r="T21" s="290">
        <f>IF($H21="",0,Results!$U26)</f>
        <v>0</v>
      </c>
      <c r="U21" s="291">
        <f>IF($I21="",0,Results!$V26)</f>
        <v>0</v>
      </c>
      <c r="V21" s="270">
        <f t="shared" si="0"/>
        <v>50</v>
      </c>
      <c r="W21" s="291">
        <f t="shared" si="1"/>
        <v>32</v>
      </c>
      <c r="X21" s="270">
        <f>IF($O21=0,0,IF(Results!$R26="",0,Results!$R26))</f>
        <v>2</v>
      </c>
      <c r="Y21" s="291">
        <f>IF($O21=0,0,IF(Results!$T26="",0,Results!$T26))</f>
        <v>0</v>
      </c>
      <c r="Z21" s="270">
        <f>IF($O21=0,"",IF($X21&gt;$Y21,Settings!$C$4,IF($X21=$Y21,1,0)))</f>
        <v>2</v>
      </c>
      <c r="AA21" s="291">
        <f>IF($O21=0,"",IF($X21&lt;$Y21,Settings!$C$4,IF($X21=$Y21,1,0)))</f>
        <v>0</v>
      </c>
    </row>
    <row r="22" spans="2:27" x14ac:dyDescent="0.2">
      <c r="B22" s="22" t="s">
        <v>30</v>
      </c>
      <c r="C22" s="26" t="str">
        <f>IF(Planning!$D25="","",Planning!$D25)</f>
        <v/>
      </c>
      <c r="D22" s="2"/>
      <c r="E22" s="266">
        <v>19</v>
      </c>
      <c r="F22" s="171" t="str">
        <f>Planning!$Q25</f>
        <v>1. FC Heidenheim 1846</v>
      </c>
      <c r="G22" s="348" t="str">
        <f>Planning!$S25</f>
        <v>TSG Hoffenheim</v>
      </c>
      <c r="H22" s="344">
        <f>IF(AND(Results!$I27&lt;&gt;"",Results!$K27&lt;&gt;"",Results!$F27&lt;&gt;Results!$H27,$F22&lt;&gt;"",$G22&lt;&gt;""),Results!$I27,"")</f>
        <v>25</v>
      </c>
      <c r="I22" s="343">
        <f>IF(AND(Results!$I27&lt;&gt;"",Results!$K27&lt;&gt;"",Results!$F27&lt;&gt;Results!$H27,$F22&lt;&gt;"",$G22&lt;&gt;""),Results!$K27,"")</f>
        <v>21</v>
      </c>
      <c r="J22" s="344">
        <f>IF(AND(Results!$L27&lt;&gt;"",Results!$N27&lt;&gt;"",Results!$F27&lt;&gt;Results!$H27,$F22&lt;&gt;"",$G22&lt;&gt;""),Results!$L27,"")</f>
        <v>25</v>
      </c>
      <c r="K22" s="343">
        <f>IF(AND(Results!$L27&lt;&gt;"",Results!$N27&lt;&gt;"",Results!$F27&lt;&gt;Results!$H27,$F22&lt;&gt;"",$G22&lt;&gt;""),Results!$N27,"")</f>
        <v>20</v>
      </c>
      <c r="L22" s="344" t="str">
        <f>IF(AND(Results!$O27&lt;&gt;"",Results!$Q27&lt;&gt;"",Results!$F27&lt;&gt;Results!$H27,$F22&lt;&gt;"",$G22&lt;&gt;""),Results!$O27,"")</f>
        <v/>
      </c>
      <c r="M22" s="122" t="str">
        <f>IF(AND(Results!$O27&lt;&gt;"",Results!$Q27&lt;&gt;"",Results!$F27&lt;&gt;Results!$H27,$F22&lt;&gt;"",$G22&lt;&gt;""),Results!$Q27,"")</f>
        <v/>
      </c>
      <c r="N22" s="16" t="str">
        <f>IF(Planning!$I25=0,F22&amp;G22,"")</f>
        <v>1. FC Heidenheim 1846TSG Hoffenheim</v>
      </c>
      <c r="O22" s="7">
        <f>IF(AND(Results!$Z$6&gt;0,$E22-1&gt;=Results!$Z$6*Calc!$F$26),0,IF(AND(F22&lt;&gt;"",G22&lt;&gt;"",F22&lt;&gt;G22,Results!$R27&lt;&gt;"",Results!$T27&lt;&gt;""),1,0))</f>
        <v>1</v>
      </c>
      <c r="P22" s="7" t="str">
        <f>IF(AND(O22&gt;0,Planning!$I25=0),V22&amp;Language!$E$90&amp;W22,"")</f>
        <v>50 - 41</v>
      </c>
      <c r="Q22" s="2" t="str">
        <f>IF(Planning!$I25=1,F22&amp;G22,"")</f>
        <v/>
      </c>
      <c r="R22" s="88" t="str">
        <f>IF(AND(O22&gt;0,Planning!$I25=1),V22&amp;Language!$E$90&amp;W22,"")</f>
        <v/>
      </c>
      <c r="S22" s="122" t="str">
        <f>IF(O22&gt;0,X22&amp;Language!$E$90&amp;Y22,"")</f>
        <v>2 - 0</v>
      </c>
      <c r="T22" s="290">
        <f>IF($H22="",0,Results!$U27)</f>
        <v>0</v>
      </c>
      <c r="U22" s="291">
        <f>IF($I22="",0,Results!$V27)</f>
        <v>0</v>
      </c>
      <c r="V22" s="270">
        <f t="shared" si="0"/>
        <v>50</v>
      </c>
      <c r="W22" s="291">
        <f t="shared" si="1"/>
        <v>41</v>
      </c>
      <c r="X22" s="270">
        <f>IF($O22=0,0,IF(Results!$R27="",0,Results!$R27))</f>
        <v>2</v>
      </c>
      <c r="Y22" s="291">
        <f>IF($O22=0,0,IF(Results!$T27="",0,Results!$T27))</f>
        <v>0</v>
      </c>
      <c r="Z22" s="270">
        <f>IF($O22=0,"",IF($X22&gt;$Y22,Settings!$C$4,IF($X22=$Y22,1,0)))</f>
        <v>2</v>
      </c>
      <c r="AA22" s="291">
        <f>IF($O22=0,"",IF($X22&lt;$Y22,Settings!$C$4,IF($X22=$Y22,1,0)))</f>
        <v>0</v>
      </c>
    </row>
    <row r="23" spans="2:27" ht="13.5" thickBot="1" x14ac:dyDescent="0.25">
      <c r="B23" s="167" t="s">
        <v>31</v>
      </c>
      <c r="C23" s="168" t="str">
        <f>IF(Planning!$D26="","",Planning!$D26)</f>
        <v/>
      </c>
      <c r="D23" s="2"/>
      <c r="E23" s="266">
        <v>20</v>
      </c>
      <c r="F23" s="171" t="str">
        <f>Planning!$Q26</f>
        <v>SV Werder Bremen</v>
      </c>
      <c r="G23" s="348" t="str">
        <f>Planning!$S26</f>
        <v>VfB Stuttgart</v>
      </c>
      <c r="H23" s="344">
        <f>IF(AND(Results!$I28&lt;&gt;"",Results!$K28&lt;&gt;"",Results!$F28&lt;&gt;Results!$H28,$F23&lt;&gt;"",$G23&lt;&gt;""),Results!$I28,"")</f>
        <v>25</v>
      </c>
      <c r="I23" s="343">
        <f>IF(AND(Results!$I28&lt;&gt;"",Results!$K28&lt;&gt;"",Results!$F28&lt;&gt;Results!$H28,$F23&lt;&gt;"",$G23&lt;&gt;""),Results!$K28,"")</f>
        <v>23</v>
      </c>
      <c r="J23" s="344">
        <f>IF(AND(Results!$L28&lt;&gt;"",Results!$N28&lt;&gt;"",Results!$F28&lt;&gt;Results!$H28,$F23&lt;&gt;"",$G23&lt;&gt;""),Results!$L28,"")</f>
        <v>25</v>
      </c>
      <c r="K23" s="343">
        <f>IF(AND(Results!$L28&lt;&gt;"",Results!$N28&lt;&gt;"",Results!$F28&lt;&gt;Results!$H28,$F23&lt;&gt;"",$G23&lt;&gt;""),Results!$N28,"")</f>
        <v>22</v>
      </c>
      <c r="L23" s="344" t="str">
        <f>IF(AND(Results!$O28&lt;&gt;"",Results!$Q28&lt;&gt;"",Results!$F28&lt;&gt;Results!$H28,$F23&lt;&gt;"",$G23&lt;&gt;""),Results!$O28,"")</f>
        <v/>
      </c>
      <c r="M23" s="122" t="str">
        <f>IF(AND(Results!$O28&lt;&gt;"",Results!$Q28&lt;&gt;"",Results!$F28&lt;&gt;Results!$H28,$F23&lt;&gt;"",$G23&lt;&gt;""),Results!$Q28,"")</f>
        <v/>
      </c>
      <c r="N23" s="16" t="str">
        <f>IF(Planning!$I26=0,F23&amp;G23,"")</f>
        <v>SV Werder BremenVfB Stuttgart</v>
      </c>
      <c r="O23" s="7">
        <f>IF(AND(Results!$Z$6&gt;0,$E23-1&gt;=Results!$Z$6*Calc!$F$26),0,IF(AND(F23&lt;&gt;"",G23&lt;&gt;"",F23&lt;&gt;G23,Results!$R28&lt;&gt;"",Results!$T28&lt;&gt;""),1,0))</f>
        <v>1</v>
      </c>
      <c r="P23" s="7" t="str">
        <f>IF(AND(O23&gt;0,Planning!$I26=0),V23&amp;Language!$E$90&amp;W23,"")</f>
        <v>50 - 45</v>
      </c>
      <c r="Q23" s="2" t="str">
        <f>IF(Planning!$I26=1,F23&amp;G23,"")</f>
        <v/>
      </c>
      <c r="R23" s="88" t="str">
        <f>IF(AND(O23&gt;0,Planning!$I26=1),V23&amp;Language!$E$90&amp;W23,"")</f>
        <v/>
      </c>
      <c r="S23" s="122" t="str">
        <f>IF(O23&gt;0,X23&amp;Language!$E$90&amp;Y23,"")</f>
        <v>2 - 0</v>
      </c>
      <c r="T23" s="290">
        <f>IF($H23="",0,Results!$U28)</f>
        <v>0</v>
      </c>
      <c r="U23" s="291">
        <f>IF($I23="",0,Results!$V28)</f>
        <v>0</v>
      </c>
      <c r="V23" s="270">
        <f t="shared" si="0"/>
        <v>50</v>
      </c>
      <c r="W23" s="291">
        <f t="shared" si="1"/>
        <v>45</v>
      </c>
      <c r="X23" s="270">
        <f>IF($O23=0,0,IF(Results!$R28="",0,Results!$R28))</f>
        <v>2</v>
      </c>
      <c r="Y23" s="291">
        <f>IF($O23=0,0,IF(Results!$T28="",0,Results!$T28))</f>
        <v>0</v>
      </c>
      <c r="Z23" s="270">
        <f>IF($O23=0,"",IF($X23&gt;$Y23,Settings!$C$4,IF($X23=$Y23,1,0)))</f>
        <v>2</v>
      </c>
      <c r="AA23" s="291">
        <f>IF($O23=0,"",IF($X23&lt;$Y23,Settings!$C$4,IF($X23=$Y23,1,0)))</f>
        <v>0</v>
      </c>
    </row>
    <row r="24" spans="2:27" ht="13.5" thickTop="1" x14ac:dyDescent="0.2">
      <c r="B24" s="2"/>
      <c r="C24" s="2"/>
      <c r="D24" s="2"/>
      <c r="E24" s="266">
        <v>21</v>
      </c>
      <c r="F24" s="171" t="str">
        <f>Planning!$Q27</f>
        <v>VfL Wolfsburg</v>
      </c>
      <c r="G24" s="348" t="str">
        <f>Planning!$S27</f>
        <v>SC Freiburg</v>
      </c>
      <c r="H24" s="344">
        <f>IF(AND(Results!$I29&lt;&gt;"",Results!$K29&lt;&gt;"",Results!$F29&lt;&gt;Results!$H29,$F24&lt;&gt;"",$G24&lt;&gt;""),Results!$I29,"")</f>
        <v>25</v>
      </c>
      <c r="I24" s="343">
        <f>IF(AND(Results!$I29&lt;&gt;"",Results!$K29&lt;&gt;"",Results!$F29&lt;&gt;Results!$H29,$F24&lt;&gt;"",$G24&lt;&gt;""),Results!$K29,"")</f>
        <v>18</v>
      </c>
      <c r="J24" s="344">
        <f>IF(AND(Results!$L29&lt;&gt;"",Results!$N29&lt;&gt;"",Results!$F29&lt;&gt;Results!$H29,$F24&lt;&gt;"",$G24&lt;&gt;""),Results!$L29,"")</f>
        <v>25</v>
      </c>
      <c r="K24" s="343">
        <f>IF(AND(Results!$L29&lt;&gt;"",Results!$N29&lt;&gt;"",Results!$F29&lt;&gt;Results!$H29,$F24&lt;&gt;"",$G24&lt;&gt;""),Results!$N29,"")</f>
        <v>11</v>
      </c>
      <c r="L24" s="344" t="str">
        <f>IF(AND(Results!$O29&lt;&gt;"",Results!$Q29&lt;&gt;"",Results!$F29&lt;&gt;Results!$H29,$F24&lt;&gt;"",$G24&lt;&gt;""),Results!$O29,"")</f>
        <v/>
      </c>
      <c r="M24" s="122" t="str">
        <f>IF(AND(Results!$O29&lt;&gt;"",Results!$Q29&lt;&gt;"",Results!$F29&lt;&gt;Results!$H29,$F24&lt;&gt;"",$G24&lt;&gt;""),Results!$Q29,"")</f>
        <v/>
      </c>
      <c r="N24" s="16" t="str">
        <f>IF(Planning!$I27=0,F24&amp;G24,"")</f>
        <v>VfL WolfsburgSC Freiburg</v>
      </c>
      <c r="O24" s="7">
        <f>IF(AND(Results!$Z$6&gt;0,$E24-1&gt;=Results!$Z$6*Calc!$F$26),0,IF(AND(F24&lt;&gt;"",G24&lt;&gt;"",F24&lt;&gt;G24,Results!$R29&lt;&gt;"",Results!$T29&lt;&gt;""),1,0))</f>
        <v>1</v>
      </c>
      <c r="P24" s="7" t="str">
        <f>IF(AND(O24&gt;0,Planning!$I27=0),V24&amp;Language!$E$90&amp;W24,"")</f>
        <v>50 - 29</v>
      </c>
      <c r="Q24" s="2" t="str">
        <f>IF(Planning!$I27=1,F24&amp;G24,"")</f>
        <v/>
      </c>
      <c r="R24" s="88" t="str">
        <f>IF(AND(O24&gt;0,Planning!$I27=1),V24&amp;Language!$E$90&amp;W24,"")</f>
        <v/>
      </c>
      <c r="S24" s="122" t="str">
        <f>IF(O24&gt;0,X24&amp;Language!$E$90&amp;Y24,"")</f>
        <v>2 - 0</v>
      </c>
      <c r="T24" s="290">
        <f>IF($H24="",0,Results!$U29)</f>
        <v>0</v>
      </c>
      <c r="U24" s="291">
        <f>IF($I24="",0,Results!$V29)</f>
        <v>0</v>
      </c>
      <c r="V24" s="270">
        <f t="shared" si="0"/>
        <v>50</v>
      </c>
      <c r="W24" s="291">
        <f t="shared" si="1"/>
        <v>29</v>
      </c>
      <c r="X24" s="270">
        <f>IF($O24=0,0,IF(Results!$R29="",0,Results!$R29))</f>
        <v>2</v>
      </c>
      <c r="Y24" s="291">
        <f>IF($O24=0,0,IF(Results!$T29="",0,Results!$T29))</f>
        <v>0</v>
      </c>
      <c r="Z24" s="270">
        <f>IF($O24=0,"",IF($X24&gt;$Y24,Settings!$C$4,IF($X24=$Y24,1,0)))</f>
        <v>2</v>
      </c>
      <c r="AA24" s="291">
        <f>IF($O24=0,"",IF($X24&lt;$Y24,Settings!$C$4,IF($X24=$Y24,1,0)))</f>
        <v>0</v>
      </c>
    </row>
    <row r="25" spans="2:27" x14ac:dyDescent="0.2">
      <c r="B25" s="2"/>
      <c r="C25" s="2"/>
      <c r="D25" s="2"/>
      <c r="E25" s="266">
        <v>22</v>
      </c>
      <c r="F25" s="171" t="str">
        <f>Planning!$Q28</f>
        <v>RB Leipzig</v>
      </c>
      <c r="G25" s="348" t="str">
        <f>Planning!$S28</f>
        <v>1. FC Köln</v>
      </c>
      <c r="H25" s="344">
        <f>IF(AND(Results!$I30&lt;&gt;"",Results!$K30&lt;&gt;"",Results!$F30&lt;&gt;Results!$H30,$F25&lt;&gt;"",$G25&lt;&gt;""),Results!$I30,"")</f>
        <v>19</v>
      </c>
      <c r="I25" s="343">
        <f>IF(AND(Results!$I30&lt;&gt;"",Results!$K30&lt;&gt;"",Results!$F30&lt;&gt;Results!$H30,$F25&lt;&gt;"",$G25&lt;&gt;""),Results!$K30,"")</f>
        <v>25</v>
      </c>
      <c r="J25" s="344">
        <f>IF(AND(Results!$L30&lt;&gt;"",Results!$N30&lt;&gt;"",Results!$F30&lt;&gt;Results!$H30,$F25&lt;&gt;"",$G25&lt;&gt;""),Results!$L30,"")</f>
        <v>25</v>
      </c>
      <c r="K25" s="343">
        <f>IF(AND(Results!$L30&lt;&gt;"",Results!$N30&lt;&gt;"",Results!$F30&lt;&gt;Results!$H30,$F25&lt;&gt;"",$G25&lt;&gt;""),Results!$N30,"")</f>
        <v>19</v>
      </c>
      <c r="L25" s="344">
        <f>IF(AND(Results!$O30&lt;&gt;"",Results!$Q30&lt;&gt;"",Results!$F30&lt;&gt;Results!$H30,$F25&lt;&gt;"",$G25&lt;&gt;""),Results!$O30,"")</f>
        <v>16</v>
      </c>
      <c r="M25" s="122">
        <f>IF(AND(Results!$O30&lt;&gt;"",Results!$Q30&lt;&gt;"",Results!$F30&lt;&gt;Results!$H30,$F25&lt;&gt;"",$G25&lt;&gt;""),Results!$Q30,"")</f>
        <v>14</v>
      </c>
      <c r="N25" s="16" t="str">
        <f>IF(Planning!$I28=0,F25&amp;G25,"")</f>
        <v>RB Leipzig1. FC Köln</v>
      </c>
      <c r="O25" s="7">
        <f>IF(AND(Results!$Z$6&gt;0,$E25-1&gt;=Results!$Z$6*Calc!$F$26),0,IF(AND(F25&lt;&gt;"",G25&lt;&gt;"",F25&lt;&gt;G25,Results!$R30&lt;&gt;"",Results!$T30&lt;&gt;""),1,0))</f>
        <v>1</v>
      </c>
      <c r="P25" s="7" t="str">
        <f>IF(AND(O25&gt;0,Planning!$I28=0),V25&amp;Language!$E$90&amp;W25,"")</f>
        <v>60 - 58</v>
      </c>
      <c r="Q25" s="2" t="str">
        <f>IF(Planning!$I28=1,F25&amp;G25,"")</f>
        <v/>
      </c>
      <c r="R25" s="88" t="str">
        <f>IF(AND(O25&gt;0,Planning!$I28=1),V25&amp;Language!$E$90&amp;W25,"")</f>
        <v/>
      </c>
      <c r="S25" s="122" t="str">
        <f>IF(O25&gt;0,X25&amp;Language!$E$90&amp;Y25,"")</f>
        <v>2 - 1</v>
      </c>
      <c r="T25" s="290">
        <f>IF($H25="",0,Results!$U30)</f>
        <v>0</v>
      </c>
      <c r="U25" s="291">
        <f>IF($I25="",0,Results!$V30)</f>
        <v>0</v>
      </c>
      <c r="V25" s="270">
        <f t="shared" si="0"/>
        <v>60</v>
      </c>
      <c r="W25" s="291">
        <f t="shared" si="1"/>
        <v>58</v>
      </c>
      <c r="X25" s="270">
        <f>IF($O25=0,0,IF(Results!$R30="",0,Results!$R30))</f>
        <v>2</v>
      </c>
      <c r="Y25" s="291">
        <f>IF($O25=0,0,IF(Results!$T30="",0,Results!$T30))</f>
        <v>1</v>
      </c>
      <c r="Z25" s="270">
        <f>IF($O25=0,"",IF($X25&gt;$Y25,Settings!$C$4,IF($X25=$Y25,1,0)))</f>
        <v>2</v>
      </c>
      <c r="AA25" s="291">
        <f>IF($O25=0,"",IF($X25&lt;$Y25,Settings!$C$4,IF($X25=$Y25,1,0)))</f>
        <v>0</v>
      </c>
    </row>
    <row r="26" spans="2:27" x14ac:dyDescent="0.2">
      <c r="B26" s="2"/>
      <c r="C26" s="2"/>
      <c r="D26" s="2"/>
      <c r="E26" s="266">
        <v>23</v>
      </c>
      <c r="F26" s="171" t="str">
        <f>Planning!$Q29</f>
        <v>1. FC Union Berlin</v>
      </c>
      <c r="G26" s="348" t="str">
        <f>Planning!$S29</f>
        <v>Hamburger SV</v>
      </c>
      <c r="H26" s="344">
        <f>IF(AND(Results!$I31&lt;&gt;"",Results!$K31&lt;&gt;"",Results!$F31&lt;&gt;Results!$H31,$F26&lt;&gt;"",$G26&lt;&gt;""),Results!$I31,"")</f>
        <v>17</v>
      </c>
      <c r="I26" s="343">
        <f>IF(AND(Results!$I31&lt;&gt;"",Results!$K31&lt;&gt;"",Results!$F31&lt;&gt;Results!$H31,$F26&lt;&gt;"",$G26&lt;&gt;""),Results!$K31,"")</f>
        <v>25</v>
      </c>
      <c r="J26" s="344">
        <f>IF(AND(Results!$L31&lt;&gt;"",Results!$N31&lt;&gt;"",Results!$F31&lt;&gt;Results!$H31,$F26&lt;&gt;"",$G26&lt;&gt;""),Results!$L31,"")</f>
        <v>23</v>
      </c>
      <c r="K26" s="343">
        <f>IF(AND(Results!$L31&lt;&gt;"",Results!$N31&lt;&gt;"",Results!$F31&lt;&gt;Results!$H31,$F26&lt;&gt;"",$G26&lt;&gt;""),Results!$N31,"")</f>
        <v>25</v>
      </c>
      <c r="L26" s="344" t="str">
        <f>IF(AND(Results!$O31&lt;&gt;"",Results!$Q31&lt;&gt;"",Results!$F31&lt;&gt;Results!$H31,$F26&lt;&gt;"",$G26&lt;&gt;""),Results!$O31,"")</f>
        <v/>
      </c>
      <c r="M26" s="122" t="str">
        <f>IF(AND(Results!$O31&lt;&gt;"",Results!$Q31&lt;&gt;"",Results!$F31&lt;&gt;Results!$H31,$F26&lt;&gt;"",$G26&lt;&gt;""),Results!$Q31,"")</f>
        <v/>
      </c>
      <c r="N26" s="16" t="str">
        <f>IF(Planning!$I29=0,F26&amp;G26,"")</f>
        <v>1. FC Union BerlinHamburger SV</v>
      </c>
      <c r="O26" s="7">
        <f>IF(AND(Results!$Z$6&gt;0,$E26-1&gt;=Results!$Z$6*Calc!$F$26),0,IF(AND(F26&lt;&gt;"",G26&lt;&gt;"",F26&lt;&gt;G26,Results!$R31&lt;&gt;"",Results!$T31&lt;&gt;""),1,0))</f>
        <v>1</v>
      </c>
      <c r="P26" s="7" t="str">
        <f>IF(AND(O26&gt;0,Planning!$I29=0),V26&amp;Language!$E$90&amp;W26,"")</f>
        <v>40 - 50</v>
      </c>
      <c r="Q26" s="2" t="str">
        <f>IF(Planning!$I29=1,F26&amp;G26,"")</f>
        <v/>
      </c>
      <c r="R26" s="88" t="str">
        <f>IF(AND(O26&gt;0,Planning!$I29=1),V26&amp;Language!$E$90&amp;W26,"")</f>
        <v/>
      </c>
      <c r="S26" s="122" t="str">
        <f>IF(O26&gt;0,X26&amp;Language!$E$90&amp;Y26,"")</f>
        <v>0 - 2</v>
      </c>
      <c r="T26" s="290">
        <f>IF($H26="",0,Results!$U31)</f>
        <v>0</v>
      </c>
      <c r="U26" s="291">
        <f>IF($I26="",0,Results!$V31)</f>
        <v>0</v>
      </c>
      <c r="V26" s="270">
        <f t="shared" si="0"/>
        <v>40</v>
      </c>
      <c r="W26" s="291">
        <f t="shared" si="1"/>
        <v>50</v>
      </c>
      <c r="X26" s="270">
        <f>IF($O26=0,0,IF(Results!$R31="",0,Results!$R31))</f>
        <v>0</v>
      </c>
      <c r="Y26" s="291">
        <f>IF($O26=0,0,IF(Results!$T31="",0,Results!$T31))</f>
        <v>2</v>
      </c>
      <c r="Z26" s="270">
        <f>IF($O26=0,"",IF($X26&gt;$Y26,Settings!$C$4,IF($X26=$Y26,1,0)))</f>
        <v>0</v>
      </c>
      <c r="AA26" s="291">
        <f>IF($O26=0,"",IF($X26&lt;$Y26,Settings!$C$4,IF($X26=$Y26,1,0)))</f>
        <v>2</v>
      </c>
    </row>
    <row r="27" spans="2:27" x14ac:dyDescent="0.2">
      <c r="B27" s="2"/>
      <c r="C27" s="2"/>
      <c r="D27" s="2"/>
      <c r="E27" s="266">
        <v>24</v>
      </c>
      <c r="F27" s="171" t="str">
        <f>Planning!$Q30</f>
        <v>FC St. Pauli</v>
      </c>
      <c r="G27" s="348" t="str">
        <f>Planning!$S30</f>
        <v>1. FSV Mainz 05</v>
      </c>
      <c r="H27" s="344">
        <f>IF(AND(Results!$I32&lt;&gt;"",Results!$K32&lt;&gt;"",Results!$F32&lt;&gt;Results!$H32,$F27&lt;&gt;"",$G27&lt;&gt;""),Results!$I32,"")</f>
        <v>25</v>
      </c>
      <c r="I27" s="343">
        <f>IF(AND(Results!$I32&lt;&gt;"",Results!$K32&lt;&gt;"",Results!$F32&lt;&gt;Results!$H32,$F27&lt;&gt;"",$G27&lt;&gt;""),Results!$K32,"")</f>
        <v>20</v>
      </c>
      <c r="J27" s="344">
        <f>IF(AND(Results!$L32&lt;&gt;"",Results!$N32&lt;&gt;"",Results!$F32&lt;&gt;Results!$H32,$F27&lt;&gt;"",$G27&lt;&gt;""),Results!$L32,"")</f>
        <v>25</v>
      </c>
      <c r="K27" s="343">
        <f>IF(AND(Results!$L32&lt;&gt;"",Results!$N32&lt;&gt;"",Results!$F32&lt;&gt;Results!$H32,$F27&lt;&gt;"",$G27&lt;&gt;""),Results!$N32,"")</f>
        <v>19</v>
      </c>
      <c r="L27" s="344" t="str">
        <f>IF(AND(Results!$O32&lt;&gt;"",Results!$Q32&lt;&gt;"",Results!$F32&lt;&gt;Results!$H32,$F27&lt;&gt;"",$G27&lt;&gt;""),Results!$O32,"")</f>
        <v/>
      </c>
      <c r="M27" s="122" t="str">
        <f>IF(AND(Results!$O32&lt;&gt;"",Results!$Q32&lt;&gt;"",Results!$F32&lt;&gt;Results!$H32,$F27&lt;&gt;"",$G27&lt;&gt;""),Results!$Q32,"")</f>
        <v/>
      </c>
      <c r="N27" s="16" t="str">
        <f>IF(Planning!$I30=0,F27&amp;G27,"")</f>
        <v>FC St. Pauli1. FSV Mainz 05</v>
      </c>
      <c r="O27" s="7">
        <f>IF(AND(Results!$Z$6&gt;0,$E27-1&gt;=Results!$Z$6*Calc!$F$26),0,IF(AND(F27&lt;&gt;"",G27&lt;&gt;"",F27&lt;&gt;G27,Results!$R32&lt;&gt;"",Results!$T32&lt;&gt;""),1,0))</f>
        <v>1</v>
      </c>
      <c r="P27" s="7" t="str">
        <f>IF(AND(O27&gt;0,Planning!$I30=0),V27&amp;Language!$E$90&amp;W27,"")</f>
        <v>50 - 39</v>
      </c>
      <c r="Q27" s="2" t="str">
        <f>IF(Planning!$I30=1,F27&amp;G27,"")</f>
        <v/>
      </c>
      <c r="R27" s="88" t="str">
        <f>IF(AND(O27&gt;0,Planning!$I30=1),V27&amp;Language!$E$90&amp;W27,"")</f>
        <v/>
      </c>
      <c r="S27" s="122" t="str">
        <f>IF(O27&gt;0,X27&amp;Language!$E$90&amp;Y27,"")</f>
        <v>2 - 0</v>
      </c>
      <c r="T27" s="290">
        <f>IF($H27="",0,Results!$U32)</f>
        <v>0</v>
      </c>
      <c r="U27" s="291">
        <f>IF($I27="",0,Results!$V32)</f>
        <v>0</v>
      </c>
      <c r="V27" s="270">
        <f t="shared" si="0"/>
        <v>50</v>
      </c>
      <c r="W27" s="291">
        <f t="shared" si="1"/>
        <v>39</v>
      </c>
      <c r="X27" s="270">
        <f>IF($O27=0,0,IF(Results!$R32="",0,Results!$R32))</f>
        <v>2</v>
      </c>
      <c r="Y27" s="291">
        <f>IF($O27=0,0,IF(Results!$T32="",0,Results!$T32))</f>
        <v>0</v>
      </c>
      <c r="Z27" s="270">
        <f>IF($O27=0,"",IF($X27&gt;$Y27,Settings!$C$4,IF($X27=$Y27,1,0)))</f>
        <v>2</v>
      </c>
      <c r="AA27" s="291">
        <f>IF($O27=0,"",IF($X27&lt;$Y27,Settings!$C$4,IF($X27=$Y27,1,0)))</f>
        <v>0</v>
      </c>
    </row>
    <row r="28" spans="2:27" x14ac:dyDescent="0.2">
      <c r="B28" s="2"/>
      <c r="C28" s="2"/>
      <c r="D28" s="2"/>
      <c r="E28" s="266">
        <v>25</v>
      </c>
      <c r="F28" s="171" t="str">
        <f>Planning!$Q31</f>
        <v>Bayer 04 Leverkusen</v>
      </c>
      <c r="G28" s="348" t="str">
        <f>Planning!$S31</f>
        <v>FC Bayern München</v>
      </c>
      <c r="H28" s="344">
        <f>IF(AND(Results!$I33&lt;&gt;"",Results!$K33&lt;&gt;"",Results!$F33&lt;&gt;Results!$H33,$F28&lt;&gt;"",$G28&lt;&gt;""),Results!$I33,"")</f>
        <v>25</v>
      </c>
      <c r="I28" s="343">
        <f>IF(AND(Results!$I33&lt;&gt;"",Results!$K33&lt;&gt;"",Results!$F33&lt;&gt;Results!$H33,$F28&lt;&gt;"",$G28&lt;&gt;""),Results!$K33,"")</f>
        <v>22</v>
      </c>
      <c r="J28" s="344">
        <f>IF(AND(Results!$L33&lt;&gt;"",Results!$N33&lt;&gt;"",Results!$F33&lt;&gt;Results!$H33,$F28&lt;&gt;"",$G28&lt;&gt;""),Results!$L33,"")</f>
        <v>25</v>
      </c>
      <c r="K28" s="343">
        <f>IF(AND(Results!$L33&lt;&gt;"",Results!$N33&lt;&gt;"",Results!$F33&lt;&gt;Results!$H33,$F28&lt;&gt;"",$G28&lt;&gt;""),Results!$N33,"")</f>
        <v>18</v>
      </c>
      <c r="L28" s="344" t="str">
        <f>IF(AND(Results!$O33&lt;&gt;"",Results!$Q33&lt;&gt;"",Results!$F33&lt;&gt;Results!$H33,$F28&lt;&gt;"",$G28&lt;&gt;""),Results!$O33,"")</f>
        <v/>
      </c>
      <c r="M28" s="122" t="str">
        <f>IF(AND(Results!$O33&lt;&gt;"",Results!$Q33&lt;&gt;"",Results!$F33&lt;&gt;Results!$H33,$F28&lt;&gt;"",$G28&lt;&gt;""),Results!$Q33,"")</f>
        <v/>
      </c>
      <c r="N28" s="16" t="str">
        <f>IF(Planning!$I31=0,F28&amp;G28,"")</f>
        <v>Bayer 04 LeverkusenFC Bayern München</v>
      </c>
      <c r="O28" s="7">
        <f>IF(AND(Results!$Z$6&gt;0,$E28-1&gt;=Results!$Z$6*Calc!$F$26),0,IF(AND(F28&lt;&gt;"",G28&lt;&gt;"",F28&lt;&gt;G28,Results!$R33&lt;&gt;"",Results!$T33&lt;&gt;""),1,0))</f>
        <v>1</v>
      </c>
      <c r="P28" s="7" t="str">
        <f>IF(AND(O28&gt;0,Planning!$I31=0),V28&amp;Language!$E$90&amp;W28,"")</f>
        <v>50 - 40</v>
      </c>
      <c r="Q28" s="2" t="str">
        <f>IF(Planning!$I31=1,F28&amp;G28,"")</f>
        <v/>
      </c>
      <c r="R28" s="88" t="str">
        <f>IF(AND(O28&gt;0,Planning!$I31=1),V28&amp;Language!$E$90&amp;W28,"")</f>
        <v/>
      </c>
      <c r="S28" s="122" t="str">
        <f>IF(O28&gt;0,X28&amp;Language!$E$90&amp;Y28,"")</f>
        <v>2 - 0</v>
      </c>
      <c r="T28" s="290">
        <f>IF($H28="",0,Results!$U33)</f>
        <v>0</v>
      </c>
      <c r="U28" s="291">
        <f>IF($I28="",0,Results!$V33)</f>
        <v>0</v>
      </c>
      <c r="V28" s="270">
        <f t="shared" si="0"/>
        <v>50</v>
      </c>
      <c r="W28" s="291">
        <f t="shared" si="1"/>
        <v>40</v>
      </c>
      <c r="X28" s="270">
        <f>IF($O28=0,0,IF(Results!$R33="",0,Results!$R33))</f>
        <v>2</v>
      </c>
      <c r="Y28" s="291">
        <f>IF($O28=0,0,IF(Results!$T33="",0,Results!$T33))</f>
        <v>0</v>
      </c>
      <c r="Z28" s="270">
        <f>IF($O28=0,"",IF($X28&gt;$Y28,Settings!$C$4,IF($X28=$Y28,1,0)))</f>
        <v>2</v>
      </c>
      <c r="AA28" s="291">
        <f>IF($O28=0,"",IF($X28&lt;$Y28,Settings!$C$4,IF($X28=$Y28,1,0)))</f>
        <v>0</v>
      </c>
    </row>
    <row r="29" spans="2:27" x14ac:dyDescent="0.2">
      <c r="B29" s="2"/>
      <c r="C29" s="2"/>
      <c r="D29" s="2"/>
      <c r="E29" s="266">
        <v>26</v>
      </c>
      <c r="F29" s="171" t="str">
        <f>Planning!$Q32</f>
        <v>FC Augsburg</v>
      </c>
      <c r="G29" s="348" t="str">
        <f>Planning!$S32</f>
        <v>Borussia Dortmund</v>
      </c>
      <c r="H29" s="344">
        <f>IF(AND(Results!$I34&lt;&gt;"",Results!$K34&lt;&gt;"",Results!$F34&lt;&gt;Results!$H34,$F29&lt;&gt;"",$G29&lt;&gt;""),Results!$I34,"")</f>
        <v>25</v>
      </c>
      <c r="I29" s="343">
        <f>IF(AND(Results!$I34&lt;&gt;"",Results!$K34&lt;&gt;"",Results!$F34&lt;&gt;Results!$H34,$F29&lt;&gt;"",$G29&lt;&gt;""),Results!$K34,"")</f>
        <v>19</v>
      </c>
      <c r="J29" s="344">
        <f>IF(AND(Results!$L34&lt;&gt;"",Results!$N34&lt;&gt;"",Results!$F34&lt;&gt;Results!$H34,$F29&lt;&gt;"",$G29&lt;&gt;""),Results!$L34,"")</f>
        <v>25</v>
      </c>
      <c r="K29" s="343">
        <f>IF(AND(Results!$L34&lt;&gt;"",Results!$N34&lt;&gt;"",Results!$F34&lt;&gt;Results!$H34,$F29&lt;&gt;"",$G29&lt;&gt;""),Results!$N34,"")</f>
        <v>21</v>
      </c>
      <c r="L29" s="344" t="str">
        <f>IF(AND(Results!$O34&lt;&gt;"",Results!$Q34&lt;&gt;"",Results!$F34&lt;&gt;Results!$H34,$F29&lt;&gt;"",$G29&lt;&gt;""),Results!$O34,"")</f>
        <v/>
      </c>
      <c r="M29" s="122" t="str">
        <f>IF(AND(Results!$O34&lt;&gt;"",Results!$Q34&lt;&gt;"",Results!$F34&lt;&gt;Results!$H34,$F29&lt;&gt;"",$G29&lt;&gt;""),Results!$Q34,"")</f>
        <v/>
      </c>
      <c r="N29" s="16" t="str">
        <f>IF(Planning!$I32=0,F29&amp;G29,"")</f>
        <v>FC AugsburgBorussia Dortmund</v>
      </c>
      <c r="O29" s="7">
        <f>IF(AND(Results!$Z$6&gt;0,$E29-1&gt;=Results!$Z$6*Calc!$F$26),0,IF(AND(F29&lt;&gt;"",G29&lt;&gt;"",F29&lt;&gt;G29,Results!$R34&lt;&gt;"",Results!$T34&lt;&gt;""),1,0))</f>
        <v>1</v>
      </c>
      <c r="P29" s="7" t="str">
        <f>IF(AND(O29&gt;0,Planning!$I32=0),V29&amp;Language!$E$90&amp;W29,"")</f>
        <v>50 - 40</v>
      </c>
      <c r="Q29" s="2" t="str">
        <f>IF(Planning!$I32=1,F29&amp;G29,"")</f>
        <v/>
      </c>
      <c r="R29" s="88" t="str">
        <f>IF(AND(O29&gt;0,Planning!$I32=1),V29&amp;Language!$E$90&amp;W29,"")</f>
        <v/>
      </c>
      <c r="S29" s="122" t="str">
        <f>IF(O29&gt;0,X29&amp;Language!$E$90&amp;Y29,"")</f>
        <v>2 - 0</v>
      </c>
      <c r="T29" s="290">
        <f>IF($H29="",0,Results!$U34)</f>
        <v>0</v>
      </c>
      <c r="U29" s="291">
        <f>IF($I29="",0,Results!$V34)</f>
        <v>0</v>
      </c>
      <c r="V29" s="270">
        <f t="shared" si="0"/>
        <v>50</v>
      </c>
      <c r="W29" s="291">
        <f t="shared" si="1"/>
        <v>40</v>
      </c>
      <c r="X29" s="270">
        <f>IF($O29=0,0,IF(Results!$R34="",0,Results!$R34))</f>
        <v>2</v>
      </c>
      <c r="Y29" s="291">
        <f>IF($O29=0,0,IF(Results!$T34="",0,Results!$T34))</f>
        <v>0</v>
      </c>
      <c r="Z29" s="270">
        <f>IF($O29=0,"",IF($X29&gt;$Y29,Settings!$C$4,IF($X29=$Y29,1,0)))</f>
        <v>2</v>
      </c>
      <c r="AA29" s="291">
        <f>IF($O29=0,"",IF($X29&lt;$Y29,Settings!$C$4,IF($X29=$Y29,1,0)))</f>
        <v>0</v>
      </c>
    </row>
    <row r="30" spans="2:27" x14ac:dyDescent="0.2">
      <c r="B30" s="2"/>
      <c r="C30" s="2"/>
      <c r="D30" s="2"/>
      <c r="E30" s="266">
        <v>27</v>
      </c>
      <c r="F30" s="171" t="str">
        <f>Planning!$Q33</f>
        <v>Borussia Mönchengladbach</v>
      </c>
      <c r="G30" s="348" t="str">
        <f>Planning!$S33</f>
        <v>Eintracht Frankfurt</v>
      </c>
      <c r="H30" s="344">
        <f>IF(AND(Results!$I35&lt;&gt;"",Results!$K35&lt;&gt;"",Results!$F35&lt;&gt;Results!$H35,$F30&lt;&gt;"",$G30&lt;&gt;""),Results!$I35,"")</f>
        <v>24</v>
      </c>
      <c r="I30" s="343">
        <f>IF(AND(Results!$I35&lt;&gt;"",Results!$K35&lt;&gt;"",Results!$F35&lt;&gt;Results!$H35,$F30&lt;&gt;"",$G30&lt;&gt;""),Results!$K35,"")</f>
        <v>26</v>
      </c>
      <c r="J30" s="344">
        <f>IF(AND(Results!$L35&lt;&gt;"",Results!$N35&lt;&gt;"",Results!$F35&lt;&gt;Results!$H35,$F30&lt;&gt;"",$G30&lt;&gt;""),Results!$L35,"")</f>
        <v>22</v>
      </c>
      <c r="K30" s="343">
        <f>IF(AND(Results!$L35&lt;&gt;"",Results!$N35&lt;&gt;"",Results!$F35&lt;&gt;Results!$H35,$F30&lt;&gt;"",$G30&lt;&gt;""),Results!$N35,"")</f>
        <v>25</v>
      </c>
      <c r="L30" s="344" t="str">
        <f>IF(AND(Results!$O35&lt;&gt;"",Results!$Q35&lt;&gt;"",Results!$F35&lt;&gt;Results!$H35,$F30&lt;&gt;"",$G30&lt;&gt;""),Results!$O35,"")</f>
        <v/>
      </c>
      <c r="M30" s="122" t="str">
        <f>IF(AND(Results!$O35&lt;&gt;"",Results!$Q35&lt;&gt;"",Results!$F35&lt;&gt;Results!$H35,$F30&lt;&gt;"",$G30&lt;&gt;""),Results!$Q35,"")</f>
        <v/>
      </c>
      <c r="N30" s="16" t="str">
        <f>IF(Planning!$I33=0,F30&amp;G30,"")</f>
        <v>Borussia MönchengladbachEintracht Frankfurt</v>
      </c>
      <c r="O30" s="7">
        <f>IF(AND(Results!$Z$6&gt;0,$E30-1&gt;=Results!$Z$6*Calc!$F$26),0,IF(AND(F30&lt;&gt;"",G30&lt;&gt;"",F30&lt;&gt;G30,Results!$R35&lt;&gt;"",Results!$T35&lt;&gt;""),1,0))</f>
        <v>1</v>
      </c>
      <c r="P30" s="7" t="str">
        <f>IF(AND(O30&gt;0,Planning!$I33=0),V30&amp;Language!$E$90&amp;W30,"")</f>
        <v>46 - 51</v>
      </c>
      <c r="Q30" s="2" t="str">
        <f>IF(Planning!$I33=1,F30&amp;G30,"")</f>
        <v/>
      </c>
      <c r="R30" s="88" t="str">
        <f>IF(AND(O30&gt;0,Planning!$I33=1),V30&amp;Language!$E$90&amp;W30,"")</f>
        <v/>
      </c>
      <c r="S30" s="122" t="str">
        <f>IF(O30&gt;0,X30&amp;Language!$E$90&amp;Y30,"")</f>
        <v>0 - 2</v>
      </c>
      <c r="T30" s="290">
        <f>IF($H30="",0,Results!$U35)</f>
        <v>0</v>
      </c>
      <c r="U30" s="291">
        <f>IF($I30="",0,Results!$V35)</f>
        <v>0</v>
      </c>
      <c r="V30" s="270">
        <f t="shared" si="0"/>
        <v>46</v>
      </c>
      <c r="W30" s="291">
        <f t="shared" si="1"/>
        <v>51</v>
      </c>
      <c r="X30" s="270">
        <f>IF($O30=0,0,IF(Results!$R35="",0,Results!$R35))</f>
        <v>0</v>
      </c>
      <c r="Y30" s="291">
        <f>IF($O30=0,0,IF(Results!$T35="",0,Results!$T35))</f>
        <v>2</v>
      </c>
      <c r="Z30" s="270">
        <f>IF($O30=0,"",IF($X30&gt;$Y30,Settings!$C$4,IF($X30=$Y30,1,0)))</f>
        <v>0</v>
      </c>
      <c r="AA30" s="291">
        <f>IF($O30=0,"",IF($X30&lt;$Y30,Settings!$C$4,IF($X30=$Y30,1,0)))</f>
        <v>2</v>
      </c>
    </row>
    <row r="31" spans="2:27" x14ac:dyDescent="0.2">
      <c r="B31" s="2"/>
      <c r="C31" s="2"/>
      <c r="D31" s="2"/>
      <c r="E31" s="266">
        <v>28</v>
      </c>
      <c r="F31" s="171" t="str">
        <f>Planning!$Q34</f>
        <v>SV Werder Bremen</v>
      </c>
      <c r="G31" s="348" t="str">
        <f>Planning!$S34</f>
        <v>1. FC Heidenheim 1846</v>
      </c>
      <c r="H31" s="344">
        <f>IF(AND(Results!$I36&lt;&gt;"",Results!$K36&lt;&gt;"",Results!$F36&lt;&gt;Results!$H36,$F31&lt;&gt;"",$G31&lt;&gt;""),Results!$I36,"")</f>
        <v>19</v>
      </c>
      <c r="I31" s="343">
        <f>IF(AND(Results!$I36&lt;&gt;"",Results!$K36&lt;&gt;"",Results!$F36&lt;&gt;Results!$H36,$F31&lt;&gt;"",$G31&lt;&gt;""),Results!$K36,"")</f>
        <v>25</v>
      </c>
      <c r="J31" s="344">
        <f>IF(AND(Results!$L36&lt;&gt;"",Results!$N36&lt;&gt;"",Results!$F36&lt;&gt;Results!$H36,$F31&lt;&gt;"",$G31&lt;&gt;""),Results!$L36,"")</f>
        <v>25</v>
      </c>
      <c r="K31" s="343">
        <f>IF(AND(Results!$L36&lt;&gt;"",Results!$N36&lt;&gt;"",Results!$F36&lt;&gt;Results!$H36,$F31&lt;&gt;"",$G31&lt;&gt;""),Results!$N36,"")</f>
        <v>23</v>
      </c>
      <c r="L31" s="344">
        <f>IF(AND(Results!$O36&lt;&gt;"",Results!$Q36&lt;&gt;"",Results!$F36&lt;&gt;Results!$H36,$F31&lt;&gt;"",$G31&lt;&gt;""),Results!$O36,"")</f>
        <v>15</v>
      </c>
      <c r="M31" s="122">
        <f>IF(AND(Results!$O36&lt;&gt;"",Results!$Q36&lt;&gt;"",Results!$F36&lt;&gt;Results!$H36,$F31&lt;&gt;"",$G31&lt;&gt;""),Results!$Q36,"")</f>
        <v>12</v>
      </c>
      <c r="N31" s="16" t="str">
        <f>IF(Planning!$I34=0,F31&amp;G31,"")</f>
        <v>SV Werder Bremen1. FC Heidenheim 1846</v>
      </c>
      <c r="O31" s="7">
        <f>IF(AND(Results!$Z$6&gt;0,$E31-1&gt;=Results!$Z$6*Calc!$F$26),0,IF(AND(F31&lt;&gt;"",G31&lt;&gt;"",F31&lt;&gt;G31,Results!$R36&lt;&gt;"",Results!$T36&lt;&gt;""),1,0))</f>
        <v>1</v>
      </c>
      <c r="P31" s="7" t="str">
        <f>IF(AND(O31&gt;0,Planning!$I34=0),V31&amp;Language!$E$90&amp;W31,"")</f>
        <v>59 - 60</v>
      </c>
      <c r="Q31" s="2" t="str">
        <f>IF(Planning!$I34=1,F31&amp;G31,"")</f>
        <v/>
      </c>
      <c r="R31" s="88" t="str">
        <f>IF(AND(O31&gt;0,Planning!$I34=1),V31&amp;Language!$E$90&amp;W31,"")</f>
        <v/>
      </c>
      <c r="S31" s="122" t="str">
        <f>IF(O31&gt;0,X31&amp;Language!$E$90&amp;Y31,"")</f>
        <v>2 - 1</v>
      </c>
      <c r="T31" s="290">
        <f>IF($H31="",0,Results!$U36)</f>
        <v>0</v>
      </c>
      <c r="U31" s="291">
        <f>IF($I31="",0,Results!$V36)</f>
        <v>0</v>
      </c>
      <c r="V31" s="270">
        <f t="shared" si="0"/>
        <v>59</v>
      </c>
      <c r="W31" s="291">
        <f t="shared" si="1"/>
        <v>60</v>
      </c>
      <c r="X31" s="270">
        <f>IF($O31=0,0,IF(Results!$R36="",0,Results!$R36))</f>
        <v>2</v>
      </c>
      <c r="Y31" s="291">
        <f>IF($O31=0,0,IF(Results!$T36="",0,Results!$T36))</f>
        <v>1</v>
      </c>
      <c r="Z31" s="270">
        <f>IF($O31=0,"",IF($X31&gt;$Y31,Settings!$C$4,IF($X31=$Y31,1,0)))</f>
        <v>2</v>
      </c>
      <c r="AA31" s="291">
        <f>IF($O31=0,"",IF($X31&lt;$Y31,Settings!$C$4,IF($X31=$Y31,1,0)))</f>
        <v>0</v>
      </c>
    </row>
    <row r="32" spans="2:27" x14ac:dyDescent="0.2">
      <c r="B32" s="2"/>
      <c r="C32" s="2"/>
      <c r="D32" s="2"/>
      <c r="E32" s="266">
        <v>29</v>
      </c>
      <c r="F32" s="171" t="str">
        <f>Planning!$Q35</f>
        <v>SC Freiburg</v>
      </c>
      <c r="G32" s="348" t="str">
        <f>Planning!$S35</f>
        <v>TSG Hoffenheim</v>
      </c>
      <c r="H32" s="344">
        <f>IF(AND(Results!$I37&lt;&gt;"",Results!$K37&lt;&gt;"",Results!$F37&lt;&gt;Results!$H37,$F32&lt;&gt;"",$G32&lt;&gt;""),Results!$I37,"")</f>
        <v>25</v>
      </c>
      <c r="I32" s="343">
        <f>IF(AND(Results!$I37&lt;&gt;"",Results!$K37&lt;&gt;"",Results!$F37&lt;&gt;Results!$H37,$F32&lt;&gt;"",$G32&lt;&gt;""),Results!$K37,"")</f>
        <v>19</v>
      </c>
      <c r="J32" s="344">
        <f>IF(AND(Results!$L37&lt;&gt;"",Results!$N37&lt;&gt;"",Results!$F37&lt;&gt;Results!$H37,$F32&lt;&gt;"",$G32&lt;&gt;""),Results!$L37,"")</f>
        <v>25</v>
      </c>
      <c r="K32" s="343">
        <f>IF(AND(Results!$L37&lt;&gt;"",Results!$N37&lt;&gt;"",Results!$F37&lt;&gt;Results!$H37,$F32&lt;&gt;"",$G32&lt;&gt;""),Results!$N37,"")</f>
        <v>21</v>
      </c>
      <c r="L32" s="344" t="str">
        <f>IF(AND(Results!$O37&lt;&gt;"",Results!$Q37&lt;&gt;"",Results!$F37&lt;&gt;Results!$H37,$F32&lt;&gt;"",$G32&lt;&gt;""),Results!$O37,"")</f>
        <v/>
      </c>
      <c r="M32" s="122" t="str">
        <f>IF(AND(Results!$O37&lt;&gt;"",Results!$Q37&lt;&gt;"",Results!$F37&lt;&gt;Results!$H37,$F32&lt;&gt;"",$G32&lt;&gt;""),Results!$Q37,"")</f>
        <v/>
      </c>
      <c r="N32" s="16" t="str">
        <f>IF(Planning!$I35=0,F32&amp;G32,"")</f>
        <v>SC FreiburgTSG Hoffenheim</v>
      </c>
      <c r="O32" s="7">
        <f>IF(AND(Results!$Z$6&gt;0,$E32-1&gt;=Results!$Z$6*Calc!$F$26),0,IF(AND(F32&lt;&gt;"",G32&lt;&gt;"",F32&lt;&gt;G32,Results!$R37&lt;&gt;"",Results!$T37&lt;&gt;""),1,0))</f>
        <v>1</v>
      </c>
      <c r="P32" s="7" t="str">
        <f>IF(AND(O32&gt;0,Planning!$I35=0),V32&amp;Language!$E$90&amp;W32,"")</f>
        <v>50 - 40</v>
      </c>
      <c r="Q32" s="2" t="str">
        <f>IF(Planning!$I35=1,F32&amp;G32,"")</f>
        <v/>
      </c>
      <c r="R32" s="88" t="str">
        <f>IF(AND(O32&gt;0,Planning!$I35=1),V32&amp;Language!$E$90&amp;W32,"")</f>
        <v/>
      </c>
      <c r="S32" s="122" t="str">
        <f>IF(O32&gt;0,X32&amp;Language!$E$90&amp;Y32,"")</f>
        <v>2 - 0</v>
      </c>
      <c r="T32" s="290">
        <f>IF($H32="",0,Results!$U37)</f>
        <v>0</v>
      </c>
      <c r="U32" s="291">
        <f>IF($I32="",0,Results!$V37)</f>
        <v>0</v>
      </c>
      <c r="V32" s="270">
        <f t="shared" si="0"/>
        <v>50</v>
      </c>
      <c r="W32" s="291">
        <f t="shared" si="1"/>
        <v>40</v>
      </c>
      <c r="X32" s="270">
        <f>IF($O32=0,0,IF(Results!$R37="",0,Results!$R37))</f>
        <v>2</v>
      </c>
      <c r="Y32" s="291">
        <f>IF($O32=0,0,IF(Results!$T37="",0,Results!$T37))</f>
        <v>0</v>
      </c>
      <c r="Z32" s="270">
        <f>IF($O32=0,"",IF($X32&gt;$Y32,Settings!$C$4,IF($X32=$Y32,1,0)))</f>
        <v>2</v>
      </c>
      <c r="AA32" s="291">
        <f>IF($O32=0,"",IF($X32&lt;$Y32,Settings!$C$4,IF($X32=$Y32,1,0)))</f>
        <v>0</v>
      </c>
    </row>
    <row r="33" spans="2:27" x14ac:dyDescent="0.2">
      <c r="B33" s="2"/>
      <c r="C33" s="2"/>
      <c r="D33" s="2"/>
      <c r="E33" s="266">
        <v>30</v>
      </c>
      <c r="F33" s="171" t="str">
        <f>Planning!$Q36</f>
        <v>VfB Stuttgart</v>
      </c>
      <c r="G33" s="348" t="str">
        <f>Planning!$S36</f>
        <v>RB Leipzig</v>
      </c>
      <c r="H33" s="344">
        <f>IF(AND(Results!$I38&lt;&gt;"",Results!$K38&lt;&gt;"",Results!$F38&lt;&gt;Results!$H38,$F33&lt;&gt;"",$G33&lt;&gt;""),Results!$I38,"")</f>
        <v>14</v>
      </c>
      <c r="I33" s="343">
        <f>IF(AND(Results!$I38&lt;&gt;"",Results!$K38&lt;&gt;"",Results!$F38&lt;&gt;Results!$H38,$F33&lt;&gt;"",$G33&lt;&gt;""),Results!$K38,"")</f>
        <v>25</v>
      </c>
      <c r="J33" s="344">
        <f>IF(AND(Results!$L38&lt;&gt;"",Results!$N38&lt;&gt;"",Results!$F38&lt;&gt;Results!$H38,$F33&lt;&gt;"",$G33&lt;&gt;""),Results!$L38,"")</f>
        <v>22</v>
      </c>
      <c r="K33" s="343">
        <f>IF(AND(Results!$L38&lt;&gt;"",Results!$N38&lt;&gt;"",Results!$F38&lt;&gt;Results!$H38,$F33&lt;&gt;"",$G33&lt;&gt;""),Results!$N38,"")</f>
        <v>25</v>
      </c>
      <c r="L33" s="344" t="str">
        <f>IF(AND(Results!$O38&lt;&gt;"",Results!$Q38&lt;&gt;"",Results!$F38&lt;&gt;Results!$H38,$F33&lt;&gt;"",$G33&lt;&gt;""),Results!$O38,"")</f>
        <v/>
      </c>
      <c r="M33" s="122" t="str">
        <f>IF(AND(Results!$O38&lt;&gt;"",Results!$Q38&lt;&gt;"",Results!$F38&lt;&gt;Results!$H38,$F33&lt;&gt;"",$G33&lt;&gt;""),Results!$Q38,"")</f>
        <v/>
      </c>
      <c r="N33" s="16" t="str">
        <f>IF(Planning!$I36=0,F33&amp;G33,"")</f>
        <v>VfB StuttgartRB Leipzig</v>
      </c>
      <c r="O33" s="7">
        <f>IF(AND(Results!$Z$6&gt;0,$E33-1&gt;=Results!$Z$6*Calc!$F$26),0,IF(AND(F33&lt;&gt;"",G33&lt;&gt;"",F33&lt;&gt;G33,Results!$R38&lt;&gt;"",Results!$T38&lt;&gt;""),1,0))</f>
        <v>1</v>
      </c>
      <c r="P33" s="7" t="str">
        <f>IF(AND(O33&gt;0,Planning!$I36=0),V33&amp;Language!$E$90&amp;W33,"")</f>
        <v>36 - 50</v>
      </c>
      <c r="Q33" s="2" t="str">
        <f>IF(Planning!$I36=1,F33&amp;G33,"")</f>
        <v/>
      </c>
      <c r="R33" s="88" t="str">
        <f>IF(AND(O33&gt;0,Planning!$I36=1),V33&amp;Language!$E$90&amp;W33,"")</f>
        <v/>
      </c>
      <c r="S33" s="122" t="str">
        <f>IF(O33&gt;0,X33&amp;Language!$E$90&amp;Y33,"")</f>
        <v>0 - 2</v>
      </c>
      <c r="T33" s="290">
        <f>IF($H33="",0,Results!$U38)</f>
        <v>0</v>
      </c>
      <c r="U33" s="291">
        <f>IF($I33="",0,Results!$V38)</f>
        <v>0</v>
      </c>
      <c r="V33" s="270">
        <f t="shared" si="0"/>
        <v>36</v>
      </c>
      <c r="W33" s="291">
        <f t="shared" si="1"/>
        <v>50</v>
      </c>
      <c r="X33" s="270">
        <f>IF($O33=0,0,IF(Results!$R38="",0,Results!$R38))</f>
        <v>0</v>
      </c>
      <c r="Y33" s="291">
        <f>IF($O33=0,0,IF(Results!$T38="",0,Results!$T38))</f>
        <v>2</v>
      </c>
      <c r="Z33" s="270">
        <f>IF($O33=0,"",IF($X33&gt;$Y33,Settings!$C$4,IF($X33=$Y33,1,0)))</f>
        <v>0</v>
      </c>
      <c r="AA33" s="291">
        <f>IF($O33=0,"",IF($X33&lt;$Y33,Settings!$C$4,IF($X33=$Y33,1,0)))</f>
        <v>2</v>
      </c>
    </row>
    <row r="34" spans="2:27" x14ac:dyDescent="0.2">
      <c r="B34" s="2"/>
      <c r="C34" s="2"/>
      <c r="D34" s="2"/>
      <c r="E34" s="266">
        <v>31</v>
      </c>
      <c r="F34" s="171" t="str">
        <f>Planning!$Q37</f>
        <v>Hamburger SV</v>
      </c>
      <c r="G34" s="348" t="str">
        <f>Planning!$S37</f>
        <v>VfL Wolfsburg</v>
      </c>
      <c r="H34" s="344">
        <f>IF(AND(Results!$I39&lt;&gt;"",Results!$K39&lt;&gt;"",Results!$F39&lt;&gt;Results!$H39,$F34&lt;&gt;"",$G34&lt;&gt;""),Results!$I39,"")</f>
        <v>25</v>
      </c>
      <c r="I34" s="343">
        <f>IF(AND(Results!$I39&lt;&gt;"",Results!$K39&lt;&gt;"",Results!$F39&lt;&gt;Results!$H39,$F34&lt;&gt;"",$G34&lt;&gt;""),Results!$K39,"")</f>
        <v>22</v>
      </c>
      <c r="J34" s="344">
        <f>IF(AND(Results!$L39&lt;&gt;"",Results!$N39&lt;&gt;"",Results!$F39&lt;&gt;Results!$H39,$F34&lt;&gt;"",$G34&lt;&gt;""),Results!$L39,"")</f>
        <v>25</v>
      </c>
      <c r="K34" s="343">
        <f>IF(AND(Results!$L39&lt;&gt;"",Results!$N39&lt;&gt;"",Results!$F39&lt;&gt;Results!$H39,$F34&lt;&gt;"",$G34&lt;&gt;""),Results!$N39,"")</f>
        <v>21</v>
      </c>
      <c r="L34" s="344" t="str">
        <f>IF(AND(Results!$O39&lt;&gt;"",Results!$Q39&lt;&gt;"",Results!$F39&lt;&gt;Results!$H39,$F34&lt;&gt;"",$G34&lt;&gt;""),Results!$O39,"")</f>
        <v/>
      </c>
      <c r="M34" s="122" t="str">
        <f>IF(AND(Results!$O39&lt;&gt;"",Results!$Q39&lt;&gt;"",Results!$F39&lt;&gt;Results!$H39,$F34&lt;&gt;"",$G34&lt;&gt;""),Results!$Q39,"")</f>
        <v/>
      </c>
      <c r="N34" s="16" t="str">
        <f>IF(Planning!$I37=0,F34&amp;G34,"")</f>
        <v>Hamburger SVVfL Wolfsburg</v>
      </c>
      <c r="O34" s="7">
        <f>IF(AND(Results!$Z$6&gt;0,$E34-1&gt;=Results!$Z$6*Calc!$F$26),0,IF(AND(F34&lt;&gt;"",G34&lt;&gt;"",F34&lt;&gt;G34,Results!$R39&lt;&gt;"",Results!$T39&lt;&gt;""),1,0))</f>
        <v>1</v>
      </c>
      <c r="P34" s="7" t="str">
        <f>IF(AND(O34&gt;0,Planning!$I37=0),V34&amp;Language!$E$90&amp;W34,"")</f>
        <v>50 - 43</v>
      </c>
      <c r="Q34" s="2" t="str">
        <f>IF(Planning!$I37=1,F34&amp;G34,"")</f>
        <v/>
      </c>
      <c r="R34" s="88" t="str">
        <f>IF(AND(O34&gt;0,Planning!$I37=1),V34&amp;Language!$E$90&amp;W34,"")</f>
        <v/>
      </c>
      <c r="S34" s="122" t="str">
        <f>IF(O34&gt;0,X34&amp;Language!$E$90&amp;Y34,"")</f>
        <v>2 - 0</v>
      </c>
      <c r="T34" s="290">
        <f>IF($H34="",0,Results!$U39)</f>
        <v>0</v>
      </c>
      <c r="U34" s="291">
        <f>IF($I34="",0,Results!$V39)</f>
        <v>0</v>
      </c>
      <c r="V34" s="270">
        <f t="shared" si="0"/>
        <v>50</v>
      </c>
      <c r="W34" s="291">
        <f t="shared" si="1"/>
        <v>43</v>
      </c>
      <c r="X34" s="270">
        <f>IF($O34=0,0,IF(Results!$R39="",0,Results!$R39))</f>
        <v>2</v>
      </c>
      <c r="Y34" s="291">
        <f>IF($O34=0,0,IF(Results!$T39="",0,Results!$T39))</f>
        <v>0</v>
      </c>
      <c r="Z34" s="270">
        <f>IF($O34=0,"",IF($X34&gt;$Y34,Settings!$C$4,IF($X34=$Y34,1,0)))</f>
        <v>2</v>
      </c>
      <c r="AA34" s="291">
        <f>IF($O34=0,"",IF($X34&lt;$Y34,Settings!$C$4,IF($X34=$Y34,1,0)))</f>
        <v>0</v>
      </c>
    </row>
    <row r="35" spans="2:27" x14ac:dyDescent="0.2">
      <c r="B35" s="2"/>
      <c r="C35" s="2"/>
      <c r="D35" s="2"/>
      <c r="E35" s="266">
        <v>32</v>
      </c>
      <c r="F35" s="171" t="str">
        <f>Planning!$Q38</f>
        <v>1. FC Köln</v>
      </c>
      <c r="G35" s="348" t="str">
        <f>Planning!$S38</f>
        <v>FC St. Pauli</v>
      </c>
      <c r="H35" s="344">
        <f>IF(AND(Results!$I40&lt;&gt;"",Results!$K40&lt;&gt;"",Results!$F40&lt;&gt;Results!$H40,$F35&lt;&gt;"",$G35&lt;&gt;""),Results!$I40,"")</f>
        <v>17</v>
      </c>
      <c r="I35" s="343">
        <f>IF(AND(Results!$I40&lt;&gt;"",Results!$K40&lt;&gt;"",Results!$F40&lt;&gt;Results!$H40,$F35&lt;&gt;"",$G35&lt;&gt;""),Results!$K40,"")</f>
        <v>25</v>
      </c>
      <c r="J35" s="344">
        <f>IF(AND(Results!$L40&lt;&gt;"",Results!$N40&lt;&gt;"",Results!$F40&lt;&gt;Results!$H40,$F35&lt;&gt;"",$G35&lt;&gt;""),Results!$L40,"")</f>
        <v>12</v>
      </c>
      <c r="K35" s="343">
        <f>IF(AND(Results!$L40&lt;&gt;"",Results!$N40&lt;&gt;"",Results!$F40&lt;&gt;Results!$H40,$F35&lt;&gt;"",$G35&lt;&gt;""),Results!$N40,"")</f>
        <v>25</v>
      </c>
      <c r="L35" s="344" t="str">
        <f>IF(AND(Results!$O40&lt;&gt;"",Results!$Q40&lt;&gt;"",Results!$F40&lt;&gt;Results!$H40,$F35&lt;&gt;"",$G35&lt;&gt;""),Results!$O40,"")</f>
        <v/>
      </c>
      <c r="M35" s="122" t="str">
        <f>IF(AND(Results!$O40&lt;&gt;"",Results!$Q40&lt;&gt;"",Results!$F40&lt;&gt;Results!$H40,$F35&lt;&gt;"",$G35&lt;&gt;""),Results!$Q40,"")</f>
        <v/>
      </c>
      <c r="N35" s="16" t="str">
        <f>IF(Planning!$I38=0,F35&amp;G35,"")</f>
        <v>1. FC KölnFC St. Pauli</v>
      </c>
      <c r="O35" s="7">
        <f>IF(AND(Results!$Z$6&gt;0,$E35-1&gt;=Results!$Z$6*Calc!$F$26),0,IF(AND(F35&lt;&gt;"",G35&lt;&gt;"",F35&lt;&gt;G35,Results!$R40&lt;&gt;"",Results!$T40&lt;&gt;""),1,0))</f>
        <v>1</v>
      </c>
      <c r="P35" s="7" t="str">
        <f>IF(AND(O35&gt;0,Planning!$I38=0),V35&amp;Language!$E$90&amp;W35,"")</f>
        <v>29 - 50</v>
      </c>
      <c r="Q35" s="2" t="str">
        <f>IF(Planning!$I38=1,F35&amp;G35,"")</f>
        <v/>
      </c>
      <c r="R35" s="88" t="str">
        <f>IF(AND(O35&gt;0,Planning!$I38=1),V35&amp;Language!$E$90&amp;W35,"")</f>
        <v/>
      </c>
      <c r="S35" s="122" t="str">
        <f>IF(O35&gt;0,X35&amp;Language!$E$90&amp;Y35,"")</f>
        <v>0 - 2</v>
      </c>
      <c r="T35" s="290">
        <f>IF($H35="",0,Results!$U40)</f>
        <v>0</v>
      </c>
      <c r="U35" s="291">
        <f>IF($I35="",0,Results!$V40)</f>
        <v>0</v>
      </c>
      <c r="V35" s="270">
        <f t="shared" si="0"/>
        <v>29</v>
      </c>
      <c r="W35" s="291">
        <f t="shared" si="1"/>
        <v>50</v>
      </c>
      <c r="X35" s="270">
        <f>IF($O35=0,0,IF(Results!$R40="",0,Results!$R40))</f>
        <v>0</v>
      </c>
      <c r="Y35" s="291">
        <f>IF($O35=0,0,IF(Results!$T40="",0,Results!$T40))</f>
        <v>2</v>
      </c>
      <c r="Z35" s="270">
        <f>IF($O35=0,"",IF($X35&gt;$Y35,Settings!$C$4,IF($X35=$Y35,1,0)))</f>
        <v>0</v>
      </c>
      <c r="AA35" s="291">
        <f>IF($O35=0,"",IF($X35&lt;$Y35,Settings!$C$4,IF($X35=$Y35,1,0)))</f>
        <v>2</v>
      </c>
    </row>
    <row r="36" spans="2:27" x14ac:dyDescent="0.2">
      <c r="B36" s="2"/>
      <c r="C36" s="2"/>
      <c r="D36" s="2"/>
      <c r="E36" s="266">
        <v>33</v>
      </c>
      <c r="F36" s="171" t="str">
        <f>Planning!$Q39</f>
        <v>FC Bayern München</v>
      </c>
      <c r="G36" s="348" t="str">
        <f>Planning!$S39</f>
        <v>1. FC Union Berlin</v>
      </c>
      <c r="H36" s="344">
        <f>IF(AND(Results!$I41&lt;&gt;"",Results!$K41&lt;&gt;"",Results!$F41&lt;&gt;Results!$H41,$F36&lt;&gt;"",$G36&lt;&gt;""),Results!$I41,"")</f>
        <v>21</v>
      </c>
      <c r="I36" s="343">
        <f>IF(AND(Results!$I41&lt;&gt;"",Results!$K41&lt;&gt;"",Results!$F41&lt;&gt;Results!$H41,$F36&lt;&gt;"",$G36&lt;&gt;""),Results!$K41,"")</f>
        <v>25</v>
      </c>
      <c r="J36" s="344">
        <f>IF(AND(Results!$L41&lt;&gt;"",Results!$N41&lt;&gt;"",Results!$F41&lt;&gt;Results!$H41,$F36&lt;&gt;"",$G36&lt;&gt;""),Results!$L41,"")</f>
        <v>25</v>
      </c>
      <c r="K36" s="343">
        <f>IF(AND(Results!$L41&lt;&gt;"",Results!$N41&lt;&gt;"",Results!$F41&lt;&gt;Results!$H41,$F36&lt;&gt;"",$G36&lt;&gt;""),Results!$N41,"")</f>
        <v>23</v>
      </c>
      <c r="L36" s="344">
        <f>IF(AND(Results!$O41&lt;&gt;"",Results!$Q41&lt;&gt;"",Results!$F41&lt;&gt;Results!$H41,$F36&lt;&gt;"",$G36&lt;&gt;""),Results!$O41,"")</f>
        <v>15</v>
      </c>
      <c r="M36" s="122">
        <f>IF(AND(Results!$O41&lt;&gt;"",Results!$Q41&lt;&gt;"",Results!$F41&lt;&gt;Results!$H41,$F36&lt;&gt;"",$G36&lt;&gt;""),Results!$Q41,"")</f>
        <v>12</v>
      </c>
      <c r="N36" s="16" t="str">
        <f>IF(Planning!$I39=0,F36&amp;G36,"")</f>
        <v>FC Bayern München1. FC Union Berlin</v>
      </c>
      <c r="O36" s="7">
        <f>IF(AND(Results!$Z$6&gt;0,$E36-1&gt;=Results!$Z$6*Calc!$F$26),0,IF(AND(F36&lt;&gt;"",G36&lt;&gt;"",F36&lt;&gt;G36,Results!$R41&lt;&gt;"",Results!$T41&lt;&gt;""),1,0))</f>
        <v>1</v>
      </c>
      <c r="P36" s="7" t="str">
        <f>IF(AND(O36&gt;0,Planning!$I39=0),V36&amp;Language!$E$90&amp;W36,"")</f>
        <v>61 - 60</v>
      </c>
      <c r="Q36" s="2" t="str">
        <f>IF(Planning!$I39=1,F36&amp;G36,"")</f>
        <v/>
      </c>
      <c r="R36" s="88" t="str">
        <f>IF(AND(O36&gt;0,Planning!$I39=1),V36&amp;Language!$E$90&amp;W36,"")</f>
        <v/>
      </c>
      <c r="S36" s="122" t="str">
        <f>IF(O36&gt;0,X36&amp;Language!$E$90&amp;Y36,"")</f>
        <v>2 - 1</v>
      </c>
      <c r="T36" s="290">
        <f>IF($H36="",0,Results!$U41)</f>
        <v>0</v>
      </c>
      <c r="U36" s="291">
        <f>IF($I36="",0,Results!$V41)</f>
        <v>0</v>
      </c>
      <c r="V36" s="270">
        <f t="shared" si="0"/>
        <v>61</v>
      </c>
      <c r="W36" s="291">
        <f t="shared" si="1"/>
        <v>60</v>
      </c>
      <c r="X36" s="270">
        <f>IF($O36=0,0,IF(Results!$R41="",0,Results!$R41))</f>
        <v>2</v>
      </c>
      <c r="Y36" s="291">
        <f>IF($O36=0,0,IF(Results!$T41="",0,Results!$T41))</f>
        <v>1</v>
      </c>
      <c r="Z36" s="270">
        <f>IF($O36=0,"",IF($X36&gt;$Y36,Settings!$C$4,IF($X36=$Y36,1,0)))</f>
        <v>2</v>
      </c>
      <c r="AA36" s="291">
        <f>IF($O36=0,"",IF($X36&lt;$Y36,Settings!$C$4,IF($X36=$Y36,1,0)))</f>
        <v>0</v>
      </c>
    </row>
    <row r="37" spans="2:27" x14ac:dyDescent="0.2">
      <c r="B37" s="2"/>
      <c r="C37" s="2"/>
      <c r="D37" s="2"/>
      <c r="E37" s="266">
        <v>34</v>
      </c>
      <c r="F37" s="171" t="str">
        <f>Planning!$Q40</f>
        <v>1. FSV Mainz 05</v>
      </c>
      <c r="G37" s="348" t="str">
        <f>Planning!$S40</f>
        <v>FC Augsburg</v>
      </c>
      <c r="H37" s="344">
        <f>IF(AND(Results!$I42&lt;&gt;"",Results!$K42&lt;&gt;"",Results!$F42&lt;&gt;Results!$H42,$F37&lt;&gt;"",$G37&lt;&gt;""),Results!$I42,"")</f>
        <v>23</v>
      </c>
      <c r="I37" s="343">
        <f>IF(AND(Results!$I42&lt;&gt;"",Results!$K42&lt;&gt;"",Results!$F42&lt;&gt;Results!$H42,$F37&lt;&gt;"",$G37&lt;&gt;""),Results!$K42,"")</f>
        <v>25</v>
      </c>
      <c r="J37" s="344">
        <f>IF(AND(Results!$L42&lt;&gt;"",Results!$N42&lt;&gt;"",Results!$F42&lt;&gt;Results!$H42,$F37&lt;&gt;"",$G37&lt;&gt;""),Results!$L42,"")</f>
        <v>22</v>
      </c>
      <c r="K37" s="343">
        <f>IF(AND(Results!$L42&lt;&gt;"",Results!$N42&lt;&gt;"",Results!$F42&lt;&gt;Results!$H42,$F37&lt;&gt;"",$G37&lt;&gt;""),Results!$N42,"")</f>
        <v>25</v>
      </c>
      <c r="L37" s="344" t="str">
        <f>IF(AND(Results!$O42&lt;&gt;"",Results!$Q42&lt;&gt;"",Results!$F42&lt;&gt;Results!$H42,$F37&lt;&gt;"",$G37&lt;&gt;""),Results!$O42,"")</f>
        <v/>
      </c>
      <c r="M37" s="122" t="str">
        <f>IF(AND(Results!$O42&lt;&gt;"",Results!$Q42&lt;&gt;"",Results!$F42&lt;&gt;Results!$H42,$F37&lt;&gt;"",$G37&lt;&gt;""),Results!$Q42,"")</f>
        <v/>
      </c>
      <c r="N37" s="16" t="str">
        <f>IF(Planning!$I40=0,F37&amp;G37,"")</f>
        <v>1. FSV Mainz 05FC Augsburg</v>
      </c>
      <c r="O37" s="7">
        <f>IF(AND(Results!$Z$6&gt;0,$E37-1&gt;=Results!$Z$6*Calc!$F$26),0,IF(AND(F37&lt;&gt;"",G37&lt;&gt;"",F37&lt;&gt;G37,Results!$R42&lt;&gt;"",Results!$T42&lt;&gt;""),1,0))</f>
        <v>1</v>
      </c>
      <c r="P37" s="7" t="str">
        <f>IF(AND(O37&gt;0,Planning!$I40=0),V37&amp;Language!$E$90&amp;W37,"")</f>
        <v>45 - 50</v>
      </c>
      <c r="Q37" s="2" t="str">
        <f>IF(Planning!$I40=1,F37&amp;G37,"")</f>
        <v/>
      </c>
      <c r="R37" s="88" t="str">
        <f>IF(AND(O37&gt;0,Planning!$I40=1),V37&amp;Language!$E$90&amp;W37,"")</f>
        <v/>
      </c>
      <c r="S37" s="122" t="str">
        <f>IF(O37&gt;0,X37&amp;Language!$E$90&amp;Y37,"")</f>
        <v>0 - 2</v>
      </c>
      <c r="T37" s="290">
        <f>IF($H37="",0,Results!$U42)</f>
        <v>0</v>
      </c>
      <c r="U37" s="291">
        <f>IF($I37="",0,Results!$V42)</f>
        <v>0</v>
      </c>
      <c r="V37" s="270">
        <f t="shared" si="0"/>
        <v>45</v>
      </c>
      <c r="W37" s="291">
        <f t="shared" si="1"/>
        <v>50</v>
      </c>
      <c r="X37" s="270">
        <f>IF($O37=0,0,IF(Results!$R42="",0,Results!$R42))</f>
        <v>0</v>
      </c>
      <c r="Y37" s="291">
        <f>IF($O37=0,0,IF(Results!$T42="",0,Results!$T42))</f>
        <v>2</v>
      </c>
      <c r="Z37" s="270">
        <f>IF($O37=0,"",IF($X37&gt;$Y37,Settings!$C$4,IF($X37=$Y37,1,0)))</f>
        <v>0</v>
      </c>
      <c r="AA37" s="291">
        <f>IF($O37=0,"",IF($X37&lt;$Y37,Settings!$C$4,IF($X37=$Y37,1,0)))</f>
        <v>2</v>
      </c>
    </row>
    <row r="38" spans="2:27" x14ac:dyDescent="0.2">
      <c r="B38" s="2"/>
      <c r="C38" s="2"/>
      <c r="D38" s="2"/>
      <c r="E38" s="266">
        <v>35</v>
      </c>
      <c r="F38" s="171" t="str">
        <f>Planning!$Q41</f>
        <v>Eintracht Frankfurt</v>
      </c>
      <c r="G38" s="348" t="str">
        <f>Planning!$S41</f>
        <v>Bayer 04 Leverkusen</v>
      </c>
      <c r="H38" s="344">
        <f>IF(AND(Results!$I43&lt;&gt;"",Results!$K43&lt;&gt;"",Results!$F43&lt;&gt;Results!$H43,$F38&lt;&gt;"",$G38&lt;&gt;""),Results!$I43,"")</f>
        <v>21</v>
      </c>
      <c r="I38" s="343">
        <f>IF(AND(Results!$I43&lt;&gt;"",Results!$K43&lt;&gt;"",Results!$F43&lt;&gt;Results!$H43,$F38&lt;&gt;"",$G38&lt;&gt;""),Results!$K43,"")</f>
        <v>25</v>
      </c>
      <c r="J38" s="344">
        <f>IF(AND(Results!$L43&lt;&gt;"",Results!$N43&lt;&gt;"",Results!$F43&lt;&gt;Results!$H43,$F38&lt;&gt;"",$G38&lt;&gt;""),Results!$L43,"")</f>
        <v>19</v>
      </c>
      <c r="K38" s="343">
        <f>IF(AND(Results!$L43&lt;&gt;"",Results!$N43&lt;&gt;"",Results!$F43&lt;&gt;Results!$H43,$F38&lt;&gt;"",$G38&lt;&gt;""),Results!$N43,"")</f>
        <v>25</v>
      </c>
      <c r="L38" s="344" t="str">
        <f>IF(AND(Results!$O43&lt;&gt;"",Results!$Q43&lt;&gt;"",Results!$F43&lt;&gt;Results!$H43,$F38&lt;&gt;"",$G38&lt;&gt;""),Results!$O43,"")</f>
        <v/>
      </c>
      <c r="M38" s="122" t="str">
        <f>IF(AND(Results!$O43&lt;&gt;"",Results!$Q43&lt;&gt;"",Results!$F43&lt;&gt;Results!$H43,$F38&lt;&gt;"",$G38&lt;&gt;""),Results!$Q43,"")</f>
        <v/>
      </c>
      <c r="N38" s="16" t="str">
        <f>IF(Planning!$I41=0,F38&amp;G38,"")</f>
        <v>Eintracht FrankfurtBayer 04 Leverkusen</v>
      </c>
      <c r="O38" s="7">
        <f>IF(AND(Results!$Z$6&gt;0,$E38-1&gt;=Results!$Z$6*Calc!$F$26),0,IF(AND(F38&lt;&gt;"",G38&lt;&gt;"",F38&lt;&gt;G38,Results!$R43&lt;&gt;"",Results!$T43&lt;&gt;""),1,0))</f>
        <v>1</v>
      </c>
      <c r="P38" s="7" t="str">
        <f>IF(AND(O38&gt;0,Planning!$I41=0),V38&amp;Language!$E$90&amp;W38,"")</f>
        <v>40 - 50</v>
      </c>
      <c r="Q38" s="2" t="str">
        <f>IF(Planning!$I41=1,F38&amp;G38,"")</f>
        <v/>
      </c>
      <c r="R38" s="88" t="str">
        <f>IF(AND(O38&gt;0,Planning!$I41=1),V38&amp;Language!$E$90&amp;W38,"")</f>
        <v/>
      </c>
      <c r="S38" s="122" t="str">
        <f>IF(O38&gt;0,X38&amp;Language!$E$90&amp;Y38,"")</f>
        <v>0 - 2</v>
      </c>
      <c r="T38" s="290">
        <f>IF($H38="",0,Results!$U43)</f>
        <v>0</v>
      </c>
      <c r="U38" s="291">
        <f>IF($I38="",0,Results!$V43)</f>
        <v>0</v>
      </c>
      <c r="V38" s="270">
        <f t="shared" si="0"/>
        <v>40</v>
      </c>
      <c r="W38" s="291">
        <f t="shared" si="1"/>
        <v>50</v>
      </c>
      <c r="X38" s="270">
        <f>IF($O38=0,0,IF(Results!$R43="",0,Results!$R43))</f>
        <v>0</v>
      </c>
      <c r="Y38" s="291">
        <f>IF($O38=0,0,IF(Results!$T43="",0,Results!$T43))</f>
        <v>2</v>
      </c>
      <c r="Z38" s="270">
        <f>IF($O38=0,"",IF($X38&gt;$Y38,Settings!$C$4,IF($X38=$Y38,1,0)))</f>
        <v>0</v>
      </c>
      <c r="AA38" s="291">
        <f>IF($O38=0,"",IF($X38&lt;$Y38,Settings!$C$4,IF($X38=$Y38,1,0)))</f>
        <v>2</v>
      </c>
    </row>
    <row r="39" spans="2:27" x14ac:dyDescent="0.2">
      <c r="B39" s="2"/>
      <c r="C39" s="2"/>
      <c r="D39" s="2"/>
      <c r="E39" s="266">
        <v>36</v>
      </c>
      <c r="F39" s="171" t="str">
        <f>Planning!$Q42</f>
        <v>Borussia Dortmund</v>
      </c>
      <c r="G39" s="348" t="str">
        <f>Planning!$S42</f>
        <v>Borussia Mönchengladbach</v>
      </c>
      <c r="H39" s="344">
        <f>IF(AND(Results!$I44&lt;&gt;"",Results!$K44&lt;&gt;"",Results!$F44&lt;&gt;Results!$H44,$F39&lt;&gt;"",$G39&lt;&gt;""),Results!$I44,"")</f>
        <v>25</v>
      </c>
      <c r="I39" s="343">
        <f>IF(AND(Results!$I44&lt;&gt;"",Results!$K44&lt;&gt;"",Results!$F44&lt;&gt;Results!$H44,$F39&lt;&gt;"",$G39&lt;&gt;""),Results!$K44,"")</f>
        <v>20</v>
      </c>
      <c r="J39" s="344">
        <f>IF(AND(Results!$L44&lt;&gt;"",Results!$N44&lt;&gt;"",Results!$F44&lt;&gt;Results!$H44,$F39&lt;&gt;"",$G39&lt;&gt;""),Results!$L44,"")</f>
        <v>25</v>
      </c>
      <c r="K39" s="343">
        <f>IF(AND(Results!$L44&lt;&gt;"",Results!$N44&lt;&gt;"",Results!$F44&lt;&gt;Results!$H44,$F39&lt;&gt;"",$G39&lt;&gt;""),Results!$N44,"")</f>
        <v>19</v>
      </c>
      <c r="L39" s="344" t="str">
        <f>IF(AND(Results!$O44&lt;&gt;"",Results!$Q44&lt;&gt;"",Results!$F44&lt;&gt;Results!$H44,$F39&lt;&gt;"",$G39&lt;&gt;""),Results!$O44,"")</f>
        <v/>
      </c>
      <c r="M39" s="122" t="str">
        <f>IF(AND(Results!$O44&lt;&gt;"",Results!$Q44&lt;&gt;"",Results!$F44&lt;&gt;Results!$H44,$F39&lt;&gt;"",$G39&lt;&gt;""),Results!$Q44,"")</f>
        <v/>
      </c>
      <c r="N39" s="16" t="str">
        <f>IF(Planning!$I42=0,F39&amp;G39,"")</f>
        <v>Borussia DortmundBorussia Mönchengladbach</v>
      </c>
      <c r="O39" s="7">
        <f>IF(AND(Results!$Z$6&gt;0,$E39-1&gt;=Results!$Z$6*Calc!$F$26),0,IF(AND(F39&lt;&gt;"",G39&lt;&gt;"",F39&lt;&gt;G39,Results!$R44&lt;&gt;"",Results!$T44&lt;&gt;""),1,0))</f>
        <v>1</v>
      </c>
      <c r="P39" s="7" t="str">
        <f>IF(AND(O39&gt;0,Planning!$I42=0),V39&amp;Language!$E$90&amp;W39,"")</f>
        <v>50 - 39</v>
      </c>
      <c r="Q39" s="2" t="str">
        <f>IF(Planning!$I42=1,F39&amp;G39,"")</f>
        <v/>
      </c>
      <c r="R39" s="88" t="str">
        <f>IF(AND(O39&gt;0,Planning!$I42=1),V39&amp;Language!$E$90&amp;W39,"")</f>
        <v/>
      </c>
      <c r="S39" s="122" t="str">
        <f>IF(O39&gt;0,X39&amp;Language!$E$90&amp;Y39,"")</f>
        <v>2 - 0</v>
      </c>
      <c r="T39" s="290">
        <f>IF($H39="",0,Results!$U44)</f>
        <v>0</v>
      </c>
      <c r="U39" s="291">
        <f>IF($I39="",0,Results!$V44)</f>
        <v>0</v>
      </c>
      <c r="V39" s="270">
        <f t="shared" si="0"/>
        <v>50</v>
      </c>
      <c r="W39" s="291">
        <f t="shared" si="1"/>
        <v>39</v>
      </c>
      <c r="X39" s="270">
        <f>IF($O39=0,0,IF(Results!$R44="",0,Results!$R44))</f>
        <v>2</v>
      </c>
      <c r="Y39" s="291">
        <f>IF($O39=0,0,IF(Results!$T44="",0,Results!$T44))</f>
        <v>0</v>
      </c>
      <c r="Z39" s="270">
        <f>IF($O39=0,"",IF($X39&gt;$Y39,Settings!$C$4,IF($X39=$Y39,1,0)))</f>
        <v>2</v>
      </c>
      <c r="AA39" s="291">
        <f>IF($O39=0,"",IF($X39&lt;$Y39,Settings!$C$4,IF($X39=$Y39,1,0)))</f>
        <v>0</v>
      </c>
    </row>
    <row r="40" spans="2:27" x14ac:dyDescent="0.2">
      <c r="B40" s="2"/>
      <c r="C40" s="2"/>
      <c r="D40" s="2"/>
      <c r="E40" s="266">
        <v>37</v>
      </c>
      <c r="F40" s="171" t="str">
        <f>Planning!$Q43</f>
        <v>1. FC Heidenheim 1846</v>
      </c>
      <c r="G40" s="348" t="str">
        <f>Planning!$S43</f>
        <v>SC Freiburg</v>
      </c>
      <c r="H40" s="344">
        <f>IF(AND(Results!$I45&lt;&gt;"",Results!$K45&lt;&gt;"",Results!$F45&lt;&gt;Results!$H45,$F40&lt;&gt;"",$G40&lt;&gt;""),Results!$I45,"")</f>
        <v>25</v>
      </c>
      <c r="I40" s="343">
        <f>IF(AND(Results!$I45&lt;&gt;"",Results!$K45&lt;&gt;"",Results!$F45&lt;&gt;Results!$H45,$F40&lt;&gt;"",$G40&lt;&gt;""),Results!$K45,"")</f>
        <v>23</v>
      </c>
      <c r="J40" s="344">
        <f>IF(AND(Results!$L45&lt;&gt;"",Results!$N45&lt;&gt;"",Results!$F45&lt;&gt;Results!$H45,$F40&lt;&gt;"",$G40&lt;&gt;""),Results!$L45,"")</f>
        <v>25</v>
      </c>
      <c r="K40" s="343">
        <f>IF(AND(Results!$L45&lt;&gt;"",Results!$N45&lt;&gt;"",Results!$F45&lt;&gt;Results!$H45,$F40&lt;&gt;"",$G40&lt;&gt;""),Results!$N45,"")</f>
        <v>23</v>
      </c>
      <c r="L40" s="344" t="str">
        <f>IF(AND(Results!$O45&lt;&gt;"",Results!$Q45&lt;&gt;"",Results!$F45&lt;&gt;Results!$H45,$F40&lt;&gt;"",$G40&lt;&gt;""),Results!$O45,"")</f>
        <v/>
      </c>
      <c r="M40" s="122" t="str">
        <f>IF(AND(Results!$O45&lt;&gt;"",Results!$Q45&lt;&gt;"",Results!$F45&lt;&gt;Results!$H45,$F40&lt;&gt;"",$G40&lt;&gt;""),Results!$Q45,"")</f>
        <v/>
      </c>
      <c r="N40" s="16" t="str">
        <f>IF(Planning!$I43=0,F40&amp;G40,"")</f>
        <v>1. FC Heidenheim 1846SC Freiburg</v>
      </c>
      <c r="O40" s="7">
        <f>IF(AND(Results!$Z$6&gt;0,$E40-1&gt;=Results!$Z$6*Calc!$F$26),0,IF(AND(F40&lt;&gt;"",G40&lt;&gt;"",F40&lt;&gt;G40,Results!$R45&lt;&gt;"",Results!$T45&lt;&gt;""),1,0))</f>
        <v>1</v>
      </c>
      <c r="P40" s="7" t="str">
        <f>IF(AND(O40&gt;0,Planning!$I43=0),V40&amp;Language!$E$90&amp;W40,"")</f>
        <v>50 - 46</v>
      </c>
      <c r="Q40" s="2" t="str">
        <f>IF(Planning!$I43=1,F40&amp;G40,"")</f>
        <v/>
      </c>
      <c r="R40" s="88" t="str">
        <f>IF(AND(O40&gt;0,Planning!$I43=1),V40&amp;Language!$E$90&amp;W40,"")</f>
        <v/>
      </c>
      <c r="S40" s="122" t="str">
        <f>IF(O40&gt;0,X40&amp;Language!$E$90&amp;Y40,"")</f>
        <v>2 - 0</v>
      </c>
      <c r="T40" s="290">
        <f>IF($H40="",0,Results!$U45)</f>
        <v>0</v>
      </c>
      <c r="U40" s="291">
        <f>IF($I40="",0,Results!$V45)</f>
        <v>0</v>
      </c>
      <c r="V40" s="270">
        <f t="shared" si="0"/>
        <v>50</v>
      </c>
      <c r="W40" s="291">
        <f t="shared" si="1"/>
        <v>46</v>
      </c>
      <c r="X40" s="270">
        <f>IF($O40=0,0,IF(Results!$R45="",0,Results!$R45))</f>
        <v>2</v>
      </c>
      <c r="Y40" s="291">
        <f>IF($O40=0,0,IF(Results!$T45="",0,Results!$T45))</f>
        <v>0</v>
      </c>
      <c r="Z40" s="270">
        <f>IF($O40=0,"",IF($X40&gt;$Y40,Settings!$C$4,IF($X40=$Y40,1,0)))</f>
        <v>2</v>
      </c>
      <c r="AA40" s="291">
        <f>IF($O40=0,"",IF($X40&lt;$Y40,Settings!$C$4,IF($X40=$Y40,1,0)))</f>
        <v>0</v>
      </c>
    </row>
    <row r="41" spans="2:27" x14ac:dyDescent="0.2">
      <c r="B41" s="2"/>
      <c r="C41" s="2"/>
      <c r="D41" s="2"/>
      <c r="E41" s="266">
        <v>38</v>
      </c>
      <c r="F41" s="171" t="str">
        <f>Planning!$Q44</f>
        <v>RB Leipzig</v>
      </c>
      <c r="G41" s="348" t="str">
        <f>Planning!$S44</f>
        <v>SV Werder Bremen</v>
      </c>
      <c r="H41" s="344">
        <f>IF(AND(Results!$I46&lt;&gt;"",Results!$K46&lt;&gt;"",Results!$F46&lt;&gt;Results!$H46,$F41&lt;&gt;"",$G41&lt;&gt;""),Results!$I46,"")</f>
        <v>25</v>
      </c>
      <c r="I41" s="343">
        <f>IF(AND(Results!$I46&lt;&gt;"",Results!$K46&lt;&gt;"",Results!$F46&lt;&gt;Results!$H46,$F41&lt;&gt;"",$G41&lt;&gt;""),Results!$K46,"")</f>
        <v>16</v>
      </c>
      <c r="J41" s="344">
        <f>IF(AND(Results!$L46&lt;&gt;"",Results!$N46&lt;&gt;"",Results!$F46&lt;&gt;Results!$H46,$F41&lt;&gt;"",$G41&lt;&gt;""),Results!$L46,"")</f>
        <v>25</v>
      </c>
      <c r="K41" s="343">
        <f>IF(AND(Results!$L46&lt;&gt;"",Results!$N46&lt;&gt;"",Results!$F46&lt;&gt;Results!$H46,$F41&lt;&gt;"",$G41&lt;&gt;""),Results!$N46,"")</f>
        <v>21</v>
      </c>
      <c r="L41" s="344" t="str">
        <f>IF(AND(Results!$O46&lt;&gt;"",Results!$Q46&lt;&gt;"",Results!$F46&lt;&gt;Results!$H46,$F41&lt;&gt;"",$G41&lt;&gt;""),Results!$O46,"")</f>
        <v/>
      </c>
      <c r="M41" s="122" t="str">
        <f>IF(AND(Results!$O46&lt;&gt;"",Results!$Q46&lt;&gt;"",Results!$F46&lt;&gt;Results!$H46,$F41&lt;&gt;"",$G41&lt;&gt;""),Results!$Q46,"")</f>
        <v/>
      </c>
      <c r="N41" s="16" t="str">
        <f>IF(Planning!$I44=0,F41&amp;G41,"")</f>
        <v>RB LeipzigSV Werder Bremen</v>
      </c>
      <c r="O41" s="7">
        <f>IF(AND(Results!$Z$6&gt;0,$E41-1&gt;=Results!$Z$6*Calc!$F$26),0,IF(AND(F41&lt;&gt;"",G41&lt;&gt;"",F41&lt;&gt;G41,Results!$R46&lt;&gt;"",Results!$T46&lt;&gt;""),1,0))</f>
        <v>1</v>
      </c>
      <c r="P41" s="7" t="str">
        <f>IF(AND(O41&gt;0,Planning!$I44=0),V41&amp;Language!$E$90&amp;W41,"")</f>
        <v>50 - 37</v>
      </c>
      <c r="Q41" s="2" t="str">
        <f>IF(Planning!$I44=1,F41&amp;G41,"")</f>
        <v/>
      </c>
      <c r="R41" s="88" t="str">
        <f>IF(AND(O41&gt;0,Planning!$I44=1),V41&amp;Language!$E$90&amp;W41,"")</f>
        <v/>
      </c>
      <c r="S41" s="122" t="str">
        <f>IF(O41&gt;0,X41&amp;Language!$E$90&amp;Y41,"")</f>
        <v>2 - 0</v>
      </c>
      <c r="T41" s="290">
        <f>IF($H41="",0,Results!$U46)</f>
        <v>0</v>
      </c>
      <c r="U41" s="291">
        <f>IF($I41="",0,Results!$V46)</f>
        <v>0</v>
      </c>
      <c r="V41" s="270">
        <f t="shared" si="0"/>
        <v>50</v>
      </c>
      <c r="W41" s="291">
        <f t="shared" si="1"/>
        <v>37</v>
      </c>
      <c r="X41" s="270">
        <f>IF($O41=0,0,IF(Results!$R46="",0,Results!$R46))</f>
        <v>2</v>
      </c>
      <c r="Y41" s="291">
        <f>IF($O41=0,0,IF(Results!$T46="",0,Results!$T46))</f>
        <v>0</v>
      </c>
      <c r="Z41" s="270">
        <f>IF($O41=0,"",IF($X41&gt;$Y41,Settings!$C$4,IF($X41=$Y41,1,0)))</f>
        <v>2</v>
      </c>
      <c r="AA41" s="291">
        <f>IF($O41=0,"",IF($X41&lt;$Y41,Settings!$C$4,IF($X41=$Y41,1,0)))</f>
        <v>0</v>
      </c>
    </row>
    <row r="42" spans="2:27" x14ac:dyDescent="0.2">
      <c r="B42" s="2"/>
      <c r="C42" s="2"/>
      <c r="D42" s="2"/>
      <c r="E42" s="266">
        <v>39</v>
      </c>
      <c r="F42" s="171" t="str">
        <f>Planning!$Q45</f>
        <v>TSG Hoffenheim</v>
      </c>
      <c r="G42" s="348" t="str">
        <f>Planning!$S45</f>
        <v>Hamburger SV</v>
      </c>
      <c r="H42" s="344">
        <f>IF(AND(Results!$I47&lt;&gt;"",Results!$K47&lt;&gt;"",Results!$F47&lt;&gt;Results!$H47,$F42&lt;&gt;"",$G42&lt;&gt;""),Results!$I47,"")</f>
        <v>25</v>
      </c>
      <c r="I42" s="343">
        <f>IF(AND(Results!$I47&lt;&gt;"",Results!$K47&lt;&gt;"",Results!$F47&lt;&gt;Results!$H47,$F42&lt;&gt;"",$G42&lt;&gt;""),Results!$K47,"")</f>
        <v>19</v>
      </c>
      <c r="J42" s="344">
        <f>IF(AND(Results!$L47&lt;&gt;"",Results!$N47&lt;&gt;"",Results!$F47&lt;&gt;Results!$H47,$F42&lt;&gt;"",$G42&lt;&gt;""),Results!$L47,"")</f>
        <v>25</v>
      </c>
      <c r="K42" s="343">
        <f>IF(AND(Results!$L47&lt;&gt;"",Results!$N47&lt;&gt;"",Results!$F47&lt;&gt;Results!$H47,$F42&lt;&gt;"",$G42&lt;&gt;""),Results!$N47,"")</f>
        <v>22</v>
      </c>
      <c r="L42" s="344" t="str">
        <f>IF(AND(Results!$O47&lt;&gt;"",Results!$Q47&lt;&gt;"",Results!$F47&lt;&gt;Results!$H47,$F42&lt;&gt;"",$G42&lt;&gt;""),Results!$O47,"")</f>
        <v/>
      </c>
      <c r="M42" s="122" t="str">
        <f>IF(AND(Results!$O47&lt;&gt;"",Results!$Q47&lt;&gt;"",Results!$F47&lt;&gt;Results!$H47,$F42&lt;&gt;"",$G42&lt;&gt;""),Results!$Q47,"")</f>
        <v/>
      </c>
      <c r="N42" s="16" t="str">
        <f>IF(Planning!$I45=0,F42&amp;G42,"")</f>
        <v>TSG HoffenheimHamburger SV</v>
      </c>
      <c r="O42" s="7">
        <f>IF(AND(Results!$Z$6&gt;0,$E42-1&gt;=Results!$Z$6*Calc!$F$26),0,IF(AND(F42&lt;&gt;"",G42&lt;&gt;"",F42&lt;&gt;G42,Results!$R47&lt;&gt;"",Results!$T47&lt;&gt;""),1,0))</f>
        <v>1</v>
      </c>
      <c r="P42" s="7" t="str">
        <f>IF(AND(O42&gt;0,Planning!$I45=0),V42&amp;Language!$E$90&amp;W42,"")</f>
        <v>50 - 41</v>
      </c>
      <c r="Q42" s="2" t="str">
        <f>IF(Planning!$I45=1,F42&amp;G42,"")</f>
        <v/>
      </c>
      <c r="R42" s="88" t="str">
        <f>IF(AND(O42&gt;0,Planning!$I45=1),V42&amp;Language!$E$90&amp;W42,"")</f>
        <v/>
      </c>
      <c r="S42" s="122" t="str">
        <f>IF(O42&gt;0,X42&amp;Language!$E$90&amp;Y42,"")</f>
        <v>2 - 0</v>
      </c>
      <c r="T42" s="290">
        <f>IF($H42="",0,Results!$U47)</f>
        <v>0</v>
      </c>
      <c r="U42" s="291">
        <f>IF($I42="",0,Results!$V47)</f>
        <v>0</v>
      </c>
      <c r="V42" s="270">
        <f t="shared" si="0"/>
        <v>50</v>
      </c>
      <c r="W42" s="291">
        <f t="shared" si="1"/>
        <v>41</v>
      </c>
      <c r="X42" s="270">
        <f>IF($O42=0,0,IF(Results!$R47="",0,Results!$R47))</f>
        <v>2</v>
      </c>
      <c r="Y42" s="291">
        <f>IF($O42=0,0,IF(Results!$T47="",0,Results!$T47))</f>
        <v>0</v>
      </c>
      <c r="Z42" s="270">
        <f>IF($O42=0,"",IF($X42&gt;$Y42,Settings!$C$4,IF($X42=$Y42,1,0)))</f>
        <v>2</v>
      </c>
      <c r="AA42" s="291">
        <f>IF($O42=0,"",IF($X42&lt;$Y42,Settings!$C$4,IF($X42=$Y42,1,0)))</f>
        <v>0</v>
      </c>
    </row>
    <row r="43" spans="2:27" x14ac:dyDescent="0.2">
      <c r="B43" s="2"/>
      <c r="C43" s="2"/>
      <c r="D43" s="2"/>
      <c r="E43" s="266">
        <v>40</v>
      </c>
      <c r="F43" s="171" t="str">
        <f>Planning!$Q46</f>
        <v>FC St. Pauli</v>
      </c>
      <c r="G43" s="348" t="str">
        <f>Planning!$S46</f>
        <v>VfB Stuttgart</v>
      </c>
      <c r="H43" s="344">
        <f>IF(AND(Results!$I48&lt;&gt;"",Results!$K48&lt;&gt;"",Results!$F48&lt;&gt;Results!$H48,$F43&lt;&gt;"",$G43&lt;&gt;""),Results!$I48,"")</f>
        <v>20</v>
      </c>
      <c r="I43" s="343">
        <f>IF(AND(Results!$I48&lt;&gt;"",Results!$K48&lt;&gt;"",Results!$F48&lt;&gt;Results!$H48,$F43&lt;&gt;"",$G43&lt;&gt;""),Results!$K48,"")</f>
        <v>25</v>
      </c>
      <c r="J43" s="344">
        <f>IF(AND(Results!$L48&lt;&gt;"",Results!$N48&lt;&gt;"",Results!$F48&lt;&gt;Results!$H48,$F43&lt;&gt;"",$G43&lt;&gt;""),Results!$L48,"")</f>
        <v>19</v>
      </c>
      <c r="K43" s="343">
        <f>IF(AND(Results!$L48&lt;&gt;"",Results!$N48&lt;&gt;"",Results!$F48&lt;&gt;Results!$H48,$F43&lt;&gt;"",$G43&lt;&gt;""),Results!$N48,"")</f>
        <v>25</v>
      </c>
      <c r="L43" s="344" t="str">
        <f>IF(AND(Results!$O48&lt;&gt;"",Results!$Q48&lt;&gt;"",Results!$F48&lt;&gt;Results!$H48,$F43&lt;&gt;"",$G43&lt;&gt;""),Results!$O48,"")</f>
        <v/>
      </c>
      <c r="M43" s="122" t="str">
        <f>IF(AND(Results!$O48&lt;&gt;"",Results!$Q48&lt;&gt;"",Results!$F48&lt;&gt;Results!$H48,$F43&lt;&gt;"",$G43&lt;&gt;""),Results!$Q48,"")</f>
        <v/>
      </c>
      <c r="N43" s="16" t="str">
        <f>IF(Planning!$I46=0,F43&amp;G43,"")</f>
        <v>FC St. PauliVfB Stuttgart</v>
      </c>
      <c r="O43" s="7">
        <f>IF(AND(Results!$Z$6&gt;0,$E43-1&gt;=Results!$Z$6*Calc!$F$26),0,IF(AND(F43&lt;&gt;"",G43&lt;&gt;"",F43&lt;&gt;G43,Results!$R48&lt;&gt;"",Results!$T48&lt;&gt;""),1,0))</f>
        <v>1</v>
      </c>
      <c r="P43" s="7" t="str">
        <f>IF(AND(O43&gt;0,Planning!$I46=0),V43&amp;Language!$E$90&amp;W43,"")</f>
        <v>39 - 50</v>
      </c>
      <c r="Q43" s="2" t="str">
        <f>IF(Planning!$I46=1,F43&amp;G43,"")</f>
        <v/>
      </c>
      <c r="R43" s="88" t="str">
        <f>IF(AND(O43&gt;0,Planning!$I46=1),V43&amp;Language!$E$90&amp;W43,"")</f>
        <v/>
      </c>
      <c r="S43" s="122" t="str">
        <f>IF(O43&gt;0,X43&amp;Language!$E$90&amp;Y43,"")</f>
        <v>0 - 2</v>
      </c>
      <c r="T43" s="290">
        <f>IF($H43="",0,Results!$U48)</f>
        <v>0</v>
      </c>
      <c r="U43" s="291">
        <f>IF($I43="",0,Results!$V48)</f>
        <v>0</v>
      </c>
      <c r="V43" s="270">
        <f t="shared" si="0"/>
        <v>39</v>
      </c>
      <c r="W43" s="291">
        <f t="shared" si="1"/>
        <v>50</v>
      </c>
      <c r="X43" s="270">
        <f>IF($O43=0,0,IF(Results!$R48="",0,Results!$R48))</f>
        <v>0</v>
      </c>
      <c r="Y43" s="291">
        <f>IF($O43=0,0,IF(Results!$T48="",0,Results!$T48))</f>
        <v>2</v>
      </c>
      <c r="Z43" s="270">
        <f>IF($O43=0,"",IF($X43&gt;$Y43,Settings!$C$4,IF($X43=$Y43,1,0)))</f>
        <v>0</v>
      </c>
      <c r="AA43" s="291">
        <f>IF($O43=0,"",IF($X43&lt;$Y43,Settings!$C$4,IF($X43=$Y43,1,0)))</f>
        <v>2</v>
      </c>
    </row>
    <row r="44" spans="2:27" x14ac:dyDescent="0.2">
      <c r="B44" s="2"/>
      <c r="C44" s="2"/>
      <c r="D44" s="2"/>
      <c r="E44" s="266">
        <v>41</v>
      </c>
      <c r="F44" s="171" t="str">
        <f>Planning!$Q47</f>
        <v>VfL Wolfsburg</v>
      </c>
      <c r="G44" s="348" t="str">
        <f>Planning!$S47</f>
        <v>FC Bayern München</v>
      </c>
      <c r="H44" s="344">
        <f>IF(AND(Results!$I49&lt;&gt;"",Results!$K49&lt;&gt;"",Results!$F49&lt;&gt;Results!$H49,$F44&lt;&gt;"",$G44&lt;&gt;""),Results!$I49,"")</f>
        <v>19</v>
      </c>
      <c r="I44" s="343">
        <f>IF(AND(Results!$I49&lt;&gt;"",Results!$K49&lt;&gt;"",Results!$F49&lt;&gt;Results!$H49,$F44&lt;&gt;"",$G44&lt;&gt;""),Results!$K49,"")</f>
        <v>25</v>
      </c>
      <c r="J44" s="344">
        <f>IF(AND(Results!$L49&lt;&gt;"",Results!$N49&lt;&gt;"",Results!$F49&lt;&gt;Results!$H49,$F44&lt;&gt;"",$G44&lt;&gt;""),Results!$L49,"")</f>
        <v>20</v>
      </c>
      <c r="K44" s="343">
        <f>IF(AND(Results!$L49&lt;&gt;"",Results!$N49&lt;&gt;"",Results!$F49&lt;&gt;Results!$H49,$F44&lt;&gt;"",$G44&lt;&gt;""),Results!$N49,"")</f>
        <v>25</v>
      </c>
      <c r="L44" s="344" t="str">
        <f>IF(AND(Results!$O49&lt;&gt;"",Results!$Q49&lt;&gt;"",Results!$F49&lt;&gt;Results!$H49,$F44&lt;&gt;"",$G44&lt;&gt;""),Results!$O49,"")</f>
        <v/>
      </c>
      <c r="M44" s="122" t="str">
        <f>IF(AND(Results!$O49&lt;&gt;"",Results!$Q49&lt;&gt;"",Results!$F49&lt;&gt;Results!$H49,$F44&lt;&gt;"",$G44&lt;&gt;""),Results!$Q49,"")</f>
        <v/>
      </c>
      <c r="N44" s="16" t="str">
        <f>IF(Planning!$I47=0,F44&amp;G44,"")</f>
        <v>VfL WolfsburgFC Bayern München</v>
      </c>
      <c r="O44" s="7">
        <f>IF(AND(Results!$Z$6&gt;0,$E44-1&gt;=Results!$Z$6*Calc!$F$26),0,IF(AND(F44&lt;&gt;"",G44&lt;&gt;"",F44&lt;&gt;G44,Results!$R49&lt;&gt;"",Results!$T49&lt;&gt;""),1,0))</f>
        <v>1</v>
      </c>
      <c r="P44" s="7" t="str">
        <f>IF(AND(O44&gt;0,Planning!$I47=0),V44&amp;Language!$E$90&amp;W44,"")</f>
        <v>39 - 50</v>
      </c>
      <c r="Q44" s="2" t="str">
        <f>IF(Planning!$I47=1,F44&amp;G44,"")</f>
        <v/>
      </c>
      <c r="R44" s="88" t="str">
        <f>IF(AND(O44&gt;0,Planning!$I47=1),V44&amp;Language!$E$90&amp;W44,"")</f>
        <v/>
      </c>
      <c r="S44" s="122" t="str">
        <f>IF(O44&gt;0,X44&amp;Language!$E$90&amp;Y44,"")</f>
        <v>0 - 2</v>
      </c>
      <c r="T44" s="290">
        <f>IF($H44="",0,Results!$U49)</f>
        <v>0</v>
      </c>
      <c r="U44" s="291">
        <f>IF($I44="",0,Results!$V49)</f>
        <v>0</v>
      </c>
      <c r="V44" s="270">
        <f t="shared" si="0"/>
        <v>39</v>
      </c>
      <c r="W44" s="291">
        <f t="shared" si="1"/>
        <v>50</v>
      </c>
      <c r="X44" s="270">
        <f>IF($O44=0,0,IF(Results!$R49="",0,Results!$R49))</f>
        <v>0</v>
      </c>
      <c r="Y44" s="291">
        <f>IF($O44=0,0,IF(Results!$T49="",0,Results!$T49))</f>
        <v>2</v>
      </c>
      <c r="Z44" s="270">
        <f>IF($O44=0,"",IF($X44&gt;$Y44,Settings!$C$4,IF($X44=$Y44,1,0)))</f>
        <v>0</v>
      </c>
      <c r="AA44" s="291">
        <f>IF($O44=0,"",IF($X44&lt;$Y44,Settings!$C$4,IF($X44=$Y44,1,0)))</f>
        <v>2</v>
      </c>
    </row>
    <row r="45" spans="2:27" x14ac:dyDescent="0.2">
      <c r="B45" s="2"/>
      <c r="C45" s="2"/>
      <c r="D45" s="2"/>
      <c r="E45" s="266">
        <v>42</v>
      </c>
      <c r="F45" s="171" t="str">
        <f>Planning!$Q48</f>
        <v>FC Augsburg</v>
      </c>
      <c r="G45" s="348" t="str">
        <f>Planning!$S48</f>
        <v>1. FC Köln</v>
      </c>
      <c r="H45" s="344">
        <f>IF(AND(Results!$I50&lt;&gt;"",Results!$K50&lt;&gt;"",Results!$F50&lt;&gt;Results!$H50,$F45&lt;&gt;"",$G45&lt;&gt;""),Results!$I50,"")</f>
        <v>17</v>
      </c>
      <c r="I45" s="343">
        <f>IF(AND(Results!$I50&lt;&gt;"",Results!$K50&lt;&gt;"",Results!$F50&lt;&gt;Results!$H50,$F45&lt;&gt;"",$G45&lt;&gt;""),Results!$K50,"")</f>
        <v>25</v>
      </c>
      <c r="J45" s="344">
        <f>IF(AND(Results!$L50&lt;&gt;"",Results!$N50&lt;&gt;"",Results!$F50&lt;&gt;Results!$H50,$F45&lt;&gt;"",$G45&lt;&gt;""),Results!$L50,"")</f>
        <v>25</v>
      </c>
      <c r="K45" s="343">
        <f>IF(AND(Results!$L50&lt;&gt;"",Results!$N50&lt;&gt;"",Results!$F50&lt;&gt;Results!$H50,$F45&lt;&gt;"",$G45&lt;&gt;""),Results!$N50,"")</f>
        <v>21</v>
      </c>
      <c r="L45" s="344">
        <f>IF(AND(Results!$O50&lt;&gt;"",Results!$Q50&lt;&gt;"",Results!$F50&lt;&gt;Results!$H50,$F45&lt;&gt;"",$G45&lt;&gt;""),Results!$O50,"")</f>
        <v>13</v>
      </c>
      <c r="M45" s="122">
        <f>IF(AND(Results!$O50&lt;&gt;"",Results!$Q50&lt;&gt;"",Results!$F50&lt;&gt;Results!$H50,$F45&lt;&gt;"",$G45&lt;&gt;""),Results!$Q50,"")</f>
        <v>15</v>
      </c>
      <c r="N45" s="16" t="str">
        <f>IF(Planning!$I48=0,F45&amp;G45,"")</f>
        <v>FC Augsburg1. FC Köln</v>
      </c>
      <c r="O45" s="7">
        <f>IF(AND(Results!$Z$6&gt;0,$E45-1&gt;=Results!$Z$6*Calc!$F$26),0,IF(AND(F45&lt;&gt;"",G45&lt;&gt;"",F45&lt;&gt;G45,Results!$R50&lt;&gt;"",Results!$T50&lt;&gt;""),1,0))</f>
        <v>1</v>
      </c>
      <c r="P45" s="7" t="str">
        <f>IF(AND(O45&gt;0,Planning!$I48=0),V45&amp;Language!$E$90&amp;W45,"")</f>
        <v>55 - 61</v>
      </c>
      <c r="Q45" s="2" t="str">
        <f>IF(Planning!$I48=1,F45&amp;G45,"")</f>
        <v/>
      </c>
      <c r="R45" s="88" t="str">
        <f>IF(AND(O45&gt;0,Planning!$I48=1),V45&amp;Language!$E$90&amp;W45,"")</f>
        <v/>
      </c>
      <c r="S45" s="122" t="str">
        <f>IF(O45&gt;0,X45&amp;Language!$E$90&amp;Y45,"")</f>
        <v>1 - 2</v>
      </c>
      <c r="T45" s="290">
        <f>IF($H45="",0,Results!$U50)</f>
        <v>0</v>
      </c>
      <c r="U45" s="291">
        <f>IF($I45="",0,Results!$V50)</f>
        <v>0</v>
      </c>
      <c r="V45" s="270">
        <f t="shared" si="0"/>
        <v>55</v>
      </c>
      <c r="W45" s="291">
        <f t="shared" si="1"/>
        <v>61</v>
      </c>
      <c r="X45" s="270">
        <f>IF($O45=0,0,IF(Results!$R50="",0,Results!$R50))</f>
        <v>1</v>
      </c>
      <c r="Y45" s="291">
        <f>IF($O45=0,0,IF(Results!$T50="",0,Results!$T50))</f>
        <v>2</v>
      </c>
      <c r="Z45" s="270">
        <f>IF($O45=0,"",IF($X45&gt;$Y45,Settings!$C$4,IF($X45=$Y45,1,0)))</f>
        <v>0</v>
      </c>
      <c r="AA45" s="291">
        <f>IF($O45=0,"",IF($X45&lt;$Y45,Settings!$C$4,IF($X45=$Y45,1,0)))</f>
        <v>2</v>
      </c>
    </row>
    <row r="46" spans="2:27" x14ac:dyDescent="0.2">
      <c r="B46" s="2"/>
      <c r="C46" s="2"/>
      <c r="D46" s="2"/>
      <c r="E46" s="266">
        <v>43</v>
      </c>
      <c r="F46" s="171" t="str">
        <f>Planning!$Q49</f>
        <v>1. FC Union Berlin</v>
      </c>
      <c r="G46" s="348" t="str">
        <f>Planning!$S49</f>
        <v>Eintracht Frankfurt</v>
      </c>
      <c r="H46" s="344">
        <f>IF(AND(Results!$I51&lt;&gt;"",Results!$K51&lt;&gt;"",Results!$F51&lt;&gt;Results!$H51,$F46&lt;&gt;"",$G46&lt;&gt;""),Results!$I51,"")</f>
        <v>19</v>
      </c>
      <c r="I46" s="343">
        <f>IF(AND(Results!$I51&lt;&gt;"",Results!$K51&lt;&gt;"",Results!$F51&lt;&gt;Results!$H51,$F46&lt;&gt;"",$G46&lt;&gt;""),Results!$K51,"")</f>
        <v>25</v>
      </c>
      <c r="J46" s="344">
        <f>IF(AND(Results!$L51&lt;&gt;"",Results!$N51&lt;&gt;"",Results!$F51&lt;&gt;Results!$H51,$F46&lt;&gt;"",$G46&lt;&gt;""),Results!$L51,"")</f>
        <v>21</v>
      </c>
      <c r="K46" s="343">
        <f>IF(AND(Results!$L51&lt;&gt;"",Results!$N51&lt;&gt;"",Results!$F51&lt;&gt;Results!$H51,$F46&lt;&gt;"",$G46&lt;&gt;""),Results!$N51,"")</f>
        <v>25</v>
      </c>
      <c r="L46" s="344" t="str">
        <f>IF(AND(Results!$O51&lt;&gt;"",Results!$Q51&lt;&gt;"",Results!$F51&lt;&gt;Results!$H51,$F46&lt;&gt;"",$G46&lt;&gt;""),Results!$O51,"")</f>
        <v/>
      </c>
      <c r="M46" s="122" t="str">
        <f>IF(AND(Results!$O51&lt;&gt;"",Results!$Q51&lt;&gt;"",Results!$F51&lt;&gt;Results!$H51,$F46&lt;&gt;"",$G46&lt;&gt;""),Results!$Q51,"")</f>
        <v/>
      </c>
      <c r="N46" s="16" t="str">
        <f>IF(Planning!$I49=0,F46&amp;G46,"")</f>
        <v>1. FC Union BerlinEintracht Frankfurt</v>
      </c>
      <c r="O46" s="7">
        <f>IF(AND(Results!$Z$6&gt;0,$E46-1&gt;=Results!$Z$6*Calc!$F$26),0,IF(AND(F46&lt;&gt;"",G46&lt;&gt;"",F46&lt;&gt;G46,Results!$R51&lt;&gt;"",Results!$T51&lt;&gt;""),1,0))</f>
        <v>1</v>
      </c>
      <c r="P46" s="7" t="str">
        <f>IF(AND(O46&gt;0,Planning!$I49=0),V46&amp;Language!$E$90&amp;W46,"")</f>
        <v>40 - 50</v>
      </c>
      <c r="Q46" s="2" t="str">
        <f>IF(Planning!$I49=1,F46&amp;G46,"")</f>
        <v/>
      </c>
      <c r="R46" s="88" t="str">
        <f>IF(AND(O46&gt;0,Planning!$I49=1),V46&amp;Language!$E$90&amp;W46,"")</f>
        <v/>
      </c>
      <c r="S46" s="122" t="str">
        <f>IF(O46&gt;0,X46&amp;Language!$E$90&amp;Y46,"")</f>
        <v>0 - 2</v>
      </c>
      <c r="T46" s="290">
        <f>IF($H46="",0,Results!$U51)</f>
        <v>0</v>
      </c>
      <c r="U46" s="291">
        <f>IF($I46="",0,Results!$V51)</f>
        <v>0</v>
      </c>
      <c r="V46" s="270">
        <f t="shared" si="0"/>
        <v>40</v>
      </c>
      <c r="W46" s="291">
        <f t="shared" si="1"/>
        <v>50</v>
      </c>
      <c r="X46" s="270">
        <f>IF($O46=0,0,IF(Results!$R51="",0,Results!$R51))</f>
        <v>0</v>
      </c>
      <c r="Y46" s="291">
        <f>IF($O46=0,0,IF(Results!$T51="",0,Results!$T51))</f>
        <v>2</v>
      </c>
      <c r="Z46" s="270">
        <f>IF($O46=0,"",IF($X46&gt;$Y46,Settings!$C$4,IF($X46=$Y46,1,0)))</f>
        <v>0</v>
      </c>
      <c r="AA46" s="291">
        <f>IF($O46=0,"",IF($X46&lt;$Y46,Settings!$C$4,IF($X46=$Y46,1,0)))</f>
        <v>2</v>
      </c>
    </row>
    <row r="47" spans="2:27" x14ac:dyDescent="0.2">
      <c r="B47" s="2"/>
      <c r="C47" s="2"/>
      <c r="D47" s="2"/>
      <c r="E47" s="266">
        <v>44</v>
      </c>
      <c r="F47" s="171" t="str">
        <f>Planning!$Q50</f>
        <v>Borussia Mönchengladbach</v>
      </c>
      <c r="G47" s="348" t="str">
        <f>Planning!$S50</f>
        <v>1. FSV Mainz 05</v>
      </c>
      <c r="H47" s="344">
        <f>IF(AND(Results!$I52&lt;&gt;"",Results!$K52&lt;&gt;"",Results!$F52&lt;&gt;Results!$H52,$F47&lt;&gt;"",$G47&lt;&gt;""),Results!$I52,"")</f>
        <v>17</v>
      </c>
      <c r="I47" s="343">
        <f>IF(AND(Results!$I52&lt;&gt;"",Results!$K52&lt;&gt;"",Results!$F52&lt;&gt;Results!$H52,$F47&lt;&gt;"",$G47&lt;&gt;""),Results!$K52,"")</f>
        <v>25</v>
      </c>
      <c r="J47" s="344">
        <f>IF(AND(Results!$L52&lt;&gt;"",Results!$N52&lt;&gt;"",Results!$F52&lt;&gt;Results!$H52,$F47&lt;&gt;"",$G47&lt;&gt;""),Results!$L52,"")</f>
        <v>22</v>
      </c>
      <c r="K47" s="343">
        <f>IF(AND(Results!$L52&lt;&gt;"",Results!$N52&lt;&gt;"",Results!$F52&lt;&gt;Results!$H52,$F47&lt;&gt;"",$G47&lt;&gt;""),Results!$N52,"")</f>
        <v>25</v>
      </c>
      <c r="L47" s="344" t="str">
        <f>IF(AND(Results!$O52&lt;&gt;"",Results!$Q52&lt;&gt;"",Results!$F52&lt;&gt;Results!$H52,$F47&lt;&gt;"",$G47&lt;&gt;""),Results!$O52,"")</f>
        <v/>
      </c>
      <c r="M47" s="122" t="str">
        <f>IF(AND(Results!$O52&lt;&gt;"",Results!$Q52&lt;&gt;"",Results!$F52&lt;&gt;Results!$H52,$F47&lt;&gt;"",$G47&lt;&gt;""),Results!$Q52,"")</f>
        <v/>
      </c>
      <c r="N47" s="16" t="str">
        <f>IF(Planning!$I50=0,F47&amp;G47,"")</f>
        <v>Borussia Mönchengladbach1. FSV Mainz 05</v>
      </c>
      <c r="O47" s="7">
        <f>IF(AND(Results!$Z$6&gt;0,$E47-1&gt;=Results!$Z$6*Calc!$F$26),0,IF(AND(F47&lt;&gt;"",G47&lt;&gt;"",F47&lt;&gt;G47,Results!$R52&lt;&gt;"",Results!$T52&lt;&gt;""),1,0))</f>
        <v>1</v>
      </c>
      <c r="P47" s="7" t="str">
        <f>IF(AND(O47&gt;0,Planning!$I50=0),V47&amp;Language!$E$90&amp;W47,"")</f>
        <v>39 - 50</v>
      </c>
      <c r="Q47" s="2" t="str">
        <f>IF(Planning!$I50=1,F47&amp;G47,"")</f>
        <v/>
      </c>
      <c r="R47" s="88" t="str">
        <f>IF(AND(O47&gt;0,Planning!$I50=1),V47&amp;Language!$E$90&amp;W47,"")</f>
        <v/>
      </c>
      <c r="S47" s="122" t="str">
        <f>IF(O47&gt;0,X47&amp;Language!$E$90&amp;Y47,"")</f>
        <v>0 - 2</v>
      </c>
      <c r="T47" s="290">
        <f>IF($H47="",0,Results!$U52)</f>
        <v>0</v>
      </c>
      <c r="U47" s="291">
        <f>IF($I47="",0,Results!$V52)</f>
        <v>0</v>
      </c>
      <c r="V47" s="270">
        <f t="shared" si="0"/>
        <v>39</v>
      </c>
      <c r="W47" s="291">
        <f t="shared" si="1"/>
        <v>50</v>
      </c>
      <c r="X47" s="270">
        <f>IF($O47=0,0,IF(Results!$R52="",0,Results!$R52))</f>
        <v>0</v>
      </c>
      <c r="Y47" s="291">
        <f>IF($O47=0,0,IF(Results!$T52="",0,Results!$T52))</f>
        <v>2</v>
      </c>
      <c r="Z47" s="270">
        <f>IF($O47=0,"",IF($X47&gt;$Y47,Settings!$C$4,IF($X47=$Y47,1,0)))</f>
        <v>0</v>
      </c>
      <c r="AA47" s="291">
        <f>IF($O47=0,"",IF($X47&lt;$Y47,Settings!$C$4,IF($X47=$Y47,1,0)))</f>
        <v>2</v>
      </c>
    </row>
    <row r="48" spans="2:27" x14ac:dyDescent="0.2">
      <c r="B48" s="2"/>
      <c r="C48" s="2"/>
      <c r="D48" s="2"/>
      <c r="E48" s="266">
        <v>45</v>
      </c>
      <c r="F48" s="171" t="str">
        <f>Planning!$Q51</f>
        <v>Bayer 04 Leverkusen</v>
      </c>
      <c r="G48" s="348" t="str">
        <f>Planning!$S51</f>
        <v>Borussia Dortmund</v>
      </c>
      <c r="H48" s="344">
        <f>IF(AND(Results!$I53&lt;&gt;"",Results!$K53&lt;&gt;"",Results!$F53&lt;&gt;Results!$H53,$F48&lt;&gt;"",$G48&lt;&gt;""),Results!$I53,"")</f>
        <v>14</v>
      </c>
      <c r="I48" s="343">
        <f>IF(AND(Results!$I53&lt;&gt;"",Results!$K53&lt;&gt;"",Results!$F53&lt;&gt;Results!$H53,$F48&lt;&gt;"",$G48&lt;&gt;""),Results!$K53,"")</f>
        <v>25</v>
      </c>
      <c r="J48" s="344">
        <f>IF(AND(Results!$L53&lt;&gt;"",Results!$N53&lt;&gt;"",Results!$F53&lt;&gt;Results!$H53,$F48&lt;&gt;"",$G48&lt;&gt;""),Results!$L53,"")</f>
        <v>12</v>
      </c>
      <c r="K48" s="343">
        <f>IF(AND(Results!$L53&lt;&gt;"",Results!$N53&lt;&gt;"",Results!$F53&lt;&gt;Results!$H53,$F48&lt;&gt;"",$G48&lt;&gt;""),Results!$N53,"")</f>
        <v>25</v>
      </c>
      <c r="L48" s="344" t="str">
        <f>IF(AND(Results!$O53&lt;&gt;"",Results!$Q53&lt;&gt;"",Results!$F53&lt;&gt;Results!$H53,$F48&lt;&gt;"",$G48&lt;&gt;""),Results!$O53,"")</f>
        <v/>
      </c>
      <c r="M48" s="122" t="str">
        <f>IF(AND(Results!$O53&lt;&gt;"",Results!$Q53&lt;&gt;"",Results!$F53&lt;&gt;Results!$H53,$F48&lt;&gt;"",$G48&lt;&gt;""),Results!$Q53,"")</f>
        <v/>
      </c>
      <c r="N48" s="16" t="str">
        <f>IF(Planning!$I51=0,F48&amp;G48,"")</f>
        <v>Bayer 04 LeverkusenBorussia Dortmund</v>
      </c>
      <c r="O48" s="7">
        <f>IF(AND(Results!$Z$6&gt;0,$E48-1&gt;=Results!$Z$6*Calc!$F$26),0,IF(AND(F48&lt;&gt;"",G48&lt;&gt;"",F48&lt;&gt;G48,Results!$R53&lt;&gt;"",Results!$T53&lt;&gt;""),1,0))</f>
        <v>1</v>
      </c>
      <c r="P48" s="7" t="str">
        <f>IF(AND(O48&gt;0,Planning!$I51=0),V48&amp;Language!$E$90&amp;W48,"")</f>
        <v>26 - 50</v>
      </c>
      <c r="Q48" s="2" t="str">
        <f>IF(Planning!$I51=1,F48&amp;G48,"")</f>
        <v/>
      </c>
      <c r="R48" s="88" t="str">
        <f>IF(AND(O48&gt;0,Planning!$I51=1),V48&amp;Language!$E$90&amp;W48,"")</f>
        <v/>
      </c>
      <c r="S48" s="122" t="str">
        <f>IF(O48&gt;0,X48&amp;Language!$E$90&amp;Y48,"")</f>
        <v>0 - 2</v>
      </c>
      <c r="T48" s="290">
        <f>IF($H48="",0,Results!$U53)</f>
        <v>0</v>
      </c>
      <c r="U48" s="291">
        <f>IF($I48="",0,Results!$V53)</f>
        <v>0</v>
      </c>
      <c r="V48" s="270">
        <f t="shared" si="0"/>
        <v>26</v>
      </c>
      <c r="W48" s="291">
        <f t="shared" si="1"/>
        <v>50</v>
      </c>
      <c r="X48" s="270">
        <f>IF($O48=0,0,IF(Results!$R53="",0,Results!$R53))</f>
        <v>0</v>
      </c>
      <c r="Y48" s="291">
        <f>IF($O48=0,0,IF(Results!$T53="",0,Results!$T53))</f>
        <v>2</v>
      </c>
      <c r="Z48" s="270">
        <f>IF($O48=0,"",IF($X48&gt;$Y48,Settings!$C$4,IF($X48=$Y48,1,0)))</f>
        <v>0</v>
      </c>
      <c r="AA48" s="291">
        <f>IF($O48=0,"",IF($X48&lt;$Y48,Settings!$C$4,IF($X48=$Y48,1,0)))</f>
        <v>2</v>
      </c>
    </row>
    <row r="49" spans="2:27" x14ac:dyDescent="0.2">
      <c r="B49" s="2"/>
      <c r="C49" s="2"/>
      <c r="D49" s="2"/>
      <c r="E49" s="266">
        <v>46</v>
      </c>
      <c r="F49" s="171" t="str">
        <f>Planning!$Q52</f>
        <v>RB Leipzig</v>
      </c>
      <c r="G49" s="348" t="str">
        <f>Planning!$S52</f>
        <v>1. FC Heidenheim 1846</v>
      </c>
      <c r="H49" s="344" t="str">
        <f>IF(AND(Results!$I54&lt;&gt;"",Results!$K54&lt;&gt;"",Results!$F54&lt;&gt;Results!$H54,$F49&lt;&gt;"",$G49&lt;&gt;""),Results!$I54,"")</f>
        <v/>
      </c>
      <c r="I49" s="343" t="str">
        <f>IF(AND(Results!$I54&lt;&gt;"",Results!$K54&lt;&gt;"",Results!$F54&lt;&gt;Results!$H54,$F49&lt;&gt;"",$G49&lt;&gt;""),Results!$K54,"")</f>
        <v/>
      </c>
      <c r="J49" s="344" t="str">
        <f>IF(AND(Results!$L54&lt;&gt;"",Results!$N54&lt;&gt;"",Results!$F54&lt;&gt;Results!$H54,$F49&lt;&gt;"",$G49&lt;&gt;""),Results!$L54,"")</f>
        <v/>
      </c>
      <c r="K49" s="343" t="str">
        <f>IF(AND(Results!$L54&lt;&gt;"",Results!$N54&lt;&gt;"",Results!$F54&lt;&gt;Results!$H54,$F49&lt;&gt;"",$G49&lt;&gt;""),Results!$N54,"")</f>
        <v/>
      </c>
      <c r="L49" s="344" t="str">
        <f>IF(AND(Results!$O54&lt;&gt;"",Results!$Q54&lt;&gt;"",Results!$F54&lt;&gt;Results!$H54,$F49&lt;&gt;"",$G49&lt;&gt;""),Results!$O54,"")</f>
        <v/>
      </c>
      <c r="M49" s="122" t="str">
        <f>IF(AND(Results!$O54&lt;&gt;"",Results!$Q54&lt;&gt;"",Results!$F54&lt;&gt;Results!$H54,$F49&lt;&gt;"",$G49&lt;&gt;""),Results!$Q54,"")</f>
        <v/>
      </c>
      <c r="N49" s="16" t="str">
        <f>IF(Planning!$I52=0,F49&amp;G49,"")</f>
        <v>RB Leipzig1. FC Heidenheim 1846</v>
      </c>
      <c r="O49" s="7">
        <f>IF(AND(Results!$Z$6&gt;0,$E49-1&gt;=Results!$Z$6*Calc!$F$26),0,IF(AND(F49&lt;&gt;"",G49&lt;&gt;"",F49&lt;&gt;G49,Results!$R54&lt;&gt;"",Results!$T54&lt;&gt;""),1,0))</f>
        <v>0</v>
      </c>
      <c r="P49" s="7" t="str">
        <f>IF(AND(O49&gt;0,Planning!$I52=0),V49&amp;Language!$E$90&amp;W49,"")</f>
        <v/>
      </c>
      <c r="Q49" s="2" t="str">
        <f>IF(Planning!$I52=1,F49&amp;G49,"")</f>
        <v/>
      </c>
      <c r="R49" s="88" t="str">
        <f>IF(AND(O49&gt;0,Planning!$I52=1),V49&amp;Language!$E$90&amp;W49,"")</f>
        <v/>
      </c>
      <c r="S49" s="122" t="str">
        <f>IF(O49&gt;0,X49&amp;Language!$E$90&amp;Y49,"")</f>
        <v/>
      </c>
      <c r="T49" s="290">
        <f>IF($H49="",0,Results!$U54)</f>
        <v>0</v>
      </c>
      <c r="U49" s="291">
        <f>IF($I49="",0,Results!$V54)</f>
        <v>0</v>
      </c>
      <c r="V49" s="270" t="str">
        <f t="shared" si="0"/>
        <v/>
      </c>
      <c r="W49" s="291" t="str">
        <f t="shared" si="1"/>
        <v/>
      </c>
      <c r="X49" s="270">
        <f>IF($O49=0,0,IF(Results!$R54="",0,Results!$R54))</f>
        <v>0</v>
      </c>
      <c r="Y49" s="291">
        <f>IF($O49=0,0,IF(Results!$T54="",0,Results!$T54))</f>
        <v>0</v>
      </c>
      <c r="Z49" s="270" t="str">
        <f>IF($O49=0,"",IF($X49&gt;$Y49,Settings!$C$4,IF($X49=$Y49,1,0)))</f>
        <v/>
      </c>
      <c r="AA49" s="291" t="str">
        <f>IF($O49=0,"",IF($X49&lt;$Y49,Settings!$C$4,IF($X49=$Y49,1,0)))</f>
        <v/>
      </c>
    </row>
    <row r="50" spans="2:27" x14ac:dyDescent="0.2">
      <c r="B50" s="2"/>
      <c r="C50" s="2"/>
      <c r="D50" s="2"/>
      <c r="E50" s="266">
        <v>47</v>
      </c>
      <c r="F50" s="171" t="str">
        <f>Planning!$Q53</f>
        <v>Hamburger SV</v>
      </c>
      <c r="G50" s="348" t="str">
        <f>Planning!$S53</f>
        <v>SC Freiburg</v>
      </c>
      <c r="H50" s="344" t="str">
        <f>IF(AND(Results!$I55&lt;&gt;"",Results!$K55&lt;&gt;"",Results!$F55&lt;&gt;Results!$H55,$F50&lt;&gt;"",$G50&lt;&gt;""),Results!$I55,"")</f>
        <v/>
      </c>
      <c r="I50" s="343" t="str">
        <f>IF(AND(Results!$I55&lt;&gt;"",Results!$K55&lt;&gt;"",Results!$F55&lt;&gt;Results!$H55,$F50&lt;&gt;"",$G50&lt;&gt;""),Results!$K55,"")</f>
        <v/>
      </c>
      <c r="J50" s="344" t="str">
        <f>IF(AND(Results!$L55&lt;&gt;"",Results!$N55&lt;&gt;"",Results!$F55&lt;&gt;Results!$H55,$F50&lt;&gt;"",$G50&lt;&gt;""),Results!$L55,"")</f>
        <v/>
      </c>
      <c r="K50" s="343" t="str">
        <f>IF(AND(Results!$L55&lt;&gt;"",Results!$N55&lt;&gt;"",Results!$F55&lt;&gt;Results!$H55,$F50&lt;&gt;"",$G50&lt;&gt;""),Results!$N55,"")</f>
        <v/>
      </c>
      <c r="L50" s="344" t="str">
        <f>IF(AND(Results!$O55&lt;&gt;"",Results!$Q55&lt;&gt;"",Results!$F55&lt;&gt;Results!$H55,$F50&lt;&gt;"",$G50&lt;&gt;""),Results!$O55,"")</f>
        <v/>
      </c>
      <c r="M50" s="122" t="str">
        <f>IF(AND(Results!$O55&lt;&gt;"",Results!$Q55&lt;&gt;"",Results!$F55&lt;&gt;Results!$H55,$F50&lt;&gt;"",$G50&lt;&gt;""),Results!$Q55,"")</f>
        <v/>
      </c>
      <c r="N50" s="16" t="str">
        <f>IF(Planning!$I53=0,F50&amp;G50,"")</f>
        <v>Hamburger SVSC Freiburg</v>
      </c>
      <c r="O50" s="7">
        <f>IF(AND(Results!$Z$6&gt;0,$E50-1&gt;=Results!$Z$6*Calc!$F$26),0,IF(AND(F50&lt;&gt;"",G50&lt;&gt;"",F50&lt;&gt;G50,Results!$R55&lt;&gt;"",Results!$T55&lt;&gt;""),1,0))</f>
        <v>0</v>
      </c>
      <c r="P50" s="7" t="str">
        <f>IF(AND(O50&gt;0,Planning!$I53=0),V50&amp;Language!$E$90&amp;W50,"")</f>
        <v/>
      </c>
      <c r="Q50" s="2" t="str">
        <f>IF(Planning!$I53=1,F50&amp;G50,"")</f>
        <v/>
      </c>
      <c r="R50" s="88" t="str">
        <f>IF(AND(O50&gt;0,Planning!$I53=1),V50&amp;Language!$E$90&amp;W50,"")</f>
        <v/>
      </c>
      <c r="S50" s="122" t="str">
        <f>IF(O50&gt;0,X50&amp;Language!$E$90&amp;Y50,"")</f>
        <v/>
      </c>
      <c r="T50" s="290">
        <f>IF($H50="",0,Results!$U55)</f>
        <v>0</v>
      </c>
      <c r="U50" s="291">
        <f>IF($I50="",0,Results!$V55)</f>
        <v>0</v>
      </c>
      <c r="V50" s="270" t="str">
        <f t="shared" si="0"/>
        <v/>
      </c>
      <c r="W50" s="291" t="str">
        <f t="shared" si="1"/>
        <v/>
      </c>
      <c r="X50" s="270">
        <f>IF($O50=0,0,IF(Results!$R55="",0,Results!$R55))</f>
        <v>0</v>
      </c>
      <c r="Y50" s="291">
        <f>IF($O50=0,0,IF(Results!$T55="",0,Results!$T55))</f>
        <v>0</v>
      </c>
      <c r="Z50" s="270" t="str">
        <f>IF($O50=0,"",IF($X50&gt;$Y50,Settings!$C$4,IF($X50=$Y50,1,0)))</f>
        <v/>
      </c>
      <c r="AA50" s="291" t="str">
        <f>IF($O50=0,"",IF($X50&lt;$Y50,Settings!$C$4,IF($X50=$Y50,1,0)))</f>
        <v/>
      </c>
    </row>
    <row r="51" spans="2:27" x14ac:dyDescent="0.2">
      <c r="B51" s="2"/>
      <c r="C51" s="2"/>
      <c r="D51" s="2"/>
      <c r="E51" s="266">
        <v>48</v>
      </c>
      <c r="F51" s="171" t="str">
        <f>Planning!$Q54</f>
        <v>SV Werder Bremen</v>
      </c>
      <c r="G51" s="348" t="str">
        <f>Planning!$S54</f>
        <v>FC St. Pauli</v>
      </c>
      <c r="H51" s="344" t="str">
        <f>IF(AND(Results!$I56&lt;&gt;"",Results!$K56&lt;&gt;"",Results!$F56&lt;&gt;Results!$H56,$F51&lt;&gt;"",$G51&lt;&gt;""),Results!$I56,"")</f>
        <v/>
      </c>
      <c r="I51" s="343" t="str">
        <f>IF(AND(Results!$I56&lt;&gt;"",Results!$K56&lt;&gt;"",Results!$F56&lt;&gt;Results!$H56,$F51&lt;&gt;"",$G51&lt;&gt;""),Results!$K56,"")</f>
        <v/>
      </c>
      <c r="J51" s="344" t="str">
        <f>IF(AND(Results!$L56&lt;&gt;"",Results!$N56&lt;&gt;"",Results!$F56&lt;&gt;Results!$H56,$F51&lt;&gt;"",$G51&lt;&gt;""),Results!$L56,"")</f>
        <v/>
      </c>
      <c r="K51" s="343" t="str">
        <f>IF(AND(Results!$L56&lt;&gt;"",Results!$N56&lt;&gt;"",Results!$F56&lt;&gt;Results!$H56,$F51&lt;&gt;"",$G51&lt;&gt;""),Results!$N56,"")</f>
        <v/>
      </c>
      <c r="L51" s="344" t="str">
        <f>IF(AND(Results!$O56&lt;&gt;"",Results!$Q56&lt;&gt;"",Results!$F56&lt;&gt;Results!$H56,$F51&lt;&gt;"",$G51&lt;&gt;""),Results!$O56,"")</f>
        <v/>
      </c>
      <c r="M51" s="122" t="str">
        <f>IF(AND(Results!$O56&lt;&gt;"",Results!$Q56&lt;&gt;"",Results!$F56&lt;&gt;Results!$H56,$F51&lt;&gt;"",$G51&lt;&gt;""),Results!$Q56,"")</f>
        <v/>
      </c>
      <c r="N51" s="16" t="str">
        <f>IF(Planning!$I54=0,F51&amp;G51,"")</f>
        <v>SV Werder BremenFC St. Pauli</v>
      </c>
      <c r="O51" s="7">
        <f>IF(AND(Results!$Z$6&gt;0,$E51-1&gt;=Results!$Z$6*Calc!$F$26),0,IF(AND(F51&lt;&gt;"",G51&lt;&gt;"",F51&lt;&gt;G51,Results!$R56&lt;&gt;"",Results!$T56&lt;&gt;""),1,0))</f>
        <v>0</v>
      </c>
      <c r="P51" s="7" t="str">
        <f>IF(AND(O51&gt;0,Planning!$I54=0),V51&amp;Language!$E$90&amp;W51,"")</f>
        <v/>
      </c>
      <c r="Q51" s="2" t="str">
        <f>IF(Planning!$I54=1,F51&amp;G51,"")</f>
        <v/>
      </c>
      <c r="R51" s="88" t="str">
        <f>IF(AND(O51&gt;0,Planning!$I54=1),V51&amp;Language!$E$90&amp;W51,"")</f>
        <v/>
      </c>
      <c r="S51" s="122" t="str">
        <f>IF(O51&gt;0,X51&amp;Language!$E$90&amp;Y51,"")</f>
        <v/>
      </c>
      <c r="T51" s="290">
        <f>IF($H51="",0,Results!$U56)</f>
        <v>0</v>
      </c>
      <c r="U51" s="291">
        <f>IF($I51="",0,Results!$V56)</f>
        <v>0</v>
      </c>
      <c r="V51" s="270" t="str">
        <f t="shared" si="0"/>
        <v/>
      </c>
      <c r="W51" s="291" t="str">
        <f t="shared" si="1"/>
        <v/>
      </c>
      <c r="X51" s="270">
        <f>IF($O51=0,0,IF(Results!$R56="",0,Results!$R56))</f>
        <v>0</v>
      </c>
      <c r="Y51" s="291">
        <f>IF($O51=0,0,IF(Results!$T56="",0,Results!$T56))</f>
        <v>0</v>
      </c>
      <c r="Z51" s="270" t="str">
        <f>IF($O51=0,"",IF($X51&gt;$Y51,Settings!$C$4,IF($X51=$Y51,1,0)))</f>
        <v/>
      </c>
      <c r="AA51" s="291" t="str">
        <f>IF($O51=0,"",IF($X51&lt;$Y51,Settings!$C$4,IF($X51=$Y51,1,0)))</f>
        <v/>
      </c>
    </row>
    <row r="52" spans="2:27" x14ac:dyDescent="0.2">
      <c r="B52" s="2"/>
      <c r="C52" s="2"/>
      <c r="D52" s="2"/>
      <c r="E52" s="266">
        <v>49</v>
      </c>
      <c r="F52" s="171" t="str">
        <f>Planning!$Q55</f>
        <v>FC Bayern München</v>
      </c>
      <c r="G52" s="348" t="str">
        <f>Planning!$S55</f>
        <v>TSG Hoffenheim</v>
      </c>
      <c r="H52" s="344" t="str">
        <f>IF(AND(Results!$I57&lt;&gt;"",Results!$K57&lt;&gt;"",Results!$F57&lt;&gt;Results!$H57,$F52&lt;&gt;"",$G52&lt;&gt;""),Results!$I57,"")</f>
        <v/>
      </c>
      <c r="I52" s="343" t="str">
        <f>IF(AND(Results!$I57&lt;&gt;"",Results!$K57&lt;&gt;"",Results!$F57&lt;&gt;Results!$H57,$F52&lt;&gt;"",$G52&lt;&gt;""),Results!$K57,"")</f>
        <v/>
      </c>
      <c r="J52" s="344" t="str">
        <f>IF(AND(Results!$L57&lt;&gt;"",Results!$N57&lt;&gt;"",Results!$F57&lt;&gt;Results!$H57,$F52&lt;&gt;"",$G52&lt;&gt;""),Results!$L57,"")</f>
        <v/>
      </c>
      <c r="K52" s="343" t="str">
        <f>IF(AND(Results!$L57&lt;&gt;"",Results!$N57&lt;&gt;"",Results!$F57&lt;&gt;Results!$H57,$F52&lt;&gt;"",$G52&lt;&gt;""),Results!$N57,"")</f>
        <v/>
      </c>
      <c r="L52" s="344" t="str">
        <f>IF(AND(Results!$O57&lt;&gt;"",Results!$Q57&lt;&gt;"",Results!$F57&lt;&gt;Results!$H57,$F52&lt;&gt;"",$G52&lt;&gt;""),Results!$O57,"")</f>
        <v/>
      </c>
      <c r="M52" s="122" t="str">
        <f>IF(AND(Results!$O57&lt;&gt;"",Results!$Q57&lt;&gt;"",Results!$F57&lt;&gt;Results!$H57,$F52&lt;&gt;"",$G52&lt;&gt;""),Results!$Q57,"")</f>
        <v/>
      </c>
      <c r="N52" s="16" t="str">
        <f>IF(Planning!$I55=0,F52&amp;G52,"")</f>
        <v>FC Bayern MünchenTSG Hoffenheim</v>
      </c>
      <c r="O52" s="7">
        <f>IF(AND(Results!$Z$6&gt;0,$E52-1&gt;=Results!$Z$6*Calc!$F$26),0,IF(AND(F52&lt;&gt;"",G52&lt;&gt;"",F52&lt;&gt;G52,Results!$R57&lt;&gt;"",Results!$T57&lt;&gt;""),1,0))</f>
        <v>0</v>
      </c>
      <c r="P52" s="7" t="str">
        <f>IF(AND(O52&gt;0,Planning!$I55=0),V52&amp;Language!$E$90&amp;W52,"")</f>
        <v/>
      </c>
      <c r="Q52" s="2" t="str">
        <f>IF(Planning!$I55=1,F52&amp;G52,"")</f>
        <v/>
      </c>
      <c r="R52" s="88" t="str">
        <f>IF(AND(O52&gt;0,Planning!$I55=1),V52&amp;Language!$E$90&amp;W52,"")</f>
        <v/>
      </c>
      <c r="S52" s="122" t="str">
        <f>IF(O52&gt;0,X52&amp;Language!$E$90&amp;Y52,"")</f>
        <v/>
      </c>
      <c r="T52" s="290">
        <f>IF($H52="",0,Results!$U57)</f>
        <v>0</v>
      </c>
      <c r="U52" s="291">
        <f>IF($I52="",0,Results!$V57)</f>
        <v>0</v>
      </c>
      <c r="V52" s="270" t="str">
        <f t="shared" si="0"/>
        <v/>
      </c>
      <c r="W52" s="291" t="str">
        <f t="shared" si="1"/>
        <v/>
      </c>
      <c r="X52" s="270">
        <f>IF($O52=0,0,IF(Results!$R57="",0,Results!$R57))</f>
        <v>0</v>
      </c>
      <c r="Y52" s="291">
        <f>IF($O52=0,0,IF(Results!$T57="",0,Results!$T57))</f>
        <v>0</v>
      </c>
      <c r="Z52" s="270" t="str">
        <f>IF($O52=0,"",IF($X52&gt;$Y52,Settings!$C$4,IF($X52=$Y52,1,0)))</f>
        <v/>
      </c>
      <c r="AA52" s="291" t="str">
        <f>IF($O52=0,"",IF($X52&lt;$Y52,Settings!$C$4,IF($X52=$Y52,1,0)))</f>
        <v/>
      </c>
    </row>
    <row r="53" spans="2:27" x14ac:dyDescent="0.2">
      <c r="B53" s="2"/>
      <c r="C53" s="2"/>
      <c r="D53" s="2"/>
      <c r="E53" s="266">
        <v>50</v>
      </c>
      <c r="F53" s="171" t="str">
        <f>Planning!$Q56</f>
        <v>VfB Stuttgart</v>
      </c>
      <c r="G53" s="348" t="str">
        <f>Planning!$S56</f>
        <v>FC Augsburg</v>
      </c>
      <c r="H53" s="344" t="str">
        <f>IF(AND(Results!$I58&lt;&gt;"",Results!$K58&lt;&gt;"",Results!$F58&lt;&gt;Results!$H58,$F53&lt;&gt;"",$G53&lt;&gt;""),Results!$I58,"")</f>
        <v/>
      </c>
      <c r="I53" s="343" t="str">
        <f>IF(AND(Results!$I58&lt;&gt;"",Results!$K58&lt;&gt;"",Results!$F58&lt;&gt;Results!$H58,$F53&lt;&gt;"",$G53&lt;&gt;""),Results!$K58,"")</f>
        <v/>
      </c>
      <c r="J53" s="344" t="str">
        <f>IF(AND(Results!$L58&lt;&gt;"",Results!$N58&lt;&gt;"",Results!$F58&lt;&gt;Results!$H58,$F53&lt;&gt;"",$G53&lt;&gt;""),Results!$L58,"")</f>
        <v/>
      </c>
      <c r="K53" s="343" t="str">
        <f>IF(AND(Results!$L58&lt;&gt;"",Results!$N58&lt;&gt;"",Results!$F58&lt;&gt;Results!$H58,$F53&lt;&gt;"",$G53&lt;&gt;""),Results!$N58,"")</f>
        <v/>
      </c>
      <c r="L53" s="344" t="str">
        <f>IF(AND(Results!$O58&lt;&gt;"",Results!$Q58&lt;&gt;"",Results!$F58&lt;&gt;Results!$H58,$F53&lt;&gt;"",$G53&lt;&gt;""),Results!$O58,"")</f>
        <v/>
      </c>
      <c r="M53" s="122" t="str">
        <f>IF(AND(Results!$O58&lt;&gt;"",Results!$Q58&lt;&gt;"",Results!$F58&lt;&gt;Results!$H58,$F53&lt;&gt;"",$G53&lt;&gt;""),Results!$Q58,"")</f>
        <v/>
      </c>
      <c r="N53" s="16" t="str">
        <f>IF(Planning!$I56=0,F53&amp;G53,"")</f>
        <v>VfB StuttgartFC Augsburg</v>
      </c>
      <c r="O53" s="7">
        <f>IF(AND(Results!$Z$6&gt;0,$E53-1&gt;=Results!$Z$6*Calc!$F$26),0,IF(AND(F53&lt;&gt;"",G53&lt;&gt;"",F53&lt;&gt;G53,Results!$R58&lt;&gt;"",Results!$T58&lt;&gt;""),1,0))</f>
        <v>0</v>
      </c>
      <c r="P53" s="7" t="str">
        <f>IF(AND(O53&gt;0,Planning!$I56=0),V53&amp;Language!$E$90&amp;W53,"")</f>
        <v/>
      </c>
      <c r="Q53" s="2" t="str">
        <f>IF(Planning!$I56=1,F53&amp;G53,"")</f>
        <v/>
      </c>
      <c r="R53" s="88" t="str">
        <f>IF(AND(O53&gt;0,Planning!$I56=1),V53&amp;Language!$E$90&amp;W53,"")</f>
        <v/>
      </c>
      <c r="S53" s="122" t="str">
        <f>IF(O53&gt;0,X53&amp;Language!$E$90&amp;Y53,"")</f>
        <v/>
      </c>
      <c r="T53" s="290">
        <f>IF($H53="",0,Results!$U58)</f>
        <v>0</v>
      </c>
      <c r="U53" s="291">
        <f>IF($I53="",0,Results!$V58)</f>
        <v>0</v>
      </c>
      <c r="V53" s="270" t="str">
        <f t="shared" si="0"/>
        <v/>
      </c>
      <c r="W53" s="291" t="str">
        <f t="shared" si="1"/>
        <v/>
      </c>
      <c r="X53" s="270">
        <f>IF($O53=0,0,IF(Results!$R58="",0,Results!$R58))</f>
        <v>0</v>
      </c>
      <c r="Y53" s="291">
        <f>IF($O53=0,0,IF(Results!$T58="",0,Results!$T58))</f>
        <v>0</v>
      </c>
      <c r="Z53" s="270" t="str">
        <f>IF($O53=0,"",IF($X53&gt;$Y53,Settings!$C$4,IF($X53=$Y53,1,0)))</f>
        <v/>
      </c>
      <c r="AA53" s="291" t="str">
        <f>IF($O53=0,"",IF($X53&lt;$Y53,Settings!$C$4,IF($X53=$Y53,1,0)))</f>
        <v/>
      </c>
    </row>
    <row r="54" spans="2:27" x14ac:dyDescent="0.2">
      <c r="B54" s="2"/>
      <c r="C54" s="2"/>
      <c r="D54" s="2"/>
      <c r="E54" s="266">
        <v>51</v>
      </c>
      <c r="F54" s="171" t="str">
        <f>Planning!$Q57</f>
        <v>Eintracht Frankfurt</v>
      </c>
      <c r="G54" s="348" t="str">
        <f>Planning!$S57</f>
        <v>VfL Wolfsburg</v>
      </c>
      <c r="H54" s="344" t="str">
        <f>IF(AND(Results!$I59&lt;&gt;"",Results!$K59&lt;&gt;"",Results!$F59&lt;&gt;Results!$H59,$F54&lt;&gt;"",$G54&lt;&gt;""),Results!$I59,"")</f>
        <v/>
      </c>
      <c r="I54" s="343" t="str">
        <f>IF(AND(Results!$I59&lt;&gt;"",Results!$K59&lt;&gt;"",Results!$F59&lt;&gt;Results!$H59,$F54&lt;&gt;"",$G54&lt;&gt;""),Results!$K59,"")</f>
        <v/>
      </c>
      <c r="J54" s="344" t="str">
        <f>IF(AND(Results!$L59&lt;&gt;"",Results!$N59&lt;&gt;"",Results!$F59&lt;&gt;Results!$H59,$F54&lt;&gt;"",$G54&lt;&gt;""),Results!$L59,"")</f>
        <v/>
      </c>
      <c r="K54" s="343" t="str">
        <f>IF(AND(Results!$L59&lt;&gt;"",Results!$N59&lt;&gt;"",Results!$F59&lt;&gt;Results!$H59,$F54&lt;&gt;"",$G54&lt;&gt;""),Results!$N59,"")</f>
        <v/>
      </c>
      <c r="L54" s="344" t="str">
        <f>IF(AND(Results!$O59&lt;&gt;"",Results!$Q59&lt;&gt;"",Results!$F59&lt;&gt;Results!$H59,$F54&lt;&gt;"",$G54&lt;&gt;""),Results!$O59,"")</f>
        <v/>
      </c>
      <c r="M54" s="122" t="str">
        <f>IF(AND(Results!$O59&lt;&gt;"",Results!$Q59&lt;&gt;"",Results!$F59&lt;&gt;Results!$H59,$F54&lt;&gt;"",$G54&lt;&gt;""),Results!$Q59,"")</f>
        <v/>
      </c>
      <c r="N54" s="16" t="str">
        <f>IF(Planning!$I57=0,F54&amp;G54,"")</f>
        <v>Eintracht FrankfurtVfL Wolfsburg</v>
      </c>
      <c r="O54" s="7">
        <f>IF(AND(Results!$Z$6&gt;0,$E54-1&gt;=Results!$Z$6*Calc!$F$26),0,IF(AND(F54&lt;&gt;"",G54&lt;&gt;"",F54&lt;&gt;G54,Results!$R59&lt;&gt;"",Results!$T59&lt;&gt;""),1,0))</f>
        <v>0</v>
      </c>
      <c r="P54" s="7" t="str">
        <f>IF(AND(O54&gt;0,Planning!$I57=0),V54&amp;Language!$E$90&amp;W54,"")</f>
        <v/>
      </c>
      <c r="Q54" s="2" t="str">
        <f>IF(Planning!$I57=1,F54&amp;G54,"")</f>
        <v/>
      </c>
      <c r="R54" s="88" t="str">
        <f>IF(AND(O54&gt;0,Planning!$I57=1),V54&amp;Language!$E$90&amp;W54,"")</f>
        <v/>
      </c>
      <c r="S54" s="122" t="str">
        <f>IF(O54&gt;0,X54&amp;Language!$E$90&amp;Y54,"")</f>
        <v/>
      </c>
      <c r="T54" s="290">
        <f>IF($H54="",0,Results!$U59)</f>
        <v>0</v>
      </c>
      <c r="U54" s="291">
        <f>IF($I54="",0,Results!$V59)</f>
        <v>0</v>
      </c>
      <c r="V54" s="270" t="str">
        <f t="shared" si="0"/>
        <v/>
      </c>
      <c r="W54" s="291" t="str">
        <f t="shared" si="1"/>
        <v/>
      </c>
      <c r="X54" s="270">
        <f>IF($O54=0,0,IF(Results!$R59="",0,Results!$R59))</f>
        <v>0</v>
      </c>
      <c r="Y54" s="291">
        <f>IF($O54=0,0,IF(Results!$T59="",0,Results!$T59))</f>
        <v>0</v>
      </c>
      <c r="Z54" s="270" t="str">
        <f>IF($O54=0,"",IF($X54&gt;$Y54,Settings!$C$4,IF($X54=$Y54,1,0)))</f>
        <v/>
      </c>
      <c r="AA54" s="291" t="str">
        <f>IF($O54=0,"",IF($X54&lt;$Y54,Settings!$C$4,IF($X54=$Y54,1,0)))</f>
        <v/>
      </c>
    </row>
    <row r="55" spans="2:27" x14ac:dyDescent="0.2">
      <c r="B55" s="2"/>
      <c r="C55" s="2"/>
      <c r="D55" s="2"/>
      <c r="E55" s="266">
        <v>52</v>
      </c>
      <c r="F55" s="171" t="str">
        <f>Planning!$Q58</f>
        <v>1. FC Köln</v>
      </c>
      <c r="G55" s="348" t="str">
        <f>Planning!$S58</f>
        <v>Borussia Mönchengladbach</v>
      </c>
      <c r="H55" s="344" t="str">
        <f>IF(AND(Results!$I60&lt;&gt;"",Results!$K60&lt;&gt;"",Results!$F60&lt;&gt;Results!$H60,$F55&lt;&gt;"",$G55&lt;&gt;""),Results!$I60,"")</f>
        <v/>
      </c>
      <c r="I55" s="343" t="str">
        <f>IF(AND(Results!$I60&lt;&gt;"",Results!$K60&lt;&gt;"",Results!$F60&lt;&gt;Results!$H60,$F55&lt;&gt;"",$G55&lt;&gt;""),Results!$K60,"")</f>
        <v/>
      </c>
      <c r="J55" s="344" t="str">
        <f>IF(AND(Results!$L60&lt;&gt;"",Results!$N60&lt;&gt;"",Results!$F60&lt;&gt;Results!$H60,$F55&lt;&gt;"",$G55&lt;&gt;""),Results!$L60,"")</f>
        <v/>
      </c>
      <c r="K55" s="343" t="str">
        <f>IF(AND(Results!$L60&lt;&gt;"",Results!$N60&lt;&gt;"",Results!$F60&lt;&gt;Results!$H60,$F55&lt;&gt;"",$G55&lt;&gt;""),Results!$N60,"")</f>
        <v/>
      </c>
      <c r="L55" s="344" t="str">
        <f>IF(AND(Results!$O60&lt;&gt;"",Results!$Q60&lt;&gt;"",Results!$F60&lt;&gt;Results!$H60,$F55&lt;&gt;"",$G55&lt;&gt;""),Results!$O60,"")</f>
        <v/>
      </c>
      <c r="M55" s="122" t="str">
        <f>IF(AND(Results!$O60&lt;&gt;"",Results!$Q60&lt;&gt;"",Results!$F60&lt;&gt;Results!$H60,$F55&lt;&gt;"",$G55&lt;&gt;""),Results!$Q60,"")</f>
        <v/>
      </c>
      <c r="N55" s="16" t="str">
        <f>IF(Planning!$I58=0,F55&amp;G55,"")</f>
        <v>1. FC KölnBorussia Mönchengladbach</v>
      </c>
      <c r="O55" s="7">
        <f>IF(AND(Results!$Z$6&gt;0,$E55-1&gt;=Results!$Z$6*Calc!$F$26),0,IF(AND(F55&lt;&gt;"",G55&lt;&gt;"",F55&lt;&gt;G55,Results!$R60&lt;&gt;"",Results!$T60&lt;&gt;""),1,0))</f>
        <v>0</v>
      </c>
      <c r="P55" s="7" t="str">
        <f>IF(AND(O55&gt;0,Planning!$I58=0),V55&amp;Language!$E$90&amp;W55,"")</f>
        <v/>
      </c>
      <c r="Q55" s="2" t="str">
        <f>IF(Planning!$I58=1,F55&amp;G55,"")</f>
        <v/>
      </c>
      <c r="R55" s="88" t="str">
        <f>IF(AND(O55&gt;0,Planning!$I58=1),V55&amp;Language!$E$90&amp;W55,"")</f>
        <v/>
      </c>
      <c r="S55" s="122" t="str">
        <f>IF(O55&gt;0,X55&amp;Language!$E$90&amp;Y55,"")</f>
        <v/>
      </c>
      <c r="T55" s="290">
        <f>IF($H55="",0,Results!$U60)</f>
        <v>0</v>
      </c>
      <c r="U55" s="291">
        <f>IF($I55="",0,Results!$V60)</f>
        <v>0</v>
      </c>
      <c r="V55" s="270" t="str">
        <f t="shared" si="0"/>
        <v/>
      </c>
      <c r="W55" s="291" t="str">
        <f t="shared" si="1"/>
        <v/>
      </c>
      <c r="X55" s="270">
        <f>IF($O55=0,0,IF(Results!$R60="",0,Results!$R60))</f>
        <v>0</v>
      </c>
      <c r="Y55" s="291">
        <f>IF($O55=0,0,IF(Results!$T60="",0,Results!$T60))</f>
        <v>0</v>
      </c>
      <c r="Z55" s="270" t="str">
        <f>IF($O55=0,"",IF($X55&gt;$Y55,Settings!$C$4,IF($X55=$Y55,1,0)))</f>
        <v/>
      </c>
      <c r="AA55" s="291" t="str">
        <f>IF($O55=0,"",IF($X55&lt;$Y55,Settings!$C$4,IF($X55=$Y55,1,0)))</f>
        <v/>
      </c>
    </row>
    <row r="56" spans="2:27" x14ac:dyDescent="0.2">
      <c r="B56" s="2"/>
      <c r="C56" s="2"/>
      <c r="D56" s="2"/>
      <c r="E56" s="266">
        <v>53</v>
      </c>
      <c r="F56" s="171" t="str">
        <f>Planning!$Q59</f>
        <v>Borussia Dortmund</v>
      </c>
      <c r="G56" s="348" t="str">
        <f>Planning!$S59</f>
        <v>1. FC Union Berlin</v>
      </c>
      <c r="H56" s="344" t="str">
        <f>IF(AND(Results!$I61&lt;&gt;"",Results!$K61&lt;&gt;"",Results!$F61&lt;&gt;Results!$H61,$F56&lt;&gt;"",$G56&lt;&gt;""),Results!$I61,"")</f>
        <v/>
      </c>
      <c r="I56" s="343" t="str">
        <f>IF(AND(Results!$I61&lt;&gt;"",Results!$K61&lt;&gt;"",Results!$F61&lt;&gt;Results!$H61,$F56&lt;&gt;"",$G56&lt;&gt;""),Results!$K61,"")</f>
        <v/>
      </c>
      <c r="J56" s="344" t="str">
        <f>IF(AND(Results!$L61&lt;&gt;"",Results!$N61&lt;&gt;"",Results!$F61&lt;&gt;Results!$H61,$F56&lt;&gt;"",$G56&lt;&gt;""),Results!$L61,"")</f>
        <v/>
      </c>
      <c r="K56" s="343" t="str">
        <f>IF(AND(Results!$L61&lt;&gt;"",Results!$N61&lt;&gt;"",Results!$F61&lt;&gt;Results!$H61,$F56&lt;&gt;"",$G56&lt;&gt;""),Results!$N61,"")</f>
        <v/>
      </c>
      <c r="L56" s="344" t="str">
        <f>IF(AND(Results!$O61&lt;&gt;"",Results!$Q61&lt;&gt;"",Results!$F61&lt;&gt;Results!$H61,$F56&lt;&gt;"",$G56&lt;&gt;""),Results!$O61,"")</f>
        <v/>
      </c>
      <c r="M56" s="122" t="str">
        <f>IF(AND(Results!$O61&lt;&gt;"",Results!$Q61&lt;&gt;"",Results!$F61&lt;&gt;Results!$H61,$F56&lt;&gt;"",$G56&lt;&gt;""),Results!$Q61,"")</f>
        <v/>
      </c>
      <c r="N56" s="16" t="str">
        <f>IF(Planning!$I59=0,F56&amp;G56,"")</f>
        <v>Borussia Dortmund1. FC Union Berlin</v>
      </c>
      <c r="O56" s="7">
        <f>IF(AND(Results!$Z$6&gt;0,$E56-1&gt;=Results!$Z$6*Calc!$F$26),0,IF(AND(F56&lt;&gt;"",G56&lt;&gt;"",F56&lt;&gt;G56,Results!$R61&lt;&gt;"",Results!$T61&lt;&gt;""),1,0))</f>
        <v>0</v>
      </c>
      <c r="P56" s="7" t="str">
        <f>IF(AND(O56&gt;0,Planning!$I59=0),V56&amp;Language!$E$90&amp;W56,"")</f>
        <v/>
      </c>
      <c r="Q56" s="2" t="str">
        <f>IF(Planning!$I59=1,F56&amp;G56,"")</f>
        <v/>
      </c>
      <c r="R56" s="88" t="str">
        <f>IF(AND(O56&gt;0,Planning!$I59=1),V56&amp;Language!$E$90&amp;W56,"")</f>
        <v/>
      </c>
      <c r="S56" s="122" t="str">
        <f>IF(O56&gt;0,X56&amp;Language!$E$90&amp;Y56,"")</f>
        <v/>
      </c>
      <c r="T56" s="290">
        <f>IF($H56="",0,Results!$U61)</f>
        <v>0</v>
      </c>
      <c r="U56" s="291">
        <f>IF($I56="",0,Results!$V61)</f>
        <v>0</v>
      </c>
      <c r="V56" s="270" t="str">
        <f t="shared" si="0"/>
        <v/>
      </c>
      <c r="W56" s="291" t="str">
        <f t="shared" si="1"/>
        <v/>
      </c>
      <c r="X56" s="270">
        <f>IF($O56=0,0,IF(Results!$R61="",0,Results!$R61))</f>
        <v>0</v>
      </c>
      <c r="Y56" s="291">
        <f>IF($O56=0,0,IF(Results!$T61="",0,Results!$T61))</f>
        <v>0</v>
      </c>
      <c r="Z56" s="270" t="str">
        <f>IF($O56=0,"",IF($X56&gt;$Y56,Settings!$C$4,IF($X56=$Y56,1,0)))</f>
        <v/>
      </c>
      <c r="AA56" s="291" t="str">
        <f>IF($O56=0,"",IF($X56&lt;$Y56,Settings!$C$4,IF($X56=$Y56,1,0)))</f>
        <v/>
      </c>
    </row>
    <row r="57" spans="2:27" x14ac:dyDescent="0.2">
      <c r="B57" s="2"/>
      <c r="C57" s="2"/>
      <c r="D57" s="2"/>
      <c r="E57" s="266">
        <v>54</v>
      </c>
      <c r="F57" s="171" t="str">
        <f>Planning!$Q60</f>
        <v>1. FSV Mainz 05</v>
      </c>
      <c r="G57" s="348" t="str">
        <f>Planning!$S60</f>
        <v>Bayer 04 Leverkusen</v>
      </c>
      <c r="H57" s="344" t="str">
        <f>IF(AND(Results!$I62&lt;&gt;"",Results!$K62&lt;&gt;"",Results!$F62&lt;&gt;Results!$H62,$F57&lt;&gt;"",$G57&lt;&gt;""),Results!$I62,"")</f>
        <v/>
      </c>
      <c r="I57" s="343" t="str">
        <f>IF(AND(Results!$I62&lt;&gt;"",Results!$K62&lt;&gt;"",Results!$F62&lt;&gt;Results!$H62,$F57&lt;&gt;"",$G57&lt;&gt;""),Results!$K62,"")</f>
        <v/>
      </c>
      <c r="J57" s="344" t="str">
        <f>IF(AND(Results!$L62&lt;&gt;"",Results!$N62&lt;&gt;"",Results!$F62&lt;&gt;Results!$H62,$F57&lt;&gt;"",$G57&lt;&gt;""),Results!$L62,"")</f>
        <v/>
      </c>
      <c r="K57" s="343" t="str">
        <f>IF(AND(Results!$L62&lt;&gt;"",Results!$N62&lt;&gt;"",Results!$F62&lt;&gt;Results!$H62,$F57&lt;&gt;"",$G57&lt;&gt;""),Results!$N62,"")</f>
        <v/>
      </c>
      <c r="L57" s="344" t="str">
        <f>IF(AND(Results!$O62&lt;&gt;"",Results!$Q62&lt;&gt;"",Results!$F62&lt;&gt;Results!$H62,$F57&lt;&gt;"",$G57&lt;&gt;""),Results!$O62,"")</f>
        <v/>
      </c>
      <c r="M57" s="122" t="str">
        <f>IF(AND(Results!$O62&lt;&gt;"",Results!$Q62&lt;&gt;"",Results!$F62&lt;&gt;Results!$H62,$F57&lt;&gt;"",$G57&lt;&gt;""),Results!$Q62,"")</f>
        <v/>
      </c>
      <c r="N57" s="16" t="str">
        <f>IF(Planning!$I60=0,F57&amp;G57,"")</f>
        <v>1. FSV Mainz 05Bayer 04 Leverkusen</v>
      </c>
      <c r="O57" s="7">
        <f>IF(AND(Results!$Z$6&gt;0,$E57-1&gt;=Results!$Z$6*Calc!$F$26),0,IF(AND(F57&lt;&gt;"",G57&lt;&gt;"",F57&lt;&gt;G57,Results!$R62&lt;&gt;"",Results!$T62&lt;&gt;""),1,0))</f>
        <v>0</v>
      </c>
      <c r="P57" s="7" t="str">
        <f>IF(AND(O57&gt;0,Planning!$I60=0),V57&amp;Language!$E$90&amp;W57,"")</f>
        <v/>
      </c>
      <c r="Q57" s="2" t="str">
        <f>IF(Planning!$I60=1,F57&amp;G57,"")</f>
        <v/>
      </c>
      <c r="R57" s="88" t="str">
        <f>IF(AND(O57&gt;0,Planning!$I60=1),V57&amp;Language!$E$90&amp;W57,"")</f>
        <v/>
      </c>
      <c r="S57" s="122" t="str">
        <f>IF(O57&gt;0,X57&amp;Language!$E$90&amp;Y57,"")</f>
        <v/>
      </c>
      <c r="T57" s="290">
        <f>IF($H57="",0,Results!$U62)</f>
        <v>0</v>
      </c>
      <c r="U57" s="291">
        <f>IF($I57="",0,Results!$V62)</f>
        <v>0</v>
      </c>
      <c r="V57" s="270" t="str">
        <f t="shared" si="0"/>
        <v/>
      </c>
      <c r="W57" s="291" t="str">
        <f t="shared" si="1"/>
        <v/>
      </c>
      <c r="X57" s="270">
        <f>IF($O57=0,0,IF(Results!$R62="",0,Results!$R62))</f>
        <v>0</v>
      </c>
      <c r="Y57" s="291">
        <f>IF($O57=0,0,IF(Results!$T62="",0,Results!$T62))</f>
        <v>0</v>
      </c>
      <c r="Z57" s="270" t="str">
        <f>IF($O57=0,"",IF($X57&gt;$Y57,Settings!$C$4,IF($X57=$Y57,1,0)))</f>
        <v/>
      </c>
      <c r="AA57" s="291" t="str">
        <f>IF($O57=0,"",IF($X57&lt;$Y57,Settings!$C$4,IF($X57=$Y57,1,0)))</f>
        <v/>
      </c>
    </row>
    <row r="58" spans="2:27" x14ac:dyDescent="0.2">
      <c r="B58" s="2"/>
      <c r="C58" s="2"/>
      <c r="D58" s="2"/>
      <c r="E58" s="266">
        <v>55</v>
      </c>
      <c r="F58" s="171" t="str">
        <f>Planning!$Q61</f>
        <v>1. FC Heidenheim 1846</v>
      </c>
      <c r="G58" s="348" t="str">
        <f>Planning!$S61</f>
        <v>Hamburger SV</v>
      </c>
      <c r="H58" s="344" t="str">
        <f>IF(AND(Results!$I63&lt;&gt;"",Results!$K63&lt;&gt;"",Results!$F63&lt;&gt;Results!$H63,$F58&lt;&gt;"",$G58&lt;&gt;""),Results!$I63,"")</f>
        <v/>
      </c>
      <c r="I58" s="343" t="str">
        <f>IF(AND(Results!$I63&lt;&gt;"",Results!$K63&lt;&gt;"",Results!$F63&lt;&gt;Results!$H63,$F58&lt;&gt;"",$G58&lt;&gt;""),Results!$K63,"")</f>
        <v/>
      </c>
      <c r="J58" s="344" t="str">
        <f>IF(AND(Results!$L63&lt;&gt;"",Results!$N63&lt;&gt;"",Results!$F63&lt;&gt;Results!$H63,$F58&lt;&gt;"",$G58&lt;&gt;""),Results!$L63,"")</f>
        <v/>
      </c>
      <c r="K58" s="343" t="str">
        <f>IF(AND(Results!$L63&lt;&gt;"",Results!$N63&lt;&gt;"",Results!$F63&lt;&gt;Results!$H63,$F58&lt;&gt;"",$G58&lt;&gt;""),Results!$N63,"")</f>
        <v/>
      </c>
      <c r="L58" s="344" t="str">
        <f>IF(AND(Results!$O63&lt;&gt;"",Results!$Q63&lt;&gt;"",Results!$F63&lt;&gt;Results!$H63,$F58&lt;&gt;"",$G58&lt;&gt;""),Results!$O63,"")</f>
        <v/>
      </c>
      <c r="M58" s="122" t="str">
        <f>IF(AND(Results!$O63&lt;&gt;"",Results!$Q63&lt;&gt;"",Results!$F63&lt;&gt;Results!$H63,$F58&lt;&gt;"",$G58&lt;&gt;""),Results!$Q63,"")</f>
        <v/>
      </c>
      <c r="N58" s="16" t="str">
        <f>IF(Planning!$I61=0,F58&amp;G58,"")</f>
        <v>1. FC Heidenheim 1846Hamburger SV</v>
      </c>
      <c r="O58" s="7">
        <f>IF(AND(Results!$Z$6&gt;0,$E58-1&gt;=Results!$Z$6*Calc!$F$26),0,IF(AND(F58&lt;&gt;"",G58&lt;&gt;"",F58&lt;&gt;G58,Results!$R63&lt;&gt;"",Results!$T63&lt;&gt;""),1,0))</f>
        <v>0</v>
      </c>
      <c r="P58" s="7" t="str">
        <f>IF(AND(O58&gt;0,Planning!$I61=0),V58&amp;Language!$E$90&amp;W58,"")</f>
        <v/>
      </c>
      <c r="Q58" s="2" t="str">
        <f>IF(Planning!$I61=1,F58&amp;G58,"")</f>
        <v/>
      </c>
      <c r="R58" s="88" t="str">
        <f>IF(AND(O58&gt;0,Planning!$I61=1),V58&amp;Language!$E$90&amp;W58,"")</f>
        <v/>
      </c>
      <c r="S58" s="122" t="str">
        <f>IF(O58&gt;0,X58&amp;Language!$E$90&amp;Y58,"")</f>
        <v/>
      </c>
      <c r="T58" s="290">
        <f>IF($H58="",0,Results!$U63)</f>
        <v>0</v>
      </c>
      <c r="U58" s="291">
        <f>IF($I58="",0,Results!$V63)</f>
        <v>0</v>
      </c>
      <c r="V58" s="270" t="str">
        <f t="shared" si="0"/>
        <v/>
      </c>
      <c r="W58" s="291" t="str">
        <f t="shared" si="1"/>
        <v/>
      </c>
      <c r="X58" s="270">
        <f>IF($O58=0,0,IF(Results!$R63="",0,Results!$R63))</f>
        <v>0</v>
      </c>
      <c r="Y58" s="291">
        <f>IF($O58=0,0,IF(Results!$T63="",0,Results!$T63))</f>
        <v>0</v>
      </c>
      <c r="Z58" s="270" t="str">
        <f>IF($O58=0,"",IF($X58&gt;$Y58,Settings!$C$4,IF($X58=$Y58,1,0)))</f>
        <v/>
      </c>
      <c r="AA58" s="291" t="str">
        <f>IF($O58=0,"",IF($X58&lt;$Y58,Settings!$C$4,IF($X58=$Y58,1,0)))</f>
        <v/>
      </c>
    </row>
    <row r="59" spans="2:27" x14ac:dyDescent="0.2">
      <c r="B59" s="2"/>
      <c r="C59" s="2"/>
      <c r="D59" s="2"/>
      <c r="E59" s="266">
        <v>56</v>
      </c>
      <c r="F59" s="171" t="str">
        <f>Planning!$Q62</f>
        <v>FC St. Pauli</v>
      </c>
      <c r="G59" s="348" t="str">
        <f>Planning!$S62</f>
        <v>RB Leipzig</v>
      </c>
      <c r="H59" s="344" t="str">
        <f>IF(AND(Results!$I64&lt;&gt;"",Results!$K64&lt;&gt;"",Results!$F64&lt;&gt;Results!$H64,$F59&lt;&gt;"",$G59&lt;&gt;""),Results!$I64,"")</f>
        <v/>
      </c>
      <c r="I59" s="343" t="str">
        <f>IF(AND(Results!$I64&lt;&gt;"",Results!$K64&lt;&gt;"",Results!$F64&lt;&gt;Results!$H64,$F59&lt;&gt;"",$G59&lt;&gt;""),Results!$K64,"")</f>
        <v/>
      </c>
      <c r="J59" s="344" t="str">
        <f>IF(AND(Results!$L64&lt;&gt;"",Results!$N64&lt;&gt;"",Results!$F64&lt;&gt;Results!$H64,$F59&lt;&gt;"",$G59&lt;&gt;""),Results!$L64,"")</f>
        <v/>
      </c>
      <c r="K59" s="343" t="str">
        <f>IF(AND(Results!$L64&lt;&gt;"",Results!$N64&lt;&gt;"",Results!$F64&lt;&gt;Results!$H64,$F59&lt;&gt;"",$G59&lt;&gt;""),Results!$N64,"")</f>
        <v/>
      </c>
      <c r="L59" s="344" t="str">
        <f>IF(AND(Results!$O64&lt;&gt;"",Results!$Q64&lt;&gt;"",Results!$F64&lt;&gt;Results!$H64,$F59&lt;&gt;"",$G59&lt;&gt;""),Results!$O64,"")</f>
        <v/>
      </c>
      <c r="M59" s="122" t="str">
        <f>IF(AND(Results!$O64&lt;&gt;"",Results!$Q64&lt;&gt;"",Results!$F64&lt;&gt;Results!$H64,$F59&lt;&gt;"",$G59&lt;&gt;""),Results!$Q64,"")</f>
        <v/>
      </c>
      <c r="N59" s="16" t="str">
        <f>IF(Planning!$I62=0,F59&amp;G59,"")</f>
        <v>FC St. PauliRB Leipzig</v>
      </c>
      <c r="O59" s="7">
        <f>IF(AND(Results!$Z$6&gt;0,$E59-1&gt;=Results!$Z$6*Calc!$F$26),0,IF(AND(F59&lt;&gt;"",G59&lt;&gt;"",F59&lt;&gt;G59,Results!$R64&lt;&gt;"",Results!$T64&lt;&gt;""),1,0))</f>
        <v>0</v>
      </c>
      <c r="P59" s="7" t="str">
        <f>IF(AND(O59&gt;0,Planning!$I62=0),V59&amp;Language!$E$90&amp;W59,"")</f>
        <v/>
      </c>
      <c r="Q59" s="2" t="str">
        <f>IF(Planning!$I62=1,F59&amp;G59,"")</f>
        <v/>
      </c>
      <c r="R59" s="88" t="str">
        <f>IF(AND(O59&gt;0,Planning!$I62=1),V59&amp;Language!$E$90&amp;W59,"")</f>
        <v/>
      </c>
      <c r="S59" s="122" t="str">
        <f>IF(O59&gt;0,X59&amp;Language!$E$90&amp;Y59,"")</f>
        <v/>
      </c>
      <c r="T59" s="290">
        <f>IF($H59="",0,Results!$U64)</f>
        <v>0</v>
      </c>
      <c r="U59" s="291">
        <f>IF($I59="",0,Results!$V64)</f>
        <v>0</v>
      </c>
      <c r="V59" s="270" t="str">
        <f t="shared" si="0"/>
        <v/>
      </c>
      <c r="W59" s="291" t="str">
        <f t="shared" si="1"/>
        <v/>
      </c>
      <c r="X59" s="270">
        <f>IF($O59=0,0,IF(Results!$R64="",0,Results!$R64))</f>
        <v>0</v>
      </c>
      <c r="Y59" s="291">
        <f>IF($O59=0,0,IF(Results!$T64="",0,Results!$T64))</f>
        <v>0</v>
      </c>
      <c r="Z59" s="270" t="str">
        <f>IF($O59=0,"",IF($X59&gt;$Y59,Settings!$C$4,IF($X59=$Y59,1,0)))</f>
        <v/>
      </c>
      <c r="AA59" s="291" t="str">
        <f>IF($O59=0,"",IF($X59&lt;$Y59,Settings!$C$4,IF($X59=$Y59,1,0)))</f>
        <v/>
      </c>
    </row>
    <row r="60" spans="2:27" x14ac:dyDescent="0.2">
      <c r="B60" s="2"/>
      <c r="C60" s="2"/>
      <c r="D60" s="2"/>
      <c r="E60" s="266">
        <v>57</v>
      </c>
      <c r="F60" s="171" t="str">
        <f>Planning!$Q63</f>
        <v>SC Freiburg</v>
      </c>
      <c r="G60" s="348" t="str">
        <f>Planning!$S63</f>
        <v>FC Bayern München</v>
      </c>
      <c r="H60" s="344" t="str">
        <f>IF(AND(Results!$I65&lt;&gt;"",Results!$K65&lt;&gt;"",Results!$F65&lt;&gt;Results!$H65,$F60&lt;&gt;"",$G60&lt;&gt;""),Results!$I65,"")</f>
        <v/>
      </c>
      <c r="I60" s="343" t="str">
        <f>IF(AND(Results!$I65&lt;&gt;"",Results!$K65&lt;&gt;"",Results!$F65&lt;&gt;Results!$H65,$F60&lt;&gt;"",$G60&lt;&gt;""),Results!$K65,"")</f>
        <v/>
      </c>
      <c r="J60" s="344" t="str">
        <f>IF(AND(Results!$L65&lt;&gt;"",Results!$N65&lt;&gt;"",Results!$F65&lt;&gt;Results!$H65,$F60&lt;&gt;"",$G60&lt;&gt;""),Results!$L65,"")</f>
        <v/>
      </c>
      <c r="K60" s="343" t="str">
        <f>IF(AND(Results!$L65&lt;&gt;"",Results!$N65&lt;&gt;"",Results!$F65&lt;&gt;Results!$H65,$F60&lt;&gt;"",$G60&lt;&gt;""),Results!$N65,"")</f>
        <v/>
      </c>
      <c r="L60" s="344" t="str">
        <f>IF(AND(Results!$O65&lt;&gt;"",Results!$Q65&lt;&gt;"",Results!$F65&lt;&gt;Results!$H65,$F60&lt;&gt;"",$G60&lt;&gt;""),Results!$O65,"")</f>
        <v/>
      </c>
      <c r="M60" s="122" t="str">
        <f>IF(AND(Results!$O65&lt;&gt;"",Results!$Q65&lt;&gt;"",Results!$F65&lt;&gt;Results!$H65,$F60&lt;&gt;"",$G60&lt;&gt;""),Results!$Q65,"")</f>
        <v/>
      </c>
      <c r="N60" s="16" t="str">
        <f>IF(Planning!$I63=0,F60&amp;G60,"")</f>
        <v>SC FreiburgFC Bayern München</v>
      </c>
      <c r="O60" s="7">
        <f>IF(AND(Results!$Z$6&gt;0,$E60-1&gt;=Results!$Z$6*Calc!$F$26),0,IF(AND(F60&lt;&gt;"",G60&lt;&gt;"",F60&lt;&gt;G60,Results!$R65&lt;&gt;"",Results!$T65&lt;&gt;""),1,0))</f>
        <v>0</v>
      </c>
      <c r="P60" s="7" t="str">
        <f>IF(AND(O60&gt;0,Planning!$I63=0),V60&amp;Language!$E$90&amp;W60,"")</f>
        <v/>
      </c>
      <c r="Q60" s="2" t="str">
        <f>IF(Planning!$I63=1,F60&amp;G60,"")</f>
        <v/>
      </c>
      <c r="R60" s="88" t="str">
        <f>IF(AND(O60&gt;0,Planning!$I63=1),V60&amp;Language!$E$90&amp;W60,"")</f>
        <v/>
      </c>
      <c r="S60" s="122" t="str">
        <f>IF(O60&gt;0,X60&amp;Language!$E$90&amp;Y60,"")</f>
        <v/>
      </c>
      <c r="T60" s="290">
        <f>IF($H60="",0,Results!$U65)</f>
        <v>0</v>
      </c>
      <c r="U60" s="291">
        <f>IF($I60="",0,Results!$V65)</f>
        <v>0</v>
      </c>
      <c r="V60" s="270" t="str">
        <f t="shared" si="0"/>
        <v/>
      </c>
      <c r="W60" s="291" t="str">
        <f t="shared" si="1"/>
        <v/>
      </c>
      <c r="X60" s="270">
        <f>IF($O60=0,0,IF(Results!$R65="",0,Results!$R65))</f>
        <v>0</v>
      </c>
      <c r="Y60" s="291">
        <f>IF($O60=0,0,IF(Results!$T65="",0,Results!$T65))</f>
        <v>0</v>
      </c>
      <c r="Z60" s="270" t="str">
        <f>IF($O60=0,"",IF($X60&gt;$Y60,Settings!$C$4,IF($X60=$Y60,1,0)))</f>
        <v/>
      </c>
      <c r="AA60" s="291" t="str">
        <f>IF($O60=0,"",IF($X60&lt;$Y60,Settings!$C$4,IF($X60=$Y60,1,0)))</f>
        <v/>
      </c>
    </row>
    <row r="61" spans="2:27" x14ac:dyDescent="0.2">
      <c r="B61" s="2"/>
      <c r="C61" s="2"/>
      <c r="D61" s="2"/>
      <c r="E61" s="266">
        <v>58</v>
      </c>
      <c r="F61" s="171" t="str">
        <f>Planning!$Q64</f>
        <v>FC Augsburg</v>
      </c>
      <c r="G61" s="348" t="str">
        <f>Planning!$S64</f>
        <v>SV Werder Bremen</v>
      </c>
      <c r="H61" s="344" t="str">
        <f>IF(AND(Results!$I66&lt;&gt;"",Results!$K66&lt;&gt;"",Results!$F66&lt;&gt;Results!$H66,$F61&lt;&gt;"",$G61&lt;&gt;""),Results!$I66,"")</f>
        <v/>
      </c>
      <c r="I61" s="343" t="str">
        <f>IF(AND(Results!$I66&lt;&gt;"",Results!$K66&lt;&gt;"",Results!$F66&lt;&gt;Results!$H66,$F61&lt;&gt;"",$G61&lt;&gt;""),Results!$K66,"")</f>
        <v/>
      </c>
      <c r="J61" s="344" t="str">
        <f>IF(AND(Results!$L66&lt;&gt;"",Results!$N66&lt;&gt;"",Results!$F66&lt;&gt;Results!$H66,$F61&lt;&gt;"",$G61&lt;&gt;""),Results!$L66,"")</f>
        <v/>
      </c>
      <c r="K61" s="343" t="str">
        <f>IF(AND(Results!$L66&lt;&gt;"",Results!$N66&lt;&gt;"",Results!$F66&lt;&gt;Results!$H66,$F61&lt;&gt;"",$G61&lt;&gt;""),Results!$N66,"")</f>
        <v/>
      </c>
      <c r="L61" s="344" t="str">
        <f>IF(AND(Results!$O66&lt;&gt;"",Results!$Q66&lt;&gt;"",Results!$F66&lt;&gt;Results!$H66,$F61&lt;&gt;"",$G61&lt;&gt;""),Results!$O66,"")</f>
        <v/>
      </c>
      <c r="M61" s="122" t="str">
        <f>IF(AND(Results!$O66&lt;&gt;"",Results!$Q66&lt;&gt;"",Results!$F66&lt;&gt;Results!$H66,$F61&lt;&gt;"",$G61&lt;&gt;""),Results!$Q66,"")</f>
        <v/>
      </c>
      <c r="N61" s="16" t="str">
        <f>IF(Planning!$I64=0,F61&amp;G61,"")</f>
        <v>FC AugsburgSV Werder Bremen</v>
      </c>
      <c r="O61" s="7">
        <f>IF(AND(Results!$Z$6&gt;0,$E61-1&gt;=Results!$Z$6*Calc!$F$26),0,IF(AND(F61&lt;&gt;"",G61&lt;&gt;"",F61&lt;&gt;G61,Results!$R66&lt;&gt;"",Results!$T66&lt;&gt;""),1,0))</f>
        <v>0</v>
      </c>
      <c r="P61" s="7" t="str">
        <f>IF(AND(O61&gt;0,Planning!$I64=0),V61&amp;Language!$E$90&amp;W61,"")</f>
        <v/>
      </c>
      <c r="Q61" s="2" t="str">
        <f>IF(Planning!$I64=1,F61&amp;G61,"")</f>
        <v/>
      </c>
      <c r="R61" s="88" t="str">
        <f>IF(AND(O61&gt;0,Planning!$I64=1),V61&amp;Language!$E$90&amp;W61,"")</f>
        <v/>
      </c>
      <c r="S61" s="122" t="str">
        <f>IF(O61&gt;0,X61&amp;Language!$E$90&amp;Y61,"")</f>
        <v/>
      </c>
      <c r="T61" s="290">
        <f>IF($H61="",0,Results!$U66)</f>
        <v>0</v>
      </c>
      <c r="U61" s="291">
        <f>IF($I61="",0,Results!$V66)</f>
        <v>0</v>
      </c>
      <c r="V61" s="270" t="str">
        <f t="shared" si="0"/>
        <v/>
      </c>
      <c r="W61" s="291" t="str">
        <f t="shared" si="1"/>
        <v/>
      </c>
      <c r="X61" s="270">
        <f>IF($O61=0,0,IF(Results!$R66="",0,Results!$R66))</f>
        <v>0</v>
      </c>
      <c r="Y61" s="291">
        <f>IF($O61=0,0,IF(Results!$T66="",0,Results!$T66))</f>
        <v>0</v>
      </c>
      <c r="Z61" s="270" t="str">
        <f>IF($O61=0,"",IF($X61&gt;$Y61,Settings!$C$4,IF($X61=$Y61,1,0)))</f>
        <v/>
      </c>
      <c r="AA61" s="291" t="str">
        <f>IF($O61=0,"",IF($X61&lt;$Y61,Settings!$C$4,IF($X61=$Y61,1,0)))</f>
        <v/>
      </c>
    </row>
    <row r="62" spans="2:27" x14ac:dyDescent="0.2">
      <c r="B62" s="2"/>
      <c r="C62" s="2"/>
      <c r="D62" s="2"/>
      <c r="E62" s="266">
        <v>59</v>
      </c>
      <c r="F62" s="171" t="str">
        <f>Planning!$Q65</f>
        <v>TSG Hoffenheim</v>
      </c>
      <c r="G62" s="348" t="str">
        <f>Planning!$S65</f>
        <v>Eintracht Frankfurt</v>
      </c>
      <c r="H62" s="344" t="str">
        <f>IF(AND(Results!$I67&lt;&gt;"",Results!$K67&lt;&gt;"",Results!$F67&lt;&gt;Results!$H67,$F62&lt;&gt;"",$G62&lt;&gt;""),Results!$I67,"")</f>
        <v/>
      </c>
      <c r="I62" s="343" t="str">
        <f>IF(AND(Results!$I67&lt;&gt;"",Results!$K67&lt;&gt;"",Results!$F67&lt;&gt;Results!$H67,$F62&lt;&gt;"",$G62&lt;&gt;""),Results!$K67,"")</f>
        <v/>
      </c>
      <c r="J62" s="344" t="str">
        <f>IF(AND(Results!$L67&lt;&gt;"",Results!$N67&lt;&gt;"",Results!$F67&lt;&gt;Results!$H67,$F62&lt;&gt;"",$G62&lt;&gt;""),Results!$L67,"")</f>
        <v/>
      </c>
      <c r="K62" s="343" t="str">
        <f>IF(AND(Results!$L67&lt;&gt;"",Results!$N67&lt;&gt;"",Results!$F67&lt;&gt;Results!$H67,$F62&lt;&gt;"",$G62&lt;&gt;""),Results!$N67,"")</f>
        <v/>
      </c>
      <c r="L62" s="344" t="str">
        <f>IF(AND(Results!$O67&lt;&gt;"",Results!$Q67&lt;&gt;"",Results!$F67&lt;&gt;Results!$H67,$F62&lt;&gt;"",$G62&lt;&gt;""),Results!$O67,"")</f>
        <v/>
      </c>
      <c r="M62" s="122" t="str">
        <f>IF(AND(Results!$O67&lt;&gt;"",Results!$Q67&lt;&gt;"",Results!$F67&lt;&gt;Results!$H67,$F62&lt;&gt;"",$G62&lt;&gt;""),Results!$Q67,"")</f>
        <v/>
      </c>
      <c r="N62" s="16" t="str">
        <f>IF(Planning!$I65=0,F62&amp;G62,"")</f>
        <v>TSG HoffenheimEintracht Frankfurt</v>
      </c>
      <c r="O62" s="7">
        <f>IF(AND(Results!$Z$6&gt;0,$E62-1&gt;=Results!$Z$6*Calc!$F$26),0,IF(AND(F62&lt;&gt;"",G62&lt;&gt;"",F62&lt;&gt;G62,Results!$R67&lt;&gt;"",Results!$T67&lt;&gt;""),1,0))</f>
        <v>0</v>
      </c>
      <c r="P62" s="7" t="str">
        <f>IF(AND(O62&gt;0,Planning!$I65=0),V62&amp;Language!$E$90&amp;W62,"")</f>
        <v/>
      </c>
      <c r="Q62" s="2" t="str">
        <f>IF(Planning!$I65=1,F62&amp;G62,"")</f>
        <v/>
      </c>
      <c r="R62" s="88" t="str">
        <f>IF(AND(O62&gt;0,Planning!$I65=1),V62&amp;Language!$E$90&amp;W62,"")</f>
        <v/>
      </c>
      <c r="S62" s="122" t="str">
        <f>IF(O62&gt;0,X62&amp;Language!$E$90&amp;Y62,"")</f>
        <v/>
      </c>
      <c r="T62" s="290">
        <f>IF($H62="",0,Results!$U67)</f>
        <v>0</v>
      </c>
      <c r="U62" s="291">
        <f>IF($I62="",0,Results!$V67)</f>
        <v>0</v>
      </c>
      <c r="V62" s="270" t="str">
        <f t="shared" si="0"/>
        <v/>
      </c>
      <c r="W62" s="291" t="str">
        <f t="shared" si="1"/>
        <v/>
      </c>
      <c r="X62" s="270">
        <f>IF($O62=0,0,IF(Results!$R67="",0,Results!$R67))</f>
        <v>0</v>
      </c>
      <c r="Y62" s="291">
        <f>IF($O62=0,0,IF(Results!$T67="",0,Results!$T67))</f>
        <v>0</v>
      </c>
      <c r="Z62" s="270" t="str">
        <f>IF($O62=0,"",IF($X62&gt;$Y62,Settings!$C$4,IF($X62=$Y62,1,0)))</f>
        <v/>
      </c>
      <c r="AA62" s="291" t="str">
        <f>IF($O62=0,"",IF($X62&lt;$Y62,Settings!$C$4,IF($X62=$Y62,1,0)))</f>
        <v/>
      </c>
    </row>
    <row r="63" spans="2:27" x14ac:dyDescent="0.2">
      <c r="B63" s="2"/>
      <c r="C63" s="2"/>
      <c r="D63" s="2"/>
      <c r="E63" s="266">
        <v>60</v>
      </c>
      <c r="F63" s="171" t="str">
        <f>Planning!$Q66</f>
        <v>Borussia Mönchengladbach</v>
      </c>
      <c r="G63" s="348" t="str">
        <f>Planning!$S66</f>
        <v>VfB Stuttgart</v>
      </c>
      <c r="H63" s="344" t="str">
        <f>IF(AND(Results!$I68&lt;&gt;"",Results!$K68&lt;&gt;"",Results!$F68&lt;&gt;Results!$H68,$F63&lt;&gt;"",$G63&lt;&gt;""),Results!$I68,"")</f>
        <v/>
      </c>
      <c r="I63" s="343" t="str">
        <f>IF(AND(Results!$I68&lt;&gt;"",Results!$K68&lt;&gt;"",Results!$F68&lt;&gt;Results!$H68,$F63&lt;&gt;"",$G63&lt;&gt;""),Results!$K68,"")</f>
        <v/>
      </c>
      <c r="J63" s="344" t="str">
        <f>IF(AND(Results!$L68&lt;&gt;"",Results!$N68&lt;&gt;"",Results!$F68&lt;&gt;Results!$H68,$F63&lt;&gt;"",$G63&lt;&gt;""),Results!$L68,"")</f>
        <v/>
      </c>
      <c r="K63" s="343" t="str">
        <f>IF(AND(Results!$L68&lt;&gt;"",Results!$N68&lt;&gt;"",Results!$F68&lt;&gt;Results!$H68,$F63&lt;&gt;"",$G63&lt;&gt;""),Results!$N68,"")</f>
        <v/>
      </c>
      <c r="L63" s="344" t="str">
        <f>IF(AND(Results!$O68&lt;&gt;"",Results!$Q68&lt;&gt;"",Results!$F68&lt;&gt;Results!$H68,$F63&lt;&gt;"",$G63&lt;&gt;""),Results!$O68,"")</f>
        <v/>
      </c>
      <c r="M63" s="122" t="str">
        <f>IF(AND(Results!$O68&lt;&gt;"",Results!$Q68&lt;&gt;"",Results!$F68&lt;&gt;Results!$H68,$F63&lt;&gt;"",$G63&lt;&gt;""),Results!$Q68,"")</f>
        <v/>
      </c>
      <c r="N63" s="16" t="str">
        <f>IF(Planning!$I66=0,F63&amp;G63,"")</f>
        <v>Borussia MönchengladbachVfB Stuttgart</v>
      </c>
      <c r="O63" s="7">
        <f>IF(AND(Results!$Z$6&gt;0,$E63-1&gt;=Results!$Z$6*Calc!$F$26),0,IF(AND(F63&lt;&gt;"",G63&lt;&gt;"",F63&lt;&gt;G63,Results!$R68&lt;&gt;"",Results!$T68&lt;&gt;""),1,0))</f>
        <v>0</v>
      </c>
      <c r="P63" s="7" t="str">
        <f>IF(AND(O63&gt;0,Planning!$I66=0),V63&amp;Language!$E$90&amp;W63,"")</f>
        <v/>
      </c>
      <c r="Q63" s="2" t="str">
        <f>IF(Planning!$I66=1,F63&amp;G63,"")</f>
        <v/>
      </c>
      <c r="R63" s="88" t="str">
        <f>IF(AND(O63&gt;0,Planning!$I66=1),V63&amp;Language!$E$90&amp;W63,"")</f>
        <v/>
      </c>
      <c r="S63" s="122" t="str">
        <f>IF(O63&gt;0,X63&amp;Language!$E$90&amp;Y63,"")</f>
        <v/>
      </c>
      <c r="T63" s="290">
        <f>IF($H63="",0,Results!$U68)</f>
        <v>0</v>
      </c>
      <c r="U63" s="291">
        <f>IF($I63="",0,Results!$V68)</f>
        <v>0</v>
      </c>
      <c r="V63" s="270" t="str">
        <f t="shared" si="0"/>
        <v/>
      </c>
      <c r="W63" s="291" t="str">
        <f t="shared" si="1"/>
        <v/>
      </c>
      <c r="X63" s="270">
        <f>IF($O63=0,0,IF(Results!$R68="",0,Results!$R68))</f>
        <v>0</v>
      </c>
      <c r="Y63" s="291">
        <f>IF($O63=0,0,IF(Results!$T68="",0,Results!$T68))</f>
        <v>0</v>
      </c>
      <c r="Z63" s="270" t="str">
        <f>IF($O63=0,"",IF($X63&gt;$Y63,Settings!$C$4,IF($X63=$Y63,1,0)))</f>
        <v/>
      </c>
      <c r="AA63" s="291" t="str">
        <f>IF($O63=0,"",IF($X63&lt;$Y63,Settings!$C$4,IF($X63=$Y63,1,0)))</f>
        <v/>
      </c>
    </row>
    <row r="64" spans="2:27" x14ac:dyDescent="0.2">
      <c r="B64" s="2"/>
      <c r="C64" s="2"/>
      <c r="D64" s="2"/>
      <c r="E64" s="266">
        <v>61</v>
      </c>
      <c r="F64" s="171" t="str">
        <f>Planning!$Q67</f>
        <v>VfL Wolfsburg</v>
      </c>
      <c r="G64" s="348" t="str">
        <f>Planning!$S67</f>
        <v>Borussia Dortmund</v>
      </c>
      <c r="H64" s="344" t="str">
        <f>IF(AND(Results!$I69&lt;&gt;"",Results!$K69&lt;&gt;"",Results!$F69&lt;&gt;Results!$H69,$F64&lt;&gt;"",$G64&lt;&gt;""),Results!$I69,"")</f>
        <v/>
      </c>
      <c r="I64" s="343" t="str">
        <f>IF(AND(Results!$I69&lt;&gt;"",Results!$K69&lt;&gt;"",Results!$F69&lt;&gt;Results!$H69,$F64&lt;&gt;"",$G64&lt;&gt;""),Results!$K69,"")</f>
        <v/>
      </c>
      <c r="J64" s="344" t="str">
        <f>IF(AND(Results!$L69&lt;&gt;"",Results!$N69&lt;&gt;"",Results!$F69&lt;&gt;Results!$H69,$F64&lt;&gt;"",$G64&lt;&gt;""),Results!$L69,"")</f>
        <v/>
      </c>
      <c r="K64" s="343" t="str">
        <f>IF(AND(Results!$L69&lt;&gt;"",Results!$N69&lt;&gt;"",Results!$F69&lt;&gt;Results!$H69,$F64&lt;&gt;"",$G64&lt;&gt;""),Results!$N69,"")</f>
        <v/>
      </c>
      <c r="L64" s="344" t="str">
        <f>IF(AND(Results!$O69&lt;&gt;"",Results!$Q69&lt;&gt;"",Results!$F69&lt;&gt;Results!$H69,$F64&lt;&gt;"",$G64&lt;&gt;""),Results!$O69,"")</f>
        <v/>
      </c>
      <c r="M64" s="122" t="str">
        <f>IF(AND(Results!$O69&lt;&gt;"",Results!$Q69&lt;&gt;"",Results!$F69&lt;&gt;Results!$H69,$F64&lt;&gt;"",$G64&lt;&gt;""),Results!$Q69,"")</f>
        <v/>
      </c>
      <c r="N64" s="16" t="str">
        <f>IF(Planning!$I67=0,F64&amp;G64,"")</f>
        <v>VfL WolfsburgBorussia Dortmund</v>
      </c>
      <c r="O64" s="7">
        <f>IF(AND(Results!$Z$6&gt;0,$E64-1&gt;=Results!$Z$6*Calc!$F$26),0,IF(AND(F64&lt;&gt;"",G64&lt;&gt;"",F64&lt;&gt;G64,Results!$R69&lt;&gt;"",Results!$T69&lt;&gt;""),1,0))</f>
        <v>0</v>
      </c>
      <c r="P64" s="7" t="str">
        <f>IF(AND(O64&gt;0,Planning!$I67=0),V64&amp;Language!$E$90&amp;W64,"")</f>
        <v/>
      </c>
      <c r="Q64" s="2" t="str">
        <f>IF(Planning!$I67=1,F64&amp;G64,"")</f>
        <v/>
      </c>
      <c r="R64" s="88" t="str">
        <f>IF(AND(O64&gt;0,Planning!$I67=1),V64&amp;Language!$E$90&amp;W64,"")</f>
        <v/>
      </c>
      <c r="S64" s="122" t="str">
        <f>IF(O64&gt;0,X64&amp;Language!$E$90&amp;Y64,"")</f>
        <v/>
      </c>
      <c r="T64" s="290">
        <f>IF($H64="",0,Results!$U69)</f>
        <v>0</v>
      </c>
      <c r="U64" s="291">
        <f>IF($I64="",0,Results!$V69)</f>
        <v>0</v>
      </c>
      <c r="V64" s="270" t="str">
        <f t="shared" si="0"/>
        <v/>
      </c>
      <c r="W64" s="291" t="str">
        <f t="shared" si="1"/>
        <v/>
      </c>
      <c r="X64" s="270">
        <f>IF($O64=0,0,IF(Results!$R69="",0,Results!$R69))</f>
        <v>0</v>
      </c>
      <c r="Y64" s="291">
        <f>IF($O64=0,0,IF(Results!$T69="",0,Results!$T69))</f>
        <v>0</v>
      </c>
      <c r="Z64" s="270" t="str">
        <f>IF($O64=0,"",IF($X64&gt;$Y64,Settings!$C$4,IF($X64=$Y64,1,0)))</f>
        <v/>
      </c>
      <c r="AA64" s="291" t="str">
        <f>IF($O64=0,"",IF($X64&lt;$Y64,Settings!$C$4,IF($X64=$Y64,1,0)))</f>
        <v/>
      </c>
    </row>
    <row r="65" spans="2:27" x14ac:dyDescent="0.2">
      <c r="B65" s="2"/>
      <c r="C65" s="2"/>
      <c r="D65" s="2"/>
      <c r="E65" s="266">
        <v>62</v>
      </c>
      <c r="F65" s="171" t="str">
        <f>Planning!$Q68</f>
        <v>Bayer 04 Leverkusen</v>
      </c>
      <c r="G65" s="348" t="str">
        <f>Planning!$S68</f>
        <v>1. FC Köln</v>
      </c>
      <c r="H65" s="344" t="str">
        <f>IF(AND(Results!$I70&lt;&gt;"",Results!$K70&lt;&gt;"",Results!$F70&lt;&gt;Results!$H70,$F65&lt;&gt;"",$G65&lt;&gt;""),Results!$I70,"")</f>
        <v/>
      </c>
      <c r="I65" s="343" t="str">
        <f>IF(AND(Results!$I70&lt;&gt;"",Results!$K70&lt;&gt;"",Results!$F70&lt;&gt;Results!$H70,$F65&lt;&gt;"",$G65&lt;&gt;""),Results!$K70,"")</f>
        <v/>
      </c>
      <c r="J65" s="344" t="str">
        <f>IF(AND(Results!$L70&lt;&gt;"",Results!$N70&lt;&gt;"",Results!$F70&lt;&gt;Results!$H70,$F65&lt;&gt;"",$G65&lt;&gt;""),Results!$L70,"")</f>
        <v/>
      </c>
      <c r="K65" s="343" t="str">
        <f>IF(AND(Results!$L70&lt;&gt;"",Results!$N70&lt;&gt;"",Results!$F70&lt;&gt;Results!$H70,$F65&lt;&gt;"",$G65&lt;&gt;""),Results!$N70,"")</f>
        <v/>
      </c>
      <c r="L65" s="344" t="str">
        <f>IF(AND(Results!$O70&lt;&gt;"",Results!$Q70&lt;&gt;"",Results!$F70&lt;&gt;Results!$H70,$F65&lt;&gt;"",$G65&lt;&gt;""),Results!$O70,"")</f>
        <v/>
      </c>
      <c r="M65" s="122" t="str">
        <f>IF(AND(Results!$O70&lt;&gt;"",Results!$Q70&lt;&gt;"",Results!$F70&lt;&gt;Results!$H70,$F65&lt;&gt;"",$G65&lt;&gt;""),Results!$Q70,"")</f>
        <v/>
      </c>
      <c r="N65" s="16" t="str">
        <f>IF(Planning!$I68=0,F65&amp;G65,"")</f>
        <v>Bayer 04 Leverkusen1. FC Köln</v>
      </c>
      <c r="O65" s="7">
        <f>IF(AND(Results!$Z$6&gt;0,$E65-1&gt;=Results!$Z$6*Calc!$F$26),0,IF(AND(F65&lt;&gt;"",G65&lt;&gt;"",F65&lt;&gt;G65,Results!$R70&lt;&gt;"",Results!$T70&lt;&gt;""),1,0))</f>
        <v>0</v>
      </c>
      <c r="P65" s="7" t="str">
        <f>IF(AND(O65&gt;0,Planning!$I68=0),V65&amp;Language!$E$90&amp;W65,"")</f>
        <v/>
      </c>
      <c r="Q65" s="2" t="str">
        <f>IF(Planning!$I68=1,F65&amp;G65,"")</f>
        <v/>
      </c>
      <c r="R65" s="88" t="str">
        <f>IF(AND(O65&gt;0,Planning!$I68=1),V65&amp;Language!$E$90&amp;W65,"")</f>
        <v/>
      </c>
      <c r="S65" s="122" t="str">
        <f>IF(O65&gt;0,X65&amp;Language!$E$90&amp;Y65,"")</f>
        <v/>
      </c>
      <c r="T65" s="290">
        <f>IF($H65="",0,Results!$U70)</f>
        <v>0</v>
      </c>
      <c r="U65" s="291">
        <f>IF($I65="",0,Results!$V70)</f>
        <v>0</v>
      </c>
      <c r="V65" s="270" t="str">
        <f t="shared" si="0"/>
        <v/>
      </c>
      <c r="W65" s="291" t="str">
        <f t="shared" si="1"/>
        <v/>
      </c>
      <c r="X65" s="270">
        <f>IF($O65=0,0,IF(Results!$R70="",0,Results!$R70))</f>
        <v>0</v>
      </c>
      <c r="Y65" s="291">
        <f>IF($O65=0,0,IF(Results!$T70="",0,Results!$T70))</f>
        <v>0</v>
      </c>
      <c r="Z65" s="270" t="str">
        <f>IF($O65=0,"",IF($X65&gt;$Y65,Settings!$C$4,IF($X65=$Y65,1,0)))</f>
        <v/>
      </c>
      <c r="AA65" s="291" t="str">
        <f>IF($O65=0,"",IF($X65&lt;$Y65,Settings!$C$4,IF($X65=$Y65,1,0)))</f>
        <v/>
      </c>
    </row>
    <row r="66" spans="2:27" x14ac:dyDescent="0.2">
      <c r="B66" s="2"/>
      <c r="C66" s="2"/>
      <c r="D66" s="2"/>
      <c r="E66" s="266">
        <v>63</v>
      </c>
      <c r="F66" s="171" t="str">
        <f>Planning!$Q69</f>
        <v>1. FC Union Berlin</v>
      </c>
      <c r="G66" s="348" t="str">
        <f>Planning!$S69</f>
        <v>1. FSV Mainz 05</v>
      </c>
      <c r="H66" s="344" t="str">
        <f>IF(AND(Results!$I71&lt;&gt;"",Results!$K71&lt;&gt;"",Results!$F71&lt;&gt;Results!$H71,$F66&lt;&gt;"",$G66&lt;&gt;""),Results!$I71,"")</f>
        <v/>
      </c>
      <c r="I66" s="343" t="str">
        <f>IF(AND(Results!$I71&lt;&gt;"",Results!$K71&lt;&gt;"",Results!$F71&lt;&gt;Results!$H71,$F66&lt;&gt;"",$G66&lt;&gt;""),Results!$K71,"")</f>
        <v/>
      </c>
      <c r="J66" s="344" t="str">
        <f>IF(AND(Results!$L71&lt;&gt;"",Results!$N71&lt;&gt;"",Results!$F71&lt;&gt;Results!$H71,$F66&lt;&gt;"",$G66&lt;&gt;""),Results!$L71,"")</f>
        <v/>
      </c>
      <c r="K66" s="343" t="str">
        <f>IF(AND(Results!$L71&lt;&gt;"",Results!$N71&lt;&gt;"",Results!$F71&lt;&gt;Results!$H71,$F66&lt;&gt;"",$G66&lt;&gt;""),Results!$N71,"")</f>
        <v/>
      </c>
      <c r="L66" s="344" t="str">
        <f>IF(AND(Results!$O71&lt;&gt;"",Results!$Q71&lt;&gt;"",Results!$F71&lt;&gt;Results!$H71,$F66&lt;&gt;"",$G66&lt;&gt;""),Results!$O71,"")</f>
        <v/>
      </c>
      <c r="M66" s="122" t="str">
        <f>IF(AND(Results!$O71&lt;&gt;"",Results!$Q71&lt;&gt;"",Results!$F71&lt;&gt;Results!$H71,$F66&lt;&gt;"",$G66&lt;&gt;""),Results!$Q71,"")</f>
        <v/>
      </c>
      <c r="N66" s="16" t="str">
        <f>IF(Planning!$I69=0,F66&amp;G66,"")</f>
        <v>1. FC Union Berlin1. FSV Mainz 05</v>
      </c>
      <c r="O66" s="7">
        <f>IF(AND(Results!$Z$6&gt;0,$E66-1&gt;=Results!$Z$6*Calc!$F$26),0,IF(AND(F66&lt;&gt;"",G66&lt;&gt;"",F66&lt;&gt;G66,Results!$R71&lt;&gt;"",Results!$T71&lt;&gt;""),1,0))</f>
        <v>0</v>
      </c>
      <c r="P66" s="7" t="str">
        <f>IF(AND(O66&gt;0,Planning!$I69=0),V66&amp;Language!$E$90&amp;W66,"")</f>
        <v/>
      </c>
      <c r="Q66" s="2" t="str">
        <f>IF(Planning!$I69=1,F66&amp;G66,"")</f>
        <v/>
      </c>
      <c r="R66" s="88" t="str">
        <f>IF(AND(O66&gt;0,Planning!$I69=1),V66&amp;Language!$E$90&amp;W66,"")</f>
        <v/>
      </c>
      <c r="S66" s="122" t="str">
        <f>IF(O66&gt;0,X66&amp;Language!$E$90&amp;Y66,"")</f>
        <v/>
      </c>
      <c r="T66" s="290">
        <f>IF($H66="",0,Results!$U71)</f>
        <v>0</v>
      </c>
      <c r="U66" s="291">
        <f>IF($I66="",0,Results!$V71)</f>
        <v>0</v>
      </c>
      <c r="V66" s="270" t="str">
        <f t="shared" si="0"/>
        <v/>
      </c>
      <c r="W66" s="291" t="str">
        <f t="shared" si="1"/>
        <v/>
      </c>
      <c r="X66" s="270">
        <f>IF($O66=0,0,IF(Results!$R71="",0,Results!$R71))</f>
        <v>0</v>
      </c>
      <c r="Y66" s="291">
        <f>IF($O66=0,0,IF(Results!$T71="",0,Results!$T71))</f>
        <v>0</v>
      </c>
      <c r="Z66" s="270" t="str">
        <f>IF($O66=0,"",IF($X66&gt;$Y66,Settings!$C$4,IF($X66=$Y66,1,0)))</f>
        <v/>
      </c>
      <c r="AA66" s="291" t="str">
        <f>IF($O66=0,"",IF($X66&lt;$Y66,Settings!$C$4,IF($X66=$Y66,1,0)))</f>
        <v/>
      </c>
    </row>
    <row r="67" spans="2:27" x14ac:dyDescent="0.2">
      <c r="B67" s="2"/>
      <c r="C67" s="2"/>
      <c r="D67" s="2"/>
      <c r="E67" s="266">
        <v>64</v>
      </c>
      <c r="F67" s="171" t="str">
        <f>Planning!$Q70</f>
        <v>FC St. Pauli</v>
      </c>
      <c r="G67" s="348" t="str">
        <f>Planning!$S70</f>
        <v>1. FC Heidenheim 1846</v>
      </c>
      <c r="H67" s="344" t="str">
        <f>IF(AND(Results!$I72&lt;&gt;"",Results!$K72&lt;&gt;"",Results!$F72&lt;&gt;Results!$H72,$F67&lt;&gt;"",$G67&lt;&gt;""),Results!$I72,"")</f>
        <v/>
      </c>
      <c r="I67" s="343" t="str">
        <f>IF(AND(Results!$I72&lt;&gt;"",Results!$K72&lt;&gt;"",Results!$F72&lt;&gt;Results!$H72,$F67&lt;&gt;"",$G67&lt;&gt;""),Results!$K72,"")</f>
        <v/>
      </c>
      <c r="J67" s="344" t="str">
        <f>IF(AND(Results!$L72&lt;&gt;"",Results!$N72&lt;&gt;"",Results!$F72&lt;&gt;Results!$H72,$F67&lt;&gt;"",$G67&lt;&gt;""),Results!$L72,"")</f>
        <v/>
      </c>
      <c r="K67" s="343" t="str">
        <f>IF(AND(Results!$L72&lt;&gt;"",Results!$N72&lt;&gt;"",Results!$F72&lt;&gt;Results!$H72,$F67&lt;&gt;"",$G67&lt;&gt;""),Results!$N72,"")</f>
        <v/>
      </c>
      <c r="L67" s="344" t="str">
        <f>IF(AND(Results!$O72&lt;&gt;"",Results!$Q72&lt;&gt;"",Results!$F72&lt;&gt;Results!$H72,$F67&lt;&gt;"",$G67&lt;&gt;""),Results!$O72,"")</f>
        <v/>
      </c>
      <c r="M67" s="122" t="str">
        <f>IF(AND(Results!$O72&lt;&gt;"",Results!$Q72&lt;&gt;"",Results!$F72&lt;&gt;Results!$H72,$F67&lt;&gt;"",$G67&lt;&gt;""),Results!$Q72,"")</f>
        <v/>
      </c>
      <c r="N67" s="16" t="str">
        <f>IF(Planning!$I70=0,F67&amp;G67,"")</f>
        <v>FC St. Pauli1. FC Heidenheim 1846</v>
      </c>
      <c r="O67" s="7">
        <f>IF(AND(Results!$Z$6&gt;0,$E67-1&gt;=Results!$Z$6*Calc!$F$26),0,IF(AND(F67&lt;&gt;"",G67&lt;&gt;"",F67&lt;&gt;G67,Results!$R72&lt;&gt;"",Results!$T72&lt;&gt;""),1,0))</f>
        <v>0</v>
      </c>
      <c r="P67" s="7" t="str">
        <f>IF(AND(O67&gt;0,Planning!$I70=0),V67&amp;Language!$E$90&amp;W67,"")</f>
        <v/>
      </c>
      <c r="Q67" s="2" t="str">
        <f>IF(Planning!$I70=1,F67&amp;G67,"")</f>
        <v/>
      </c>
      <c r="R67" s="88" t="str">
        <f>IF(AND(O67&gt;0,Planning!$I70=1),V67&amp;Language!$E$90&amp;W67,"")</f>
        <v/>
      </c>
      <c r="S67" s="122" t="str">
        <f>IF(O67&gt;0,X67&amp;Language!$E$90&amp;Y67,"")</f>
        <v/>
      </c>
      <c r="T67" s="290">
        <f>IF($H67="",0,Results!$U72)</f>
        <v>0</v>
      </c>
      <c r="U67" s="291">
        <f>IF($I67="",0,Results!$V72)</f>
        <v>0</v>
      </c>
      <c r="V67" s="270" t="str">
        <f t="shared" si="0"/>
        <v/>
      </c>
      <c r="W67" s="291" t="str">
        <f t="shared" si="1"/>
        <v/>
      </c>
      <c r="X67" s="270">
        <f>IF($O67=0,0,IF(Results!$R72="",0,Results!$R72))</f>
        <v>0</v>
      </c>
      <c r="Y67" s="291">
        <f>IF($O67=0,0,IF(Results!$T72="",0,Results!$T72))</f>
        <v>0</v>
      </c>
      <c r="Z67" s="270" t="str">
        <f>IF($O67=0,"",IF($X67&gt;$Y67,Settings!$C$4,IF($X67=$Y67,1,0)))</f>
        <v/>
      </c>
      <c r="AA67" s="291" t="str">
        <f>IF($O67=0,"",IF($X67&lt;$Y67,Settings!$C$4,IF($X67=$Y67,1,0)))</f>
        <v/>
      </c>
    </row>
    <row r="68" spans="2:27" x14ac:dyDescent="0.2">
      <c r="B68" s="2"/>
      <c r="C68" s="2"/>
      <c r="D68" s="2"/>
      <c r="E68" s="266">
        <v>65</v>
      </c>
      <c r="F68" s="171" t="str">
        <f>Planning!$Q71</f>
        <v>FC Bayern München</v>
      </c>
      <c r="G68" s="348" t="str">
        <f>Planning!$S71</f>
        <v>Hamburger SV</v>
      </c>
      <c r="H68" s="344" t="str">
        <f>IF(AND(Results!$I73&lt;&gt;"",Results!$K73&lt;&gt;"",Results!$F73&lt;&gt;Results!$H73,$F68&lt;&gt;"",$G68&lt;&gt;""),Results!$I73,"")</f>
        <v/>
      </c>
      <c r="I68" s="343" t="str">
        <f>IF(AND(Results!$I73&lt;&gt;"",Results!$K73&lt;&gt;"",Results!$F73&lt;&gt;Results!$H73,$F68&lt;&gt;"",$G68&lt;&gt;""),Results!$K73,"")</f>
        <v/>
      </c>
      <c r="J68" s="344" t="str">
        <f>IF(AND(Results!$L73&lt;&gt;"",Results!$N73&lt;&gt;"",Results!$F73&lt;&gt;Results!$H73,$F68&lt;&gt;"",$G68&lt;&gt;""),Results!$L73,"")</f>
        <v/>
      </c>
      <c r="K68" s="343" t="str">
        <f>IF(AND(Results!$L73&lt;&gt;"",Results!$N73&lt;&gt;"",Results!$F73&lt;&gt;Results!$H73,$F68&lt;&gt;"",$G68&lt;&gt;""),Results!$N73,"")</f>
        <v/>
      </c>
      <c r="L68" s="344" t="str">
        <f>IF(AND(Results!$O73&lt;&gt;"",Results!$Q73&lt;&gt;"",Results!$F73&lt;&gt;Results!$H73,$F68&lt;&gt;"",$G68&lt;&gt;""),Results!$O73,"")</f>
        <v/>
      </c>
      <c r="M68" s="122" t="str">
        <f>IF(AND(Results!$O73&lt;&gt;"",Results!$Q73&lt;&gt;"",Results!$F73&lt;&gt;Results!$H73,$F68&lt;&gt;"",$G68&lt;&gt;""),Results!$Q73,"")</f>
        <v/>
      </c>
      <c r="N68" s="16" t="str">
        <f>IF(Planning!$I71=0,F68&amp;G68,"")</f>
        <v>FC Bayern MünchenHamburger SV</v>
      </c>
      <c r="O68" s="7">
        <f>IF(AND(Results!$Z$6&gt;0,$E68-1&gt;=Results!$Z$6*Calc!$F$26),0,IF(AND(F68&lt;&gt;"",G68&lt;&gt;"",F68&lt;&gt;G68,Results!$R73&lt;&gt;"",Results!$T73&lt;&gt;""),1,0))</f>
        <v>0</v>
      </c>
      <c r="P68" s="7" t="str">
        <f>IF(AND(O68&gt;0,Planning!$I71=0),V68&amp;Language!$E$90&amp;W68,"")</f>
        <v/>
      </c>
      <c r="Q68" s="2" t="str">
        <f>IF(Planning!$I71=1,F68&amp;G68,"")</f>
        <v/>
      </c>
      <c r="R68" s="88" t="str">
        <f>IF(AND(O68&gt;0,Planning!$I71=1),V68&amp;Language!$E$90&amp;W68,"")</f>
        <v/>
      </c>
      <c r="S68" s="122" t="str">
        <f>IF(O68&gt;0,X68&amp;Language!$E$90&amp;Y68,"")</f>
        <v/>
      </c>
      <c r="T68" s="290">
        <f>IF($H68="",0,Results!$U73)</f>
        <v>0</v>
      </c>
      <c r="U68" s="291">
        <f>IF($I68="",0,Results!$V73)</f>
        <v>0</v>
      </c>
      <c r="V68" s="270" t="str">
        <f t="shared" si="0"/>
        <v/>
      </c>
      <c r="W68" s="291" t="str">
        <f t="shared" si="1"/>
        <v/>
      </c>
      <c r="X68" s="270">
        <f>IF($O68=0,0,IF(Results!$R73="",0,Results!$R73))</f>
        <v>0</v>
      </c>
      <c r="Y68" s="291">
        <f>IF($O68=0,0,IF(Results!$T73="",0,Results!$T73))</f>
        <v>0</v>
      </c>
      <c r="Z68" s="270" t="str">
        <f>IF($O68=0,"",IF($X68&gt;$Y68,Settings!$C$4,IF($X68=$Y68,1,0)))</f>
        <v/>
      </c>
      <c r="AA68" s="291" t="str">
        <f>IF($O68=0,"",IF($X68&lt;$Y68,Settings!$C$4,IF($X68=$Y68,1,0)))</f>
        <v/>
      </c>
    </row>
    <row r="69" spans="2:27" x14ac:dyDescent="0.2">
      <c r="B69" s="2"/>
      <c r="C69" s="2"/>
      <c r="D69" s="2"/>
      <c r="E69" s="266">
        <v>66</v>
      </c>
      <c r="F69" s="171" t="str">
        <f>Planning!$Q72</f>
        <v>RB Leipzig</v>
      </c>
      <c r="G69" s="348" t="str">
        <f>Planning!$S72</f>
        <v>FC Augsburg</v>
      </c>
      <c r="H69" s="344" t="str">
        <f>IF(AND(Results!$I74&lt;&gt;"",Results!$K74&lt;&gt;"",Results!$F74&lt;&gt;Results!$H74,$F69&lt;&gt;"",$G69&lt;&gt;""),Results!$I74,"")</f>
        <v/>
      </c>
      <c r="I69" s="343" t="str">
        <f>IF(AND(Results!$I74&lt;&gt;"",Results!$K74&lt;&gt;"",Results!$F74&lt;&gt;Results!$H74,$F69&lt;&gt;"",$G69&lt;&gt;""),Results!$K74,"")</f>
        <v/>
      </c>
      <c r="J69" s="344" t="str">
        <f>IF(AND(Results!$L74&lt;&gt;"",Results!$N74&lt;&gt;"",Results!$F74&lt;&gt;Results!$H74,$F69&lt;&gt;"",$G69&lt;&gt;""),Results!$L74,"")</f>
        <v/>
      </c>
      <c r="K69" s="343" t="str">
        <f>IF(AND(Results!$L74&lt;&gt;"",Results!$N74&lt;&gt;"",Results!$F74&lt;&gt;Results!$H74,$F69&lt;&gt;"",$G69&lt;&gt;""),Results!$N74,"")</f>
        <v/>
      </c>
      <c r="L69" s="344" t="str">
        <f>IF(AND(Results!$O74&lt;&gt;"",Results!$Q74&lt;&gt;"",Results!$F74&lt;&gt;Results!$H74,$F69&lt;&gt;"",$G69&lt;&gt;""),Results!$O74,"")</f>
        <v/>
      </c>
      <c r="M69" s="122" t="str">
        <f>IF(AND(Results!$O74&lt;&gt;"",Results!$Q74&lt;&gt;"",Results!$F74&lt;&gt;Results!$H74,$F69&lt;&gt;"",$G69&lt;&gt;""),Results!$Q74,"")</f>
        <v/>
      </c>
      <c r="N69" s="16" t="str">
        <f>IF(Planning!$I72=0,F69&amp;G69,"")</f>
        <v>RB LeipzigFC Augsburg</v>
      </c>
      <c r="O69" s="7">
        <f>IF(AND(Results!$Z$6&gt;0,$E69-1&gt;=Results!$Z$6*Calc!$F$26),0,IF(AND(F69&lt;&gt;"",G69&lt;&gt;"",F69&lt;&gt;G69,Results!$R74&lt;&gt;"",Results!$T74&lt;&gt;""),1,0))</f>
        <v>0</v>
      </c>
      <c r="P69" s="7" t="str">
        <f>IF(AND(O69&gt;0,Planning!$I72=0),V69&amp;Language!$E$90&amp;W69,"")</f>
        <v/>
      </c>
      <c r="Q69" s="2" t="str">
        <f>IF(Planning!$I72=1,F69&amp;G69,"")</f>
        <v/>
      </c>
      <c r="R69" s="88" t="str">
        <f>IF(AND(O69&gt;0,Planning!$I72=1),V69&amp;Language!$E$90&amp;W69,"")</f>
        <v/>
      </c>
      <c r="S69" s="122" t="str">
        <f>IF(O69&gt;0,X69&amp;Language!$E$90&amp;Y69,"")</f>
        <v/>
      </c>
      <c r="T69" s="290">
        <f>IF($H69="",0,Results!$U74)</f>
        <v>0</v>
      </c>
      <c r="U69" s="291">
        <f>IF($I69="",0,Results!$V74)</f>
        <v>0</v>
      </c>
      <c r="V69" s="270" t="str">
        <f t="shared" ref="V69:V132" si="2">IF(O69&gt;0,SUM(H69,J69,L69),"")</f>
        <v/>
      </c>
      <c r="W69" s="291" t="str">
        <f t="shared" ref="W69:W132" si="3">IF(O69&gt;0,SUM(I69,K69,M69),"")</f>
        <v/>
      </c>
      <c r="X69" s="270">
        <f>IF($O69=0,0,IF(Results!$R74="",0,Results!$R74))</f>
        <v>0</v>
      </c>
      <c r="Y69" s="291">
        <f>IF($O69=0,0,IF(Results!$T74="",0,Results!$T74))</f>
        <v>0</v>
      </c>
      <c r="Z69" s="270" t="str">
        <f>IF($O69=0,"",IF($X69&gt;$Y69,Settings!$C$4,IF($X69=$Y69,1,0)))</f>
        <v/>
      </c>
      <c r="AA69" s="291" t="str">
        <f>IF($O69=0,"",IF($X69&lt;$Y69,Settings!$C$4,IF($X69=$Y69,1,0)))</f>
        <v/>
      </c>
    </row>
    <row r="70" spans="2:27" x14ac:dyDescent="0.2">
      <c r="B70" s="2"/>
      <c r="C70" s="2"/>
      <c r="D70" s="2"/>
      <c r="E70" s="266">
        <v>67</v>
      </c>
      <c r="F70" s="171" t="str">
        <f>Planning!$Q73</f>
        <v>Eintracht Frankfurt</v>
      </c>
      <c r="G70" s="348" t="str">
        <f>Planning!$S73</f>
        <v>SC Freiburg</v>
      </c>
      <c r="H70" s="344" t="str">
        <f>IF(AND(Results!$I75&lt;&gt;"",Results!$K75&lt;&gt;"",Results!$F75&lt;&gt;Results!$H75,$F70&lt;&gt;"",$G70&lt;&gt;""),Results!$I75,"")</f>
        <v/>
      </c>
      <c r="I70" s="343" t="str">
        <f>IF(AND(Results!$I75&lt;&gt;"",Results!$K75&lt;&gt;"",Results!$F75&lt;&gt;Results!$H75,$F70&lt;&gt;"",$G70&lt;&gt;""),Results!$K75,"")</f>
        <v/>
      </c>
      <c r="J70" s="344" t="str">
        <f>IF(AND(Results!$L75&lt;&gt;"",Results!$N75&lt;&gt;"",Results!$F75&lt;&gt;Results!$H75,$F70&lt;&gt;"",$G70&lt;&gt;""),Results!$L75,"")</f>
        <v/>
      </c>
      <c r="K70" s="343" t="str">
        <f>IF(AND(Results!$L75&lt;&gt;"",Results!$N75&lt;&gt;"",Results!$F75&lt;&gt;Results!$H75,$F70&lt;&gt;"",$G70&lt;&gt;""),Results!$N75,"")</f>
        <v/>
      </c>
      <c r="L70" s="344" t="str">
        <f>IF(AND(Results!$O75&lt;&gt;"",Results!$Q75&lt;&gt;"",Results!$F75&lt;&gt;Results!$H75,$F70&lt;&gt;"",$G70&lt;&gt;""),Results!$O75,"")</f>
        <v/>
      </c>
      <c r="M70" s="122" t="str">
        <f>IF(AND(Results!$O75&lt;&gt;"",Results!$Q75&lt;&gt;"",Results!$F75&lt;&gt;Results!$H75,$F70&lt;&gt;"",$G70&lt;&gt;""),Results!$Q75,"")</f>
        <v/>
      </c>
      <c r="N70" s="16" t="str">
        <f>IF(Planning!$I73=0,F70&amp;G70,"")</f>
        <v>Eintracht FrankfurtSC Freiburg</v>
      </c>
      <c r="O70" s="7">
        <f>IF(AND(Results!$Z$6&gt;0,$E70-1&gt;=Results!$Z$6*Calc!$F$26),0,IF(AND(F70&lt;&gt;"",G70&lt;&gt;"",F70&lt;&gt;G70,Results!$R75&lt;&gt;"",Results!$T75&lt;&gt;""),1,0))</f>
        <v>0</v>
      </c>
      <c r="P70" s="7" t="str">
        <f>IF(AND(O70&gt;0,Planning!$I73=0),V70&amp;Language!$E$90&amp;W70,"")</f>
        <v/>
      </c>
      <c r="Q70" s="2" t="str">
        <f>IF(Planning!$I73=1,F70&amp;G70,"")</f>
        <v/>
      </c>
      <c r="R70" s="88" t="str">
        <f>IF(AND(O70&gt;0,Planning!$I73=1),V70&amp;Language!$E$90&amp;W70,"")</f>
        <v/>
      </c>
      <c r="S70" s="122" t="str">
        <f>IF(O70&gt;0,X70&amp;Language!$E$90&amp;Y70,"")</f>
        <v/>
      </c>
      <c r="T70" s="290">
        <f>IF($H70="",0,Results!$U75)</f>
        <v>0</v>
      </c>
      <c r="U70" s="291">
        <f>IF($I70="",0,Results!$V75)</f>
        <v>0</v>
      </c>
      <c r="V70" s="270" t="str">
        <f t="shared" si="2"/>
        <v/>
      </c>
      <c r="W70" s="291" t="str">
        <f t="shared" si="3"/>
        <v/>
      </c>
      <c r="X70" s="270">
        <f>IF($O70=0,0,IF(Results!$R75="",0,Results!$R75))</f>
        <v>0</v>
      </c>
      <c r="Y70" s="291">
        <f>IF($O70=0,0,IF(Results!$T75="",0,Results!$T75))</f>
        <v>0</v>
      </c>
      <c r="Z70" s="270" t="str">
        <f>IF($O70=0,"",IF($X70&gt;$Y70,Settings!$C$4,IF($X70=$Y70,1,0)))</f>
        <v/>
      </c>
      <c r="AA70" s="291" t="str">
        <f>IF($O70=0,"",IF($X70&lt;$Y70,Settings!$C$4,IF($X70=$Y70,1,0)))</f>
        <v/>
      </c>
    </row>
    <row r="71" spans="2:27" x14ac:dyDescent="0.2">
      <c r="B71" s="2"/>
      <c r="C71" s="2"/>
      <c r="D71" s="2"/>
      <c r="E71" s="266">
        <v>68</v>
      </c>
      <c r="F71" s="171" t="str">
        <f>Planning!$Q74</f>
        <v>SV Werder Bremen</v>
      </c>
      <c r="G71" s="348" t="str">
        <f>Planning!$S74</f>
        <v>Borussia Mönchengladbach</v>
      </c>
      <c r="H71" s="344" t="str">
        <f>IF(AND(Results!$I76&lt;&gt;"",Results!$K76&lt;&gt;"",Results!$F76&lt;&gt;Results!$H76,$F71&lt;&gt;"",$G71&lt;&gt;""),Results!$I76,"")</f>
        <v/>
      </c>
      <c r="I71" s="343" t="str">
        <f>IF(AND(Results!$I76&lt;&gt;"",Results!$K76&lt;&gt;"",Results!$F76&lt;&gt;Results!$H76,$F71&lt;&gt;"",$G71&lt;&gt;""),Results!$K76,"")</f>
        <v/>
      </c>
      <c r="J71" s="344" t="str">
        <f>IF(AND(Results!$L76&lt;&gt;"",Results!$N76&lt;&gt;"",Results!$F76&lt;&gt;Results!$H76,$F71&lt;&gt;"",$G71&lt;&gt;""),Results!$L76,"")</f>
        <v/>
      </c>
      <c r="K71" s="343" t="str">
        <f>IF(AND(Results!$L76&lt;&gt;"",Results!$N76&lt;&gt;"",Results!$F76&lt;&gt;Results!$H76,$F71&lt;&gt;"",$G71&lt;&gt;""),Results!$N76,"")</f>
        <v/>
      </c>
      <c r="L71" s="344" t="str">
        <f>IF(AND(Results!$O76&lt;&gt;"",Results!$Q76&lt;&gt;"",Results!$F76&lt;&gt;Results!$H76,$F71&lt;&gt;"",$G71&lt;&gt;""),Results!$O76,"")</f>
        <v/>
      </c>
      <c r="M71" s="122" t="str">
        <f>IF(AND(Results!$O76&lt;&gt;"",Results!$Q76&lt;&gt;"",Results!$F76&lt;&gt;Results!$H76,$F71&lt;&gt;"",$G71&lt;&gt;""),Results!$Q76,"")</f>
        <v/>
      </c>
      <c r="N71" s="16" t="str">
        <f>IF(Planning!$I74=0,F71&amp;G71,"")</f>
        <v>SV Werder BremenBorussia Mönchengladbach</v>
      </c>
      <c r="O71" s="7">
        <f>IF(AND(Results!$Z$6&gt;0,$E71-1&gt;=Results!$Z$6*Calc!$F$26),0,IF(AND(F71&lt;&gt;"",G71&lt;&gt;"",F71&lt;&gt;G71,Results!$R76&lt;&gt;"",Results!$T76&lt;&gt;""),1,0))</f>
        <v>0</v>
      </c>
      <c r="P71" s="7" t="str">
        <f>IF(AND(O71&gt;0,Planning!$I74=0),V71&amp;Language!$E$90&amp;W71,"")</f>
        <v/>
      </c>
      <c r="Q71" s="2" t="str">
        <f>IF(Planning!$I74=1,F71&amp;G71,"")</f>
        <v/>
      </c>
      <c r="R71" s="88" t="str">
        <f>IF(AND(O71&gt;0,Planning!$I74=1),V71&amp;Language!$E$90&amp;W71,"")</f>
        <v/>
      </c>
      <c r="S71" s="122" t="str">
        <f>IF(O71&gt;0,X71&amp;Language!$E$90&amp;Y71,"")</f>
        <v/>
      </c>
      <c r="T71" s="290">
        <f>IF($H71="",0,Results!$U76)</f>
        <v>0</v>
      </c>
      <c r="U71" s="291">
        <f>IF($I71="",0,Results!$V76)</f>
        <v>0</v>
      </c>
      <c r="V71" s="270" t="str">
        <f t="shared" si="2"/>
        <v/>
      </c>
      <c r="W71" s="291" t="str">
        <f t="shared" si="3"/>
        <v/>
      </c>
      <c r="X71" s="270">
        <f>IF($O71=0,0,IF(Results!$R76="",0,Results!$R76))</f>
        <v>0</v>
      </c>
      <c r="Y71" s="291">
        <f>IF($O71=0,0,IF(Results!$T76="",0,Results!$T76))</f>
        <v>0</v>
      </c>
      <c r="Z71" s="270" t="str">
        <f>IF($O71=0,"",IF($X71&gt;$Y71,Settings!$C$4,IF($X71=$Y71,1,0)))</f>
        <v/>
      </c>
      <c r="AA71" s="291" t="str">
        <f>IF($O71=0,"",IF($X71&lt;$Y71,Settings!$C$4,IF($X71=$Y71,1,0)))</f>
        <v/>
      </c>
    </row>
    <row r="72" spans="2:27" x14ac:dyDescent="0.2">
      <c r="B72" s="2"/>
      <c r="C72" s="2"/>
      <c r="D72" s="2"/>
      <c r="E72" s="266">
        <v>69</v>
      </c>
      <c r="F72" s="171" t="str">
        <f>Planning!$Q75</f>
        <v>Borussia Dortmund</v>
      </c>
      <c r="G72" s="348" t="str">
        <f>Planning!$S75</f>
        <v>TSG Hoffenheim</v>
      </c>
      <c r="H72" s="344" t="str">
        <f>IF(AND(Results!$I77&lt;&gt;"",Results!$K77&lt;&gt;"",Results!$F77&lt;&gt;Results!$H77,$F72&lt;&gt;"",$G72&lt;&gt;""),Results!$I77,"")</f>
        <v/>
      </c>
      <c r="I72" s="343" t="str">
        <f>IF(AND(Results!$I77&lt;&gt;"",Results!$K77&lt;&gt;"",Results!$F77&lt;&gt;Results!$H77,$F72&lt;&gt;"",$G72&lt;&gt;""),Results!$K77,"")</f>
        <v/>
      </c>
      <c r="J72" s="344" t="str">
        <f>IF(AND(Results!$L77&lt;&gt;"",Results!$N77&lt;&gt;"",Results!$F77&lt;&gt;Results!$H77,$F72&lt;&gt;"",$G72&lt;&gt;""),Results!$L77,"")</f>
        <v/>
      </c>
      <c r="K72" s="343" t="str">
        <f>IF(AND(Results!$L77&lt;&gt;"",Results!$N77&lt;&gt;"",Results!$F77&lt;&gt;Results!$H77,$F72&lt;&gt;"",$G72&lt;&gt;""),Results!$N77,"")</f>
        <v/>
      </c>
      <c r="L72" s="344" t="str">
        <f>IF(AND(Results!$O77&lt;&gt;"",Results!$Q77&lt;&gt;"",Results!$F77&lt;&gt;Results!$H77,$F72&lt;&gt;"",$G72&lt;&gt;""),Results!$O77,"")</f>
        <v/>
      </c>
      <c r="M72" s="122" t="str">
        <f>IF(AND(Results!$O77&lt;&gt;"",Results!$Q77&lt;&gt;"",Results!$F77&lt;&gt;Results!$H77,$F72&lt;&gt;"",$G72&lt;&gt;""),Results!$Q77,"")</f>
        <v/>
      </c>
      <c r="N72" s="16" t="str">
        <f>IF(Planning!$I75=0,F72&amp;G72,"")</f>
        <v>Borussia DortmundTSG Hoffenheim</v>
      </c>
      <c r="O72" s="7">
        <f>IF(AND(Results!$Z$6&gt;0,$E72-1&gt;=Results!$Z$6*Calc!$F$26),0,IF(AND(F72&lt;&gt;"",G72&lt;&gt;"",F72&lt;&gt;G72,Results!$R77&lt;&gt;"",Results!$T77&lt;&gt;""),1,0))</f>
        <v>0</v>
      </c>
      <c r="P72" s="7" t="str">
        <f>IF(AND(O72&gt;0,Planning!$I75=0),V72&amp;Language!$E$90&amp;W72,"")</f>
        <v/>
      </c>
      <c r="Q72" s="2" t="str">
        <f>IF(Planning!$I75=1,F72&amp;G72,"")</f>
        <v/>
      </c>
      <c r="R72" s="88" t="str">
        <f>IF(AND(O72&gt;0,Planning!$I75=1),V72&amp;Language!$E$90&amp;W72,"")</f>
        <v/>
      </c>
      <c r="S72" s="122" t="str">
        <f>IF(O72&gt;0,X72&amp;Language!$E$90&amp;Y72,"")</f>
        <v/>
      </c>
      <c r="T72" s="290">
        <f>IF($H72="",0,Results!$U77)</f>
        <v>0</v>
      </c>
      <c r="U72" s="291">
        <f>IF($I72="",0,Results!$V77)</f>
        <v>0</v>
      </c>
      <c r="V72" s="270" t="str">
        <f t="shared" si="2"/>
        <v/>
      </c>
      <c r="W72" s="291" t="str">
        <f t="shared" si="3"/>
        <v/>
      </c>
      <c r="X72" s="270">
        <f>IF($O72=0,0,IF(Results!$R77="",0,Results!$R77))</f>
        <v>0</v>
      </c>
      <c r="Y72" s="291">
        <f>IF($O72=0,0,IF(Results!$T77="",0,Results!$T77))</f>
        <v>0</v>
      </c>
      <c r="Z72" s="270" t="str">
        <f>IF($O72=0,"",IF($X72&gt;$Y72,Settings!$C$4,IF($X72=$Y72,1,0)))</f>
        <v/>
      </c>
      <c r="AA72" s="291" t="str">
        <f>IF($O72=0,"",IF($X72&lt;$Y72,Settings!$C$4,IF($X72=$Y72,1,0)))</f>
        <v/>
      </c>
    </row>
    <row r="73" spans="2:27" x14ac:dyDescent="0.2">
      <c r="B73" s="2"/>
      <c r="C73" s="2"/>
      <c r="D73" s="2"/>
      <c r="E73" s="266">
        <v>70</v>
      </c>
      <c r="F73" s="171" t="str">
        <f>Planning!$Q76</f>
        <v>VfB Stuttgart</v>
      </c>
      <c r="G73" s="348" t="str">
        <f>Planning!$S76</f>
        <v>Bayer 04 Leverkusen</v>
      </c>
      <c r="H73" s="344" t="str">
        <f>IF(AND(Results!$I78&lt;&gt;"",Results!$K78&lt;&gt;"",Results!$F78&lt;&gt;Results!$H78,$F73&lt;&gt;"",$G73&lt;&gt;""),Results!$I78,"")</f>
        <v/>
      </c>
      <c r="I73" s="343" t="str">
        <f>IF(AND(Results!$I78&lt;&gt;"",Results!$K78&lt;&gt;"",Results!$F78&lt;&gt;Results!$H78,$F73&lt;&gt;"",$G73&lt;&gt;""),Results!$K78,"")</f>
        <v/>
      </c>
      <c r="J73" s="344" t="str">
        <f>IF(AND(Results!$L78&lt;&gt;"",Results!$N78&lt;&gt;"",Results!$F78&lt;&gt;Results!$H78,$F73&lt;&gt;"",$G73&lt;&gt;""),Results!$L78,"")</f>
        <v/>
      </c>
      <c r="K73" s="343" t="str">
        <f>IF(AND(Results!$L78&lt;&gt;"",Results!$N78&lt;&gt;"",Results!$F78&lt;&gt;Results!$H78,$F73&lt;&gt;"",$G73&lt;&gt;""),Results!$N78,"")</f>
        <v/>
      </c>
      <c r="L73" s="344" t="str">
        <f>IF(AND(Results!$O78&lt;&gt;"",Results!$Q78&lt;&gt;"",Results!$F78&lt;&gt;Results!$H78,$F73&lt;&gt;"",$G73&lt;&gt;""),Results!$O78,"")</f>
        <v/>
      </c>
      <c r="M73" s="122" t="str">
        <f>IF(AND(Results!$O78&lt;&gt;"",Results!$Q78&lt;&gt;"",Results!$F78&lt;&gt;Results!$H78,$F73&lt;&gt;"",$G73&lt;&gt;""),Results!$Q78,"")</f>
        <v/>
      </c>
      <c r="N73" s="16" t="str">
        <f>IF(Planning!$I76=0,F73&amp;G73,"")</f>
        <v>VfB StuttgartBayer 04 Leverkusen</v>
      </c>
      <c r="O73" s="7">
        <f>IF(AND(Results!$Z$6&gt;0,$E73-1&gt;=Results!$Z$6*Calc!$F$26),0,IF(AND(F73&lt;&gt;"",G73&lt;&gt;"",F73&lt;&gt;G73,Results!$R78&lt;&gt;"",Results!$T78&lt;&gt;""),1,0))</f>
        <v>0</v>
      </c>
      <c r="P73" s="7" t="str">
        <f>IF(AND(O73&gt;0,Planning!$I76=0),V73&amp;Language!$E$90&amp;W73,"")</f>
        <v/>
      </c>
      <c r="Q73" s="2" t="str">
        <f>IF(Planning!$I76=1,F73&amp;G73,"")</f>
        <v/>
      </c>
      <c r="R73" s="88" t="str">
        <f>IF(AND(O73&gt;0,Planning!$I76=1),V73&amp;Language!$E$90&amp;W73,"")</f>
        <v/>
      </c>
      <c r="S73" s="122" t="str">
        <f>IF(O73&gt;0,X73&amp;Language!$E$90&amp;Y73,"")</f>
        <v/>
      </c>
      <c r="T73" s="290">
        <f>IF($H73="",0,Results!$U78)</f>
        <v>0</v>
      </c>
      <c r="U73" s="291">
        <f>IF($I73="",0,Results!$V78)</f>
        <v>0</v>
      </c>
      <c r="V73" s="270" t="str">
        <f t="shared" si="2"/>
        <v/>
      </c>
      <c r="W73" s="291" t="str">
        <f t="shared" si="3"/>
        <v/>
      </c>
      <c r="X73" s="270">
        <f>IF($O73=0,0,IF(Results!$R78="",0,Results!$R78))</f>
        <v>0</v>
      </c>
      <c r="Y73" s="291">
        <f>IF($O73=0,0,IF(Results!$T78="",0,Results!$T78))</f>
        <v>0</v>
      </c>
      <c r="Z73" s="270" t="str">
        <f>IF($O73=0,"",IF($X73&gt;$Y73,Settings!$C$4,IF($X73=$Y73,1,0)))</f>
        <v/>
      </c>
      <c r="AA73" s="291" t="str">
        <f>IF($O73=0,"",IF($X73&lt;$Y73,Settings!$C$4,IF($X73=$Y73,1,0)))</f>
        <v/>
      </c>
    </row>
    <row r="74" spans="2:27" x14ac:dyDescent="0.2">
      <c r="B74" s="2"/>
      <c r="C74" s="2"/>
      <c r="D74" s="2"/>
      <c r="E74" s="266">
        <v>71</v>
      </c>
      <c r="F74" s="171" t="str">
        <f>Planning!$Q77</f>
        <v>1. FSV Mainz 05</v>
      </c>
      <c r="G74" s="348" t="str">
        <f>Planning!$S77</f>
        <v>VfL Wolfsburg</v>
      </c>
      <c r="H74" s="344" t="str">
        <f>IF(AND(Results!$I79&lt;&gt;"",Results!$K79&lt;&gt;"",Results!$F79&lt;&gt;Results!$H79,$F74&lt;&gt;"",$G74&lt;&gt;""),Results!$I79,"")</f>
        <v/>
      </c>
      <c r="I74" s="343" t="str">
        <f>IF(AND(Results!$I79&lt;&gt;"",Results!$K79&lt;&gt;"",Results!$F79&lt;&gt;Results!$H79,$F74&lt;&gt;"",$G74&lt;&gt;""),Results!$K79,"")</f>
        <v/>
      </c>
      <c r="J74" s="344" t="str">
        <f>IF(AND(Results!$L79&lt;&gt;"",Results!$N79&lt;&gt;"",Results!$F79&lt;&gt;Results!$H79,$F74&lt;&gt;"",$G74&lt;&gt;""),Results!$L79,"")</f>
        <v/>
      </c>
      <c r="K74" s="343" t="str">
        <f>IF(AND(Results!$L79&lt;&gt;"",Results!$N79&lt;&gt;"",Results!$F79&lt;&gt;Results!$H79,$F74&lt;&gt;"",$G74&lt;&gt;""),Results!$N79,"")</f>
        <v/>
      </c>
      <c r="L74" s="344" t="str">
        <f>IF(AND(Results!$O79&lt;&gt;"",Results!$Q79&lt;&gt;"",Results!$F79&lt;&gt;Results!$H79,$F74&lt;&gt;"",$G74&lt;&gt;""),Results!$O79,"")</f>
        <v/>
      </c>
      <c r="M74" s="122" t="str">
        <f>IF(AND(Results!$O79&lt;&gt;"",Results!$Q79&lt;&gt;"",Results!$F79&lt;&gt;Results!$H79,$F74&lt;&gt;"",$G74&lt;&gt;""),Results!$Q79,"")</f>
        <v/>
      </c>
      <c r="N74" s="16" t="str">
        <f>IF(Planning!$I77=0,F74&amp;G74,"")</f>
        <v>1. FSV Mainz 05VfL Wolfsburg</v>
      </c>
      <c r="O74" s="7">
        <f>IF(AND(Results!$Z$6&gt;0,$E74-1&gt;=Results!$Z$6*Calc!$F$26),0,IF(AND(F74&lt;&gt;"",G74&lt;&gt;"",F74&lt;&gt;G74,Results!$R79&lt;&gt;"",Results!$T79&lt;&gt;""),1,0))</f>
        <v>0</v>
      </c>
      <c r="P74" s="7" t="str">
        <f>IF(AND(O74&gt;0,Planning!$I77=0),V74&amp;Language!$E$90&amp;W74,"")</f>
        <v/>
      </c>
      <c r="Q74" s="2" t="str">
        <f>IF(Planning!$I77=1,F74&amp;G74,"")</f>
        <v/>
      </c>
      <c r="R74" s="88" t="str">
        <f>IF(AND(O74&gt;0,Planning!$I77=1),V74&amp;Language!$E$90&amp;W74,"")</f>
        <v/>
      </c>
      <c r="S74" s="122" t="str">
        <f>IF(O74&gt;0,X74&amp;Language!$E$90&amp;Y74,"")</f>
        <v/>
      </c>
      <c r="T74" s="290">
        <f>IF($H74="",0,Results!$U79)</f>
        <v>0</v>
      </c>
      <c r="U74" s="291">
        <f>IF($I74="",0,Results!$V79)</f>
        <v>0</v>
      </c>
      <c r="V74" s="270" t="str">
        <f t="shared" si="2"/>
        <v/>
      </c>
      <c r="W74" s="291" t="str">
        <f t="shared" si="3"/>
        <v/>
      </c>
      <c r="X74" s="270">
        <f>IF($O74=0,0,IF(Results!$R79="",0,Results!$R79))</f>
        <v>0</v>
      </c>
      <c r="Y74" s="291">
        <f>IF($O74=0,0,IF(Results!$T79="",0,Results!$T79))</f>
        <v>0</v>
      </c>
      <c r="Z74" s="270" t="str">
        <f>IF($O74=0,"",IF($X74&gt;$Y74,Settings!$C$4,IF($X74=$Y74,1,0)))</f>
        <v/>
      </c>
      <c r="AA74" s="291" t="str">
        <f>IF($O74=0,"",IF($X74&lt;$Y74,Settings!$C$4,IF($X74=$Y74,1,0)))</f>
        <v/>
      </c>
    </row>
    <row r="75" spans="2:27" x14ac:dyDescent="0.2">
      <c r="B75" s="2"/>
      <c r="C75" s="2"/>
      <c r="D75" s="2"/>
      <c r="E75" s="266">
        <v>72</v>
      </c>
      <c r="F75" s="171" t="str">
        <f>Planning!$Q78</f>
        <v>1. FC Köln</v>
      </c>
      <c r="G75" s="348" t="str">
        <f>Planning!$S78</f>
        <v>1. FC Union Berlin</v>
      </c>
      <c r="H75" s="344" t="str">
        <f>IF(AND(Results!$I80&lt;&gt;"",Results!$K80&lt;&gt;"",Results!$F80&lt;&gt;Results!$H80,$F75&lt;&gt;"",$G75&lt;&gt;""),Results!$I80,"")</f>
        <v/>
      </c>
      <c r="I75" s="343" t="str">
        <f>IF(AND(Results!$I80&lt;&gt;"",Results!$K80&lt;&gt;"",Results!$F80&lt;&gt;Results!$H80,$F75&lt;&gt;"",$G75&lt;&gt;""),Results!$K80,"")</f>
        <v/>
      </c>
      <c r="J75" s="344" t="str">
        <f>IF(AND(Results!$L80&lt;&gt;"",Results!$N80&lt;&gt;"",Results!$F80&lt;&gt;Results!$H80,$F75&lt;&gt;"",$G75&lt;&gt;""),Results!$L80,"")</f>
        <v/>
      </c>
      <c r="K75" s="343" t="str">
        <f>IF(AND(Results!$L80&lt;&gt;"",Results!$N80&lt;&gt;"",Results!$F80&lt;&gt;Results!$H80,$F75&lt;&gt;"",$G75&lt;&gt;""),Results!$N80,"")</f>
        <v/>
      </c>
      <c r="L75" s="344" t="str">
        <f>IF(AND(Results!$O80&lt;&gt;"",Results!$Q80&lt;&gt;"",Results!$F80&lt;&gt;Results!$H80,$F75&lt;&gt;"",$G75&lt;&gt;""),Results!$O80,"")</f>
        <v/>
      </c>
      <c r="M75" s="122" t="str">
        <f>IF(AND(Results!$O80&lt;&gt;"",Results!$Q80&lt;&gt;"",Results!$F80&lt;&gt;Results!$H80,$F75&lt;&gt;"",$G75&lt;&gt;""),Results!$Q80,"")</f>
        <v/>
      </c>
      <c r="N75" s="16" t="str">
        <f>IF(Planning!$I78=0,F75&amp;G75,"")</f>
        <v>1. FC Köln1. FC Union Berlin</v>
      </c>
      <c r="O75" s="122">
        <f>IF(AND(Results!$Z$6&gt;0,$E75-1&gt;=Results!$Z$6*Calc!$F$26),0,IF(AND(F75&lt;&gt;"",G75&lt;&gt;"",F75&lt;&gt;G75,Results!$R80&lt;&gt;"",Results!$T80&lt;&gt;""),1,0))</f>
        <v>0</v>
      </c>
      <c r="P75" s="122" t="str">
        <f>IF(AND(O75&gt;0,Planning!$I78=0),V75&amp;Language!$E$90&amp;W75,"")</f>
        <v/>
      </c>
      <c r="Q75" s="2" t="str">
        <f>IF(Planning!$I78=1,F75&amp;G75,"")</f>
        <v/>
      </c>
      <c r="R75" s="88" t="str">
        <f>IF(AND(O75&gt;0,Planning!$I78=1),V75&amp;Language!$E$90&amp;W75,"")</f>
        <v/>
      </c>
      <c r="S75" s="122" t="str">
        <f>IF(O75&gt;0,X75&amp;Language!$E$90&amp;Y75,"")</f>
        <v/>
      </c>
      <c r="T75" s="290">
        <f>IF($H75="",0,Results!$U80)</f>
        <v>0</v>
      </c>
      <c r="U75" s="291">
        <f>IF($I75="",0,Results!$V80)</f>
        <v>0</v>
      </c>
      <c r="V75" s="270" t="str">
        <f t="shared" si="2"/>
        <v/>
      </c>
      <c r="W75" s="291" t="str">
        <f t="shared" si="3"/>
        <v/>
      </c>
      <c r="X75" s="270">
        <f>IF($O75=0,0,IF(Results!$R80="",0,Results!$R80))</f>
        <v>0</v>
      </c>
      <c r="Y75" s="291">
        <f>IF($O75=0,0,IF(Results!$T80="",0,Results!$T80))</f>
        <v>0</v>
      </c>
      <c r="Z75" s="270" t="str">
        <f>IF($O75=0,"",IF($X75&gt;$Y75,Settings!$C$4,IF($X75=$Y75,1,0)))</f>
        <v/>
      </c>
      <c r="AA75" s="291" t="str">
        <f>IF($O75=0,"",IF($X75&lt;$Y75,Settings!$C$4,IF($X75=$Y75,1,0)))</f>
        <v/>
      </c>
    </row>
    <row r="76" spans="2:27" x14ac:dyDescent="0.2">
      <c r="B76" s="2"/>
      <c r="C76" s="2"/>
      <c r="D76" s="2"/>
      <c r="E76" s="266">
        <v>73</v>
      </c>
      <c r="F76" s="171" t="str">
        <f>Planning!$Q79</f>
        <v>1. FC Heidenheim 1846</v>
      </c>
      <c r="G76" s="348" t="str">
        <f>Planning!$S79</f>
        <v>FC Bayern München</v>
      </c>
      <c r="H76" s="344" t="str">
        <f>IF(AND(Results!$I81&lt;&gt;"",Results!$K81&lt;&gt;"",Results!$F81&lt;&gt;Results!$H81,$F76&lt;&gt;"",$G76&lt;&gt;""),Results!$I81,"")</f>
        <v/>
      </c>
      <c r="I76" s="343" t="str">
        <f>IF(AND(Results!$I81&lt;&gt;"",Results!$K81&lt;&gt;"",Results!$F81&lt;&gt;Results!$H81,$F76&lt;&gt;"",$G76&lt;&gt;""),Results!$K81,"")</f>
        <v/>
      </c>
      <c r="J76" s="344" t="str">
        <f>IF(AND(Results!$L81&lt;&gt;"",Results!$N81&lt;&gt;"",Results!$F81&lt;&gt;Results!$H81,$F76&lt;&gt;"",$G76&lt;&gt;""),Results!$L81,"")</f>
        <v/>
      </c>
      <c r="K76" s="343" t="str">
        <f>IF(AND(Results!$L81&lt;&gt;"",Results!$N81&lt;&gt;"",Results!$F81&lt;&gt;Results!$H81,$F76&lt;&gt;"",$G76&lt;&gt;""),Results!$N81,"")</f>
        <v/>
      </c>
      <c r="L76" s="344" t="str">
        <f>IF(AND(Results!$O81&lt;&gt;"",Results!$Q81&lt;&gt;"",Results!$F81&lt;&gt;Results!$H81,$F76&lt;&gt;"",$G76&lt;&gt;""),Results!$O81,"")</f>
        <v/>
      </c>
      <c r="M76" s="122" t="str">
        <f>IF(AND(Results!$O81&lt;&gt;"",Results!$Q81&lt;&gt;"",Results!$F81&lt;&gt;Results!$H81,$F76&lt;&gt;"",$G76&lt;&gt;""),Results!$Q81,"")</f>
        <v/>
      </c>
      <c r="N76" s="16" t="str">
        <f>IF(Planning!$I79=0,F76&amp;G76,"")</f>
        <v>1. FC Heidenheim 1846FC Bayern München</v>
      </c>
      <c r="O76" s="122">
        <f>IF(AND(Results!$Z$6&gt;0,$E76-1&gt;=Results!$Z$6*Calc!$F$26),0,IF(AND(F76&lt;&gt;"",G76&lt;&gt;"",F76&lt;&gt;G76,Results!$R81&lt;&gt;"",Results!$T81&lt;&gt;""),1,0))</f>
        <v>0</v>
      </c>
      <c r="P76" s="122" t="str">
        <f>IF(AND(O76&gt;0,Planning!$I79=0),V76&amp;Language!$E$90&amp;W76,"")</f>
        <v/>
      </c>
      <c r="Q76" s="2" t="str">
        <f>IF(Planning!$I79=1,F76&amp;G76,"")</f>
        <v/>
      </c>
      <c r="R76" s="88" t="str">
        <f>IF(AND(O76&gt;0,Planning!$I79=1),V76&amp;Language!$E$90&amp;W76,"")</f>
        <v/>
      </c>
      <c r="S76" s="122" t="str">
        <f>IF(O76&gt;0,X76&amp;Language!$E$90&amp;Y76,"")</f>
        <v/>
      </c>
      <c r="T76" s="290">
        <f>IF($H76="",0,Results!$U81)</f>
        <v>0</v>
      </c>
      <c r="U76" s="291">
        <f>IF($I76="",0,Results!$V81)</f>
        <v>0</v>
      </c>
      <c r="V76" s="270" t="str">
        <f t="shared" si="2"/>
        <v/>
      </c>
      <c r="W76" s="291" t="str">
        <f t="shared" si="3"/>
        <v/>
      </c>
      <c r="X76" s="270">
        <f>IF($O76=0,0,IF(Results!$R81="",0,Results!$R81))</f>
        <v>0</v>
      </c>
      <c r="Y76" s="291">
        <f>IF($O76=0,0,IF(Results!$T81="",0,Results!$T81))</f>
        <v>0</v>
      </c>
      <c r="Z76" s="270" t="str">
        <f>IF($O76=0,"",IF($X76&gt;$Y76,Settings!$C$4,IF($X76=$Y76,1,0)))</f>
        <v/>
      </c>
      <c r="AA76" s="291" t="str">
        <f>IF($O76=0,"",IF($X76&lt;$Y76,Settings!$C$4,IF($X76=$Y76,1,0)))</f>
        <v/>
      </c>
    </row>
    <row r="77" spans="2:27" x14ac:dyDescent="0.2">
      <c r="B77" s="5"/>
      <c r="C77" s="5"/>
      <c r="D77" s="5"/>
      <c r="E77" s="266">
        <v>74</v>
      </c>
      <c r="F77" s="171" t="str">
        <f>Planning!$Q80</f>
        <v>FC Augsburg</v>
      </c>
      <c r="G77" s="348" t="str">
        <f>Planning!$S80</f>
        <v>FC St. Pauli</v>
      </c>
      <c r="H77" s="344" t="str">
        <f>IF(AND(Results!$I82&lt;&gt;"",Results!$K82&lt;&gt;"",Results!$F82&lt;&gt;Results!$H82,$F77&lt;&gt;"",$G77&lt;&gt;""),Results!$I82,"")</f>
        <v/>
      </c>
      <c r="I77" s="343" t="str">
        <f>IF(AND(Results!$I82&lt;&gt;"",Results!$K82&lt;&gt;"",Results!$F82&lt;&gt;Results!$H82,$F77&lt;&gt;"",$G77&lt;&gt;""),Results!$K82,"")</f>
        <v/>
      </c>
      <c r="J77" s="344" t="str">
        <f>IF(AND(Results!$L82&lt;&gt;"",Results!$N82&lt;&gt;"",Results!$F82&lt;&gt;Results!$H82,$F77&lt;&gt;"",$G77&lt;&gt;""),Results!$L82,"")</f>
        <v/>
      </c>
      <c r="K77" s="343" t="str">
        <f>IF(AND(Results!$L82&lt;&gt;"",Results!$N82&lt;&gt;"",Results!$F82&lt;&gt;Results!$H82,$F77&lt;&gt;"",$G77&lt;&gt;""),Results!$N82,"")</f>
        <v/>
      </c>
      <c r="L77" s="344" t="str">
        <f>IF(AND(Results!$O82&lt;&gt;"",Results!$Q82&lt;&gt;"",Results!$F82&lt;&gt;Results!$H82,$F77&lt;&gt;"",$G77&lt;&gt;""),Results!$O82,"")</f>
        <v/>
      </c>
      <c r="M77" s="122" t="str">
        <f>IF(AND(Results!$O82&lt;&gt;"",Results!$Q82&lt;&gt;"",Results!$F82&lt;&gt;Results!$H82,$F77&lt;&gt;"",$G77&lt;&gt;""),Results!$Q82,"")</f>
        <v/>
      </c>
      <c r="N77" s="16" t="str">
        <f>IF(Planning!$I80=0,F77&amp;G77,"")</f>
        <v>FC AugsburgFC St. Pauli</v>
      </c>
      <c r="O77" s="122">
        <f>IF(AND(Results!$Z$6&gt;0,$E77-1&gt;=Results!$Z$6*Calc!$F$26),0,IF(AND(F77&lt;&gt;"",G77&lt;&gt;"",F77&lt;&gt;G77,Results!$R82&lt;&gt;"",Results!$T82&lt;&gt;""),1,0))</f>
        <v>0</v>
      </c>
      <c r="P77" s="122" t="str">
        <f>IF(AND(O77&gt;0,Planning!$I80=0),V77&amp;Language!$E$90&amp;W77,"")</f>
        <v/>
      </c>
      <c r="Q77" s="2" t="str">
        <f>IF(Planning!$I80=1,F77&amp;G77,"")</f>
        <v/>
      </c>
      <c r="R77" s="88" t="str">
        <f>IF(AND(O77&gt;0,Planning!$I80=1),V77&amp;Language!$E$90&amp;W77,"")</f>
        <v/>
      </c>
      <c r="S77" s="122" t="str">
        <f>IF(O77&gt;0,X77&amp;Language!$E$90&amp;Y77,"")</f>
        <v/>
      </c>
      <c r="T77" s="290">
        <f>IF($H77="",0,Results!$U82)</f>
        <v>0</v>
      </c>
      <c r="U77" s="291">
        <f>IF($I77="",0,Results!$V82)</f>
        <v>0</v>
      </c>
      <c r="V77" s="270" t="str">
        <f t="shared" si="2"/>
        <v/>
      </c>
      <c r="W77" s="291" t="str">
        <f t="shared" si="3"/>
        <v/>
      </c>
      <c r="X77" s="270">
        <f>IF($O77=0,0,IF(Results!$R82="",0,Results!$R82))</f>
        <v>0</v>
      </c>
      <c r="Y77" s="291">
        <f>IF($O77=0,0,IF(Results!$T82="",0,Results!$T82))</f>
        <v>0</v>
      </c>
      <c r="Z77" s="270" t="str">
        <f>IF($O77=0,"",IF($X77&gt;$Y77,Settings!$C$4,IF($X77=$Y77,1,0)))</f>
        <v/>
      </c>
      <c r="AA77" s="291" t="str">
        <f>IF($O77=0,"",IF($X77&lt;$Y77,Settings!$C$4,IF($X77=$Y77,1,0)))</f>
        <v/>
      </c>
    </row>
    <row r="78" spans="2:27" x14ac:dyDescent="0.2">
      <c r="B78" s="5"/>
      <c r="C78" s="5"/>
      <c r="D78" s="5"/>
      <c r="E78" s="266">
        <v>75</v>
      </c>
      <c r="F78" s="171" t="str">
        <f>Planning!$Q81</f>
        <v>Hamburger SV</v>
      </c>
      <c r="G78" s="348" t="str">
        <f>Planning!$S81</f>
        <v>Eintracht Frankfurt</v>
      </c>
      <c r="H78" s="344" t="str">
        <f>IF(AND(Results!$I83&lt;&gt;"",Results!$K83&lt;&gt;"",Results!$F83&lt;&gt;Results!$H83,$F78&lt;&gt;"",$G78&lt;&gt;""),Results!$I83,"")</f>
        <v/>
      </c>
      <c r="I78" s="343" t="str">
        <f>IF(AND(Results!$I83&lt;&gt;"",Results!$K83&lt;&gt;"",Results!$F83&lt;&gt;Results!$H83,$F78&lt;&gt;"",$G78&lt;&gt;""),Results!$K83,"")</f>
        <v/>
      </c>
      <c r="J78" s="344" t="str">
        <f>IF(AND(Results!$L83&lt;&gt;"",Results!$N83&lt;&gt;"",Results!$F83&lt;&gt;Results!$H83,$F78&lt;&gt;"",$G78&lt;&gt;""),Results!$L83,"")</f>
        <v/>
      </c>
      <c r="K78" s="343" t="str">
        <f>IF(AND(Results!$L83&lt;&gt;"",Results!$N83&lt;&gt;"",Results!$F83&lt;&gt;Results!$H83,$F78&lt;&gt;"",$G78&lt;&gt;""),Results!$N83,"")</f>
        <v/>
      </c>
      <c r="L78" s="344" t="str">
        <f>IF(AND(Results!$O83&lt;&gt;"",Results!$Q83&lt;&gt;"",Results!$F83&lt;&gt;Results!$H83,$F78&lt;&gt;"",$G78&lt;&gt;""),Results!$O83,"")</f>
        <v/>
      </c>
      <c r="M78" s="122" t="str">
        <f>IF(AND(Results!$O83&lt;&gt;"",Results!$Q83&lt;&gt;"",Results!$F83&lt;&gt;Results!$H83,$F78&lt;&gt;"",$G78&lt;&gt;""),Results!$Q83,"")</f>
        <v/>
      </c>
      <c r="N78" s="16" t="str">
        <f>IF(Planning!$I81=0,F78&amp;G78,"")</f>
        <v>Hamburger SVEintracht Frankfurt</v>
      </c>
      <c r="O78" s="122">
        <f>IF(AND(Results!$Z$6&gt;0,$E78-1&gt;=Results!$Z$6*Calc!$F$26),0,IF(AND(F78&lt;&gt;"",G78&lt;&gt;"",F78&lt;&gt;G78,Results!$R83&lt;&gt;"",Results!$T83&lt;&gt;""),1,0))</f>
        <v>0</v>
      </c>
      <c r="P78" s="122" t="str">
        <f>IF(AND(O78&gt;0,Planning!$I81=0),V78&amp;Language!$E$90&amp;W78,"")</f>
        <v/>
      </c>
      <c r="Q78" s="2" t="str">
        <f>IF(Planning!$I81=1,F78&amp;G78,"")</f>
        <v/>
      </c>
      <c r="R78" s="88" t="str">
        <f>IF(AND(O78&gt;0,Planning!$I81=1),V78&amp;Language!$E$90&amp;W78,"")</f>
        <v/>
      </c>
      <c r="S78" s="122" t="str">
        <f>IF(O78&gt;0,X78&amp;Language!$E$90&amp;Y78,"")</f>
        <v/>
      </c>
      <c r="T78" s="290">
        <f>IF($H78="",0,Results!$U83)</f>
        <v>0</v>
      </c>
      <c r="U78" s="291">
        <f>IF($I78="",0,Results!$V83)</f>
        <v>0</v>
      </c>
      <c r="V78" s="270" t="str">
        <f t="shared" si="2"/>
        <v/>
      </c>
      <c r="W78" s="291" t="str">
        <f t="shared" si="3"/>
        <v/>
      </c>
      <c r="X78" s="270">
        <f>IF($O78=0,0,IF(Results!$R83="",0,Results!$R83))</f>
        <v>0</v>
      </c>
      <c r="Y78" s="291">
        <f>IF($O78=0,0,IF(Results!$T83="",0,Results!$T83))</f>
        <v>0</v>
      </c>
      <c r="Z78" s="270" t="str">
        <f>IF($O78=0,"",IF($X78&gt;$Y78,Settings!$C$4,IF($X78=$Y78,1,0)))</f>
        <v/>
      </c>
      <c r="AA78" s="291" t="str">
        <f>IF($O78=0,"",IF($X78&lt;$Y78,Settings!$C$4,IF($X78=$Y78,1,0)))</f>
        <v/>
      </c>
    </row>
    <row r="79" spans="2:27" x14ac:dyDescent="0.2">
      <c r="B79" s="5"/>
      <c r="C79" s="5"/>
      <c r="D79" s="5"/>
      <c r="E79" s="266">
        <v>76</v>
      </c>
      <c r="F79" s="171" t="str">
        <f>Planning!$Q82</f>
        <v>Borussia Mönchengladbach</v>
      </c>
      <c r="G79" s="348" t="str">
        <f>Planning!$S82</f>
        <v>RB Leipzig</v>
      </c>
      <c r="H79" s="344" t="str">
        <f>IF(AND(Results!$I84&lt;&gt;"",Results!$K84&lt;&gt;"",Results!$F84&lt;&gt;Results!$H84,$F79&lt;&gt;"",$G79&lt;&gt;""),Results!$I84,"")</f>
        <v/>
      </c>
      <c r="I79" s="343" t="str">
        <f>IF(AND(Results!$I84&lt;&gt;"",Results!$K84&lt;&gt;"",Results!$F84&lt;&gt;Results!$H84,$F79&lt;&gt;"",$G79&lt;&gt;""),Results!$K84,"")</f>
        <v/>
      </c>
      <c r="J79" s="344" t="str">
        <f>IF(AND(Results!$L84&lt;&gt;"",Results!$N84&lt;&gt;"",Results!$F84&lt;&gt;Results!$H84,$F79&lt;&gt;"",$G79&lt;&gt;""),Results!$L84,"")</f>
        <v/>
      </c>
      <c r="K79" s="343" t="str">
        <f>IF(AND(Results!$L84&lt;&gt;"",Results!$N84&lt;&gt;"",Results!$F84&lt;&gt;Results!$H84,$F79&lt;&gt;"",$G79&lt;&gt;""),Results!$N84,"")</f>
        <v/>
      </c>
      <c r="L79" s="344" t="str">
        <f>IF(AND(Results!$O84&lt;&gt;"",Results!$Q84&lt;&gt;"",Results!$F84&lt;&gt;Results!$H84,$F79&lt;&gt;"",$G79&lt;&gt;""),Results!$O84,"")</f>
        <v/>
      </c>
      <c r="M79" s="122" t="str">
        <f>IF(AND(Results!$O84&lt;&gt;"",Results!$Q84&lt;&gt;"",Results!$F84&lt;&gt;Results!$H84,$F79&lt;&gt;"",$G79&lt;&gt;""),Results!$Q84,"")</f>
        <v/>
      </c>
      <c r="N79" s="16" t="str">
        <f>IF(Planning!$I82=0,F79&amp;G79,"")</f>
        <v>Borussia MönchengladbachRB Leipzig</v>
      </c>
      <c r="O79" s="122">
        <f>IF(AND(Results!$Z$6&gt;0,$E79-1&gt;=Results!$Z$6*Calc!$F$26),0,IF(AND(F79&lt;&gt;"",G79&lt;&gt;"",F79&lt;&gt;G79,Results!$R84&lt;&gt;"",Results!$T84&lt;&gt;""),1,0))</f>
        <v>0</v>
      </c>
      <c r="P79" s="122" t="str">
        <f>IF(AND(O79&gt;0,Planning!$I82=0),V79&amp;Language!$E$90&amp;W79,"")</f>
        <v/>
      </c>
      <c r="Q79" s="2" t="str">
        <f>IF(Planning!$I82=1,F79&amp;G79,"")</f>
        <v/>
      </c>
      <c r="R79" s="88" t="str">
        <f>IF(AND(O79&gt;0,Planning!$I82=1),V79&amp;Language!$E$90&amp;W79,"")</f>
        <v/>
      </c>
      <c r="S79" s="122" t="str">
        <f>IF(O79&gt;0,X79&amp;Language!$E$90&amp;Y79,"")</f>
        <v/>
      </c>
      <c r="T79" s="290">
        <f>IF($H79="",0,Results!$U84)</f>
        <v>0</v>
      </c>
      <c r="U79" s="291">
        <f>IF($I79="",0,Results!$V84)</f>
        <v>0</v>
      </c>
      <c r="V79" s="270" t="str">
        <f t="shared" si="2"/>
        <v/>
      </c>
      <c r="W79" s="291" t="str">
        <f t="shared" si="3"/>
        <v/>
      </c>
      <c r="X79" s="270">
        <f>IF($O79=0,0,IF(Results!$R84="",0,Results!$R84))</f>
        <v>0</v>
      </c>
      <c r="Y79" s="291">
        <f>IF($O79=0,0,IF(Results!$T84="",0,Results!$T84))</f>
        <v>0</v>
      </c>
      <c r="Z79" s="270" t="str">
        <f>IF($O79=0,"",IF($X79&gt;$Y79,Settings!$C$4,IF($X79=$Y79,1,0)))</f>
        <v/>
      </c>
      <c r="AA79" s="291" t="str">
        <f>IF($O79=0,"",IF($X79&lt;$Y79,Settings!$C$4,IF($X79=$Y79,1,0)))</f>
        <v/>
      </c>
    </row>
    <row r="80" spans="2:27" x14ac:dyDescent="0.2">
      <c r="B80" s="5"/>
      <c r="C80" s="5"/>
      <c r="D80" s="5"/>
      <c r="E80" s="266">
        <v>77</v>
      </c>
      <c r="F80" s="171" t="str">
        <f>Planning!$Q83</f>
        <v>SC Freiburg</v>
      </c>
      <c r="G80" s="348" t="str">
        <f>Planning!$S83</f>
        <v>Borussia Dortmund</v>
      </c>
      <c r="H80" s="344" t="str">
        <f>IF(AND(Results!$I85&lt;&gt;"",Results!$K85&lt;&gt;"",Results!$F85&lt;&gt;Results!$H85,$F80&lt;&gt;"",$G80&lt;&gt;""),Results!$I85,"")</f>
        <v/>
      </c>
      <c r="I80" s="343" t="str">
        <f>IF(AND(Results!$I85&lt;&gt;"",Results!$K85&lt;&gt;"",Results!$F85&lt;&gt;Results!$H85,$F80&lt;&gt;"",$G80&lt;&gt;""),Results!$K85,"")</f>
        <v/>
      </c>
      <c r="J80" s="344" t="str">
        <f>IF(AND(Results!$L85&lt;&gt;"",Results!$N85&lt;&gt;"",Results!$F85&lt;&gt;Results!$H85,$F80&lt;&gt;"",$G80&lt;&gt;""),Results!$L85,"")</f>
        <v/>
      </c>
      <c r="K80" s="343" t="str">
        <f>IF(AND(Results!$L85&lt;&gt;"",Results!$N85&lt;&gt;"",Results!$F85&lt;&gt;Results!$H85,$F80&lt;&gt;"",$G80&lt;&gt;""),Results!$N85,"")</f>
        <v/>
      </c>
      <c r="L80" s="344" t="str">
        <f>IF(AND(Results!$O85&lt;&gt;"",Results!$Q85&lt;&gt;"",Results!$F85&lt;&gt;Results!$H85,$F80&lt;&gt;"",$G80&lt;&gt;""),Results!$O85,"")</f>
        <v/>
      </c>
      <c r="M80" s="122" t="str">
        <f>IF(AND(Results!$O85&lt;&gt;"",Results!$Q85&lt;&gt;"",Results!$F85&lt;&gt;Results!$H85,$F80&lt;&gt;"",$G80&lt;&gt;""),Results!$Q85,"")</f>
        <v/>
      </c>
      <c r="N80" s="16" t="str">
        <f>IF(Planning!$I83=0,F80&amp;G80,"")</f>
        <v>SC FreiburgBorussia Dortmund</v>
      </c>
      <c r="O80" s="122">
        <f>IF(AND(Results!$Z$6&gt;0,$E80-1&gt;=Results!$Z$6*Calc!$F$26),0,IF(AND(F80&lt;&gt;"",G80&lt;&gt;"",F80&lt;&gt;G80,Results!$R85&lt;&gt;"",Results!$T85&lt;&gt;""),1,0))</f>
        <v>0</v>
      </c>
      <c r="P80" s="122" t="str">
        <f>IF(AND(O80&gt;0,Planning!$I83=0),V80&amp;Language!$E$90&amp;W80,"")</f>
        <v/>
      </c>
      <c r="Q80" s="2" t="str">
        <f>IF(Planning!$I83=1,F80&amp;G80,"")</f>
        <v/>
      </c>
      <c r="R80" s="88" t="str">
        <f>IF(AND(O80&gt;0,Planning!$I83=1),V80&amp;Language!$E$90&amp;W80,"")</f>
        <v/>
      </c>
      <c r="S80" s="122" t="str">
        <f>IF(O80&gt;0,X80&amp;Language!$E$90&amp;Y80,"")</f>
        <v/>
      </c>
      <c r="T80" s="290">
        <f>IF($H80="",0,Results!$U85)</f>
        <v>0</v>
      </c>
      <c r="U80" s="291">
        <f>IF($I80="",0,Results!$V85)</f>
        <v>0</v>
      </c>
      <c r="V80" s="270" t="str">
        <f t="shared" si="2"/>
        <v/>
      </c>
      <c r="W80" s="291" t="str">
        <f t="shared" si="3"/>
        <v/>
      </c>
      <c r="X80" s="270">
        <f>IF($O80=0,0,IF(Results!$R85="",0,Results!$R85))</f>
        <v>0</v>
      </c>
      <c r="Y80" s="291">
        <f>IF($O80=0,0,IF(Results!$T85="",0,Results!$T85))</f>
        <v>0</v>
      </c>
      <c r="Z80" s="270" t="str">
        <f>IF($O80=0,"",IF($X80&gt;$Y80,Settings!$C$4,IF($X80=$Y80,1,0)))</f>
        <v/>
      </c>
      <c r="AA80" s="291" t="str">
        <f>IF($O80=0,"",IF($X80&lt;$Y80,Settings!$C$4,IF($X80=$Y80,1,0)))</f>
        <v/>
      </c>
    </row>
    <row r="81" spans="2:27" x14ac:dyDescent="0.2">
      <c r="B81" s="5"/>
      <c r="C81" s="5"/>
      <c r="D81" s="5"/>
      <c r="E81" s="266">
        <v>78</v>
      </c>
      <c r="F81" s="171" t="str">
        <f>Planning!$Q84</f>
        <v>Bayer 04 Leverkusen</v>
      </c>
      <c r="G81" s="348" t="str">
        <f>Planning!$S84</f>
        <v>SV Werder Bremen</v>
      </c>
      <c r="H81" s="344" t="str">
        <f>IF(AND(Results!$I86&lt;&gt;"",Results!$K86&lt;&gt;"",Results!$F86&lt;&gt;Results!$H86,$F81&lt;&gt;"",$G81&lt;&gt;""),Results!$I86,"")</f>
        <v/>
      </c>
      <c r="I81" s="343" t="str">
        <f>IF(AND(Results!$I86&lt;&gt;"",Results!$K86&lt;&gt;"",Results!$F86&lt;&gt;Results!$H86,$F81&lt;&gt;"",$G81&lt;&gt;""),Results!$K86,"")</f>
        <v/>
      </c>
      <c r="J81" s="344" t="str">
        <f>IF(AND(Results!$L86&lt;&gt;"",Results!$N86&lt;&gt;"",Results!$F86&lt;&gt;Results!$H86,$F81&lt;&gt;"",$G81&lt;&gt;""),Results!$L86,"")</f>
        <v/>
      </c>
      <c r="K81" s="343" t="str">
        <f>IF(AND(Results!$L86&lt;&gt;"",Results!$N86&lt;&gt;"",Results!$F86&lt;&gt;Results!$H86,$F81&lt;&gt;"",$G81&lt;&gt;""),Results!$N86,"")</f>
        <v/>
      </c>
      <c r="L81" s="344" t="str">
        <f>IF(AND(Results!$O86&lt;&gt;"",Results!$Q86&lt;&gt;"",Results!$F86&lt;&gt;Results!$H86,$F81&lt;&gt;"",$G81&lt;&gt;""),Results!$O86,"")</f>
        <v/>
      </c>
      <c r="M81" s="122" t="str">
        <f>IF(AND(Results!$O86&lt;&gt;"",Results!$Q86&lt;&gt;"",Results!$F86&lt;&gt;Results!$H86,$F81&lt;&gt;"",$G81&lt;&gt;""),Results!$Q86,"")</f>
        <v/>
      </c>
      <c r="N81" s="16" t="str">
        <f>IF(Planning!$I84=0,F81&amp;G81,"")</f>
        <v>Bayer 04 LeverkusenSV Werder Bremen</v>
      </c>
      <c r="O81" s="122">
        <f>IF(AND(Results!$Z$6&gt;0,$E81-1&gt;=Results!$Z$6*Calc!$F$26),0,IF(AND(F81&lt;&gt;"",G81&lt;&gt;"",F81&lt;&gt;G81,Results!$R86&lt;&gt;"",Results!$T86&lt;&gt;""),1,0))</f>
        <v>0</v>
      </c>
      <c r="P81" s="122" t="str">
        <f>IF(AND(O81&gt;0,Planning!$I84=0),V81&amp;Language!$E$90&amp;W81,"")</f>
        <v/>
      </c>
      <c r="Q81" s="2" t="str">
        <f>IF(Planning!$I84=1,F81&amp;G81,"")</f>
        <v/>
      </c>
      <c r="R81" s="88" t="str">
        <f>IF(AND(O81&gt;0,Planning!$I84=1),V81&amp;Language!$E$90&amp;W81,"")</f>
        <v/>
      </c>
      <c r="S81" s="122" t="str">
        <f>IF(O81&gt;0,X81&amp;Language!$E$90&amp;Y81,"")</f>
        <v/>
      </c>
      <c r="T81" s="290">
        <f>IF($H81="",0,Results!$U86)</f>
        <v>0</v>
      </c>
      <c r="U81" s="291">
        <f>IF($I81="",0,Results!$V86)</f>
        <v>0</v>
      </c>
      <c r="V81" s="270" t="str">
        <f t="shared" si="2"/>
        <v/>
      </c>
      <c r="W81" s="291" t="str">
        <f t="shared" si="3"/>
        <v/>
      </c>
      <c r="X81" s="270">
        <f>IF($O81=0,0,IF(Results!$R86="",0,Results!$R86))</f>
        <v>0</v>
      </c>
      <c r="Y81" s="291">
        <f>IF($O81=0,0,IF(Results!$T86="",0,Results!$T86))</f>
        <v>0</v>
      </c>
      <c r="Z81" s="270" t="str">
        <f>IF($O81=0,"",IF($X81&gt;$Y81,Settings!$C$4,IF($X81=$Y81,1,0)))</f>
        <v/>
      </c>
      <c r="AA81" s="291" t="str">
        <f>IF($O81=0,"",IF($X81&lt;$Y81,Settings!$C$4,IF($X81=$Y81,1,0)))</f>
        <v/>
      </c>
    </row>
    <row r="82" spans="2:27" x14ac:dyDescent="0.2">
      <c r="B82" s="5"/>
      <c r="C82" s="5"/>
      <c r="D82" s="5"/>
      <c r="E82" s="266">
        <v>79</v>
      </c>
      <c r="F82" s="171" t="str">
        <f>Planning!$Q85</f>
        <v>TSG Hoffenheim</v>
      </c>
      <c r="G82" s="348" t="str">
        <f>Planning!$S85</f>
        <v>1. FSV Mainz 05</v>
      </c>
      <c r="H82" s="344" t="str">
        <f>IF(AND(Results!$I87&lt;&gt;"",Results!$K87&lt;&gt;"",Results!$F87&lt;&gt;Results!$H87,$F82&lt;&gt;"",$G82&lt;&gt;""),Results!$I87,"")</f>
        <v/>
      </c>
      <c r="I82" s="343" t="str">
        <f>IF(AND(Results!$I87&lt;&gt;"",Results!$K87&lt;&gt;"",Results!$F87&lt;&gt;Results!$H87,$F82&lt;&gt;"",$G82&lt;&gt;""),Results!$K87,"")</f>
        <v/>
      </c>
      <c r="J82" s="344" t="str">
        <f>IF(AND(Results!$L87&lt;&gt;"",Results!$N87&lt;&gt;"",Results!$F87&lt;&gt;Results!$H87,$F82&lt;&gt;"",$G82&lt;&gt;""),Results!$L87,"")</f>
        <v/>
      </c>
      <c r="K82" s="343" t="str">
        <f>IF(AND(Results!$L87&lt;&gt;"",Results!$N87&lt;&gt;"",Results!$F87&lt;&gt;Results!$H87,$F82&lt;&gt;"",$G82&lt;&gt;""),Results!$N87,"")</f>
        <v/>
      </c>
      <c r="L82" s="344" t="str">
        <f>IF(AND(Results!$O87&lt;&gt;"",Results!$Q87&lt;&gt;"",Results!$F87&lt;&gt;Results!$H87,$F82&lt;&gt;"",$G82&lt;&gt;""),Results!$O87,"")</f>
        <v/>
      </c>
      <c r="M82" s="122" t="str">
        <f>IF(AND(Results!$O87&lt;&gt;"",Results!$Q87&lt;&gt;"",Results!$F87&lt;&gt;Results!$H87,$F82&lt;&gt;"",$G82&lt;&gt;""),Results!$Q87,"")</f>
        <v/>
      </c>
      <c r="N82" s="16" t="str">
        <f>IF(Planning!$I85=0,F82&amp;G82,"")</f>
        <v>TSG Hoffenheim1. FSV Mainz 05</v>
      </c>
      <c r="O82" s="122">
        <f>IF(AND(Results!$Z$6&gt;0,$E82-1&gt;=Results!$Z$6*Calc!$F$26),0,IF(AND(F82&lt;&gt;"",G82&lt;&gt;"",F82&lt;&gt;G82,Results!$R87&lt;&gt;"",Results!$T87&lt;&gt;""),1,0))</f>
        <v>0</v>
      </c>
      <c r="P82" s="122" t="str">
        <f>IF(AND(O82&gt;0,Planning!$I85=0),V82&amp;Language!$E$90&amp;W82,"")</f>
        <v/>
      </c>
      <c r="Q82" s="2" t="str">
        <f>IF(Planning!$I85=1,F82&amp;G82,"")</f>
        <v/>
      </c>
      <c r="R82" s="88" t="str">
        <f>IF(AND(O82&gt;0,Planning!$I85=1),V82&amp;Language!$E$90&amp;W82,"")</f>
        <v/>
      </c>
      <c r="S82" s="122" t="str">
        <f>IF(O82&gt;0,X82&amp;Language!$E$90&amp;Y82,"")</f>
        <v/>
      </c>
      <c r="T82" s="290">
        <f>IF($H82="",0,Results!$U87)</f>
        <v>0</v>
      </c>
      <c r="U82" s="291">
        <f>IF($I82="",0,Results!$V87)</f>
        <v>0</v>
      </c>
      <c r="V82" s="270" t="str">
        <f t="shared" si="2"/>
        <v/>
      </c>
      <c r="W82" s="291" t="str">
        <f t="shared" si="3"/>
        <v/>
      </c>
      <c r="X82" s="270">
        <f>IF($O82=0,0,IF(Results!$R87="",0,Results!$R87))</f>
        <v>0</v>
      </c>
      <c r="Y82" s="291">
        <f>IF($O82=0,0,IF(Results!$T87="",0,Results!$T87))</f>
        <v>0</v>
      </c>
      <c r="Z82" s="270" t="str">
        <f>IF($O82=0,"",IF($X82&gt;$Y82,Settings!$C$4,IF($X82=$Y82,1,0)))</f>
        <v/>
      </c>
      <c r="AA82" s="291" t="str">
        <f>IF($O82=0,"",IF($X82&lt;$Y82,Settings!$C$4,IF($X82=$Y82,1,0)))</f>
        <v/>
      </c>
    </row>
    <row r="83" spans="2:27" x14ac:dyDescent="0.2">
      <c r="B83" s="5"/>
      <c r="C83" s="5"/>
      <c r="D83" s="5"/>
      <c r="E83" s="266">
        <v>80</v>
      </c>
      <c r="F83" s="171" t="str">
        <f>Planning!$Q86</f>
        <v>1. FC Union Berlin</v>
      </c>
      <c r="G83" s="348" t="str">
        <f>Planning!$S86</f>
        <v>VfB Stuttgart</v>
      </c>
      <c r="H83" s="344" t="str">
        <f>IF(AND(Results!$I88&lt;&gt;"",Results!$K88&lt;&gt;"",Results!$F88&lt;&gt;Results!$H88,$F83&lt;&gt;"",$G83&lt;&gt;""),Results!$I88,"")</f>
        <v/>
      </c>
      <c r="I83" s="343" t="str">
        <f>IF(AND(Results!$I88&lt;&gt;"",Results!$K88&lt;&gt;"",Results!$F88&lt;&gt;Results!$H88,$F83&lt;&gt;"",$G83&lt;&gt;""),Results!$K88,"")</f>
        <v/>
      </c>
      <c r="J83" s="344" t="str">
        <f>IF(AND(Results!$L88&lt;&gt;"",Results!$N88&lt;&gt;"",Results!$F88&lt;&gt;Results!$H88,$F83&lt;&gt;"",$G83&lt;&gt;""),Results!$L88,"")</f>
        <v/>
      </c>
      <c r="K83" s="343" t="str">
        <f>IF(AND(Results!$L88&lt;&gt;"",Results!$N88&lt;&gt;"",Results!$F88&lt;&gt;Results!$H88,$F83&lt;&gt;"",$G83&lt;&gt;""),Results!$N88,"")</f>
        <v/>
      </c>
      <c r="L83" s="344" t="str">
        <f>IF(AND(Results!$O88&lt;&gt;"",Results!$Q88&lt;&gt;"",Results!$F88&lt;&gt;Results!$H88,$F83&lt;&gt;"",$G83&lt;&gt;""),Results!$O88,"")</f>
        <v/>
      </c>
      <c r="M83" s="122" t="str">
        <f>IF(AND(Results!$O88&lt;&gt;"",Results!$Q88&lt;&gt;"",Results!$F88&lt;&gt;Results!$H88,$F83&lt;&gt;"",$G83&lt;&gt;""),Results!$Q88,"")</f>
        <v/>
      </c>
      <c r="N83" s="16" t="str">
        <f>IF(Planning!$I86=0,F83&amp;G83,"")</f>
        <v>1. FC Union BerlinVfB Stuttgart</v>
      </c>
      <c r="O83" s="122">
        <f>IF(AND(Results!$Z$6&gt;0,$E83-1&gt;=Results!$Z$6*Calc!$F$26),0,IF(AND(F83&lt;&gt;"",G83&lt;&gt;"",F83&lt;&gt;G83,Results!$R88&lt;&gt;"",Results!$T88&lt;&gt;""),1,0))</f>
        <v>0</v>
      </c>
      <c r="P83" s="122" t="str">
        <f>IF(AND(O83&gt;0,Planning!$I86=0),V83&amp;Language!$E$90&amp;W83,"")</f>
        <v/>
      </c>
      <c r="Q83" s="2" t="str">
        <f>IF(Planning!$I86=1,F83&amp;G83,"")</f>
        <v/>
      </c>
      <c r="R83" s="88" t="str">
        <f>IF(AND(O83&gt;0,Planning!$I86=1),V83&amp;Language!$E$90&amp;W83,"")</f>
        <v/>
      </c>
      <c r="S83" s="122" t="str">
        <f>IF(O83&gt;0,X83&amp;Language!$E$90&amp;Y83,"")</f>
        <v/>
      </c>
      <c r="T83" s="290">
        <f>IF($H83="",0,Results!$U88)</f>
        <v>0</v>
      </c>
      <c r="U83" s="291">
        <f>IF($I83="",0,Results!$V88)</f>
        <v>0</v>
      </c>
      <c r="V83" s="270" t="str">
        <f t="shared" si="2"/>
        <v/>
      </c>
      <c r="W83" s="291" t="str">
        <f t="shared" si="3"/>
        <v/>
      </c>
      <c r="X83" s="270">
        <f>IF($O83=0,0,IF(Results!$R88="",0,Results!$R88))</f>
        <v>0</v>
      </c>
      <c r="Y83" s="291">
        <f>IF($O83=0,0,IF(Results!$T88="",0,Results!$T88))</f>
        <v>0</v>
      </c>
      <c r="Z83" s="270" t="str">
        <f>IF($O83=0,"",IF($X83&gt;$Y83,Settings!$C$4,IF($X83=$Y83,1,0)))</f>
        <v/>
      </c>
      <c r="AA83" s="291" t="str">
        <f>IF($O83=0,"",IF($X83&lt;$Y83,Settings!$C$4,IF($X83=$Y83,1,0)))</f>
        <v/>
      </c>
    </row>
    <row r="84" spans="2:27" x14ac:dyDescent="0.2">
      <c r="B84" s="5"/>
      <c r="C84" s="5"/>
      <c r="D84" s="5"/>
      <c r="E84" s="266">
        <v>81</v>
      </c>
      <c r="F84" s="171" t="str">
        <f>Planning!$Q87</f>
        <v>VfL Wolfsburg</v>
      </c>
      <c r="G84" s="348" t="str">
        <f>Planning!$S87</f>
        <v>1. FC Köln</v>
      </c>
      <c r="H84" s="344" t="str">
        <f>IF(AND(Results!$I89&lt;&gt;"",Results!$K89&lt;&gt;"",Results!$F89&lt;&gt;Results!$H89,$F84&lt;&gt;"",$G84&lt;&gt;""),Results!$I89,"")</f>
        <v/>
      </c>
      <c r="I84" s="343" t="str">
        <f>IF(AND(Results!$I89&lt;&gt;"",Results!$K89&lt;&gt;"",Results!$F89&lt;&gt;Results!$H89,$F84&lt;&gt;"",$G84&lt;&gt;""),Results!$K89,"")</f>
        <v/>
      </c>
      <c r="J84" s="344" t="str">
        <f>IF(AND(Results!$L89&lt;&gt;"",Results!$N89&lt;&gt;"",Results!$F89&lt;&gt;Results!$H89,$F84&lt;&gt;"",$G84&lt;&gt;""),Results!$L89,"")</f>
        <v/>
      </c>
      <c r="K84" s="343" t="str">
        <f>IF(AND(Results!$L89&lt;&gt;"",Results!$N89&lt;&gt;"",Results!$F89&lt;&gt;Results!$H89,$F84&lt;&gt;"",$G84&lt;&gt;""),Results!$N89,"")</f>
        <v/>
      </c>
      <c r="L84" s="344" t="str">
        <f>IF(AND(Results!$O89&lt;&gt;"",Results!$Q89&lt;&gt;"",Results!$F89&lt;&gt;Results!$H89,$F84&lt;&gt;"",$G84&lt;&gt;""),Results!$O89,"")</f>
        <v/>
      </c>
      <c r="M84" s="122" t="str">
        <f>IF(AND(Results!$O89&lt;&gt;"",Results!$Q89&lt;&gt;"",Results!$F89&lt;&gt;Results!$H89,$F84&lt;&gt;"",$G84&lt;&gt;""),Results!$Q89,"")</f>
        <v/>
      </c>
      <c r="N84" s="16" t="str">
        <f>IF(Planning!$I87=0,F84&amp;G84,"")</f>
        <v>VfL Wolfsburg1. FC Köln</v>
      </c>
      <c r="O84" s="122">
        <f>IF(AND(Results!$Z$6&gt;0,$E84-1&gt;=Results!$Z$6*Calc!$F$26),0,IF(AND(F84&lt;&gt;"",G84&lt;&gt;"",F84&lt;&gt;G84,Results!$R89&lt;&gt;"",Results!$T89&lt;&gt;""),1,0))</f>
        <v>0</v>
      </c>
      <c r="P84" s="122" t="str">
        <f>IF(AND(O84&gt;0,Planning!$I87=0),V84&amp;Language!$E$90&amp;W84,"")</f>
        <v/>
      </c>
      <c r="Q84" s="2" t="str">
        <f>IF(Planning!$I87=1,F84&amp;G84,"")</f>
        <v/>
      </c>
      <c r="R84" s="88" t="str">
        <f>IF(AND(O84&gt;0,Planning!$I87=1),V84&amp;Language!$E$90&amp;W84,"")</f>
        <v/>
      </c>
      <c r="S84" s="122" t="str">
        <f>IF(O84&gt;0,X84&amp;Language!$E$90&amp;Y84,"")</f>
        <v/>
      </c>
      <c r="T84" s="290">
        <f>IF($H84="",0,Results!$U89)</f>
        <v>0</v>
      </c>
      <c r="U84" s="291">
        <f>IF($I84="",0,Results!$V89)</f>
        <v>0</v>
      </c>
      <c r="V84" s="270" t="str">
        <f t="shared" si="2"/>
        <v/>
      </c>
      <c r="W84" s="291" t="str">
        <f t="shared" si="3"/>
        <v/>
      </c>
      <c r="X84" s="270">
        <f>IF($O84=0,0,IF(Results!$R89="",0,Results!$R89))</f>
        <v>0</v>
      </c>
      <c r="Y84" s="291">
        <f>IF($O84=0,0,IF(Results!$T89="",0,Results!$T89))</f>
        <v>0</v>
      </c>
      <c r="Z84" s="270" t="str">
        <f>IF($O84=0,"",IF($X84&gt;$Y84,Settings!$C$4,IF($X84=$Y84,1,0)))</f>
        <v/>
      </c>
      <c r="AA84" s="291" t="str">
        <f>IF($O84=0,"",IF($X84&lt;$Y84,Settings!$C$4,IF($X84=$Y84,1,0)))</f>
        <v/>
      </c>
    </row>
    <row r="85" spans="2:27" x14ac:dyDescent="0.2">
      <c r="B85" s="5"/>
      <c r="C85" s="5"/>
      <c r="D85" s="5"/>
      <c r="E85" s="266">
        <v>82</v>
      </c>
      <c r="F85" s="171" t="str">
        <f>Planning!$Q88</f>
        <v>FC Augsburg</v>
      </c>
      <c r="G85" s="348" t="str">
        <f>Planning!$S88</f>
        <v>1. FC Heidenheim 1846</v>
      </c>
      <c r="H85" s="344" t="str">
        <f>IF(AND(Results!$I90&lt;&gt;"",Results!$K90&lt;&gt;"",Results!$F90&lt;&gt;Results!$H90,$F85&lt;&gt;"",$G85&lt;&gt;""),Results!$I90,"")</f>
        <v/>
      </c>
      <c r="I85" s="343" t="str">
        <f>IF(AND(Results!$I90&lt;&gt;"",Results!$K90&lt;&gt;"",Results!$F90&lt;&gt;Results!$H90,$F85&lt;&gt;"",$G85&lt;&gt;""),Results!$K90,"")</f>
        <v/>
      </c>
      <c r="J85" s="344" t="str">
        <f>IF(AND(Results!$L90&lt;&gt;"",Results!$N90&lt;&gt;"",Results!$F90&lt;&gt;Results!$H90,$F85&lt;&gt;"",$G85&lt;&gt;""),Results!$L90,"")</f>
        <v/>
      </c>
      <c r="K85" s="343" t="str">
        <f>IF(AND(Results!$L90&lt;&gt;"",Results!$N90&lt;&gt;"",Results!$F90&lt;&gt;Results!$H90,$F85&lt;&gt;"",$G85&lt;&gt;""),Results!$N90,"")</f>
        <v/>
      </c>
      <c r="L85" s="344" t="str">
        <f>IF(AND(Results!$O90&lt;&gt;"",Results!$Q90&lt;&gt;"",Results!$F90&lt;&gt;Results!$H90,$F85&lt;&gt;"",$G85&lt;&gt;""),Results!$O90,"")</f>
        <v/>
      </c>
      <c r="M85" s="122" t="str">
        <f>IF(AND(Results!$O90&lt;&gt;"",Results!$Q90&lt;&gt;"",Results!$F90&lt;&gt;Results!$H90,$F85&lt;&gt;"",$G85&lt;&gt;""),Results!$Q90,"")</f>
        <v/>
      </c>
      <c r="N85" s="16" t="str">
        <f>IF(Planning!$I88=0,F85&amp;G85,"")</f>
        <v>FC Augsburg1. FC Heidenheim 1846</v>
      </c>
      <c r="O85" s="122">
        <f>IF(AND(Results!$Z$6&gt;0,$E85-1&gt;=Results!$Z$6*Calc!$F$26),0,IF(AND(F85&lt;&gt;"",G85&lt;&gt;"",F85&lt;&gt;G85,Results!$R90&lt;&gt;"",Results!$T90&lt;&gt;""),1,0))</f>
        <v>0</v>
      </c>
      <c r="P85" s="122" t="str">
        <f>IF(AND(O85&gt;0,Planning!$I88=0),V85&amp;Language!$E$90&amp;W85,"")</f>
        <v/>
      </c>
      <c r="Q85" s="2" t="str">
        <f>IF(Planning!$I88=1,F85&amp;G85,"")</f>
        <v/>
      </c>
      <c r="R85" s="88" t="str">
        <f>IF(AND(O85&gt;0,Planning!$I88=1),V85&amp;Language!$E$90&amp;W85,"")</f>
        <v/>
      </c>
      <c r="S85" s="122" t="str">
        <f>IF(O85&gt;0,X85&amp;Language!$E$90&amp;Y85,"")</f>
        <v/>
      </c>
      <c r="T85" s="290">
        <f>IF($H85="",0,Results!$U90)</f>
        <v>0</v>
      </c>
      <c r="U85" s="291">
        <f>IF($I85="",0,Results!$V90)</f>
        <v>0</v>
      </c>
      <c r="V85" s="270" t="str">
        <f t="shared" si="2"/>
        <v/>
      </c>
      <c r="W85" s="291" t="str">
        <f t="shared" si="3"/>
        <v/>
      </c>
      <c r="X85" s="270">
        <f>IF($O85=0,0,IF(Results!$R90="",0,Results!$R90))</f>
        <v>0</v>
      </c>
      <c r="Y85" s="291">
        <f>IF($O85=0,0,IF(Results!$T90="",0,Results!$T90))</f>
        <v>0</v>
      </c>
      <c r="Z85" s="270" t="str">
        <f>IF($O85=0,"",IF($X85&gt;$Y85,Settings!$C$4,IF($X85=$Y85,1,0)))</f>
        <v/>
      </c>
      <c r="AA85" s="291" t="str">
        <f>IF($O85=0,"",IF($X85&lt;$Y85,Settings!$C$4,IF($X85=$Y85,1,0)))</f>
        <v/>
      </c>
    </row>
    <row r="86" spans="2:27" x14ac:dyDescent="0.2">
      <c r="B86" s="5"/>
      <c r="C86" s="5"/>
      <c r="D86" s="5"/>
      <c r="E86" s="266">
        <v>83</v>
      </c>
      <c r="F86" s="171" t="str">
        <f>Planning!$Q89</f>
        <v>Eintracht Frankfurt</v>
      </c>
      <c r="G86" s="348" t="str">
        <f>Planning!$S89</f>
        <v>FC Bayern München</v>
      </c>
      <c r="H86" s="344" t="str">
        <f>IF(AND(Results!$I91&lt;&gt;"",Results!$K91&lt;&gt;"",Results!$F91&lt;&gt;Results!$H91,$F86&lt;&gt;"",$G86&lt;&gt;""),Results!$I91,"")</f>
        <v/>
      </c>
      <c r="I86" s="343" t="str">
        <f>IF(AND(Results!$I91&lt;&gt;"",Results!$K91&lt;&gt;"",Results!$F91&lt;&gt;Results!$H91,$F86&lt;&gt;"",$G86&lt;&gt;""),Results!$K91,"")</f>
        <v/>
      </c>
      <c r="J86" s="344" t="str">
        <f>IF(AND(Results!$L91&lt;&gt;"",Results!$N91&lt;&gt;"",Results!$F91&lt;&gt;Results!$H91,$F86&lt;&gt;"",$G86&lt;&gt;""),Results!$L91,"")</f>
        <v/>
      </c>
      <c r="K86" s="343" t="str">
        <f>IF(AND(Results!$L91&lt;&gt;"",Results!$N91&lt;&gt;"",Results!$F91&lt;&gt;Results!$H91,$F86&lt;&gt;"",$G86&lt;&gt;""),Results!$N91,"")</f>
        <v/>
      </c>
      <c r="L86" s="344" t="str">
        <f>IF(AND(Results!$O91&lt;&gt;"",Results!$Q91&lt;&gt;"",Results!$F91&lt;&gt;Results!$H91,$F86&lt;&gt;"",$G86&lt;&gt;""),Results!$O91,"")</f>
        <v/>
      </c>
      <c r="M86" s="122" t="str">
        <f>IF(AND(Results!$O91&lt;&gt;"",Results!$Q91&lt;&gt;"",Results!$F91&lt;&gt;Results!$H91,$F86&lt;&gt;"",$G86&lt;&gt;""),Results!$Q91,"")</f>
        <v/>
      </c>
      <c r="N86" s="16" t="str">
        <f>IF(Planning!$I89=0,F86&amp;G86,"")</f>
        <v>Eintracht FrankfurtFC Bayern München</v>
      </c>
      <c r="O86" s="122">
        <f>IF(AND(Results!$Z$6&gt;0,$E86-1&gt;=Results!$Z$6*Calc!$F$26),0,IF(AND(F86&lt;&gt;"",G86&lt;&gt;"",F86&lt;&gt;G86,Results!$R91&lt;&gt;"",Results!$T91&lt;&gt;""),1,0))</f>
        <v>0</v>
      </c>
      <c r="P86" s="122" t="str">
        <f>IF(AND(O86&gt;0,Planning!$I89=0),V86&amp;Language!$E$90&amp;W86,"")</f>
        <v/>
      </c>
      <c r="Q86" s="2" t="str">
        <f>IF(Planning!$I89=1,F86&amp;G86,"")</f>
        <v/>
      </c>
      <c r="R86" s="88" t="str">
        <f>IF(AND(O86&gt;0,Planning!$I89=1),V86&amp;Language!$E$90&amp;W86,"")</f>
        <v/>
      </c>
      <c r="S86" s="122" t="str">
        <f>IF(O86&gt;0,X86&amp;Language!$E$90&amp;Y86,"")</f>
        <v/>
      </c>
      <c r="T86" s="290">
        <f>IF($H86="",0,Results!$U91)</f>
        <v>0</v>
      </c>
      <c r="U86" s="291">
        <f>IF($I86="",0,Results!$V91)</f>
        <v>0</v>
      </c>
      <c r="V86" s="270" t="str">
        <f t="shared" si="2"/>
        <v/>
      </c>
      <c r="W86" s="291" t="str">
        <f t="shared" si="3"/>
        <v/>
      </c>
      <c r="X86" s="270">
        <f>IF($O86=0,0,IF(Results!$R91="",0,Results!$R91))</f>
        <v>0</v>
      </c>
      <c r="Y86" s="291">
        <f>IF($O86=0,0,IF(Results!$T91="",0,Results!$T91))</f>
        <v>0</v>
      </c>
      <c r="Z86" s="270" t="str">
        <f>IF($O86=0,"",IF($X86&gt;$Y86,Settings!$C$4,IF($X86=$Y86,1,0)))</f>
        <v/>
      </c>
      <c r="AA86" s="291" t="str">
        <f>IF($O86=0,"",IF($X86&lt;$Y86,Settings!$C$4,IF($X86=$Y86,1,0)))</f>
        <v/>
      </c>
    </row>
    <row r="87" spans="2:27" x14ac:dyDescent="0.2">
      <c r="B87" s="5"/>
      <c r="C87" s="5"/>
      <c r="D87" s="5"/>
      <c r="E87" s="266">
        <v>84</v>
      </c>
      <c r="F87" s="171" t="str">
        <f>Planning!$Q90</f>
        <v>FC St. Pauli</v>
      </c>
      <c r="G87" s="348" t="str">
        <f>Planning!$S90</f>
        <v>Borussia Mönchengladbach</v>
      </c>
      <c r="H87" s="344" t="str">
        <f>IF(AND(Results!$I92&lt;&gt;"",Results!$K92&lt;&gt;"",Results!$F92&lt;&gt;Results!$H92,$F87&lt;&gt;"",$G87&lt;&gt;""),Results!$I92,"")</f>
        <v/>
      </c>
      <c r="I87" s="343" t="str">
        <f>IF(AND(Results!$I92&lt;&gt;"",Results!$K92&lt;&gt;"",Results!$F92&lt;&gt;Results!$H92,$F87&lt;&gt;"",$G87&lt;&gt;""),Results!$K92,"")</f>
        <v/>
      </c>
      <c r="J87" s="344" t="str">
        <f>IF(AND(Results!$L92&lt;&gt;"",Results!$N92&lt;&gt;"",Results!$F92&lt;&gt;Results!$H92,$F87&lt;&gt;"",$G87&lt;&gt;""),Results!$L92,"")</f>
        <v/>
      </c>
      <c r="K87" s="343" t="str">
        <f>IF(AND(Results!$L92&lt;&gt;"",Results!$N92&lt;&gt;"",Results!$F92&lt;&gt;Results!$H92,$F87&lt;&gt;"",$G87&lt;&gt;""),Results!$N92,"")</f>
        <v/>
      </c>
      <c r="L87" s="344" t="str">
        <f>IF(AND(Results!$O92&lt;&gt;"",Results!$Q92&lt;&gt;"",Results!$F92&lt;&gt;Results!$H92,$F87&lt;&gt;"",$G87&lt;&gt;""),Results!$O92,"")</f>
        <v/>
      </c>
      <c r="M87" s="122" t="str">
        <f>IF(AND(Results!$O92&lt;&gt;"",Results!$Q92&lt;&gt;"",Results!$F92&lt;&gt;Results!$H92,$F87&lt;&gt;"",$G87&lt;&gt;""),Results!$Q92,"")</f>
        <v/>
      </c>
      <c r="N87" s="16" t="str">
        <f>IF(Planning!$I90=0,F87&amp;G87,"")</f>
        <v>FC St. PauliBorussia Mönchengladbach</v>
      </c>
      <c r="O87" s="122">
        <f>IF(AND(Results!$Z$6&gt;0,$E87-1&gt;=Results!$Z$6*Calc!$F$26),0,IF(AND(F87&lt;&gt;"",G87&lt;&gt;"",F87&lt;&gt;G87,Results!$R92&lt;&gt;"",Results!$T92&lt;&gt;""),1,0))</f>
        <v>0</v>
      </c>
      <c r="P87" s="122" t="str">
        <f>IF(AND(O87&gt;0,Planning!$I90=0),V87&amp;Language!$E$90&amp;W87,"")</f>
        <v/>
      </c>
      <c r="Q87" s="2" t="str">
        <f>IF(Planning!$I90=1,F87&amp;G87,"")</f>
        <v/>
      </c>
      <c r="R87" s="88" t="str">
        <f>IF(AND(O87&gt;0,Planning!$I90=1),V87&amp;Language!$E$90&amp;W87,"")</f>
        <v/>
      </c>
      <c r="S87" s="122" t="str">
        <f>IF(O87&gt;0,X87&amp;Language!$E$90&amp;Y87,"")</f>
        <v/>
      </c>
      <c r="T87" s="290">
        <f>IF($H87="",0,Results!$U92)</f>
        <v>0</v>
      </c>
      <c r="U87" s="291">
        <f>IF($I87="",0,Results!$V92)</f>
        <v>0</v>
      </c>
      <c r="V87" s="270" t="str">
        <f t="shared" si="2"/>
        <v/>
      </c>
      <c r="W87" s="291" t="str">
        <f t="shared" si="3"/>
        <v/>
      </c>
      <c r="X87" s="270">
        <f>IF($O87=0,0,IF(Results!$R92="",0,Results!$R92))</f>
        <v>0</v>
      </c>
      <c r="Y87" s="291">
        <f>IF($O87=0,0,IF(Results!$T92="",0,Results!$T92))</f>
        <v>0</v>
      </c>
      <c r="Z87" s="270" t="str">
        <f>IF($O87=0,"",IF($X87&gt;$Y87,Settings!$C$4,IF($X87=$Y87,1,0)))</f>
        <v/>
      </c>
      <c r="AA87" s="291" t="str">
        <f>IF($O87=0,"",IF($X87&lt;$Y87,Settings!$C$4,IF($X87=$Y87,1,0)))</f>
        <v/>
      </c>
    </row>
    <row r="88" spans="2:27" x14ac:dyDescent="0.2">
      <c r="B88" s="5"/>
      <c r="C88" s="5"/>
      <c r="D88" s="5"/>
      <c r="E88" s="266">
        <v>85</v>
      </c>
      <c r="F88" s="171" t="str">
        <f>Planning!$Q91</f>
        <v>Borussia Dortmund</v>
      </c>
      <c r="G88" s="348" t="str">
        <f>Planning!$S91</f>
        <v>Hamburger SV</v>
      </c>
      <c r="H88" s="344" t="str">
        <f>IF(AND(Results!$I93&lt;&gt;"",Results!$K93&lt;&gt;"",Results!$F93&lt;&gt;Results!$H93,$F88&lt;&gt;"",$G88&lt;&gt;""),Results!$I93,"")</f>
        <v/>
      </c>
      <c r="I88" s="343" t="str">
        <f>IF(AND(Results!$I93&lt;&gt;"",Results!$K93&lt;&gt;"",Results!$F93&lt;&gt;Results!$H93,$F88&lt;&gt;"",$G88&lt;&gt;""),Results!$K93,"")</f>
        <v/>
      </c>
      <c r="J88" s="344" t="str">
        <f>IF(AND(Results!$L93&lt;&gt;"",Results!$N93&lt;&gt;"",Results!$F93&lt;&gt;Results!$H93,$F88&lt;&gt;"",$G88&lt;&gt;""),Results!$L93,"")</f>
        <v/>
      </c>
      <c r="K88" s="343" t="str">
        <f>IF(AND(Results!$L93&lt;&gt;"",Results!$N93&lt;&gt;"",Results!$F93&lt;&gt;Results!$H93,$F88&lt;&gt;"",$G88&lt;&gt;""),Results!$N93,"")</f>
        <v/>
      </c>
      <c r="L88" s="344" t="str">
        <f>IF(AND(Results!$O93&lt;&gt;"",Results!$Q93&lt;&gt;"",Results!$F93&lt;&gt;Results!$H93,$F88&lt;&gt;"",$G88&lt;&gt;""),Results!$O93,"")</f>
        <v/>
      </c>
      <c r="M88" s="122" t="str">
        <f>IF(AND(Results!$O93&lt;&gt;"",Results!$Q93&lt;&gt;"",Results!$F93&lt;&gt;Results!$H93,$F88&lt;&gt;"",$G88&lt;&gt;""),Results!$Q93,"")</f>
        <v/>
      </c>
      <c r="N88" s="16" t="str">
        <f>IF(Planning!$I91=0,F88&amp;G88,"")</f>
        <v>Borussia DortmundHamburger SV</v>
      </c>
      <c r="O88" s="122">
        <f>IF(AND(Results!$Z$6&gt;0,$E88-1&gt;=Results!$Z$6*Calc!$F$26),0,IF(AND(F88&lt;&gt;"",G88&lt;&gt;"",F88&lt;&gt;G88,Results!$R93&lt;&gt;"",Results!$T93&lt;&gt;""),1,0))</f>
        <v>0</v>
      </c>
      <c r="P88" s="122" t="str">
        <f>IF(AND(O88&gt;0,Planning!$I91=0),V88&amp;Language!$E$90&amp;W88,"")</f>
        <v/>
      </c>
      <c r="Q88" s="2" t="str">
        <f>IF(Planning!$I91=1,F88&amp;G88,"")</f>
        <v/>
      </c>
      <c r="R88" s="88" t="str">
        <f>IF(AND(O88&gt;0,Planning!$I91=1),V88&amp;Language!$E$90&amp;W88,"")</f>
        <v/>
      </c>
      <c r="S88" s="122" t="str">
        <f>IF(O88&gt;0,X88&amp;Language!$E$90&amp;Y88,"")</f>
        <v/>
      </c>
      <c r="T88" s="290">
        <f>IF($H88="",0,Results!$U93)</f>
        <v>0</v>
      </c>
      <c r="U88" s="291">
        <f>IF($I88="",0,Results!$V93)</f>
        <v>0</v>
      </c>
      <c r="V88" s="270" t="str">
        <f t="shared" si="2"/>
        <v/>
      </c>
      <c r="W88" s="291" t="str">
        <f t="shared" si="3"/>
        <v/>
      </c>
      <c r="X88" s="270">
        <f>IF($O88=0,0,IF(Results!$R93="",0,Results!$R93))</f>
        <v>0</v>
      </c>
      <c r="Y88" s="291">
        <f>IF($O88=0,0,IF(Results!$T93="",0,Results!$T93))</f>
        <v>0</v>
      </c>
      <c r="Z88" s="270" t="str">
        <f>IF($O88=0,"",IF($X88&gt;$Y88,Settings!$C$4,IF($X88=$Y88,1,0)))</f>
        <v/>
      </c>
      <c r="AA88" s="291" t="str">
        <f>IF($O88=0,"",IF($X88&lt;$Y88,Settings!$C$4,IF($X88=$Y88,1,0)))</f>
        <v/>
      </c>
    </row>
    <row r="89" spans="2:27" x14ac:dyDescent="0.2">
      <c r="B89" s="5"/>
      <c r="C89" s="5"/>
      <c r="D89" s="5"/>
      <c r="E89" s="266">
        <v>86</v>
      </c>
      <c r="F89" s="171" t="str">
        <f>Planning!$Q92</f>
        <v>RB Leipzig</v>
      </c>
      <c r="G89" s="348" t="str">
        <f>Planning!$S92</f>
        <v>Bayer 04 Leverkusen</v>
      </c>
      <c r="H89" s="344" t="str">
        <f>IF(AND(Results!$I94&lt;&gt;"",Results!$K94&lt;&gt;"",Results!$F94&lt;&gt;Results!$H94,$F89&lt;&gt;"",$G89&lt;&gt;""),Results!$I94,"")</f>
        <v/>
      </c>
      <c r="I89" s="343" t="str">
        <f>IF(AND(Results!$I94&lt;&gt;"",Results!$K94&lt;&gt;"",Results!$F94&lt;&gt;Results!$H94,$F89&lt;&gt;"",$G89&lt;&gt;""),Results!$K94,"")</f>
        <v/>
      </c>
      <c r="J89" s="344" t="str">
        <f>IF(AND(Results!$L94&lt;&gt;"",Results!$N94&lt;&gt;"",Results!$F94&lt;&gt;Results!$H94,$F89&lt;&gt;"",$G89&lt;&gt;""),Results!$L94,"")</f>
        <v/>
      </c>
      <c r="K89" s="343" t="str">
        <f>IF(AND(Results!$L94&lt;&gt;"",Results!$N94&lt;&gt;"",Results!$F94&lt;&gt;Results!$H94,$F89&lt;&gt;"",$G89&lt;&gt;""),Results!$N94,"")</f>
        <v/>
      </c>
      <c r="L89" s="344" t="str">
        <f>IF(AND(Results!$O94&lt;&gt;"",Results!$Q94&lt;&gt;"",Results!$F94&lt;&gt;Results!$H94,$F89&lt;&gt;"",$G89&lt;&gt;""),Results!$O94,"")</f>
        <v/>
      </c>
      <c r="M89" s="122" t="str">
        <f>IF(AND(Results!$O94&lt;&gt;"",Results!$Q94&lt;&gt;"",Results!$F94&lt;&gt;Results!$H94,$F89&lt;&gt;"",$G89&lt;&gt;""),Results!$Q94,"")</f>
        <v/>
      </c>
      <c r="N89" s="16" t="str">
        <f>IF(Planning!$I92=0,F89&amp;G89,"")</f>
        <v>RB LeipzigBayer 04 Leverkusen</v>
      </c>
      <c r="O89" s="122">
        <f>IF(AND(Results!$Z$6&gt;0,$E89-1&gt;=Results!$Z$6*Calc!$F$26),0,IF(AND(F89&lt;&gt;"",G89&lt;&gt;"",F89&lt;&gt;G89,Results!$R94&lt;&gt;"",Results!$T94&lt;&gt;""),1,0))</f>
        <v>0</v>
      </c>
      <c r="P89" s="122" t="str">
        <f>IF(AND(O89&gt;0,Planning!$I92=0),V89&amp;Language!$E$90&amp;W89,"")</f>
        <v/>
      </c>
      <c r="Q89" s="2" t="str">
        <f>IF(Planning!$I92=1,F89&amp;G89,"")</f>
        <v/>
      </c>
      <c r="R89" s="88" t="str">
        <f>IF(AND(O89&gt;0,Planning!$I92=1),V89&amp;Language!$E$90&amp;W89,"")</f>
        <v/>
      </c>
      <c r="S89" s="122" t="str">
        <f>IF(O89&gt;0,X89&amp;Language!$E$90&amp;Y89,"")</f>
        <v/>
      </c>
      <c r="T89" s="290">
        <f>IF($H89="",0,Results!$U94)</f>
        <v>0</v>
      </c>
      <c r="U89" s="291">
        <f>IF($I89="",0,Results!$V94)</f>
        <v>0</v>
      </c>
      <c r="V89" s="270" t="str">
        <f t="shared" si="2"/>
        <v/>
      </c>
      <c r="W89" s="291" t="str">
        <f t="shared" si="3"/>
        <v/>
      </c>
      <c r="X89" s="270">
        <f>IF($O89=0,0,IF(Results!$R94="",0,Results!$R94))</f>
        <v>0</v>
      </c>
      <c r="Y89" s="291">
        <f>IF($O89=0,0,IF(Results!$T94="",0,Results!$T94))</f>
        <v>0</v>
      </c>
      <c r="Z89" s="270" t="str">
        <f>IF($O89=0,"",IF($X89&gt;$Y89,Settings!$C$4,IF($X89=$Y89,1,0)))</f>
        <v/>
      </c>
      <c r="AA89" s="291" t="str">
        <f>IF($O89=0,"",IF($X89&lt;$Y89,Settings!$C$4,IF($X89=$Y89,1,0)))</f>
        <v/>
      </c>
    </row>
    <row r="90" spans="2:27" x14ac:dyDescent="0.2">
      <c r="B90" s="5"/>
      <c r="C90" s="5"/>
      <c r="D90" s="5"/>
      <c r="E90" s="266">
        <v>87</v>
      </c>
      <c r="F90" s="171" t="str">
        <f>Planning!$Q93</f>
        <v>1. FSV Mainz 05</v>
      </c>
      <c r="G90" s="348" t="str">
        <f>Planning!$S93</f>
        <v>SC Freiburg</v>
      </c>
      <c r="H90" s="344" t="str">
        <f>IF(AND(Results!$I95&lt;&gt;"",Results!$K95&lt;&gt;"",Results!$F95&lt;&gt;Results!$H95,$F90&lt;&gt;"",$G90&lt;&gt;""),Results!$I95,"")</f>
        <v/>
      </c>
      <c r="I90" s="343" t="str">
        <f>IF(AND(Results!$I95&lt;&gt;"",Results!$K95&lt;&gt;"",Results!$F95&lt;&gt;Results!$H95,$F90&lt;&gt;"",$G90&lt;&gt;""),Results!$K95,"")</f>
        <v/>
      </c>
      <c r="J90" s="344" t="str">
        <f>IF(AND(Results!$L95&lt;&gt;"",Results!$N95&lt;&gt;"",Results!$F95&lt;&gt;Results!$H95,$F90&lt;&gt;"",$G90&lt;&gt;""),Results!$L95,"")</f>
        <v/>
      </c>
      <c r="K90" s="343" t="str">
        <f>IF(AND(Results!$L95&lt;&gt;"",Results!$N95&lt;&gt;"",Results!$F95&lt;&gt;Results!$H95,$F90&lt;&gt;"",$G90&lt;&gt;""),Results!$N95,"")</f>
        <v/>
      </c>
      <c r="L90" s="344" t="str">
        <f>IF(AND(Results!$O95&lt;&gt;"",Results!$Q95&lt;&gt;"",Results!$F95&lt;&gt;Results!$H95,$F90&lt;&gt;"",$G90&lt;&gt;""),Results!$O95,"")</f>
        <v/>
      </c>
      <c r="M90" s="122" t="str">
        <f>IF(AND(Results!$O95&lt;&gt;"",Results!$Q95&lt;&gt;"",Results!$F95&lt;&gt;Results!$H95,$F90&lt;&gt;"",$G90&lt;&gt;""),Results!$Q95,"")</f>
        <v/>
      </c>
      <c r="N90" s="16" t="str">
        <f>IF(Planning!$I93=0,F90&amp;G90,"")</f>
        <v>1. FSV Mainz 05SC Freiburg</v>
      </c>
      <c r="O90" s="122">
        <f>IF(AND(Results!$Z$6&gt;0,$E90-1&gt;=Results!$Z$6*Calc!$F$26),0,IF(AND(F90&lt;&gt;"",G90&lt;&gt;"",F90&lt;&gt;G90,Results!$R95&lt;&gt;"",Results!$T95&lt;&gt;""),1,0))</f>
        <v>0</v>
      </c>
      <c r="P90" s="122" t="str">
        <f>IF(AND(O90&gt;0,Planning!$I93=0),V90&amp;Language!$E$90&amp;W90,"")</f>
        <v/>
      </c>
      <c r="Q90" s="2" t="str">
        <f>IF(Planning!$I93=1,F90&amp;G90,"")</f>
        <v/>
      </c>
      <c r="R90" s="88" t="str">
        <f>IF(AND(O90&gt;0,Planning!$I93=1),V90&amp;Language!$E$90&amp;W90,"")</f>
        <v/>
      </c>
      <c r="S90" s="122" t="str">
        <f>IF(O90&gt;0,X90&amp;Language!$E$90&amp;Y90,"")</f>
        <v/>
      </c>
      <c r="T90" s="290">
        <f>IF($H90="",0,Results!$U95)</f>
        <v>0</v>
      </c>
      <c r="U90" s="291">
        <f>IF($I90="",0,Results!$V95)</f>
        <v>0</v>
      </c>
      <c r="V90" s="270" t="str">
        <f t="shared" si="2"/>
        <v/>
      </c>
      <c r="W90" s="291" t="str">
        <f t="shared" si="3"/>
        <v/>
      </c>
      <c r="X90" s="270">
        <f>IF($O90=0,0,IF(Results!$R95="",0,Results!$R95))</f>
        <v>0</v>
      </c>
      <c r="Y90" s="291">
        <f>IF($O90=0,0,IF(Results!$T95="",0,Results!$T95))</f>
        <v>0</v>
      </c>
      <c r="Z90" s="270" t="str">
        <f>IF($O90=0,"",IF($X90&gt;$Y90,Settings!$C$4,IF($X90=$Y90,1,0)))</f>
        <v/>
      </c>
      <c r="AA90" s="291" t="str">
        <f>IF($O90=0,"",IF($X90&lt;$Y90,Settings!$C$4,IF($X90=$Y90,1,0)))</f>
        <v/>
      </c>
    </row>
    <row r="91" spans="2:27" x14ac:dyDescent="0.2">
      <c r="B91" s="5"/>
      <c r="C91" s="5"/>
      <c r="D91" s="5"/>
      <c r="E91" s="266">
        <v>88</v>
      </c>
      <c r="F91" s="171" t="str">
        <f>Planning!$Q94</f>
        <v>SV Werder Bremen</v>
      </c>
      <c r="G91" s="348" t="str">
        <f>Planning!$S94</f>
        <v>1. FC Union Berlin</v>
      </c>
      <c r="H91" s="344" t="str">
        <f>IF(AND(Results!$I96&lt;&gt;"",Results!$K96&lt;&gt;"",Results!$F96&lt;&gt;Results!$H96,$F91&lt;&gt;"",$G91&lt;&gt;""),Results!$I96,"")</f>
        <v/>
      </c>
      <c r="I91" s="343" t="str">
        <f>IF(AND(Results!$I96&lt;&gt;"",Results!$K96&lt;&gt;"",Results!$F96&lt;&gt;Results!$H96,$F91&lt;&gt;"",$G91&lt;&gt;""),Results!$K96,"")</f>
        <v/>
      </c>
      <c r="J91" s="344" t="str">
        <f>IF(AND(Results!$L96&lt;&gt;"",Results!$N96&lt;&gt;"",Results!$F96&lt;&gt;Results!$H96,$F91&lt;&gt;"",$G91&lt;&gt;""),Results!$L96,"")</f>
        <v/>
      </c>
      <c r="K91" s="343" t="str">
        <f>IF(AND(Results!$L96&lt;&gt;"",Results!$N96&lt;&gt;"",Results!$F96&lt;&gt;Results!$H96,$F91&lt;&gt;"",$G91&lt;&gt;""),Results!$N96,"")</f>
        <v/>
      </c>
      <c r="L91" s="344" t="str">
        <f>IF(AND(Results!$O96&lt;&gt;"",Results!$Q96&lt;&gt;"",Results!$F96&lt;&gt;Results!$H96,$F91&lt;&gt;"",$G91&lt;&gt;""),Results!$O96,"")</f>
        <v/>
      </c>
      <c r="M91" s="122" t="str">
        <f>IF(AND(Results!$O96&lt;&gt;"",Results!$Q96&lt;&gt;"",Results!$F96&lt;&gt;Results!$H96,$F91&lt;&gt;"",$G91&lt;&gt;""),Results!$Q96,"")</f>
        <v/>
      </c>
      <c r="N91" s="16" t="str">
        <f>IF(Planning!$I94=0,F91&amp;G91,"")</f>
        <v>SV Werder Bremen1. FC Union Berlin</v>
      </c>
      <c r="O91" s="122">
        <f>IF(AND(Results!$Z$6&gt;0,$E91-1&gt;=Results!$Z$6*Calc!$F$26),0,IF(AND(F91&lt;&gt;"",G91&lt;&gt;"",F91&lt;&gt;G91,Results!$R96&lt;&gt;"",Results!$T96&lt;&gt;""),1,0))</f>
        <v>0</v>
      </c>
      <c r="P91" s="122" t="str">
        <f>IF(AND(O91&gt;0,Planning!$I94=0),V91&amp;Language!$E$90&amp;W91,"")</f>
        <v/>
      </c>
      <c r="Q91" s="2" t="str">
        <f>IF(Planning!$I94=1,F91&amp;G91,"")</f>
        <v/>
      </c>
      <c r="R91" s="88" t="str">
        <f>IF(AND(O91&gt;0,Planning!$I94=1),V91&amp;Language!$E$90&amp;W91,"")</f>
        <v/>
      </c>
      <c r="S91" s="122" t="str">
        <f>IF(O91&gt;0,X91&amp;Language!$E$90&amp;Y91,"")</f>
        <v/>
      </c>
      <c r="T91" s="290">
        <f>IF($H91="",0,Results!$U96)</f>
        <v>0</v>
      </c>
      <c r="U91" s="291">
        <f>IF($I91="",0,Results!$V96)</f>
        <v>0</v>
      </c>
      <c r="V91" s="270" t="str">
        <f t="shared" si="2"/>
        <v/>
      </c>
      <c r="W91" s="291" t="str">
        <f t="shared" si="3"/>
        <v/>
      </c>
      <c r="X91" s="270">
        <f>IF($O91=0,0,IF(Results!$R96="",0,Results!$R96))</f>
        <v>0</v>
      </c>
      <c r="Y91" s="291">
        <f>IF($O91=0,0,IF(Results!$T96="",0,Results!$T96))</f>
        <v>0</v>
      </c>
      <c r="Z91" s="270" t="str">
        <f>IF($O91=0,"",IF($X91&gt;$Y91,Settings!$C$4,IF($X91=$Y91,1,0)))</f>
        <v/>
      </c>
      <c r="AA91" s="291" t="str">
        <f>IF($O91=0,"",IF($X91&lt;$Y91,Settings!$C$4,IF($X91=$Y91,1,0)))</f>
        <v/>
      </c>
    </row>
    <row r="92" spans="2:27" x14ac:dyDescent="0.2">
      <c r="B92" s="5"/>
      <c r="C92" s="5"/>
      <c r="D92" s="5"/>
      <c r="E92" s="266">
        <v>89</v>
      </c>
      <c r="F92" s="171" t="str">
        <f>Planning!$Q95</f>
        <v>1. FC Köln</v>
      </c>
      <c r="G92" s="348" t="str">
        <f>Planning!$S95</f>
        <v>TSG Hoffenheim</v>
      </c>
      <c r="H92" s="344" t="str">
        <f>IF(AND(Results!$I97&lt;&gt;"",Results!$K97&lt;&gt;"",Results!$F97&lt;&gt;Results!$H97,$F92&lt;&gt;"",$G92&lt;&gt;""),Results!$I97,"")</f>
        <v/>
      </c>
      <c r="I92" s="343" t="str">
        <f>IF(AND(Results!$I97&lt;&gt;"",Results!$K97&lt;&gt;"",Results!$F97&lt;&gt;Results!$H97,$F92&lt;&gt;"",$G92&lt;&gt;""),Results!$K97,"")</f>
        <v/>
      </c>
      <c r="J92" s="344" t="str">
        <f>IF(AND(Results!$L97&lt;&gt;"",Results!$N97&lt;&gt;"",Results!$F97&lt;&gt;Results!$H97,$F92&lt;&gt;"",$G92&lt;&gt;""),Results!$L97,"")</f>
        <v/>
      </c>
      <c r="K92" s="343" t="str">
        <f>IF(AND(Results!$L97&lt;&gt;"",Results!$N97&lt;&gt;"",Results!$F97&lt;&gt;Results!$H97,$F92&lt;&gt;"",$G92&lt;&gt;""),Results!$N97,"")</f>
        <v/>
      </c>
      <c r="L92" s="344" t="str">
        <f>IF(AND(Results!$O97&lt;&gt;"",Results!$Q97&lt;&gt;"",Results!$F97&lt;&gt;Results!$H97,$F92&lt;&gt;"",$G92&lt;&gt;""),Results!$O97,"")</f>
        <v/>
      </c>
      <c r="M92" s="122" t="str">
        <f>IF(AND(Results!$O97&lt;&gt;"",Results!$Q97&lt;&gt;"",Results!$F97&lt;&gt;Results!$H97,$F92&lt;&gt;"",$G92&lt;&gt;""),Results!$Q97,"")</f>
        <v/>
      </c>
      <c r="N92" s="16" t="str">
        <f>IF(Planning!$I95=0,F92&amp;G92,"")</f>
        <v>1. FC KölnTSG Hoffenheim</v>
      </c>
      <c r="O92" s="122">
        <f>IF(AND(Results!$Z$6&gt;0,$E92-1&gt;=Results!$Z$6*Calc!$F$26),0,IF(AND(F92&lt;&gt;"",G92&lt;&gt;"",F92&lt;&gt;G92,Results!$R97&lt;&gt;"",Results!$T97&lt;&gt;""),1,0))</f>
        <v>0</v>
      </c>
      <c r="P92" s="122" t="str">
        <f>IF(AND(O92&gt;0,Planning!$I95=0),V92&amp;Language!$E$90&amp;W92,"")</f>
        <v/>
      </c>
      <c r="Q92" s="2" t="str">
        <f>IF(Planning!$I95=1,F92&amp;G92,"")</f>
        <v/>
      </c>
      <c r="R92" s="88" t="str">
        <f>IF(AND(O92&gt;0,Planning!$I95=1),V92&amp;Language!$E$90&amp;W92,"")</f>
        <v/>
      </c>
      <c r="S92" s="122" t="str">
        <f>IF(O92&gt;0,X92&amp;Language!$E$90&amp;Y92,"")</f>
        <v/>
      </c>
      <c r="T92" s="290">
        <f>IF($H92="",0,Results!$U97)</f>
        <v>0</v>
      </c>
      <c r="U92" s="291">
        <f>IF($I92="",0,Results!$V97)</f>
        <v>0</v>
      </c>
      <c r="V92" s="270" t="str">
        <f t="shared" si="2"/>
        <v/>
      </c>
      <c r="W92" s="291" t="str">
        <f t="shared" si="3"/>
        <v/>
      </c>
      <c r="X92" s="270">
        <f>IF($O92=0,0,IF(Results!$R97="",0,Results!$R97))</f>
        <v>0</v>
      </c>
      <c r="Y92" s="291">
        <f>IF($O92=0,0,IF(Results!$T97="",0,Results!$T97))</f>
        <v>0</v>
      </c>
      <c r="Z92" s="270" t="str">
        <f>IF($O92=0,"",IF($X92&gt;$Y92,Settings!$C$4,IF($X92=$Y92,1,0)))</f>
        <v/>
      </c>
      <c r="AA92" s="291" t="str">
        <f>IF($O92=0,"",IF($X92&lt;$Y92,Settings!$C$4,IF($X92=$Y92,1,0)))</f>
        <v/>
      </c>
    </row>
    <row r="93" spans="2:27" x14ac:dyDescent="0.2">
      <c r="B93" s="5"/>
      <c r="C93" s="5"/>
      <c r="D93" s="5"/>
      <c r="E93" s="266">
        <v>90</v>
      </c>
      <c r="F93" s="171" t="str">
        <f>Planning!$Q96</f>
        <v>VfB Stuttgart</v>
      </c>
      <c r="G93" s="348" t="str">
        <f>Planning!$S96</f>
        <v>VfL Wolfsburg</v>
      </c>
      <c r="H93" s="344" t="str">
        <f>IF(AND(Results!$I98&lt;&gt;"",Results!$K98&lt;&gt;"",Results!$F98&lt;&gt;Results!$H98,$F93&lt;&gt;"",$G93&lt;&gt;""),Results!$I98,"")</f>
        <v/>
      </c>
      <c r="I93" s="343" t="str">
        <f>IF(AND(Results!$I98&lt;&gt;"",Results!$K98&lt;&gt;"",Results!$F98&lt;&gt;Results!$H98,$F93&lt;&gt;"",$G93&lt;&gt;""),Results!$K98,"")</f>
        <v/>
      </c>
      <c r="J93" s="344" t="str">
        <f>IF(AND(Results!$L98&lt;&gt;"",Results!$N98&lt;&gt;"",Results!$F98&lt;&gt;Results!$H98,$F93&lt;&gt;"",$G93&lt;&gt;""),Results!$L98,"")</f>
        <v/>
      </c>
      <c r="K93" s="343" t="str">
        <f>IF(AND(Results!$L98&lt;&gt;"",Results!$N98&lt;&gt;"",Results!$F98&lt;&gt;Results!$H98,$F93&lt;&gt;"",$G93&lt;&gt;""),Results!$N98,"")</f>
        <v/>
      </c>
      <c r="L93" s="344" t="str">
        <f>IF(AND(Results!$O98&lt;&gt;"",Results!$Q98&lt;&gt;"",Results!$F98&lt;&gt;Results!$H98,$F93&lt;&gt;"",$G93&lt;&gt;""),Results!$O98,"")</f>
        <v/>
      </c>
      <c r="M93" s="122" t="str">
        <f>IF(AND(Results!$O98&lt;&gt;"",Results!$Q98&lt;&gt;"",Results!$F98&lt;&gt;Results!$H98,$F93&lt;&gt;"",$G93&lt;&gt;""),Results!$Q98,"")</f>
        <v/>
      </c>
      <c r="N93" s="16" t="str">
        <f>IF(Planning!$I96=0,F93&amp;G93,"")</f>
        <v>VfB StuttgartVfL Wolfsburg</v>
      </c>
      <c r="O93" s="122">
        <f>IF(AND(Results!$Z$6&gt;0,$E93-1&gt;=Results!$Z$6*Calc!$F$26),0,IF(AND(F93&lt;&gt;"",G93&lt;&gt;"",F93&lt;&gt;G93,Results!$R98&lt;&gt;"",Results!$T98&lt;&gt;""),1,0))</f>
        <v>0</v>
      </c>
      <c r="P93" s="122" t="str">
        <f>IF(AND(O93&gt;0,Planning!$I96=0),V93&amp;Language!$E$90&amp;W93,"")</f>
        <v/>
      </c>
      <c r="Q93" s="2" t="str">
        <f>IF(Planning!$I96=1,F93&amp;G93,"")</f>
        <v/>
      </c>
      <c r="R93" s="88" t="str">
        <f>IF(AND(O93&gt;0,Planning!$I96=1),V93&amp;Language!$E$90&amp;W93,"")</f>
        <v/>
      </c>
      <c r="S93" s="122" t="str">
        <f>IF(O93&gt;0,X93&amp;Language!$E$90&amp;Y93,"")</f>
        <v/>
      </c>
      <c r="T93" s="290">
        <f>IF($H93="",0,Results!$U98)</f>
        <v>0</v>
      </c>
      <c r="U93" s="291">
        <f>IF($I93="",0,Results!$V98)</f>
        <v>0</v>
      </c>
      <c r="V93" s="270" t="str">
        <f t="shared" si="2"/>
        <v/>
      </c>
      <c r="W93" s="291" t="str">
        <f t="shared" si="3"/>
        <v/>
      </c>
      <c r="X93" s="270">
        <f>IF($O93=0,0,IF(Results!$R98="",0,Results!$R98))</f>
        <v>0</v>
      </c>
      <c r="Y93" s="291">
        <f>IF($O93=0,0,IF(Results!$T98="",0,Results!$T98))</f>
        <v>0</v>
      </c>
      <c r="Z93" s="270" t="str">
        <f>IF($O93=0,"",IF($X93&gt;$Y93,Settings!$C$4,IF($X93=$Y93,1,0)))</f>
        <v/>
      </c>
      <c r="AA93" s="291" t="str">
        <f>IF($O93=0,"",IF($X93&lt;$Y93,Settings!$C$4,IF($X93=$Y93,1,0)))</f>
        <v/>
      </c>
    </row>
    <row r="94" spans="2:27" x14ac:dyDescent="0.2">
      <c r="B94" s="5"/>
      <c r="C94" s="5"/>
      <c r="D94" s="5"/>
      <c r="E94" s="266">
        <v>91</v>
      </c>
      <c r="F94" s="171" t="str">
        <f>Planning!$Q97</f>
        <v>1. FC Heidenheim 1846</v>
      </c>
      <c r="G94" s="348" t="str">
        <f>Planning!$S97</f>
        <v>Eintracht Frankfurt</v>
      </c>
      <c r="H94" s="344" t="str">
        <f>IF(AND(Results!$I99&lt;&gt;"",Results!$K99&lt;&gt;"",Results!$F99&lt;&gt;Results!$H99,$F94&lt;&gt;"",$G94&lt;&gt;""),Results!$I99,"")</f>
        <v/>
      </c>
      <c r="I94" s="343" t="str">
        <f>IF(AND(Results!$I99&lt;&gt;"",Results!$K99&lt;&gt;"",Results!$F99&lt;&gt;Results!$H99,$F94&lt;&gt;"",$G94&lt;&gt;""),Results!$K99,"")</f>
        <v/>
      </c>
      <c r="J94" s="344" t="str">
        <f>IF(AND(Results!$L99&lt;&gt;"",Results!$N99&lt;&gt;"",Results!$F99&lt;&gt;Results!$H99,$F94&lt;&gt;"",$G94&lt;&gt;""),Results!$L99,"")</f>
        <v/>
      </c>
      <c r="K94" s="343" t="str">
        <f>IF(AND(Results!$L99&lt;&gt;"",Results!$N99&lt;&gt;"",Results!$F99&lt;&gt;Results!$H99,$F94&lt;&gt;"",$G94&lt;&gt;""),Results!$N99,"")</f>
        <v/>
      </c>
      <c r="L94" s="344" t="str">
        <f>IF(AND(Results!$O99&lt;&gt;"",Results!$Q99&lt;&gt;"",Results!$F99&lt;&gt;Results!$H99,$F94&lt;&gt;"",$G94&lt;&gt;""),Results!$O99,"")</f>
        <v/>
      </c>
      <c r="M94" s="122" t="str">
        <f>IF(AND(Results!$O99&lt;&gt;"",Results!$Q99&lt;&gt;"",Results!$F99&lt;&gt;Results!$H99,$F94&lt;&gt;"",$G94&lt;&gt;""),Results!$Q99,"")</f>
        <v/>
      </c>
      <c r="N94" s="16" t="str">
        <f>IF(Planning!$I97=0,F94&amp;G94,"")</f>
        <v>1. FC Heidenheim 1846Eintracht Frankfurt</v>
      </c>
      <c r="O94" s="122">
        <f>IF(AND(Results!$Z$6&gt;0,$E94-1&gt;=Results!$Z$6*Calc!$F$26),0,IF(AND(F94&lt;&gt;"",G94&lt;&gt;"",F94&lt;&gt;G94,Results!$R99&lt;&gt;"",Results!$T99&lt;&gt;""),1,0))</f>
        <v>0</v>
      </c>
      <c r="P94" s="122" t="str">
        <f>IF(AND(O94&gt;0,Planning!$I97=0),V94&amp;Language!$E$90&amp;W94,"")</f>
        <v/>
      </c>
      <c r="Q94" s="2" t="str">
        <f>IF(Planning!$I97=1,F94&amp;G94,"")</f>
        <v/>
      </c>
      <c r="R94" s="88" t="str">
        <f>IF(AND(O94&gt;0,Planning!$I97=1),V94&amp;Language!$E$90&amp;W94,"")</f>
        <v/>
      </c>
      <c r="S94" s="122" t="str">
        <f>IF(O94&gt;0,X94&amp;Language!$E$90&amp;Y94,"")</f>
        <v/>
      </c>
      <c r="T94" s="290">
        <f>IF($H94="",0,Results!$U99)</f>
        <v>0</v>
      </c>
      <c r="U94" s="291">
        <f>IF($I94="",0,Results!$V99)</f>
        <v>0</v>
      </c>
      <c r="V94" s="270" t="str">
        <f t="shared" si="2"/>
        <v/>
      </c>
      <c r="W94" s="291" t="str">
        <f t="shared" si="3"/>
        <v/>
      </c>
      <c r="X94" s="270">
        <f>IF($O94=0,0,IF(Results!$R99="",0,Results!$R99))</f>
        <v>0</v>
      </c>
      <c r="Y94" s="291">
        <f>IF($O94=0,0,IF(Results!$T99="",0,Results!$T99))</f>
        <v>0</v>
      </c>
      <c r="Z94" s="270" t="str">
        <f>IF($O94=0,"",IF($X94&gt;$Y94,Settings!$C$4,IF($X94=$Y94,1,0)))</f>
        <v/>
      </c>
      <c r="AA94" s="291" t="str">
        <f>IF($O94=0,"",IF($X94&lt;$Y94,Settings!$C$4,IF($X94=$Y94,1,0)))</f>
        <v/>
      </c>
    </row>
    <row r="95" spans="2:27" x14ac:dyDescent="0.2">
      <c r="B95" s="5"/>
      <c r="C95" s="5"/>
      <c r="D95" s="5"/>
      <c r="E95" s="266">
        <v>92</v>
      </c>
      <c r="F95" s="171" t="str">
        <f>Planning!$Q98</f>
        <v>Borussia Mönchengladbach</v>
      </c>
      <c r="G95" s="348" t="str">
        <f>Planning!$S98</f>
        <v>FC Augsburg</v>
      </c>
      <c r="H95" s="344" t="str">
        <f>IF(AND(Results!$I100&lt;&gt;"",Results!$K100&lt;&gt;"",Results!$F100&lt;&gt;Results!$H100,$F95&lt;&gt;"",$G95&lt;&gt;""),Results!$I100,"")</f>
        <v/>
      </c>
      <c r="I95" s="343" t="str">
        <f>IF(AND(Results!$I100&lt;&gt;"",Results!$K100&lt;&gt;"",Results!$F100&lt;&gt;Results!$H100,$F95&lt;&gt;"",$G95&lt;&gt;""),Results!$K100,"")</f>
        <v/>
      </c>
      <c r="J95" s="344" t="str">
        <f>IF(AND(Results!$L100&lt;&gt;"",Results!$N100&lt;&gt;"",Results!$F100&lt;&gt;Results!$H100,$F95&lt;&gt;"",$G95&lt;&gt;""),Results!$L100,"")</f>
        <v/>
      </c>
      <c r="K95" s="343" t="str">
        <f>IF(AND(Results!$L100&lt;&gt;"",Results!$N100&lt;&gt;"",Results!$F100&lt;&gt;Results!$H100,$F95&lt;&gt;"",$G95&lt;&gt;""),Results!$N100,"")</f>
        <v/>
      </c>
      <c r="L95" s="344" t="str">
        <f>IF(AND(Results!$O100&lt;&gt;"",Results!$Q100&lt;&gt;"",Results!$F100&lt;&gt;Results!$H100,$F95&lt;&gt;"",$G95&lt;&gt;""),Results!$O100,"")</f>
        <v/>
      </c>
      <c r="M95" s="122" t="str">
        <f>IF(AND(Results!$O100&lt;&gt;"",Results!$Q100&lt;&gt;"",Results!$F100&lt;&gt;Results!$H100,$F95&lt;&gt;"",$G95&lt;&gt;""),Results!$Q100,"")</f>
        <v/>
      </c>
      <c r="N95" s="16" t="str">
        <f>IF(Planning!$I98=0,F95&amp;G95,"")</f>
        <v>Borussia MönchengladbachFC Augsburg</v>
      </c>
      <c r="O95" s="122">
        <f>IF(AND(Results!$Z$6&gt;0,$E95-1&gt;=Results!$Z$6*Calc!$F$26),0,IF(AND(F95&lt;&gt;"",G95&lt;&gt;"",F95&lt;&gt;G95,Results!$R100&lt;&gt;"",Results!$T100&lt;&gt;""),1,0))</f>
        <v>0</v>
      </c>
      <c r="P95" s="122" t="str">
        <f>IF(AND(O95&gt;0,Planning!$I98=0),V95&amp;Language!$E$90&amp;W95,"")</f>
        <v/>
      </c>
      <c r="Q95" s="2" t="str">
        <f>IF(Planning!$I98=1,F95&amp;G95,"")</f>
        <v/>
      </c>
      <c r="R95" s="88" t="str">
        <f>IF(AND(O95&gt;0,Planning!$I98=1),V95&amp;Language!$E$90&amp;W95,"")</f>
        <v/>
      </c>
      <c r="S95" s="122" t="str">
        <f>IF(O95&gt;0,X95&amp;Language!$E$90&amp;Y95,"")</f>
        <v/>
      </c>
      <c r="T95" s="290">
        <f>IF($H95="",0,Results!$U100)</f>
        <v>0</v>
      </c>
      <c r="U95" s="291">
        <f>IF($I95="",0,Results!$V100)</f>
        <v>0</v>
      </c>
      <c r="V95" s="270" t="str">
        <f t="shared" si="2"/>
        <v/>
      </c>
      <c r="W95" s="291" t="str">
        <f t="shared" si="3"/>
        <v/>
      </c>
      <c r="X95" s="270">
        <f>IF($O95=0,0,IF(Results!$R100="",0,Results!$R100))</f>
        <v>0</v>
      </c>
      <c r="Y95" s="291">
        <f>IF($O95=0,0,IF(Results!$T100="",0,Results!$T100))</f>
        <v>0</v>
      </c>
      <c r="Z95" s="270" t="str">
        <f>IF($O95=0,"",IF($X95&gt;$Y95,Settings!$C$4,IF($X95=$Y95,1,0)))</f>
        <v/>
      </c>
      <c r="AA95" s="291" t="str">
        <f>IF($O95=0,"",IF($X95&lt;$Y95,Settings!$C$4,IF($X95=$Y95,1,0)))</f>
        <v/>
      </c>
    </row>
    <row r="96" spans="2:27" x14ac:dyDescent="0.2">
      <c r="B96" s="5"/>
      <c r="C96" s="5"/>
      <c r="D96" s="5"/>
      <c r="E96" s="266">
        <v>93</v>
      </c>
      <c r="F96" s="171" t="str">
        <f>Planning!$Q99</f>
        <v>FC Bayern München</v>
      </c>
      <c r="G96" s="348" t="str">
        <f>Planning!$S99</f>
        <v>Borussia Dortmund</v>
      </c>
      <c r="H96" s="344" t="str">
        <f>IF(AND(Results!$I101&lt;&gt;"",Results!$K101&lt;&gt;"",Results!$F101&lt;&gt;Results!$H101,$F96&lt;&gt;"",$G96&lt;&gt;""),Results!$I101,"")</f>
        <v/>
      </c>
      <c r="I96" s="343" t="str">
        <f>IF(AND(Results!$I101&lt;&gt;"",Results!$K101&lt;&gt;"",Results!$F101&lt;&gt;Results!$H101,$F96&lt;&gt;"",$G96&lt;&gt;""),Results!$K101,"")</f>
        <v/>
      </c>
      <c r="J96" s="344" t="str">
        <f>IF(AND(Results!$L101&lt;&gt;"",Results!$N101&lt;&gt;"",Results!$F101&lt;&gt;Results!$H101,$F96&lt;&gt;"",$G96&lt;&gt;""),Results!$L101,"")</f>
        <v/>
      </c>
      <c r="K96" s="343" t="str">
        <f>IF(AND(Results!$L101&lt;&gt;"",Results!$N101&lt;&gt;"",Results!$F101&lt;&gt;Results!$H101,$F96&lt;&gt;"",$G96&lt;&gt;""),Results!$N101,"")</f>
        <v/>
      </c>
      <c r="L96" s="344" t="str">
        <f>IF(AND(Results!$O101&lt;&gt;"",Results!$Q101&lt;&gt;"",Results!$F101&lt;&gt;Results!$H101,$F96&lt;&gt;"",$G96&lt;&gt;""),Results!$O101,"")</f>
        <v/>
      </c>
      <c r="M96" s="122" t="str">
        <f>IF(AND(Results!$O101&lt;&gt;"",Results!$Q101&lt;&gt;"",Results!$F101&lt;&gt;Results!$H101,$F96&lt;&gt;"",$G96&lt;&gt;""),Results!$Q101,"")</f>
        <v/>
      </c>
      <c r="N96" s="16" t="str">
        <f>IF(Planning!$I99=0,F96&amp;G96,"")</f>
        <v>FC Bayern MünchenBorussia Dortmund</v>
      </c>
      <c r="O96" s="122">
        <f>IF(AND(Results!$Z$6&gt;0,$E96-1&gt;=Results!$Z$6*Calc!$F$26),0,IF(AND(F96&lt;&gt;"",G96&lt;&gt;"",F96&lt;&gt;G96,Results!$R101&lt;&gt;"",Results!$T101&lt;&gt;""),1,0))</f>
        <v>0</v>
      </c>
      <c r="P96" s="122" t="str">
        <f>IF(AND(O96&gt;0,Planning!$I99=0),V96&amp;Language!$E$90&amp;W96,"")</f>
        <v/>
      </c>
      <c r="Q96" s="2" t="str">
        <f>IF(Planning!$I99=1,F96&amp;G96,"")</f>
        <v/>
      </c>
      <c r="R96" s="88" t="str">
        <f>IF(AND(O96&gt;0,Planning!$I99=1),V96&amp;Language!$E$90&amp;W96,"")</f>
        <v/>
      </c>
      <c r="S96" s="122" t="str">
        <f>IF(O96&gt;0,X96&amp;Language!$E$90&amp;Y96,"")</f>
        <v/>
      </c>
      <c r="T96" s="290">
        <f>IF($H96="",0,Results!$U101)</f>
        <v>0</v>
      </c>
      <c r="U96" s="291">
        <f>IF($I96="",0,Results!$V101)</f>
        <v>0</v>
      </c>
      <c r="V96" s="270" t="str">
        <f t="shared" si="2"/>
        <v/>
      </c>
      <c r="W96" s="291" t="str">
        <f t="shared" si="3"/>
        <v/>
      </c>
      <c r="X96" s="270">
        <f>IF($O96=0,0,IF(Results!$R101="",0,Results!$R101))</f>
        <v>0</v>
      </c>
      <c r="Y96" s="291">
        <f>IF($O96=0,0,IF(Results!$T101="",0,Results!$T101))</f>
        <v>0</v>
      </c>
      <c r="Z96" s="270" t="str">
        <f>IF($O96=0,"",IF($X96&gt;$Y96,Settings!$C$4,IF($X96=$Y96,1,0)))</f>
        <v/>
      </c>
      <c r="AA96" s="291" t="str">
        <f>IF($O96=0,"",IF($X96&lt;$Y96,Settings!$C$4,IF($X96=$Y96,1,0)))</f>
        <v/>
      </c>
    </row>
    <row r="97" spans="2:27" x14ac:dyDescent="0.2">
      <c r="B97" s="5"/>
      <c r="C97" s="5"/>
      <c r="D97" s="5"/>
      <c r="E97" s="266">
        <v>94</v>
      </c>
      <c r="F97" s="171" t="str">
        <f>Planning!$Q100</f>
        <v>Bayer 04 Leverkusen</v>
      </c>
      <c r="G97" s="348" t="str">
        <f>Planning!$S100</f>
        <v>FC St. Pauli</v>
      </c>
      <c r="H97" s="344" t="str">
        <f>IF(AND(Results!$I102&lt;&gt;"",Results!$K102&lt;&gt;"",Results!$F102&lt;&gt;Results!$H102,$F97&lt;&gt;"",$G97&lt;&gt;""),Results!$I102,"")</f>
        <v/>
      </c>
      <c r="I97" s="343" t="str">
        <f>IF(AND(Results!$I102&lt;&gt;"",Results!$K102&lt;&gt;"",Results!$F102&lt;&gt;Results!$H102,$F97&lt;&gt;"",$G97&lt;&gt;""),Results!$K102,"")</f>
        <v/>
      </c>
      <c r="J97" s="344" t="str">
        <f>IF(AND(Results!$L102&lt;&gt;"",Results!$N102&lt;&gt;"",Results!$F102&lt;&gt;Results!$H102,$F97&lt;&gt;"",$G97&lt;&gt;""),Results!$L102,"")</f>
        <v/>
      </c>
      <c r="K97" s="343" t="str">
        <f>IF(AND(Results!$L102&lt;&gt;"",Results!$N102&lt;&gt;"",Results!$F102&lt;&gt;Results!$H102,$F97&lt;&gt;"",$G97&lt;&gt;""),Results!$N102,"")</f>
        <v/>
      </c>
      <c r="L97" s="344" t="str">
        <f>IF(AND(Results!$O102&lt;&gt;"",Results!$Q102&lt;&gt;"",Results!$F102&lt;&gt;Results!$H102,$F97&lt;&gt;"",$G97&lt;&gt;""),Results!$O102,"")</f>
        <v/>
      </c>
      <c r="M97" s="122" t="str">
        <f>IF(AND(Results!$O102&lt;&gt;"",Results!$Q102&lt;&gt;"",Results!$F102&lt;&gt;Results!$H102,$F97&lt;&gt;"",$G97&lt;&gt;""),Results!$Q102,"")</f>
        <v/>
      </c>
      <c r="N97" s="16" t="str">
        <f>IF(Planning!$I100=0,F97&amp;G97,"")</f>
        <v>Bayer 04 LeverkusenFC St. Pauli</v>
      </c>
      <c r="O97" s="122">
        <f>IF(AND(Results!$Z$6&gt;0,$E97-1&gt;=Results!$Z$6*Calc!$F$26),0,IF(AND(F97&lt;&gt;"",G97&lt;&gt;"",F97&lt;&gt;G97,Results!$R102&lt;&gt;"",Results!$T102&lt;&gt;""),1,0))</f>
        <v>0</v>
      </c>
      <c r="P97" s="122" t="str">
        <f>IF(AND(O97&gt;0,Planning!$I100=0),V97&amp;Language!$E$90&amp;W97,"")</f>
        <v/>
      </c>
      <c r="Q97" s="2" t="str">
        <f>IF(Planning!$I100=1,F97&amp;G97,"")</f>
        <v/>
      </c>
      <c r="R97" s="88" t="str">
        <f>IF(AND(O97&gt;0,Planning!$I100=1),V97&amp;Language!$E$90&amp;W97,"")</f>
        <v/>
      </c>
      <c r="S97" s="122" t="str">
        <f>IF(O97&gt;0,X97&amp;Language!$E$90&amp;Y97,"")</f>
        <v/>
      </c>
      <c r="T97" s="290">
        <f>IF($H97="",0,Results!$U102)</f>
        <v>0</v>
      </c>
      <c r="U97" s="291">
        <f>IF($I97="",0,Results!$V102)</f>
        <v>0</v>
      </c>
      <c r="V97" s="270" t="str">
        <f t="shared" si="2"/>
        <v/>
      </c>
      <c r="W97" s="291" t="str">
        <f t="shared" si="3"/>
        <v/>
      </c>
      <c r="X97" s="270">
        <f>IF($O97=0,0,IF(Results!$R102="",0,Results!$R102))</f>
        <v>0</v>
      </c>
      <c r="Y97" s="291">
        <f>IF($O97=0,0,IF(Results!$T102="",0,Results!$T102))</f>
        <v>0</v>
      </c>
      <c r="Z97" s="270" t="str">
        <f>IF($O97=0,"",IF($X97&gt;$Y97,Settings!$C$4,IF($X97=$Y97,1,0)))</f>
        <v/>
      </c>
      <c r="AA97" s="291" t="str">
        <f>IF($O97=0,"",IF($X97&lt;$Y97,Settings!$C$4,IF($X97=$Y97,1,0)))</f>
        <v/>
      </c>
    </row>
    <row r="98" spans="2:27" x14ac:dyDescent="0.2">
      <c r="B98" s="5"/>
      <c r="C98" s="5"/>
      <c r="D98" s="5"/>
      <c r="E98" s="266">
        <v>95</v>
      </c>
      <c r="F98" s="171" t="str">
        <f>Planning!$Q101</f>
        <v>Hamburger SV</v>
      </c>
      <c r="G98" s="348" t="str">
        <f>Planning!$S101</f>
        <v>1. FSV Mainz 05</v>
      </c>
      <c r="H98" s="344" t="str">
        <f>IF(AND(Results!$I103&lt;&gt;"",Results!$K103&lt;&gt;"",Results!$F103&lt;&gt;Results!$H103,$F98&lt;&gt;"",$G98&lt;&gt;""),Results!$I103,"")</f>
        <v/>
      </c>
      <c r="I98" s="343" t="str">
        <f>IF(AND(Results!$I103&lt;&gt;"",Results!$K103&lt;&gt;"",Results!$F103&lt;&gt;Results!$H103,$F98&lt;&gt;"",$G98&lt;&gt;""),Results!$K103,"")</f>
        <v/>
      </c>
      <c r="J98" s="344" t="str">
        <f>IF(AND(Results!$L103&lt;&gt;"",Results!$N103&lt;&gt;"",Results!$F103&lt;&gt;Results!$H103,$F98&lt;&gt;"",$G98&lt;&gt;""),Results!$L103,"")</f>
        <v/>
      </c>
      <c r="K98" s="343" t="str">
        <f>IF(AND(Results!$L103&lt;&gt;"",Results!$N103&lt;&gt;"",Results!$F103&lt;&gt;Results!$H103,$F98&lt;&gt;"",$G98&lt;&gt;""),Results!$N103,"")</f>
        <v/>
      </c>
      <c r="L98" s="344" t="str">
        <f>IF(AND(Results!$O103&lt;&gt;"",Results!$Q103&lt;&gt;"",Results!$F103&lt;&gt;Results!$H103,$F98&lt;&gt;"",$G98&lt;&gt;""),Results!$O103,"")</f>
        <v/>
      </c>
      <c r="M98" s="122" t="str">
        <f>IF(AND(Results!$O103&lt;&gt;"",Results!$Q103&lt;&gt;"",Results!$F103&lt;&gt;Results!$H103,$F98&lt;&gt;"",$G98&lt;&gt;""),Results!$Q103,"")</f>
        <v/>
      </c>
      <c r="N98" s="16" t="str">
        <f>IF(Planning!$I101=0,F98&amp;G98,"")</f>
        <v>Hamburger SV1. FSV Mainz 05</v>
      </c>
      <c r="O98" s="122">
        <f>IF(AND(Results!$Z$6&gt;0,$E98-1&gt;=Results!$Z$6*Calc!$F$26),0,IF(AND(F98&lt;&gt;"",G98&lt;&gt;"",F98&lt;&gt;G98,Results!$R103&lt;&gt;"",Results!$T103&lt;&gt;""),1,0))</f>
        <v>0</v>
      </c>
      <c r="P98" s="122" t="str">
        <f>IF(AND(O98&gt;0,Planning!$I101=0),V98&amp;Language!$E$90&amp;W98,"")</f>
        <v/>
      </c>
      <c r="Q98" s="2" t="str">
        <f>IF(Planning!$I101=1,F98&amp;G98,"")</f>
        <v/>
      </c>
      <c r="R98" s="88" t="str">
        <f>IF(AND(O98&gt;0,Planning!$I101=1),V98&amp;Language!$E$90&amp;W98,"")</f>
        <v/>
      </c>
      <c r="S98" s="122" t="str">
        <f>IF(O98&gt;0,X98&amp;Language!$E$90&amp;Y98,"")</f>
        <v/>
      </c>
      <c r="T98" s="290">
        <f>IF($H98="",0,Results!$U103)</f>
        <v>0</v>
      </c>
      <c r="U98" s="291">
        <f>IF($I98="",0,Results!$V103)</f>
        <v>0</v>
      </c>
      <c r="V98" s="270" t="str">
        <f t="shared" si="2"/>
        <v/>
      </c>
      <c r="W98" s="291" t="str">
        <f t="shared" si="3"/>
        <v/>
      </c>
      <c r="X98" s="270">
        <f>IF($O98=0,0,IF(Results!$R103="",0,Results!$R103))</f>
        <v>0</v>
      </c>
      <c r="Y98" s="291">
        <f>IF($O98=0,0,IF(Results!$T103="",0,Results!$T103))</f>
        <v>0</v>
      </c>
      <c r="Z98" s="270" t="str">
        <f>IF($O98=0,"",IF($X98&gt;$Y98,Settings!$C$4,IF($X98=$Y98,1,0)))</f>
        <v/>
      </c>
      <c r="AA98" s="291" t="str">
        <f>IF($O98=0,"",IF($X98&lt;$Y98,Settings!$C$4,IF($X98=$Y98,1,0)))</f>
        <v/>
      </c>
    </row>
    <row r="99" spans="2:27" x14ac:dyDescent="0.2">
      <c r="B99" s="5"/>
      <c r="C99" s="5"/>
      <c r="D99" s="5"/>
      <c r="E99" s="266">
        <v>96</v>
      </c>
      <c r="F99" s="171" t="str">
        <f>Planning!$Q102</f>
        <v>1. FC Union Berlin</v>
      </c>
      <c r="G99" s="348" t="str">
        <f>Planning!$S102</f>
        <v>RB Leipzig</v>
      </c>
      <c r="H99" s="344" t="str">
        <f>IF(AND(Results!$I104&lt;&gt;"",Results!$K104&lt;&gt;"",Results!$F104&lt;&gt;Results!$H104,$F99&lt;&gt;"",$G99&lt;&gt;""),Results!$I104,"")</f>
        <v/>
      </c>
      <c r="I99" s="343" t="str">
        <f>IF(AND(Results!$I104&lt;&gt;"",Results!$K104&lt;&gt;"",Results!$F104&lt;&gt;Results!$H104,$F99&lt;&gt;"",$G99&lt;&gt;""),Results!$K104,"")</f>
        <v/>
      </c>
      <c r="J99" s="344" t="str">
        <f>IF(AND(Results!$L104&lt;&gt;"",Results!$N104&lt;&gt;"",Results!$F104&lt;&gt;Results!$H104,$F99&lt;&gt;"",$G99&lt;&gt;""),Results!$L104,"")</f>
        <v/>
      </c>
      <c r="K99" s="343" t="str">
        <f>IF(AND(Results!$L104&lt;&gt;"",Results!$N104&lt;&gt;"",Results!$F104&lt;&gt;Results!$H104,$F99&lt;&gt;"",$G99&lt;&gt;""),Results!$N104,"")</f>
        <v/>
      </c>
      <c r="L99" s="344" t="str">
        <f>IF(AND(Results!$O104&lt;&gt;"",Results!$Q104&lt;&gt;"",Results!$F104&lt;&gt;Results!$H104,$F99&lt;&gt;"",$G99&lt;&gt;""),Results!$O104,"")</f>
        <v/>
      </c>
      <c r="M99" s="122" t="str">
        <f>IF(AND(Results!$O104&lt;&gt;"",Results!$Q104&lt;&gt;"",Results!$F104&lt;&gt;Results!$H104,$F99&lt;&gt;"",$G99&lt;&gt;""),Results!$Q104,"")</f>
        <v/>
      </c>
      <c r="N99" s="16" t="str">
        <f>IF(Planning!$I102=0,F99&amp;G99,"")</f>
        <v>1. FC Union BerlinRB Leipzig</v>
      </c>
      <c r="O99" s="122">
        <f>IF(AND(Results!$Z$6&gt;0,$E99-1&gt;=Results!$Z$6*Calc!$F$26),0,IF(AND(F99&lt;&gt;"",G99&lt;&gt;"",F99&lt;&gt;G99,Results!$R104&lt;&gt;"",Results!$T104&lt;&gt;""),1,0))</f>
        <v>0</v>
      </c>
      <c r="P99" s="122" t="str">
        <f>IF(AND(O99&gt;0,Planning!$I102=0),V99&amp;Language!$E$90&amp;W99,"")</f>
        <v/>
      </c>
      <c r="Q99" s="2" t="str">
        <f>IF(Planning!$I102=1,F99&amp;G99,"")</f>
        <v/>
      </c>
      <c r="R99" s="88" t="str">
        <f>IF(AND(O99&gt;0,Planning!$I102=1),V99&amp;Language!$E$90&amp;W99,"")</f>
        <v/>
      </c>
      <c r="S99" s="122" t="str">
        <f>IF(O99&gt;0,X99&amp;Language!$E$90&amp;Y99,"")</f>
        <v/>
      </c>
      <c r="T99" s="290">
        <f>IF($H99="",0,Results!$U104)</f>
        <v>0</v>
      </c>
      <c r="U99" s="291">
        <f>IF($I99="",0,Results!$V104)</f>
        <v>0</v>
      </c>
      <c r="V99" s="270" t="str">
        <f t="shared" si="2"/>
        <v/>
      </c>
      <c r="W99" s="291" t="str">
        <f t="shared" si="3"/>
        <v/>
      </c>
      <c r="X99" s="270">
        <f>IF($O99=0,0,IF(Results!$R104="",0,Results!$R104))</f>
        <v>0</v>
      </c>
      <c r="Y99" s="291">
        <f>IF($O99=0,0,IF(Results!$T104="",0,Results!$T104))</f>
        <v>0</v>
      </c>
      <c r="Z99" s="270" t="str">
        <f>IF($O99=0,"",IF($X99&gt;$Y99,Settings!$C$4,IF($X99=$Y99,1,0)))</f>
        <v/>
      </c>
      <c r="AA99" s="291" t="str">
        <f>IF($O99=0,"",IF($X99&lt;$Y99,Settings!$C$4,IF($X99=$Y99,1,0)))</f>
        <v/>
      </c>
    </row>
    <row r="100" spans="2:27" x14ac:dyDescent="0.2">
      <c r="B100" s="5"/>
      <c r="C100" s="5"/>
      <c r="D100" s="5"/>
      <c r="E100" s="266">
        <v>97</v>
      </c>
      <c r="F100" s="171" t="str">
        <f>Planning!$Q103</f>
        <v>SC Freiburg</v>
      </c>
      <c r="G100" s="348" t="str">
        <f>Planning!$S103</f>
        <v>1. FC Köln</v>
      </c>
      <c r="H100" s="344" t="str">
        <f>IF(AND(Results!$I105&lt;&gt;"",Results!$K105&lt;&gt;"",Results!$F105&lt;&gt;Results!$H105,$F100&lt;&gt;"",$G100&lt;&gt;""),Results!$I105,"")</f>
        <v/>
      </c>
      <c r="I100" s="343" t="str">
        <f>IF(AND(Results!$I105&lt;&gt;"",Results!$K105&lt;&gt;"",Results!$F105&lt;&gt;Results!$H105,$F100&lt;&gt;"",$G100&lt;&gt;""),Results!$K105,"")</f>
        <v/>
      </c>
      <c r="J100" s="344" t="str">
        <f>IF(AND(Results!$L105&lt;&gt;"",Results!$N105&lt;&gt;"",Results!$F105&lt;&gt;Results!$H105,$F100&lt;&gt;"",$G100&lt;&gt;""),Results!$L105,"")</f>
        <v/>
      </c>
      <c r="K100" s="343" t="str">
        <f>IF(AND(Results!$L105&lt;&gt;"",Results!$N105&lt;&gt;"",Results!$F105&lt;&gt;Results!$H105,$F100&lt;&gt;"",$G100&lt;&gt;""),Results!$N105,"")</f>
        <v/>
      </c>
      <c r="L100" s="344" t="str">
        <f>IF(AND(Results!$O105&lt;&gt;"",Results!$Q105&lt;&gt;"",Results!$F105&lt;&gt;Results!$H105,$F100&lt;&gt;"",$G100&lt;&gt;""),Results!$O105,"")</f>
        <v/>
      </c>
      <c r="M100" s="122" t="str">
        <f>IF(AND(Results!$O105&lt;&gt;"",Results!$Q105&lt;&gt;"",Results!$F105&lt;&gt;Results!$H105,$F100&lt;&gt;"",$G100&lt;&gt;""),Results!$Q105,"")</f>
        <v/>
      </c>
      <c r="N100" s="16" t="str">
        <f>IF(Planning!$I103=0,F100&amp;G100,"")</f>
        <v>SC Freiburg1. FC Köln</v>
      </c>
      <c r="O100" s="122">
        <f>IF(AND(Results!$Z$6&gt;0,$E100-1&gt;=Results!$Z$6*Calc!$F$26),0,IF(AND(F100&lt;&gt;"",G100&lt;&gt;"",F100&lt;&gt;G100,Results!$R105&lt;&gt;"",Results!$T105&lt;&gt;""),1,0))</f>
        <v>0</v>
      </c>
      <c r="P100" s="122" t="str">
        <f>IF(AND(O100&gt;0,Planning!$I103=0),V100&amp;Language!$E$90&amp;W100,"")</f>
        <v/>
      </c>
      <c r="Q100" s="2" t="str">
        <f>IF(Planning!$I103=1,F100&amp;G100,"")</f>
        <v/>
      </c>
      <c r="R100" s="88" t="str">
        <f>IF(AND(O100&gt;0,Planning!$I103=1),V100&amp;Language!$E$90&amp;W100,"")</f>
        <v/>
      </c>
      <c r="S100" s="122" t="str">
        <f>IF(O100&gt;0,X100&amp;Language!$E$90&amp;Y100,"")</f>
        <v/>
      </c>
      <c r="T100" s="290">
        <f>IF($H100="",0,Results!$U105)</f>
        <v>0</v>
      </c>
      <c r="U100" s="291">
        <f>IF($I100="",0,Results!$V105)</f>
        <v>0</v>
      </c>
      <c r="V100" s="270" t="str">
        <f t="shared" si="2"/>
        <v/>
      </c>
      <c r="W100" s="291" t="str">
        <f t="shared" si="3"/>
        <v/>
      </c>
      <c r="X100" s="270">
        <f>IF($O100=0,0,IF(Results!$R105="",0,Results!$R105))</f>
        <v>0</v>
      </c>
      <c r="Y100" s="291">
        <f>IF($O100=0,0,IF(Results!$T105="",0,Results!$T105))</f>
        <v>0</v>
      </c>
      <c r="Z100" s="270" t="str">
        <f>IF($O100=0,"",IF($X100&gt;$Y100,Settings!$C$4,IF($X100=$Y100,1,0)))</f>
        <v/>
      </c>
      <c r="AA100" s="291" t="str">
        <f>IF($O100=0,"",IF($X100&lt;$Y100,Settings!$C$4,IF($X100=$Y100,1,0)))</f>
        <v/>
      </c>
    </row>
    <row r="101" spans="2:27" x14ac:dyDescent="0.2">
      <c r="B101" s="5"/>
      <c r="C101" s="5"/>
      <c r="D101" s="5"/>
      <c r="E101" s="266">
        <v>98</v>
      </c>
      <c r="F101" s="171" t="str">
        <f>Planning!$Q104</f>
        <v>VfL Wolfsburg</v>
      </c>
      <c r="G101" s="348" t="str">
        <f>Planning!$S104</f>
        <v>SV Werder Bremen</v>
      </c>
      <c r="H101" s="344" t="str">
        <f>IF(AND(Results!$I106&lt;&gt;"",Results!$K106&lt;&gt;"",Results!$F106&lt;&gt;Results!$H106,$F101&lt;&gt;"",$G101&lt;&gt;""),Results!$I106,"")</f>
        <v/>
      </c>
      <c r="I101" s="343" t="str">
        <f>IF(AND(Results!$I106&lt;&gt;"",Results!$K106&lt;&gt;"",Results!$F106&lt;&gt;Results!$H106,$F101&lt;&gt;"",$G101&lt;&gt;""),Results!$K106,"")</f>
        <v/>
      </c>
      <c r="J101" s="344" t="str">
        <f>IF(AND(Results!$L106&lt;&gt;"",Results!$N106&lt;&gt;"",Results!$F106&lt;&gt;Results!$H106,$F101&lt;&gt;"",$G101&lt;&gt;""),Results!$L106,"")</f>
        <v/>
      </c>
      <c r="K101" s="343" t="str">
        <f>IF(AND(Results!$L106&lt;&gt;"",Results!$N106&lt;&gt;"",Results!$F106&lt;&gt;Results!$H106,$F101&lt;&gt;"",$G101&lt;&gt;""),Results!$N106,"")</f>
        <v/>
      </c>
      <c r="L101" s="344" t="str">
        <f>IF(AND(Results!$O106&lt;&gt;"",Results!$Q106&lt;&gt;"",Results!$F106&lt;&gt;Results!$H106,$F101&lt;&gt;"",$G101&lt;&gt;""),Results!$O106,"")</f>
        <v/>
      </c>
      <c r="M101" s="122" t="str">
        <f>IF(AND(Results!$O106&lt;&gt;"",Results!$Q106&lt;&gt;"",Results!$F106&lt;&gt;Results!$H106,$F101&lt;&gt;"",$G101&lt;&gt;""),Results!$Q106,"")</f>
        <v/>
      </c>
      <c r="N101" s="16" t="str">
        <f>IF(Planning!$I104=0,F101&amp;G101,"")</f>
        <v>VfL WolfsburgSV Werder Bremen</v>
      </c>
      <c r="O101" s="122">
        <f>IF(AND(Results!$Z$6&gt;0,$E101-1&gt;=Results!$Z$6*Calc!$F$26),0,IF(AND(F101&lt;&gt;"",G101&lt;&gt;"",F101&lt;&gt;G101,Results!$R106&lt;&gt;"",Results!$T106&lt;&gt;""),1,0))</f>
        <v>0</v>
      </c>
      <c r="P101" s="122" t="str">
        <f>IF(AND(O101&gt;0,Planning!$I104=0),V101&amp;Language!$E$90&amp;W101,"")</f>
        <v/>
      </c>
      <c r="Q101" s="2" t="str">
        <f>IF(Planning!$I104=1,F101&amp;G101,"")</f>
        <v/>
      </c>
      <c r="R101" s="88" t="str">
        <f>IF(AND(O101&gt;0,Planning!$I104=1),V101&amp;Language!$E$90&amp;W101,"")</f>
        <v/>
      </c>
      <c r="S101" s="122" t="str">
        <f>IF(O101&gt;0,X101&amp;Language!$E$90&amp;Y101,"")</f>
        <v/>
      </c>
      <c r="T101" s="290">
        <f>IF($H101="",0,Results!$U106)</f>
        <v>0</v>
      </c>
      <c r="U101" s="291">
        <f>IF($I101="",0,Results!$V106)</f>
        <v>0</v>
      </c>
      <c r="V101" s="270" t="str">
        <f t="shared" si="2"/>
        <v/>
      </c>
      <c r="W101" s="291" t="str">
        <f t="shared" si="3"/>
        <v/>
      </c>
      <c r="X101" s="270">
        <f>IF($O101=0,0,IF(Results!$R106="",0,Results!$R106))</f>
        <v>0</v>
      </c>
      <c r="Y101" s="291">
        <f>IF($O101=0,0,IF(Results!$T106="",0,Results!$T106))</f>
        <v>0</v>
      </c>
      <c r="Z101" s="270" t="str">
        <f>IF($O101=0,"",IF($X101&gt;$Y101,Settings!$C$4,IF($X101=$Y101,1,0)))</f>
        <v/>
      </c>
      <c r="AA101" s="291" t="str">
        <f>IF($O101=0,"",IF($X101&lt;$Y101,Settings!$C$4,IF($X101=$Y101,1,0)))</f>
        <v/>
      </c>
    </row>
    <row r="102" spans="2:27" x14ac:dyDescent="0.2">
      <c r="B102" s="5"/>
      <c r="C102" s="5"/>
      <c r="D102" s="5"/>
      <c r="E102" s="266">
        <v>99</v>
      </c>
      <c r="F102" s="171" t="str">
        <f>Planning!$Q105</f>
        <v>TSG Hoffenheim</v>
      </c>
      <c r="G102" s="348" t="str">
        <f>Planning!$S105</f>
        <v>VfB Stuttgart</v>
      </c>
      <c r="H102" s="344" t="str">
        <f>IF(AND(Results!$I107&lt;&gt;"",Results!$K107&lt;&gt;"",Results!$F107&lt;&gt;Results!$H107,$F102&lt;&gt;"",$G102&lt;&gt;""),Results!$I107,"")</f>
        <v/>
      </c>
      <c r="I102" s="343" t="str">
        <f>IF(AND(Results!$I107&lt;&gt;"",Results!$K107&lt;&gt;"",Results!$F107&lt;&gt;Results!$H107,$F102&lt;&gt;"",$G102&lt;&gt;""),Results!$K107,"")</f>
        <v/>
      </c>
      <c r="J102" s="344" t="str">
        <f>IF(AND(Results!$L107&lt;&gt;"",Results!$N107&lt;&gt;"",Results!$F107&lt;&gt;Results!$H107,$F102&lt;&gt;"",$G102&lt;&gt;""),Results!$L107,"")</f>
        <v/>
      </c>
      <c r="K102" s="343" t="str">
        <f>IF(AND(Results!$L107&lt;&gt;"",Results!$N107&lt;&gt;"",Results!$F107&lt;&gt;Results!$H107,$F102&lt;&gt;"",$G102&lt;&gt;""),Results!$N107,"")</f>
        <v/>
      </c>
      <c r="L102" s="344" t="str">
        <f>IF(AND(Results!$O107&lt;&gt;"",Results!$Q107&lt;&gt;"",Results!$F107&lt;&gt;Results!$H107,$F102&lt;&gt;"",$G102&lt;&gt;""),Results!$O107,"")</f>
        <v/>
      </c>
      <c r="M102" s="122" t="str">
        <f>IF(AND(Results!$O107&lt;&gt;"",Results!$Q107&lt;&gt;"",Results!$F107&lt;&gt;Results!$H107,$F102&lt;&gt;"",$G102&lt;&gt;""),Results!$Q107,"")</f>
        <v/>
      </c>
      <c r="N102" s="16" t="str">
        <f>IF(Planning!$I105=0,F102&amp;G102,"")</f>
        <v>TSG HoffenheimVfB Stuttgart</v>
      </c>
      <c r="O102" s="122">
        <f>IF(AND(Results!$Z$6&gt;0,$E102-1&gt;=Results!$Z$6*Calc!$F$26),0,IF(AND(F102&lt;&gt;"",G102&lt;&gt;"",F102&lt;&gt;G102,Results!$R107&lt;&gt;"",Results!$T107&lt;&gt;""),1,0))</f>
        <v>0</v>
      </c>
      <c r="P102" s="122" t="str">
        <f>IF(AND(O102&gt;0,Planning!$I105=0),V102&amp;Language!$E$90&amp;W102,"")</f>
        <v/>
      </c>
      <c r="Q102" s="2" t="str">
        <f>IF(Planning!$I105=1,F102&amp;G102,"")</f>
        <v/>
      </c>
      <c r="R102" s="88" t="str">
        <f>IF(AND(O102&gt;0,Planning!$I105=1),V102&amp;Language!$E$90&amp;W102,"")</f>
        <v/>
      </c>
      <c r="S102" s="122" t="str">
        <f>IF(O102&gt;0,X102&amp;Language!$E$90&amp;Y102,"")</f>
        <v/>
      </c>
      <c r="T102" s="290">
        <f>IF($H102="",0,Results!$U107)</f>
        <v>0</v>
      </c>
      <c r="U102" s="291">
        <f>IF($I102="",0,Results!$V107)</f>
        <v>0</v>
      </c>
      <c r="V102" s="270" t="str">
        <f t="shared" si="2"/>
        <v/>
      </c>
      <c r="W102" s="291" t="str">
        <f t="shared" si="3"/>
        <v/>
      </c>
      <c r="X102" s="270">
        <f>IF($O102=0,0,IF(Results!$R107="",0,Results!$R107))</f>
        <v>0</v>
      </c>
      <c r="Y102" s="291">
        <f>IF($O102=0,0,IF(Results!$T107="",0,Results!$T107))</f>
        <v>0</v>
      </c>
      <c r="Z102" s="270" t="str">
        <f>IF($O102=0,"",IF($X102&gt;$Y102,Settings!$C$4,IF($X102=$Y102,1,0)))</f>
        <v/>
      </c>
      <c r="AA102" s="291" t="str">
        <f>IF($O102=0,"",IF($X102&lt;$Y102,Settings!$C$4,IF($X102=$Y102,1,0)))</f>
        <v/>
      </c>
    </row>
    <row r="103" spans="2:27" x14ac:dyDescent="0.2">
      <c r="B103" s="5"/>
      <c r="C103" s="5"/>
      <c r="D103" s="5"/>
      <c r="E103" s="266">
        <v>100</v>
      </c>
      <c r="F103" s="171" t="str">
        <f>Planning!$Q106</f>
        <v>Borussia Mönchengladbach</v>
      </c>
      <c r="G103" s="348" t="str">
        <f>Planning!$S106</f>
        <v>1. FC Heidenheim 1846</v>
      </c>
      <c r="H103" s="344" t="str">
        <f>IF(AND(Results!$I108&lt;&gt;"",Results!$K108&lt;&gt;"",Results!$F108&lt;&gt;Results!$H108,$F103&lt;&gt;"",$G103&lt;&gt;""),Results!$I108,"")</f>
        <v/>
      </c>
      <c r="I103" s="343" t="str">
        <f>IF(AND(Results!$I108&lt;&gt;"",Results!$K108&lt;&gt;"",Results!$F108&lt;&gt;Results!$H108,$F103&lt;&gt;"",$G103&lt;&gt;""),Results!$K108,"")</f>
        <v/>
      </c>
      <c r="J103" s="344" t="str">
        <f>IF(AND(Results!$L108&lt;&gt;"",Results!$N108&lt;&gt;"",Results!$F108&lt;&gt;Results!$H108,$F103&lt;&gt;"",$G103&lt;&gt;""),Results!$L108,"")</f>
        <v/>
      </c>
      <c r="K103" s="343" t="str">
        <f>IF(AND(Results!$L108&lt;&gt;"",Results!$N108&lt;&gt;"",Results!$F108&lt;&gt;Results!$H108,$F103&lt;&gt;"",$G103&lt;&gt;""),Results!$N108,"")</f>
        <v/>
      </c>
      <c r="L103" s="344" t="str">
        <f>IF(AND(Results!$O108&lt;&gt;"",Results!$Q108&lt;&gt;"",Results!$F108&lt;&gt;Results!$H108,$F103&lt;&gt;"",$G103&lt;&gt;""),Results!$O108,"")</f>
        <v/>
      </c>
      <c r="M103" s="122" t="str">
        <f>IF(AND(Results!$O108&lt;&gt;"",Results!$Q108&lt;&gt;"",Results!$F108&lt;&gt;Results!$H108,$F103&lt;&gt;"",$G103&lt;&gt;""),Results!$Q108,"")</f>
        <v/>
      </c>
      <c r="N103" s="16" t="str">
        <f>IF(Planning!$I106=0,F103&amp;G103,"")</f>
        <v>Borussia Mönchengladbach1. FC Heidenheim 1846</v>
      </c>
      <c r="O103" s="122">
        <f>IF(AND(Results!$Z$6&gt;0,$E103-1&gt;=Results!$Z$6*Calc!$F$26),0,IF(AND(F103&lt;&gt;"",G103&lt;&gt;"",F103&lt;&gt;G103,Results!$R108&lt;&gt;"",Results!$T108&lt;&gt;""),1,0))</f>
        <v>0</v>
      </c>
      <c r="P103" s="122" t="str">
        <f>IF(AND(O103&gt;0,Planning!$I106=0),V103&amp;Language!$E$90&amp;W103,"")</f>
        <v/>
      </c>
      <c r="Q103" s="2" t="str">
        <f>IF(Planning!$I106=1,F103&amp;G103,"")</f>
        <v/>
      </c>
      <c r="R103" s="88" t="str">
        <f>IF(AND(O103&gt;0,Planning!$I106=1),V103&amp;Language!$E$90&amp;W103,"")</f>
        <v/>
      </c>
      <c r="S103" s="122" t="str">
        <f>IF(O103&gt;0,X103&amp;Language!$E$90&amp;Y103,"")</f>
        <v/>
      </c>
      <c r="T103" s="290">
        <f>IF($H103="",0,Results!$U108)</f>
        <v>0</v>
      </c>
      <c r="U103" s="291">
        <f>IF($I103="",0,Results!$V108)</f>
        <v>0</v>
      </c>
      <c r="V103" s="270" t="str">
        <f t="shared" si="2"/>
        <v/>
      </c>
      <c r="W103" s="291" t="str">
        <f t="shared" si="3"/>
        <v/>
      </c>
      <c r="X103" s="270">
        <f>IF($O103=0,0,IF(Results!$R108="",0,Results!$R108))</f>
        <v>0</v>
      </c>
      <c r="Y103" s="291">
        <f>IF($O103=0,0,IF(Results!$T108="",0,Results!$T108))</f>
        <v>0</v>
      </c>
      <c r="Z103" s="270" t="str">
        <f>IF($O103=0,"",IF($X103&gt;$Y103,Settings!$C$4,IF($X103=$Y103,1,0)))</f>
        <v/>
      </c>
      <c r="AA103" s="291" t="str">
        <f>IF($O103=0,"",IF($X103&lt;$Y103,Settings!$C$4,IF($X103=$Y103,1,0)))</f>
        <v/>
      </c>
    </row>
    <row r="104" spans="2:27" x14ac:dyDescent="0.2">
      <c r="B104" s="5"/>
      <c r="C104" s="5"/>
      <c r="D104" s="5"/>
      <c r="E104" s="266">
        <v>101</v>
      </c>
      <c r="F104" s="171" t="str">
        <f>Planning!$Q107</f>
        <v>Borussia Dortmund</v>
      </c>
      <c r="G104" s="348" t="str">
        <f>Planning!$S107</f>
        <v>Eintracht Frankfurt</v>
      </c>
      <c r="H104" s="344" t="str">
        <f>IF(AND(Results!$I109&lt;&gt;"",Results!$K109&lt;&gt;"",Results!$F109&lt;&gt;Results!$H109,$F104&lt;&gt;"",$G104&lt;&gt;""),Results!$I109,"")</f>
        <v/>
      </c>
      <c r="I104" s="343" t="str">
        <f>IF(AND(Results!$I109&lt;&gt;"",Results!$K109&lt;&gt;"",Results!$F109&lt;&gt;Results!$H109,$F104&lt;&gt;"",$G104&lt;&gt;""),Results!$K109,"")</f>
        <v/>
      </c>
      <c r="J104" s="344" t="str">
        <f>IF(AND(Results!$L109&lt;&gt;"",Results!$N109&lt;&gt;"",Results!$F109&lt;&gt;Results!$H109,$F104&lt;&gt;"",$G104&lt;&gt;""),Results!$L109,"")</f>
        <v/>
      </c>
      <c r="K104" s="343" t="str">
        <f>IF(AND(Results!$L109&lt;&gt;"",Results!$N109&lt;&gt;"",Results!$F109&lt;&gt;Results!$H109,$F104&lt;&gt;"",$G104&lt;&gt;""),Results!$N109,"")</f>
        <v/>
      </c>
      <c r="L104" s="344" t="str">
        <f>IF(AND(Results!$O109&lt;&gt;"",Results!$Q109&lt;&gt;"",Results!$F109&lt;&gt;Results!$H109,$F104&lt;&gt;"",$G104&lt;&gt;""),Results!$O109,"")</f>
        <v/>
      </c>
      <c r="M104" s="122" t="str">
        <f>IF(AND(Results!$O109&lt;&gt;"",Results!$Q109&lt;&gt;"",Results!$F109&lt;&gt;Results!$H109,$F104&lt;&gt;"",$G104&lt;&gt;""),Results!$Q109,"")</f>
        <v/>
      </c>
      <c r="N104" s="16" t="str">
        <f>IF(Planning!$I107=0,F104&amp;G104,"")</f>
        <v>Borussia DortmundEintracht Frankfurt</v>
      </c>
      <c r="O104" s="122">
        <f>IF(AND(Results!$Z$6&gt;0,$E104-1&gt;=Results!$Z$6*Calc!$F$26),0,IF(AND(F104&lt;&gt;"",G104&lt;&gt;"",F104&lt;&gt;G104,Results!$R109&lt;&gt;"",Results!$T109&lt;&gt;""),1,0))</f>
        <v>0</v>
      </c>
      <c r="P104" s="122" t="str">
        <f>IF(AND(O104&gt;0,Planning!$I107=0),V104&amp;Language!$E$90&amp;W104,"")</f>
        <v/>
      </c>
      <c r="Q104" s="2" t="str">
        <f>IF(Planning!$I107=1,F104&amp;G104,"")</f>
        <v/>
      </c>
      <c r="R104" s="88" t="str">
        <f>IF(AND(O104&gt;0,Planning!$I107=1),V104&amp;Language!$E$90&amp;W104,"")</f>
        <v/>
      </c>
      <c r="S104" s="122" t="str">
        <f>IF(O104&gt;0,X104&amp;Language!$E$90&amp;Y104,"")</f>
        <v/>
      </c>
      <c r="T104" s="290">
        <f>IF($H104="",0,Results!$U109)</f>
        <v>0</v>
      </c>
      <c r="U104" s="291">
        <f>IF($I104="",0,Results!$V109)</f>
        <v>0</v>
      </c>
      <c r="V104" s="270" t="str">
        <f t="shared" si="2"/>
        <v/>
      </c>
      <c r="W104" s="291" t="str">
        <f t="shared" si="3"/>
        <v/>
      </c>
      <c r="X104" s="270">
        <f>IF($O104=0,0,IF(Results!$R109="",0,Results!$R109))</f>
        <v>0</v>
      </c>
      <c r="Y104" s="291">
        <f>IF($O104=0,0,IF(Results!$T109="",0,Results!$T109))</f>
        <v>0</v>
      </c>
      <c r="Z104" s="270" t="str">
        <f>IF($O104=0,"",IF($X104&gt;$Y104,Settings!$C$4,IF($X104=$Y104,1,0)))</f>
        <v/>
      </c>
      <c r="AA104" s="291" t="str">
        <f>IF($O104=0,"",IF($X104&lt;$Y104,Settings!$C$4,IF($X104=$Y104,1,0)))</f>
        <v/>
      </c>
    </row>
    <row r="105" spans="2:27" x14ac:dyDescent="0.2">
      <c r="B105" s="5"/>
      <c r="C105" s="5"/>
      <c r="D105" s="5"/>
      <c r="E105" s="266">
        <v>102</v>
      </c>
      <c r="F105" s="171" t="str">
        <f>Planning!$Q108</f>
        <v>FC Augsburg</v>
      </c>
      <c r="G105" s="348" t="str">
        <f>Planning!$S108</f>
        <v>Bayer 04 Leverkusen</v>
      </c>
      <c r="H105" s="344" t="str">
        <f>IF(AND(Results!$I110&lt;&gt;"",Results!$K110&lt;&gt;"",Results!$F110&lt;&gt;Results!$H110,$F105&lt;&gt;"",$G105&lt;&gt;""),Results!$I110,"")</f>
        <v/>
      </c>
      <c r="I105" s="343" t="str">
        <f>IF(AND(Results!$I110&lt;&gt;"",Results!$K110&lt;&gt;"",Results!$F110&lt;&gt;Results!$H110,$F105&lt;&gt;"",$G105&lt;&gt;""),Results!$K110,"")</f>
        <v/>
      </c>
      <c r="J105" s="344" t="str">
        <f>IF(AND(Results!$L110&lt;&gt;"",Results!$N110&lt;&gt;"",Results!$F110&lt;&gt;Results!$H110,$F105&lt;&gt;"",$G105&lt;&gt;""),Results!$L110,"")</f>
        <v/>
      </c>
      <c r="K105" s="343" t="str">
        <f>IF(AND(Results!$L110&lt;&gt;"",Results!$N110&lt;&gt;"",Results!$F110&lt;&gt;Results!$H110,$F105&lt;&gt;"",$G105&lt;&gt;""),Results!$N110,"")</f>
        <v/>
      </c>
      <c r="L105" s="344" t="str">
        <f>IF(AND(Results!$O110&lt;&gt;"",Results!$Q110&lt;&gt;"",Results!$F110&lt;&gt;Results!$H110,$F105&lt;&gt;"",$G105&lt;&gt;""),Results!$O110,"")</f>
        <v/>
      </c>
      <c r="M105" s="122" t="str">
        <f>IF(AND(Results!$O110&lt;&gt;"",Results!$Q110&lt;&gt;"",Results!$F110&lt;&gt;Results!$H110,$F105&lt;&gt;"",$G105&lt;&gt;""),Results!$Q110,"")</f>
        <v/>
      </c>
      <c r="N105" s="16" t="str">
        <f>IF(Planning!$I108=0,F105&amp;G105,"")</f>
        <v>FC AugsburgBayer 04 Leverkusen</v>
      </c>
      <c r="O105" s="122">
        <f>IF(AND(Results!$Z$6&gt;0,$E105-1&gt;=Results!$Z$6*Calc!$F$26),0,IF(AND(F105&lt;&gt;"",G105&lt;&gt;"",F105&lt;&gt;G105,Results!$R110&lt;&gt;"",Results!$T110&lt;&gt;""),1,0))</f>
        <v>0</v>
      </c>
      <c r="P105" s="122" t="str">
        <f>IF(AND(O105&gt;0,Planning!$I108=0),V105&amp;Language!$E$90&amp;W105,"")</f>
        <v/>
      </c>
      <c r="Q105" s="2" t="str">
        <f>IF(Planning!$I108=1,F105&amp;G105,"")</f>
        <v/>
      </c>
      <c r="R105" s="88" t="str">
        <f>IF(AND(O105&gt;0,Planning!$I108=1),V105&amp;Language!$E$90&amp;W105,"")</f>
        <v/>
      </c>
      <c r="S105" s="122" t="str">
        <f>IF(O105&gt;0,X105&amp;Language!$E$90&amp;Y105,"")</f>
        <v/>
      </c>
      <c r="T105" s="290">
        <f>IF($H105="",0,Results!$U110)</f>
        <v>0</v>
      </c>
      <c r="U105" s="291">
        <f>IF($I105="",0,Results!$V110)</f>
        <v>0</v>
      </c>
      <c r="V105" s="270" t="str">
        <f t="shared" si="2"/>
        <v/>
      </c>
      <c r="W105" s="291" t="str">
        <f t="shared" si="3"/>
        <v/>
      </c>
      <c r="X105" s="270">
        <f>IF($O105=0,0,IF(Results!$R110="",0,Results!$R110))</f>
        <v>0</v>
      </c>
      <c r="Y105" s="291">
        <f>IF($O105=0,0,IF(Results!$T110="",0,Results!$T110))</f>
        <v>0</v>
      </c>
      <c r="Z105" s="270" t="str">
        <f>IF($O105=0,"",IF($X105&gt;$Y105,Settings!$C$4,IF($X105=$Y105,1,0)))</f>
        <v/>
      </c>
      <c r="AA105" s="291" t="str">
        <f>IF($O105=0,"",IF($X105&lt;$Y105,Settings!$C$4,IF($X105=$Y105,1,0)))</f>
        <v/>
      </c>
    </row>
    <row r="106" spans="2:27" x14ac:dyDescent="0.2">
      <c r="B106" s="5"/>
      <c r="C106" s="5"/>
      <c r="D106" s="5"/>
      <c r="E106" s="266">
        <v>103</v>
      </c>
      <c r="F106" s="171" t="str">
        <f>Planning!$Q109</f>
        <v>1. FSV Mainz 05</v>
      </c>
      <c r="G106" s="348" t="str">
        <f>Planning!$S109</f>
        <v>FC Bayern München</v>
      </c>
      <c r="H106" s="344" t="str">
        <f>IF(AND(Results!$I111&lt;&gt;"",Results!$K111&lt;&gt;"",Results!$F111&lt;&gt;Results!$H111,$F106&lt;&gt;"",$G106&lt;&gt;""),Results!$I111,"")</f>
        <v/>
      </c>
      <c r="I106" s="343" t="str">
        <f>IF(AND(Results!$I111&lt;&gt;"",Results!$K111&lt;&gt;"",Results!$F111&lt;&gt;Results!$H111,$F106&lt;&gt;"",$G106&lt;&gt;""),Results!$K111,"")</f>
        <v/>
      </c>
      <c r="J106" s="344" t="str">
        <f>IF(AND(Results!$L111&lt;&gt;"",Results!$N111&lt;&gt;"",Results!$F111&lt;&gt;Results!$H111,$F106&lt;&gt;"",$G106&lt;&gt;""),Results!$L111,"")</f>
        <v/>
      </c>
      <c r="K106" s="343" t="str">
        <f>IF(AND(Results!$L111&lt;&gt;"",Results!$N111&lt;&gt;"",Results!$F111&lt;&gt;Results!$H111,$F106&lt;&gt;"",$G106&lt;&gt;""),Results!$N111,"")</f>
        <v/>
      </c>
      <c r="L106" s="344" t="str">
        <f>IF(AND(Results!$O111&lt;&gt;"",Results!$Q111&lt;&gt;"",Results!$F111&lt;&gt;Results!$H111,$F106&lt;&gt;"",$G106&lt;&gt;""),Results!$O111,"")</f>
        <v/>
      </c>
      <c r="M106" s="122" t="str">
        <f>IF(AND(Results!$O111&lt;&gt;"",Results!$Q111&lt;&gt;"",Results!$F111&lt;&gt;Results!$H111,$F106&lt;&gt;"",$G106&lt;&gt;""),Results!$Q111,"")</f>
        <v/>
      </c>
      <c r="N106" s="16" t="str">
        <f>IF(Planning!$I109=0,F106&amp;G106,"")</f>
        <v>1. FSV Mainz 05FC Bayern München</v>
      </c>
      <c r="O106" s="122">
        <f>IF(AND(Results!$Z$6&gt;0,$E106-1&gt;=Results!$Z$6*Calc!$F$26),0,IF(AND(F106&lt;&gt;"",G106&lt;&gt;"",F106&lt;&gt;G106,Results!$R111&lt;&gt;"",Results!$T111&lt;&gt;""),1,0))</f>
        <v>0</v>
      </c>
      <c r="P106" s="122" t="str">
        <f>IF(AND(O106&gt;0,Planning!$I109=0),V106&amp;Language!$E$90&amp;W106,"")</f>
        <v/>
      </c>
      <c r="Q106" s="2" t="str">
        <f>IF(Planning!$I109=1,F106&amp;G106,"")</f>
        <v/>
      </c>
      <c r="R106" s="88" t="str">
        <f>IF(AND(O106&gt;0,Planning!$I109=1),V106&amp;Language!$E$90&amp;W106,"")</f>
        <v/>
      </c>
      <c r="S106" s="122" t="str">
        <f>IF(O106&gt;0,X106&amp;Language!$E$90&amp;Y106,"")</f>
        <v/>
      </c>
      <c r="T106" s="290">
        <f>IF($H106="",0,Results!$U111)</f>
        <v>0</v>
      </c>
      <c r="U106" s="291">
        <f>IF($I106="",0,Results!$V111)</f>
        <v>0</v>
      </c>
      <c r="V106" s="270" t="str">
        <f t="shared" si="2"/>
        <v/>
      </c>
      <c r="W106" s="291" t="str">
        <f t="shared" si="3"/>
        <v/>
      </c>
      <c r="X106" s="270">
        <f>IF($O106=0,0,IF(Results!$R111="",0,Results!$R111))</f>
        <v>0</v>
      </c>
      <c r="Y106" s="291">
        <f>IF($O106=0,0,IF(Results!$T111="",0,Results!$T111))</f>
        <v>0</v>
      </c>
      <c r="Z106" s="270" t="str">
        <f>IF($O106=0,"",IF($X106&gt;$Y106,Settings!$C$4,IF($X106=$Y106,1,0)))</f>
        <v/>
      </c>
      <c r="AA106" s="291" t="str">
        <f>IF($O106=0,"",IF($X106&lt;$Y106,Settings!$C$4,IF($X106=$Y106,1,0)))</f>
        <v/>
      </c>
    </row>
    <row r="107" spans="2:27" x14ac:dyDescent="0.2">
      <c r="B107" s="5"/>
      <c r="C107" s="5"/>
      <c r="D107" s="5"/>
      <c r="E107" s="266">
        <v>104</v>
      </c>
      <c r="F107" s="171" t="str">
        <f>Planning!$Q110</f>
        <v>FC St. Pauli</v>
      </c>
      <c r="G107" s="348" t="str">
        <f>Planning!$S110</f>
        <v>1. FC Union Berlin</v>
      </c>
      <c r="H107" s="344" t="str">
        <f>IF(AND(Results!$I112&lt;&gt;"",Results!$K112&lt;&gt;"",Results!$F112&lt;&gt;Results!$H112,$F107&lt;&gt;"",$G107&lt;&gt;""),Results!$I112,"")</f>
        <v/>
      </c>
      <c r="I107" s="343" t="str">
        <f>IF(AND(Results!$I112&lt;&gt;"",Results!$K112&lt;&gt;"",Results!$F112&lt;&gt;Results!$H112,$F107&lt;&gt;"",$G107&lt;&gt;""),Results!$K112,"")</f>
        <v/>
      </c>
      <c r="J107" s="344" t="str">
        <f>IF(AND(Results!$L112&lt;&gt;"",Results!$N112&lt;&gt;"",Results!$F112&lt;&gt;Results!$H112,$F107&lt;&gt;"",$G107&lt;&gt;""),Results!$L112,"")</f>
        <v/>
      </c>
      <c r="K107" s="343" t="str">
        <f>IF(AND(Results!$L112&lt;&gt;"",Results!$N112&lt;&gt;"",Results!$F112&lt;&gt;Results!$H112,$F107&lt;&gt;"",$G107&lt;&gt;""),Results!$N112,"")</f>
        <v/>
      </c>
      <c r="L107" s="344" t="str">
        <f>IF(AND(Results!$O112&lt;&gt;"",Results!$Q112&lt;&gt;"",Results!$F112&lt;&gt;Results!$H112,$F107&lt;&gt;"",$G107&lt;&gt;""),Results!$O112,"")</f>
        <v/>
      </c>
      <c r="M107" s="122" t="str">
        <f>IF(AND(Results!$O112&lt;&gt;"",Results!$Q112&lt;&gt;"",Results!$F112&lt;&gt;Results!$H112,$F107&lt;&gt;"",$G107&lt;&gt;""),Results!$Q112,"")</f>
        <v/>
      </c>
      <c r="N107" s="16" t="str">
        <f>IF(Planning!$I110=0,F107&amp;G107,"")</f>
        <v>FC St. Pauli1. FC Union Berlin</v>
      </c>
      <c r="O107" s="122">
        <f>IF(AND(Results!$Z$6&gt;0,$E107-1&gt;=Results!$Z$6*Calc!$F$26),0,IF(AND(F107&lt;&gt;"",G107&lt;&gt;"",F107&lt;&gt;G107,Results!$R112&lt;&gt;"",Results!$T112&lt;&gt;""),1,0))</f>
        <v>0</v>
      </c>
      <c r="P107" s="122" t="str">
        <f>IF(AND(O107&gt;0,Planning!$I110=0),V107&amp;Language!$E$90&amp;W107,"")</f>
        <v/>
      </c>
      <c r="Q107" s="2" t="str">
        <f>IF(Planning!$I110=1,F107&amp;G107,"")</f>
        <v/>
      </c>
      <c r="R107" s="88" t="str">
        <f>IF(AND(O107&gt;0,Planning!$I110=1),V107&amp;Language!$E$90&amp;W107,"")</f>
        <v/>
      </c>
      <c r="S107" s="122" t="str">
        <f>IF(O107&gt;0,X107&amp;Language!$E$90&amp;Y107,"")</f>
        <v/>
      </c>
      <c r="T107" s="290">
        <f>IF($H107="",0,Results!$U112)</f>
        <v>0</v>
      </c>
      <c r="U107" s="291">
        <f>IF($I107="",0,Results!$V112)</f>
        <v>0</v>
      </c>
      <c r="V107" s="270" t="str">
        <f t="shared" si="2"/>
        <v/>
      </c>
      <c r="W107" s="291" t="str">
        <f t="shared" si="3"/>
        <v/>
      </c>
      <c r="X107" s="270">
        <f>IF($O107=0,0,IF(Results!$R112="",0,Results!$R112))</f>
        <v>0</v>
      </c>
      <c r="Y107" s="291">
        <f>IF($O107=0,0,IF(Results!$T112="",0,Results!$T112))</f>
        <v>0</v>
      </c>
      <c r="Z107" s="270" t="str">
        <f>IF($O107=0,"",IF($X107&gt;$Y107,Settings!$C$4,IF($X107=$Y107,1,0)))</f>
        <v/>
      </c>
      <c r="AA107" s="291" t="str">
        <f>IF($O107=0,"",IF($X107&lt;$Y107,Settings!$C$4,IF($X107=$Y107,1,0)))</f>
        <v/>
      </c>
    </row>
    <row r="108" spans="2:27" x14ac:dyDescent="0.2">
      <c r="B108" s="5"/>
      <c r="C108" s="5"/>
      <c r="D108" s="5"/>
      <c r="E108" s="266">
        <v>105</v>
      </c>
      <c r="F108" s="171" t="str">
        <f>Planning!$Q111</f>
        <v>1. FC Köln</v>
      </c>
      <c r="G108" s="348" t="str">
        <f>Planning!$S111</f>
        <v>Hamburger SV</v>
      </c>
      <c r="H108" s="344" t="str">
        <f>IF(AND(Results!$I113&lt;&gt;"",Results!$K113&lt;&gt;"",Results!$F113&lt;&gt;Results!$H113,$F108&lt;&gt;"",$G108&lt;&gt;""),Results!$I113,"")</f>
        <v/>
      </c>
      <c r="I108" s="343" t="str">
        <f>IF(AND(Results!$I113&lt;&gt;"",Results!$K113&lt;&gt;"",Results!$F113&lt;&gt;Results!$H113,$F108&lt;&gt;"",$G108&lt;&gt;""),Results!$K113,"")</f>
        <v/>
      </c>
      <c r="J108" s="344" t="str">
        <f>IF(AND(Results!$L113&lt;&gt;"",Results!$N113&lt;&gt;"",Results!$F113&lt;&gt;Results!$H113,$F108&lt;&gt;"",$G108&lt;&gt;""),Results!$L113,"")</f>
        <v/>
      </c>
      <c r="K108" s="343" t="str">
        <f>IF(AND(Results!$L113&lt;&gt;"",Results!$N113&lt;&gt;"",Results!$F113&lt;&gt;Results!$H113,$F108&lt;&gt;"",$G108&lt;&gt;""),Results!$N113,"")</f>
        <v/>
      </c>
      <c r="L108" s="344" t="str">
        <f>IF(AND(Results!$O113&lt;&gt;"",Results!$Q113&lt;&gt;"",Results!$F113&lt;&gt;Results!$H113,$F108&lt;&gt;"",$G108&lt;&gt;""),Results!$O113,"")</f>
        <v/>
      </c>
      <c r="M108" s="122" t="str">
        <f>IF(AND(Results!$O113&lt;&gt;"",Results!$Q113&lt;&gt;"",Results!$F113&lt;&gt;Results!$H113,$F108&lt;&gt;"",$G108&lt;&gt;""),Results!$Q113,"")</f>
        <v/>
      </c>
      <c r="N108" s="16" t="str">
        <f>IF(Planning!$I111=0,F108&amp;G108,"")</f>
        <v>1. FC KölnHamburger SV</v>
      </c>
      <c r="O108" s="122">
        <f>IF(AND(Results!$Z$6&gt;0,$E108-1&gt;=Results!$Z$6*Calc!$F$26),0,IF(AND(F108&lt;&gt;"",G108&lt;&gt;"",F108&lt;&gt;G108,Results!$R113&lt;&gt;"",Results!$T113&lt;&gt;""),1,0))</f>
        <v>0</v>
      </c>
      <c r="P108" s="122" t="str">
        <f>IF(AND(O108&gt;0,Planning!$I111=0),V108&amp;Language!$E$90&amp;W108,"")</f>
        <v/>
      </c>
      <c r="Q108" s="2" t="str">
        <f>IF(Planning!$I111=1,F108&amp;G108,"")</f>
        <v/>
      </c>
      <c r="R108" s="88" t="str">
        <f>IF(AND(O108&gt;0,Planning!$I111=1),V108&amp;Language!$E$90&amp;W108,"")</f>
        <v/>
      </c>
      <c r="S108" s="122" t="str">
        <f>IF(O108&gt;0,X108&amp;Language!$E$90&amp;Y108,"")</f>
        <v/>
      </c>
      <c r="T108" s="290">
        <f>IF($H108="",0,Results!$U113)</f>
        <v>0</v>
      </c>
      <c r="U108" s="291">
        <f>IF($I108="",0,Results!$V113)</f>
        <v>0</v>
      </c>
      <c r="V108" s="270" t="str">
        <f t="shared" si="2"/>
        <v/>
      </c>
      <c r="W108" s="291" t="str">
        <f t="shared" si="3"/>
        <v/>
      </c>
      <c r="X108" s="270">
        <f>IF($O108=0,0,IF(Results!$R113="",0,Results!$R113))</f>
        <v>0</v>
      </c>
      <c r="Y108" s="291">
        <f>IF($O108=0,0,IF(Results!$T113="",0,Results!$T113))</f>
        <v>0</v>
      </c>
      <c r="Z108" s="270" t="str">
        <f>IF($O108=0,"",IF($X108&gt;$Y108,Settings!$C$4,IF($X108=$Y108,1,0)))</f>
        <v/>
      </c>
      <c r="AA108" s="291" t="str">
        <f>IF($O108=0,"",IF($X108&lt;$Y108,Settings!$C$4,IF($X108=$Y108,1,0)))</f>
        <v/>
      </c>
    </row>
    <row r="109" spans="2:27" x14ac:dyDescent="0.2">
      <c r="B109" s="5"/>
      <c r="C109" s="5"/>
      <c r="D109" s="5"/>
      <c r="E109" s="266">
        <v>106</v>
      </c>
      <c r="F109" s="171" t="str">
        <f>Planning!$Q112</f>
        <v>RB Leipzig</v>
      </c>
      <c r="G109" s="348" t="str">
        <f>Planning!$S112</f>
        <v>VfL Wolfsburg</v>
      </c>
      <c r="H109" s="344" t="str">
        <f>IF(AND(Results!$I114&lt;&gt;"",Results!$K114&lt;&gt;"",Results!$F114&lt;&gt;Results!$H114,$F109&lt;&gt;"",$G109&lt;&gt;""),Results!$I114,"")</f>
        <v/>
      </c>
      <c r="I109" s="343" t="str">
        <f>IF(AND(Results!$I114&lt;&gt;"",Results!$K114&lt;&gt;"",Results!$F114&lt;&gt;Results!$H114,$F109&lt;&gt;"",$G109&lt;&gt;""),Results!$K114,"")</f>
        <v/>
      </c>
      <c r="J109" s="344" t="str">
        <f>IF(AND(Results!$L114&lt;&gt;"",Results!$N114&lt;&gt;"",Results!$F114&lt;&gt;Results!$H114,$F109&lt;&gt;"",$G109&lt;&gt;""),Results!$L114,"")</f>
        <v/>
      </c>
      <c r="K109" s="343" t="str">
        <f>IF(AND(Results!$L114&lt;&gt;"",Results!$N114&lt;&gt;"",Results!$F114&lt;&gt;Results!$H114,$F109&lt;&gt;"",$G109&lt;&gt;""),Results!$N114,"")</f>
        <v/>
      </c>
      <c r="L109" s="344" t="str">
        <f>IF(AND(Results!$O114&lt;&gt;"",Results!$Q114&lt;&gt;"",Results!$F114&lt;&gt;Results!$H114,$F109&lt;&gt;"",$G109&lt;&gt;""),Results!$O114,"")</f>
        <v/>
      </c>
      <c r="M109" s="122" t="str">
        <f>IF(AND(Results!$O114&lt;&gt;"",Results!$Q114&lt;&gt;"",Results!$F114&lt;&gt;Results!$H114,$F109&lt;&gt;"",$G109&lt;&gt;""),Results!$Q114,"")</f>
        <v/>
      </c>
      <c r="N109" s="16" t="str">
        <f>IF(Planning!$I112=0,F109&amp;G109,"")</f>
        <v>RB LeipzigVfL Wolfsburg</v>
      </c>
      <c r="O109" s="122">
        <f>IF(AND(Results!$Z$6&gt;0,$E109-1&gt;=Results!$Z$6*Calc!$F$26),0,IF(AND(F109&lt;&gt;"",G109&lt;&gt;"",F109&lt;&gt;G109,Results!$R114&lt;&gt;"",Results!$T114&lt;&gt;""),1,0))</f>
        <v>0</v>
      </c>
      <c r="P109" s="122" t="str">
        <f>IF(AND(O109&gt;0,Planning!$I112=0),V109&amp;Language!$E$90&amp;W109,"")</f>
        <v/>
      </c>
      <c r="Q109" s="2" t="str">
        <f>IF(Planning!$I112=1,F109&amp;G109,"")</f>
        <v/>
      </c>
      <c r="R109" s="88" t="str">
        <f>IF(AND(O109&gt;0,Planning!$I112=1),V109&amp;Language!$E$90&amp;W109,"")</f>
        <v/>
      </c>
      <c r="S109" s="122" t="str">
        <f>IF(O109&gt;0,X109&amp;Language!$E$90&amp;Y109,"")</f>
        <v/>
      </c>
      <c r="T109" s="290">
        <f>IF($H109="",0,Results!$U114)</f>
        <v>0</v>
      </c>
      <c r="U109" s="291">
        <f>IF($I109="",0,Results!$V114)</f>
        <v>0</v>
      </c>
      <c r="V109" s="270" t="str">
        <f t="shared" si="2"/>
        <v/>
      </c>
      <c r="W109" s="291" t="str">
        <f t="shared" si="3"/>
        <v/>
      </c>
      <c r="X109" s="270">
        <f>IF($O109=0,0,IF(Results!$R114="",0,Results!$R114))</f>
        <v>0</v>
      </c>
      <c r="Y109" s="291">
        <f>IF($O109=0,0,IF(Results!$T114="",0,Results!$T114))</f>
        <v>0</v>
      </c>
      <c r="Z109" s="270" t="str">
        <f>IF($O109=0,"",IF($X109&gt;$Y109,Settings!$C$4,IF($X109=$Y109,1,0)))</f>
        <v/>
      </c>
      <c r="AA109" s="291" t="str">
        <f>IF($O109=0,"",IF($X109&lt;$Y109,Settings!$C$4,IF($X109=$Y109,1,0)))</f>
        <v/>
      </c>
    </row>
    <row r="110" spans="2:27" x14ac:dyDescent="0.2">
      <c r="B110" s="5"/>
      <c r="C110" s="5"/>
      <c r="D110" s="5"/>
      <c r="E110" s="266">
        <v>107</v>
      </c>
      <c r="F110" s="171" t="str">
        <f>Planning!$Q113</f>
        <v>VfB Stuttgart</v>
      </c>
      <c r="G110" s="348" t="str">
        <f>Planning!$S113</f>
        <v>SC Freiburg</v>
      </c>
      <c r="H110" s="344" t="str">
        <f>IF(AND(Results!$I115&lt;&gt;"",Results!$K115&lt;&gt;"",Results!$F115&lt;&gt;Results!$H115,$F110&lt;&gt;"",$G110&lt;&gt;""),Results!$I115,"")</f>
        <v/>
      </c>
      <c r="I110" s="343" t="str">
        <f>IF(AND(Results!$I115&lt;&gt;"",Results!$K115&lt;&gt;"",Results!$F115&lt;&gt;Results!$H115,$F110&lt;&gt;"",$G110&lt;&gt;""),Results!$K115,"")</f>
        <v/>
      </c>
      <c r="J110" s="344" t="str">
        <f>IF(AND(Results!$L115&lt;&gt;"",Results!$N115&lt;&gt;"",Results!$F115&lt;&gt;Results!$H115,$F110&lt;&gt;"",$G110&lt;&gt;""),Results!$L115,"")</f>
        <v/>
      </c>
      <c r="K110" s="343" t="str">
        <f>IF(AND(Results!$L115&lt;&gt;"",Results!$N115&lt;&gt;"",Results!$F115&lt;&gt;Results!$H115,$F110&lt;&gt;"",$G110&lt;&gt;""),Results!$N115,"")</f>
        <v/>
      </c>
      <c r="L110" s="344" t="str">
        <f>IF(AND(Results!$O115&lt;&gt;"",Results!$Q115&lt;&gt;"",Results!$F115&lt;&gt;Results!$H115,$F110&lt;&gt;"",$G110&lt;&gt;""),Results!$O115,"")</f>
        <v/>
      </c>
      <c r="M110" s="122" t="str">
        <f>IF(AND(Results!$O115&lt;&gt;"",Results!$Q115&lt;&gt;"",Results!$F115&lt;&gt;Results!$H115,$F110&lt;&gt;"",$G110&lt;&gt;""),Results!$Q115,"")</f>
        <v/>
      </c>
      <c r="N110" s="16" t="str">
        <f>IF(Planning!$I113=0,F110&amp;G110,"")</f>
        <v>VfB StuttgartSC Freiburg</v>
      </c>
      <c r="O110" s="122">
        <f>IF(AND(Results!$Z$6&gt;0,$E110-1&gt;=Results!$Z$6*Calc!$F$26),0,IF(AND(F110&lt;&gt;"",G110&lt;&gt;"",F110&lt;&gt;G110,Results!$R115&lt;&gt;"",Results!$T115&lt;&gt;""),1,0))</f>
        <v>0</v>
      </c>
      <c r="P110" s="122" t="str">
        <f>IF(AND(O110&gt;0,Planning!$I113=0),V110&amp;Language!$E$90&amp;W110,"")</f>
        <v/>
      </c>
      <c r="Q110" s="2" t="str">
        <f>IF(Planning!$I113=1,F110&amp;G110,"")</f>
        <v/>
      </c>
      <c r="R110" s="88" t="str">
        <f>IF(AND(O110&gt;0,Planning!$I113=1),V110&amp;Language!$E$90&amp;W110,"")</f>
        <v/>
      </c>
      <c r="S110" s="122" t="str">
        <f>IF(O110&gt;0,X110&amp;Language!$E$90&amp;Y110,"")</f>
        <v/>
      </c>
      <c r="T110" s="290">
        <f>IF($H110="",0,Results!$U115)</f>
        <v>0</v>
      </c>
      <c r="U110" s="291">
        <f>IF($I110="",0,Results!$V115)</f>
        <v>0</v>
      </c>
      <c r="V110" s="270" t="str">
        <f t="shared" si="2"/>
        <v/>
      </c>
      <c r="W110" s="291" t="str">
        <f t="shared" si="3"/>
        <v/>
      </c>
      <c r="X110" s="270">
        <f>IF($O110=0,0,IF(Results!$R115="",0,Results!$R115))</f>
        <v>0</v>
      </c>
      <c r="Y110" s="291">
        <f>IF($O110=0,0,IF(Results!$T115="",0,Results!$T115))</f>
        <v>0</v>
      </c>
      <c r="Z110" s="270" t="str">
        <f>IF($O110=0,"",IF($X110&gt;$Y110,Settings!$C$4,IF($X110=$Y110,1,0)))</f>
        <v/>
      </c>
      <c r="AA110" s="291" t="str">
        <f>IF($O110=0,"",IF($X110&lt;$Y110,Settings!$C$4,IF($X110=$Y110,1,0)))</f>
        <v/>
      </c>
    </row>
    <row r="111" spans="2:27" x14ac:dyDescent="0.2">
      <c r="B111" s="5"/>
      <c r="C111" s="5"/>
      <c r="D111" s="5"/>
      <c r="E111" s="266">
        <v>108</v>
      </c>
      <c r="F111" s="171" t="str">
        <f>Planning!$Q114</f>
        <v>SV Werder Bremen</v>
      </c>
      <c r="G111" s="348" t="str">
        <f>Planning!$S114</f>
        <v>TSG Hoffenheim</v>
      </c>
      <c r="H111" s="344" t="str">
        <f>IF(AND(Results!$I116&lt;&gt;"",Results!$K116&lt;&gt;"",Results!$F116&lt;&gt;Results!$H116,$F111&lt;&gt;"",$G111&lt;&gt;""),Results!$I116,"")</f>
        <v/>
      </c>
      <c r="I111" s="343" t="str">
        <f>IF(AND(Results!$I116&lt;&gt;"",Results!$K116&lt;&gt;"",Results!$F116&lt;&gt;Results!$H116,$F111&lt;&gt;"",$G111&lt;&gt;""),Results!$K116,"")</f>
        <v/>
      </c>
      <c r="J111" s="344" t="str">
        <f>IF(AND(Results!$L116&lt;&gt;"",Results!$N116&lt;&gt;"",Results!$F116&lt;&gt;Results!$H116,$F111&lt;&gt;"",$G111&lt;&gt;""),Results!$L116,"")</f>
        <v/>
      </c>
      <c r="K111" s="343" t="str">
        <f>IF(AND(Results!$L116&lt;&gt;"",Results!$N116&lt;&gt;"",Results!$F116&lt;&gt;Results!$H116,$F111&lt;&gt;"",$G111&lt;&gt;""),Results!$N116,"")</f>
        <v/>
      </c>
      <c r="L111" s="344" t="str">
        <f>IF(AND(Results!$O116&lt;&gt;"",Results!$Q116&lt;&gt;"",Results!$F116&lt;&gt;Results!$H116,$F111&lt;&gt;"",$G111&lt;&gt;""),Results!$O116,"")</f>
        <v/>
      </c>
      <c r="M111" s="122" t="str">
        <f>IF(AND(Results!$O116&lt;&gt;"",Results!$Q116&lt;&gt;"",Results!$F116&lt;&gt;Results!$H116,$F111&lt;&gt;"",$G111&lt;&gt;""),Results!$Q116,"")</f>
        <v/>
      </c>
      <c r="N111" s="16" t="str">
        <f>IF(Planning!$I114=0,F111&amp;G111,"")</f>
        <v>SV Werder BremenTSG Hoffenheim</v>
      </c>
      <c r="O111" s="122">
        <f>IF(AND(Results!$Z$6&gt;0,$E111-1&gt;=Results!$Z$6*Calc!$F$26),0,IF(AND(F111&lt;&gt;"",G111&lt;&gt;"",F111&lt;&gt;G111,Results!$R116&lt;&gt;"",Results!$T116&lt;&gt;""),1,0))</f>
        <v>0</v>
      </c>
      <c r="P111" s="122" t="str">
        <f>IF(AND(O111&gt;0,Planning!$I114=0),V111&amp;Language!$E$90&amp;W111,"")</f>
        <v/>
      </c>
      <c r="Q111" s="2" t="str">
        <f>IF(Planning!$I114=1,F111&amp;G111,"")</f>
        <v/>
      </c>
      <c r="R111" s="88" t="str">
        <f>IF(AND(O111&gt;0,Planning!$I114=1),V111&amp;Language!$E$90&amp;W111,"")</f>
        <v/>
      </c>
      <c r="S111" s="122" t="str">
        <f>IF(O111&gt;0,X111&amp;Language!$E$90&amp;Y111,"")</f>
        <v/>
      </c>
      <c r="T111" s="290">
        <f>IF($H111="",0,Results!$U116)</f>
        <v>0</v>
      </c>
      <c r="U111" s="291">
        <f>IF($I111="",0,Results!$V116)</f>
        <v>0</v>
      </c>
      <c r="V111" s="270" t="str">
        <f t="shared" si="2"/>
        <v/>
      </c>
      <c r="W111" s="291" t="str">
        <f t="shared" si="3"/>
        <v/>
      </c>
      <c r="X111" s="270">
        <f>IF($O111=0,0,IF(Results!$R116="",0,Results!$R116))</f>
        <v>0</v>
      </c>
      <c r="Y111" s="291">
        <f>IF($O111=0,0,IF(Results!$T116="",0,Results!$T116))</f>
        <v>0</v>
      </c>
      <c r="Z111" s="270" t="str">
        <f>IF($O111=0,"",IF($X111&gt;$Y111,Settings!$C$4,IF($X111=$Y111,1,0)))</f>
        <v/>
      </c>
      <c r="AA111" s="291" t="str">
        <f>IF($O111=0,"",IF($X111&lt;$Y111,Settings!$C$4,IF($X111=$Y111,1,0)))</f>
        <v/>
      </c>
    </row>
    <row r="112" spans="2:27" x14ac:dyDescent="0.2">
      <c r="B112" s="5"/>
      <c r="C112" s="5"/>
      <c r="D112" s="5"/>
      <c r="E112" s="266">
        <v>109</v>
      </c>
      <c r="F112" s="171" t="str">
        <f>Planning!$Q115</f>
        <v>1. FC Heidenheim 1846</v>
      </c>
      <c r="G112" s="348" t="str">
        <f>Planning!$S115</f>
        <v>Borussia Dortmund</v>
      </c>
      <c r="H112" s="344" t="str">
        <f>IF(AND(Results!$I117&lt;&gt;"",Results!$K117&lt;&gt;"",Results!$F117&lt;&gt;Results!$H117,$F112&lt;&gt;"",$G112&lt;&gt;""),Results!$I117,"")</f>
        <v/>
      </c>
      <c r="I112" s="343" t="str">
        <f>IF(AND(Results!$I117&lt;&gt;"",Results!$K117&lt;&gt;"",Results!$F117&lt;&gt;Results!$H117,$F112&lt;&gt;"",$G112&lt;&gt;""),Results!$K117,"")</f>
        <v/>
      </c>
      <c r="J112" s="344" t="str">
        <f>IF(AND(Results!$L117&lt;&gt;"",Results!$N117&lt;&gt;"",Results!$F117&lt;&gt;Results!$H117,$F112&lt;&gt;"",$G112&lt;&gt;""),Results!$L117,"")</f>
        <v/>
      </c>
      <c r="K112" s="343" t="str">
        <f>IF(AND(Results!$L117&lt;&gt;"",Results!$N117&lt;&gt;"",Results!$F117&lt;&gt;Results!$H117,$F112&lt;&gt;"",$G112&lt;&gt;""),Results!$N117,"")</f>
        <v/>
      </c>
      <c r="L112" s="344" t="str">
        <f>IF(AND(Results!$O117&lt;&gt;"",Results!$Q117&lt;&gt;"",Results!$F117&lt;&gt;Results!$H117,$F112&lt;&gt;"",$G112&lt;&gt;""),Results!$O117,"")</f>
        <v/>
      </c>
      <c r="M112" s="122" t="str">
        <f>IF(AND(Results!$O117&lt;&gt;"",Results!$Q117&lt;&gt;"",Results!$F117&lt;&gt;Results!$H117,$F112&lt;&gt;"",$G112&lt;&gt;""),Results!$Q117,"")</f>
        <v/>
      </c>
      <c r="N112" s="16" t="str">
        <f>IF(Planning!$I115=0,F112&amp;G112,"")</f>
        <v>1. FC Heidenheim 1846Borussia Dortmund</v>
      </c>
      <c r="O112" s="122">
        <f>IF(AND(Results!$Z$6&gt;0,$E112-1&gt;=Results!$Z$6*Calc!$F$26),0,IF(AND(F112&lt;&gt;"",G112&lt;&gt;"",F112&lt;&gt;G112,Results!$R117&lt;&gt;"",Results!$T117&lt;&gt;""),1,0))</f>
        <v>0</v>
      </c>
      <c r="P112" s="122" t="str">
        <f>IF(AND(O112&gt;0,Planning!$I115=0),V112&amp;Language!$E$90&amp;W112,"")</f>
        <v/>
      </c>
      <c r="Q112" s="2" t="str">
        <f>IF(Planning!$I115=1,F112&amp;G112,"")</f>
        <v/>
      </c>
      <c r="R112" s="88" t="str">
        <f>IF(AND(O112&gt;0,Planning!$I115=1),V112&amp;Language!$E$90&amp;W112,"")</f>
        <v/>
      </c>
      <c r="S112" s="122" t="str">
        <f>IF(O112&gt;0,X112&amp;Language!$E$90&amp;Y112,"")</f>
        <v/>
      </c>
      <c r="T112" s="290">
        <f>IF($H112="",0,Results!$U117)</f>
        <v>0</v>
      </c>
      <c r="U112" s="291">
        <f>IF($I112="",0,Results!$V117)</f>
        <v>0</v>
      </c>
      <c r="V112" s="270" t="str">
        <f t="shared" si="2"/>
        <v/>
      </c>
      <c r="W112" s="291" t="str">
        <f t="shared" si="3"/>
        <v/>
      </c>
      <c r="X112" s="270">
        <f>IF($O112=0,0,IF(Results!$R117="",0,Results!$R117))</f>
        <v>0</v>
      </c>
      <c r="Y112" s="291">
        <f>IF($O112=0,0,IF(Results!$T117="",0,Results!$T117))</f>
        <v>0</v>
      </c>
      <c r="Z112" s="270" t="str">
        <f>IF($O112=0,"",IF($X112&gt;$Y112,Settings!$C$4,IF($X112=$Y112,1,0)))</f>
        <v/>
      </c>
      <c r="AA112" s="291" t="str">
        <f>IF($O112=0,"",IF($X112&lt;$Y112,Settings!$C$4,IF($X112=$Y112,1,0)))</f>
        <v/>
      </c>
    </row>
    <row r="113" spans="2:27" x14ac:dyDescent="0.2">
      <c r="B113" s="5"/>
      <c r="C113" s="5"/>
      <c r="D113" s="5"/>
      <c r="E113" s="266">
        <v>110</v>
      </c>
      <c r="F113" s="171" t="str">
        <f>Planning!$Q116</f>
        <v>Bayer 04 Leverkusen</v>
      </c>
      <c r="G113" s="348" t="str">
        <f>Planning!$S116</f>
        <v>Borussia Mönchengladbach</v>
      </c>
      <c r="H113" s="344" t="str">
        <f>IF(AND(Results!$I118&lt;&gt;"",Results!$K118&lt;&gt;"",Results!$F118&lt;&gt;Results!$H118,$F113&lt;&gt;"",$G113&lt;&gt;""),Results!$I118,"")</f>
        <v/>
      </c>
      <c r="I113" s="343" t="str">
        <f>IF(AND(Results!$I118&lt;&gt;"",Results!$K118&lt;&gt;"",Results!$F118&lt;&gt;Results!$H118,$F113&lt;&gt;"",$G113&lt;&gt;""),Results!$K118,"")</f>
        <v/>
      </c>
      <c r="J113" s="344" t="str">
        <f>IF(AND(Results!$L118&lt;&gt;"",Results!$N118&lt;&gt;"",Results!$F118&lt;&gt;Results!$H118,$F113&lt;&gt;"",$G113&lt;&gt;""),Results!$L118,"")</f>
        <v/>
      </c>
      <c r="K113" s="343" t="str">
        <f>IF(AND(Results!$L118&lt;&gt;"",Results!$N118&lt;&gt;"",Results!$F118&lt;&gt;Results!$H118,$F113&lt;&gt;"",$G113&lt;&gt;""),Results!$N118,"")</f>
        <v/>
      </c>
      <c r="L113" s="344" t="str">
        <f>IF(AND(Results!$O118&lt;&gt;"",Results!$Q118&lt;&gt;"",Results!$F118&lt;&gt;Results!$H118,$F113&lt;&gt;"",$G113&lt;&gt;""),Results!$O118,"")</f>
        <v/>
      </c>
      <c r="M113" s="122" t="str">
        <f>IF(AND(Results!$O118&lt;&gt;"",Results!$Q118&lt;&gt;"",Results!$F118&lt;&gt;Results!$H118,$F113&lt;&gt;"",$G113&lt;&gt;""),Results!$Q118,"")</f>
        <v/>
      </c>
      <c r="N113" s="16" t="str">
        <f>IF(Planning!$I116=0,F113&amp;G113,"")</f>
        <v>Bayer 04 LeverkusenBorussia Mönchengladbach</v>
      </c>
      <c r="O113" s="122">
        <f>IF(AND(Results!$Z$6&gt;0,$E113-1&gt;=Results!$Z$6*Calc!$F$26),0,IF(AND(F113&lt;&gt;"",G113&lt;&gt;"",F113&lt;&gt;G113,Results!$R118&lt;&gt;"",Results!$T118&lt;&gt;""),1,0))</f>
        <v>0</v>
      </c>
      <c r="P113" s="122" t="str">
        <f>IF(AND(O113&gt;0,Planning!$I116=0),V113&amp;Language!$E$90&amp;W113,"")</f>
        <v/>
      </c>
      <c r="Q113" s="2" t="str">
        <f>IF(Planning!$I116=1,F113&amp;G113,"")</f>
        <v/>
      </c>
      <c r="R113" s="88" t="str">
        <f>IF(AND(O113&gt;0,Planning!$I116=1),V113&amp;Language!$E$90&amp;W113,"")</f>
        <v/>
      </c>
      <c r="S113" s="122" t="str">
        <f>IF(O113&gt;0,X113&amp;Language!$E$90&amp;Y113,"")</f>
        <v/>
      </c>
      <c r="T113" s="290">
        <f>IF($H113="",0,Results!$U118)</f>
        <v>0</v>
      </c>
      <c r="U113" s="291">
        <f>IF($I113="",0,Results!$V118)</f>
        <v>0</v>
      </c>
      <c r="V113" s="270" t="str">
        <f t="shared" si="2"/>
        <v/>
      </c>
      <c r="W113" s="291" t="str">
        <f t="shared" si="3"/>
        <v/>
      </c>
      <c r="X113" s="270">
        <f>IF($O113=0,0,IF(Results!$R118="",0,Results!$R118))</f>
        <v>0</v>
      </c>
      <c r="Y113" s="291">
        <f>IF($O113=0,0,IF(Results!$T118="",0,Results!$T118))</f>
        <v>0</v>
      </c>
      <c r="Z113" s="270" t="str">
        <f>IF($O113=0,"",IF($X113&gt;$Y113,Settings!$C$4,IF($X113=$Y113,1,0)))</f>
        <v/>
      </c>
      <c r="AA113" s="291" t="str">
        <f>IF($O113=0,"",IF($X113&lt;$Y113,Settings!$C$4,IF($X113=$Y113,1,0)))</f>
        <v/>
      </c>
    </row>
    <row r="114" spans="2:27" x14ac:dyDescent="0.2">
      <c r="B114" s="5"/>
      <c r="C114" s="5"/>
      <c r="D114" s="5"/>
      <c r="E114" s="266">
        <v>111</v>
      </c>
      <c r="F114" s="171" t="str">
        <f>Planning!$Q117</f>
        <v>Eintracht Frankfurt</v>
      </c>
      <c r="G114" s="348" t="str">
        <f>Planning!$S117</f>
        <v>1. FSV Mainz 05</v>
      </c>
      <c r="H114" s="344" t="str">
        <f>IF(AND(Results!$I119&lt;&gt;"",Results!$K119&lt;&gt;"",Results!$F119&lt;&gt;Results!$H119,$F114&lt;&gt;"",$G114&lt;&gt;""),Results!$I119,"")</f>
        <v/>
      </c>
      <c r="I114" s="343" t="str">
        <f>IF(AND(Results!$I119&lt;&gt;"",Results!$K119&lt;&gt;"",Results!$F119&lt;&gt;Results!$H119,$F114&lt;&gt;"",$G114&lt;&gt;""),Results!$K119,"")</f>
        <v/>
      </c>
      <c r="J114" s="344" t="str">
        <f>IF(AND(Results!$L119&lt;&gt;"",Results!$N119&lt;&gt;"",Results!$F119&lt;&gt;Results!$H119,$F114&lt;&gt;"",$G114&lt;&gt;""),Results!$L119,"")</f>
        <v/>
      </c>
      <c r="K114" s="343" t="str">
        <f>IF(AND(Results!$L119&lt;&gt;"",Results!$N119&lt;&gt;"",Results!$F119&lt;&gt;Results!$H119,$F114&lt;&gt;"",$G114&lt;&gt;""),Results!$N119,"")</f>
        <v/>
      </c>
      <c r="L114" s="344" t="str">
        <f>IF(AND(Results!$O119&lt;&gt;"",Results!$Q119&lt;&gt;"",Results!$F119&lt;&gt;Results!$H119,$F114&lt;&gt;"",$G114&lt;&gt;""),Results!$O119,"")</f>
        <v/>
      </c>
      <c r="M114" s="122" t="str">
        <f>IF(AND(Results!$O119&lt;&gt;"",Results!$Q119&lt;&gt;"",Results!$F119&lt;&gt;Results!$H119,$F114&lt;&gt;"",$G114&lt;&gt;""),Results!$Q119,"")</f>
        <v/>
      </c>
      <c r="N114" s="16" t="str">
        <f>IF(Planning!$I117=0,F114&amp;G114,"")</f>
        <v>Eintracht Frankfurt1. FSV Mainz 05</v>
      </c>
      <c r="O114" s="122">
        <f>IF(AND(Results!$Z$6&gt;0,$E114-1&gt;=Results!$Z$6*Calc!$F$26),0,IF(AND(F114&lt;&gt;"",G114&lt;&gt;"",F114&lt;&gt;G114,Results!$R119&lt;&gt;"",Results!$T119&lt;&gt;""),1,0))</f>
        <v>0</v>
      </c>
      <c r="P114" s="122" t="str">
        <f>IF(AND(O114&gt;0,Planning!$I117=0),V114&amp;Language!$E$90&amp;W114,"")</f>
        <v/>
      </c>
      <c r="Q114" s="2" t="str">
        <f>IF(Planning!$I117=1,F114&amp;G114,"")</f>
        <v/>
      </c>
      <c r="R114" s="88" t="str">
        <f>IF(AND(O114&gt;0,Planning!$I117=1),V114&amp;Language!$E$90&amp;W114,"")</f>
        <v/>
      </c>
      <c r="S114" s="122" t="str">
        <f>IF(O114&gt;0,X114&amp;Language!$E$90&amp;Y114,"")</f>
        <v/>
      </c>
      <c r="T114" s="290">
        <f>IF($H114="",0,Results!$U119)</f>
        <v>0</v>
      </c>
      <c r="U114" s="291">
        <f>IF($I114="",0,Results!$V119)</f>
        <v>0</v>
      </c>
      <c r="V114" s="270" t="str">
        <f t="shared" si="2"/>
        <v/>
      </c>
      <c r="W114" s="291" t="str">
        <f t="shared" si="3"/>
        <v/>
      </c>
      <c r="X114" s="270">
        <f>IF($O114=0,0,IF(Results!$R119="",0,Results!$R119))</f>
        <v>0</v>
      </c>
      <c r="Y114" s="291">
        <f>IF($O114=0,0,IF(Results!$T119="",0,Results!$T119))</f>
        <v>0</v>
      </c>
      <c r="Z114" s="270" t="str">
        <f>IF($O114=0,"",IF($X114&gt;$Y114,Settings!$C$4,IF($X114=$Y114,1,0)))</f>
        <v/>
      </c>
      <c r="AA114" s="291" t="str">
        <f>IF($O114=0,"",IF($X114&lt;$Y114,Settings!$C$4,IF($X114=$Y114,1,0)))</f>
        <v/>
      </c>
    </row>
    <row r="115" spans="2:27" x14ac:dyDescent="0.2">
      <c r="B115" s="5"/>
      <c r="C115" s="5"/>
      <c r="D115" s="5"/>
      <c r="E115" s="266">
        <v>112</v>
      </c>
      <c r="F115" s="171" t="str">
        <f>Planning!$Q118</f>
        <v>1. FC Union Berlin</v>
      </c>
      <c r="G115" s="348" t="str">
        <f>Planning!$S118</f>
        <v>FC Augsburg</v>
      </c>
      <c r="H115" s="344" t="str">
        <f>IF(AND(Results!$I120&lt;&gt;"",Results!$K120&lt;&gt;"",Results!$F120&lt;&gt;Results!$H120,$F115&lt;&gt;"",$G115&lt;&gt;""),Results!$I120,"")</f>
        <v/>
      </c>
      <c r="I115" s="343" t="str">
        <f>IF(AND(Results!$I120&lt;&gt;"",Results!$K120&lt;&gt;"",Results!$F120&lt;&gt;Results!$H120,$F115&lt;&gt;"",$G115&lt;&gt;""),Results!$K120,"")</f>
        <v/>
      </c>
      <c r="J115" s="344" t="str">
        <f>IF(AND(Results!$L120&lt;&gt;"",Results!$N120&lt;&gt;"",Results!$F120&lt;&gt;Results!$H120,$F115&lt;&gt;"",$G115&lt;&gt;""),Results!$L120,"")</f>
        <v/>
      </c>
      <c r="K115" s="343" t="str">
        <f>IF(AND(Results!$L120&lt;&gt;"",Results!$N120&lt;&gt;"",Results!$F120&lt;&gt;Results!$H120,$F115&lt;&gt;"",$G115&lt;&gt;""),Results!$N120,"")</f>
        <v/>
      </c>
      <c r="L115" s="344" t="str">
        <f>IF(AND(Results!$O120&lt;&gt;"",Results!$Q120&lt;&gt;"",Results!$F120&lt;&gt;Results!$H120,$F115&lt;&gt;"",$G115&lt;&gt;""),Results!$O120,"")</f>
        <v/>
      </c>
      <c r="M115" s="122" t="str">
        <f>IF(AND(Results!$O120&lt;&gt;"",Results!$Q120&lt;&gt;"",Results!$F120&lt;&gt;Results!$H120,$F115&lt;&gt;"",$G115&lt;&gt;""),Results!$Q120,"")</f>
        <v/>
      </c>
      <c r="N115" s="16" t="str">
        <f>IF(Planning!$I118=0,F115&amp;G115,"")</f>
        <v>1. FC Union BerlinFC Augsburg</v>
      </c>
      <c r="O115" s="122">
        <f>IF(AND(Results!$Z$6&gt;0,$E115-1&gt;=Results!$Z$6*Calc!$F$26),0,IF(AND(F115&lt;&gt;"",G115&lt;&gt;"",F115&lt;&gt;G115,Results!$R120&lt;&gt;"",Results!$T120&lt;&gt;""),1,0))</f>
        <v>0</v>
      </c>
      <c r="P115" s="122" t="str">
        <f>IF(AND(O115&gt;0,Planning!$I118=0),V115&amp;Language!$E$90&amp;W115,"")</f>
        <v/>
      </c>
      <c r="Q115" s="2" t="str">
        <f>IF(Planning!$I118=1,F115&amp;G115,"")</f>
        <v/>
      </c>
      <c r="R115" s="88" t="str">
        <f>IF(AND(O115&gt;0,Planning!$I118=1),V115&amp;Language!$E$90&amp;W115,"")</f>
        <v/>
      </c>
      <c r="S115" s="122" t="str">
        <f>IF(O115&gt;0,X115&amp;Language!$E$90&amp;Y115,"")</f>
        <v/>
      </c>
      <c r="T115" s="290">
        <f>IF($H115="",0,Results!$U120)</f>
        <v>0</v>
      </c>
      <c r="U115" s="291">
        <f>IF($I115="",0,Results!$V120)</f>
        <v>0</v>
      </c>
      <c r="V115" s="270" t="str">
        <f t="shared" si="2"/>
        <v/>
      </c>
      <c r="W115" s="291" t="str">
        <f t="shared" si="3"/>
        <v/>
      </c>
      <c r="X115" s="270">
        <f>IF($O115=0,0,IF(Results!$R120="",0,Results!$R120))</f>
        <v>0</v>
      </c>
      <c r="Y115" s="291">
        <f>IF($O115=0,0,IF(Results!$T120="",0,Results!$T120))</f>
        <v>0</v>
      </c>
      <c r="Z115" s="270" t="str">
        <f>IF($O115=0,"",IF($X115&gt;$Y115,Settings!$C$4,IF($X115=$Y115,1,0)))</f>
        <v/>
      </c>
      <c r="AA115" s="291" t="str">
        <f>IF($O115=0,"",IF($X115&lt;$Y115,Settings!$C$4,IF($X115=$Y115,1,0)))</f>
        <v/>
      </c>
    </row>
    <row r="116" spans="2:27" x14ac:dyDescent="0.2">
      <c r="B116" s="5"/>
      <c r="C116" s="5"/>
      <c r="D116" s="5"/>
      <c r="E116" s="266">
        <v>113</v>
      </c>
      <c r="F116" s="171" t="str">
        <f>Planning!$Q119</f>
        <v>FC Bayern München</v>
      </c>
      <c r="G116" s="348" t="str">
        <f>Planning!$S119</f>
        <v>1. FC Köln</v>
      </c>
      <c r="H116" s="344" t="str">
        <f>IF(AND(Results!$I121&lt;&gt;"",Results!$K121&lt;&gt;"",Results!$F121&lt;&gt;Results!$H121,$F116&lt;&gt;"",$G116&lt;&gt;""),Results!$I121,"")</f>
        <v/>
      </c>
      <c r="I116" s="343" t="str">
        <f>IF(AND(Results!$I121&lt;&gt;"",Results!$K121&lt;&gt;"",Results!$F121&lt;&gt;Results!$H121,$F116&lt;&gt;"",$G116&lt;&gt;""),Results!$K121,"")</f>
        <v/>
      </c>
      <c r="J116" s="344" t="str">
        <f>IF(AND(Results!$L121&lt;&gt;"",Results!$N121&lt;&gt;"",Results!$F121&lt;&gt;Results!$H121,$F116&lt;&gt;"",$G116&lt;&gt;""),Results!$L121,"")</f>
        <v/>
      </c>
      <c r="K116" s="343" t="str">
        <f>IF(AND(Results!$L121&lt;&gt;"",Results!$N121&lt;&gt;"",Results!$F121&lt;&gt;Results!$H121,$F116&lt;&gt;"",$G116&lt;&gt;""),Results!$N121,"")</f>
        <v/>
      </c>
      <c r="L116" s="344" t="str">
        <f>IF(AND(Results!$O121&lt;&gt;"",Results!$Q121&lt;&gt;"",Results!$F121&lt;&gt;Results!$H121,$F116&lt;&gt;"",$G116&lt;&gt;""),Results!$O121,"")</f>
        <v/>
      </c>
      <c r="M116" s="122" t="str">
        <f>IF(AND(Results!$O121&lt;&gt;"",Results!$Q121&lt;&gt;"",Results!$F121&lt;&gt;Results!$H121,$F116&lt;&gt;"",$G116&lt;&gt;""),Results!$Q121,"")</f>
        <v/>
      </c>
      <c r="N116" s="16" t="str">
        <f>IF(Planning!$I119=0,F116&amp;G116,"")</f>
        <v>FC Bayern München1. FC Köln</v>
      </c>
      <c r="O116" s="122">
        <f>IF(AND(Results!$Z$6&gt;0,$E116-1&gt;=Results!$Z$6*Calc!$F$26),0,IF(AND(F116&lt;&gt;"",G116&lt;&gt;"",F116&lt;&gt;G116,Results!$R121&lt;&gt;"",Results!$T121&lt;&gt;""),1,0))</f>
        <v>0</v>
      </c>
      <c r="P116" s="122" t="str">
        <f>IF(AND(O116&gt;0,Planning!$I119=0),V116&amp;Language!$E$90&amp;W116,"")</f>
        <v/>
      </c>
      <c r="Q116" s="2" t="str">
        <f>IF(Planning!$I119=1,F116&amp;G116,"")</f>
        <v/>
      </c>
      <c r="R116" s="88" t="str">
        <f>IF(AND(O116&gt;0,Planning!$I119=1),V116&amp;Language!$E$90&amp;W116,"")</f>
        <v/>
      </c>
      <c r="S116" s="122" t="str">
        <f>IF(O116&gt;0,X116&amp;Language!$E$90&amp;Y116,"")</f>
        <v/>
      </c>
      <c r="T116" s="290">
        <f>IF($H116="",0,Results!$U121)</f>
        <v>0</v>
      </c>
      <c r="U116" s="291">
        <f>IF($I116="",0,Results!$V121)</f>
        <v>0</v>
      </c>
      <c r="V116" s="270" t="str">
        <f t="shared" si="2"/>
        <v/>
      </c>
      <c r="W116" s="291" t="str">
        <f t="shared" si="3"/>
        <v/>
      </c>
      <c r="X116" s="270">
        <f>IF($O116=0,0,IF(Results!$R121="",0,Results!$R121))</f>
        <v>0</v>
      </c>
      <c r="Y116" s="291">
        <f>IF($O116=0,0,IF(Results!$T121="",0,Results!$T121))</f>
        <v>0</v>
      </c>
      <c r="Z116" s="270" t="str">
        <f>IF($O116=0,"",IF($X116&gt;$Y116,Settings!$C$4,IF($X116=$Y116,1,0)))</f>
        <v/>
      </c>
      <c r="AA116" s="291" t="str">
        <f>IF($O116=0,"",IF($X116&lt;$Y116,Settings!$C$4,IF($X116=$Y116,1,0)))</f>
        <v/>
      </c>
    </row>
    <row r="117" spans="2:27" x14ac:dyDescent="0.2">
      <c r="B117" s="5"/>
      <c r="C117" s="5"/>
      <c r="D117" s="5"/>
      <c r="E117" s="266">
        <v>114</v>
      </c>
      <c r="F117" s="171" t="str">
        <f>Planning!$Q120</f>
        <v>VfL Wolfsburg</v>
      </c>
      <c r="G117" s="348" t="str">
        <f>Planning!$S120</f>
        <v>FC St. Pauli</v>
      </c>
      <c r="H117" s="344" t="str">
        <f>IF(AND(Results!$I122&lt;&gt;"",Results!$K122&lt;&gt;"",Results!$F122&lt;&gt;Results!$H122,$F117&lt;&gt;"",$G117&lt;&gt;""),Results!$I122,"")</f>
        <v/>
      </c>
      <c r="I117" s="343" t="str">
        <f>IF(AND(Results!$I122&lt;&gt;"",Results!$K122&lt;&gt;"",Results!$F122&lt;&gt;Results!$H122,$F117&lt;&gt;"",$G117&lt;&gt;""),Results!$K122,"")</f>
        <v/>
      </c>
      <c r="J117" s="344" t="str">
        <f>IF(AND(Results!$L122&lt;&gt;"",Results!$N122&lt;&gt;"",Results!$F122&lt;&gt;Results!$H122,$F117&lt;&gt;"",$G117&lt;&gt;""),Results!$L122,"")</f>
        <v/>
      </c>
      <c r="K117" s="343" t="str">
        <f>IF(AND(Results!$L122&lt;&gt;"",Results!$N122&lt;&gt;"",Results!$F122&lt;&gt;Results!$H122,$F117&lt;&gt;"",$G117&lt;&gt;""),Results!$N122,"")</f>
        <v/>
      </c>
      <c r="L117" s="344" t="str">
        <f>IF(AND(Results!$O122&lt;&gt;"",Results!$Q122&lt;&gt;"",Results!$F122&lt;&gt;Results!$H122,$F117&lt;&gt;"",$G117&lt;&gt;""),Results!$O122,"")</f>
        <v/>
      </c>
      <c r="M117" s="122" t="str">
        <f>IF(AND(Results!$O122&lt;&gt;"",Results!$Q122&lt;&gt;"",Results!$F122&lt;&gt;Results!$H122,$F117&lt;&gt;"",$G117&lt;&gt;""),Results!$Q122,"")</f>
        <v/>
      </c>
      <c r="N117" s="16" t="str">
        <f>IF(Planning!$I120=0,F117&amp;G117,"")</f>
        <v>VfL WolfsburgFC St. Pauli</v>
      </c>
      <c r="O117" s="122">
        <f>IF(AND(Results!$Z$6&gt;0,$E117-1&gt;=Results!$Z$6*Calc!$F$26),0,IF(AND(F117&lt;&gt;"",G117&lt;&gt;"",F117&lt;&gt;G117,Results!$R122&lt;&gt;"",Results!$T122&lt;&gt;""),1,0))</f>
        <v>0</v>
      </c>
      <c r="P117" s="122" t="str">
        <f>IF(AND(O117&gt;0,Planning!$I120=0),V117&amp;Language!$E$90&amp;W117,"")</f>
        <v/>
      </c>
      <c r="Q117" s="2" t="str">
        <f>IF(Planning!$I120=1,F117&amp;G117,"")</f>
        <v/>
      </c>
      <c r="R117" s="88" t="str">
        <f>IF(AND(O117&gt;0,Planning!$I120=1),V117&amp;Language!$E$90&amp;W117,"")</f>
        <v/>
      </c>
      <c r="S117" s="122" t="str">
        <f>IF(O117&gt;0,X117&amp;Language!$E$90&amp;Y117,"")</f>
        <v/>
      </c>
      <c r="T117" s="290">
        <f>IF($H117="",0,Results!$U122)</f>
        <v>0</v>
      </c>
      <c r="U117" s="291">
        <f>IF($I117="",0,Results!$V122)</f>
        <v>0</v>
      </c>
      <c r="V117" s="270" t="str">
        <f t="shared" si="2"/>
        <v/>
      </c>
      <c r="W117" s="291" t="str">
        <f t="shared" si="3"/>
        <v/>
      </c>
      <c r="X117" s="270">
        <f>IF($O117=0,0,IF(Results!$R122="",0,Results!$R122))</f>
        <v>0</v>
      </c>
      <c r="Y117" s="291">
        <f>IF($O117=0,0,IF(Results!$T122="",0,Results!$T122))</f>
        <v>0</v>
      </c>
      <c r="Z117" s="270" t="str">
        <f>IF($O117=0,"",IF($X117&gt;$Y117,Settings!$C$4,IF($X117=$Y117,1,0)))</f>
        <v/>
      </c>
      <c r="AA117" s="291" t="str">
        <f>IF($O117=0,"",IF($X117&lt;$Y117,Settings!$C$4,IF($X117=$Y117,1,0)))</f>
        <v/>
      </c>
    </row>
    <row r="118" spans="2:27" x14ac:dyDescent="0.2">
      <c r="B118" s="5"/>
      <c r="C118" s="5"/>
      <c r="D118" s="5"/>
      <c r="E118" s="266">
        <v>115</v>
      </c>
      <c r="F118" s="171" t="str">
        <f>Planning!$Q121</f>
        <v>Hamburger SV</v>
      </c>
      <c r="G118" s="348" t="str">
        <f>Planning!$S121</f>
        <v>VfB Stuttgart</v>
      </c>
      <c r="H118" s="344" t="str">
        <f>IF(AND(Results!$I123&lt;&gt;"",Results!$K123&lt;&gt;"",Results!$F123&lt;&gt;Results!$H123,$F118&lt;&gt;"",$G118&lt;&gt;""),Results!$I123,"")</f>
        <v/>
      </c>
      <c r="I118" s="343" t="str">
        <f>IF(AND(Results!$I123&lt;&gt;"",Results!$K123&lt;&gt;"",Results!$F123&lt;&gt;Results!$H123,$F118&lt;&gt;"",$G118&lt;&gt;""),Results!$K123,"")</f>
        <v/>
      </c>
      <c r="J118" s="344" t="str">
        <f>IF(AND(Results!$L123&lt;&gt;"",Results!$N123&lt;&gt;"",Results!$F123&lt;&gt;Results!$H123,$F118&lt;&gt;"",$G118&lt;&gt;""),Results!$L123,"")</f>
        <v/>
      </c>
      <c r="K118" s="343" t="str">
        <f>IF(AND(Results!$L123&lt;&gt;"",Results!$N123&lt;&gt;"",Results!$F123&lt;&gt;Results!$H123,$F118&lt;&gt;"",$G118&lt;&gt;""),Results!$N123,"")</f>
        <v/>
      </c>
      <c r="L118" s="344" t="str">
        <f>IF(AND(Results!$O123&lt;&gt;"",Results!$Q123&lt;&gt;"",Results!$F123&lt;&gt;Results!$H123,$F118&lt;&gt;"",$G118&lt;&gt;""),Results!$O123,"")</f>
        <v/>
      </c>
      <c r="M118" s="122" t="str">
        <f>IF(AND(Results!$O123&lt;&gt;"",Results!$Q123&lt;&gt;"",Results!$F123&lt;&gt;Results!$H123,$F118&lt;&gt;"",$G118&lt;&gt;""),Results!$Q123,"")</f>
        <v/>
      </c>
      <c r="N118" s="16" t="str">
        <f>IF(Planning!$I121=0,F118&amp;G118,"")</f>
        <v>Hamburger SVVfB Stuttgart</v>
      </c>
      <c r="O118" s="122">
        <f>IF(AND(Results!$Z$6&gt;0,$E118-1&gt;=Results!$Z$6*Calc!$F$26),0,IF(AND(F118&lt;&gt;"",G118&lt;&gt;"",F118&lt;&gt;G118,Results!$R123&lt;&gt;"",Results!$T123&lt;&gt;""),1,0))</f>
        <v>0</v>
      </c>
      <c r="P118" s="122" t="str">
        <f>IF(AND(O118&gt;0,Planning!$I121=0),V118&amp;Language!$E$90&amp;W118,"")</f>
        <v/>
      </c>
      <c r="Q118" s="2" t="str">
        <f>IF(Planning!$I121=1,F118&amp;G118,"")</f>
        <v/>
      </c>
      <c r="R118" s="88" t="str">
        <f>IF(AND(O118&gt;0,Planning!$I121=1),V118&amp;Language!$E$90&amp;W118,"")</f>
        <v/>
      </c>
      <c r="S118" s="122" t="str">
        <f>IF(O118&gt;0,X118&amp;Language!$E$90&amp;Y118,"")</f>
        <v/>
      </c>
      <c r="T118" s="290">
        <f>IF($H118="",0,Results!$U123)</f>
        <v>0</v>
      </c>
      <c r="U118" s="291">
        <f>IF($I118="",0,Results!$V123)</f>
        <v>0</v>
      </c>
      <c r="V118" s="270" t="str">
        <f t="shared" si="2"/>
        <v/>
      </c>
      <c r="W118" s="291" t="str">
        <f t="shared" si="3"/>
        <v/>
      </c>
      <c r="X118" s="270">
        <f>IF($O118=0,0,IF(Results!$R123="",0,Results!$R123))</f>
        <v>0</v>
      </c>
      <c r="Y118" s="291">
        <f>IF($O118=0,0,IF(Results!$T123="",0,Results!$T123))</f>
        <v>0</v>
      </c>
      <c r="Z118" s="270" t="str">
        <f>IF($O118=0,"",IF($X118&gt;$Y118,Settings!$C$4,IF($X118=$Y118,1,0)))</f>
        <v/>
      </c>
      <c r="AA118" s="291" t="str">
        <f>IF($O118=0,"",IF($X118&lt;$Y118,Settings!$C$4,IF($X118=$Y118,1,0)))</f>
        <v/>
      </c>
    </row>
    <row r="119" spans="2:27" x14ac:dyDescent="0.2">
      <c r="B119" s="5"/>
      <c r="C119" s="5"/>
      <c r="D119" s="5"/>
      <c r="E119" s="266">
        <v>116</v>
      </c>
      <c r="F119" s="171" t="str">
        <f>Planning!$Q122</f>
        <v>TSG Hoffenheim</v>
      </c>
      <c r="G119" s="348" t="str">
        <f>Planning!$S122</f>
        <v>RB Leipzig</v>
      </c>
      <c r="H119" s="344" t="str">
        <f>IF(AND(Results!$I124&lt;&gt;"",Results!$K124&lt;&gt;"",Results!$F124&lt;&gt;Results!$H124,$F119&lt;&gt;"",$G119&lt;&gt;""),Results!$I124,"")</f>
        <v/>
      </c>
      <c r="I119" s="343" t="str">
        <f>IF(AND(Results!$I124&lt;&gt;"",Results!$K124&lt;&gt;"",Results!$F124&lt;&gt;Results!$H124,$F119&lt;&gt;"",$G119&lt;&gt;""),Results!$K124,"")</f>
        <v/>
      </c>
      <c r="J119" s="344" t="str">
        <f>IF(AND(Results!$L124&lt;&gt;"",Results!$N124&lt;&gt;"",Results!$F124&lt;&gt;Results!$H124,$F119&lt;&gt;"",$G119&lt;&gt;""),Results!$L124,"")</f>
        <v/>
      </c>
      <c r="K119" s="343" t="str">
        <f>IF(AND(Results!$L124&lt;&gt;"",Results!$N124&lt;&gt;"",Results!$F124&lt;&gt;Results!$H124,$F119&lt;&gt;"",$G119&lt;&gt;""),Results!$N124,"")</f>
        <v/>
      </c>
      <c r="L119" s="344" t="str">
        <f>IF(AND(Results!$O124&lt;&gt;"",Results!$Q124&lt;&gt;"",Results!$F124&lt;&gt;Results!$H124,$F119&lt;&gt;"",$G119&lt;&gt;""),Results!$O124,"")</f>
        <v/>
      </c>
      <c r="M119" s="122" t="str">
        <f>IF(AND(Results!$O124&lt;&gt;"",Results!$Q124&lt;&gt;"",Results!$F124&lt;&gt;Results!$H124,$F119&lt;&gt;"",$G119&lt;&gt;""),Results!$Q124,"")</f>
        <v/>
      </c>
      <c r="N119" s="16" t="str">
        <f>IF(Planning!$I122=0,F119&amp;G119,"")</f>
        <v>TSG HoffenheimRB Leipzig</v>
      </c>
      <c r="O119" s="122">
        <f>IF(AND(Results!$Z$6&gt;0,$E119-1&gt;=Results!$Z$6*Calc!$F$26),0,IF(AND(F119&lt;&gt;"",G119&lt;&gt;"",F119&lt;&gt;G119,Results!$R124&lt;&gt;"",Results!$T124&lt;&gt;""),1,0))</f>
        <v>0</v>
      </c>
      <c r="P119" s="122" t="str">
        <f>IF(AND(O119&gt;0,Planning!$I122=0),V119&amp;Language!$E$90&amp;W119,"")</f>
        <v/>
      </c>
      <c r="Q119" s="2" t="str">
        <f>IF(Planning!$I122=1,F119&amp;G119,"")</f>
        <v/>
      </c>
      <c r="R119" s="88" t="str">
        <f>IF(AND(O119&gt;0,Planning!$I122=1),V119&amp;Language!$E$90&amp;W119,"")</f>
        <v/>
      </c>
      <c r="S119" s="122" t="str">
        <f>IF(O119&gt;0,X119&amp;Language!$E$90&amp;Y119,"")</f>
        <v/>
      </c>
      <c r="T119" s="290">
        <f>IF($H119="",0,Results!$U124)</f>
        <v>0</v>
      </c>
      <c r="U119" s="291">
        <f>IF($I119="",0,Results!$V124)</f>
        <v>0</v>
      </c>
      <c r="V119" s="270" t="str">
        <f t="shared" si="2"/>
        <v/>
      </c>
      <c r="W119" s="291" t="str">
        <f t="shared" si="3"/>
        <v/>
      </c>
      <c r="X119" s="270">
        <f>IF($O119=0,0,IF(Results!$R124="",0,Results!$R124))</f>
        <v>0</v>
      </c>
      <c r="Y119" s="291">
        <f>IF($O119=0,0,IF(Results!$T124="",0,Results!$T124))</f>
        <v>0</v>
      </c>
      <c r="Z119" s="270" t="str">
        <f>IF($O119=0,"",IF($X119&gt;$Y119,Settings!$C$4,IF($X119=$Y119,1,0)))</f>
        <v/>
      </c>
      <c r="AA119" s="291" t="str">
        <f>IF($O119=0,"",IF($X119&lt;$Y119,Settings!$C$4,IF($X119=$Y119,1,0)))</f>
        <v/>
      </c>
    </row>
    <row r="120" spans="2:27" x14ac:dyDescent="0.2">
      <c r="B120" s="5"/>
      <c r="C120" s="5"/>
      <c r="D120" s="5"/>
      <c r="E120" s="266">
        <v>117</v>
      </c>
      <c r="F120" s="171" t="str">
        <f>Planning!$Q123</f>
        <v>SC Freiburg</v>
      </c>
      <c r="G120" s="348" t="str">
        <f>Planning!$S123</f>
        <v>SV Werder Bremen</v>
      </c>
      <c r="H120" s="344" t="str">
        <f>IF(AND(Results!$I125&lt;&gt;"",Results!$K125&lt;&gt;"",Results!$F125&lt;&gt;Results!$H125,$F120&lt;&gt;"",$G120&lt;&gt;""),Results!$I125,"")</f>
        <v/>
      </c>
      <c r="I120" s="343" t="str">
        <f>IF(AND(Results!$I125&lt;&gt;"",Results!$K125&lt;&gt;"",Results!$F125&lt;&gt;Results!$H125,$F120&lt;&gt;"",$G120&lt;&gt;""),Results!$K125,"")</f>
        <v/>
      </c>
      <c r="J120" s="344" t="str">
        <f>IF(AND(Results!$L125&lt;&gt;"",Results!$N125&lt;&gt;"",Results!$F125&lt;&gt;Results!$H125,$F120&lt;&gt;"",$G120&lt;&gt;""),Results!$L125,"")</f>
        <v/>
      </c>
      <c r="K120" s="343" t="str">
        <f>IF(AND(Results!$L125&lt;&gt;"",Results!$N125&lt;&gt;"",Results!$F125&lt;&gt;Results!$H125,$F120&lt;&gt;"",$G120&lt;&gt;""),Results!$N125,"")</f>
        <v/>
      </c>
      <c r="L120" s="344" t="str">
        <f>IF(AND(Results!$O125&lt;&gt;"",Results!$Q125&lt;&gt;"",Results!$F125&lt;&gt;Results!$H125,$F120&lt;&gt;"",$G120&lt;&gt;""),Results!$O125,"")</f>
        <v/>
      </c>
      <c r="M120" s="122" t="str">
        <f>IF(AND(Results!$O125&lt;&gt;"",Results!$Q125&lt;&gt;"",Results!$F125&lt;&gt;Results!$H125,$F120&lt;&gt;"",$G120&lt;&gt;""),Results!$Q125,"")</f>
        <v/>
      </c>
      <c r="N120" s="16" t="str">
        <f>IF(Planning!$I123=0,F120&amp;G120,"")</f>
        <v>SC FreiburgSV Werder Bremen</v>
      </c>
      <c r="O120" s="122">
        <f>IF(AND(Results!$Z$6&gt;0,$E120-1&gt;=Results!$Z$6*Calc!$F$26),0,IF(AND(F120&lt;&gt;"",G120&lt;&gt;"",F120&lt;&gt;G120,Results!$R125&lt;&gt;"",Results!$T125&lt;&gt;""),1,0))</f>
        <v>0</v>
      </c>
      <c r="P120" s="122" t="str">
        <f>IF(AND(O120&gt;0,Planning!$I123=0),V120&amp;Language!$E$90&amp;W120,"")</f>
        <v/>
      </c>
      <c r="Q120" s="2" t="str">
        <f>IF(Planning!$I123=1,F120&amp;G120,"")</f>
        <v/>
      </c>
      <c r="R120" s="88" t="str">
        <f>IF(AND(O120&gt;0,Planning!$I123=1),V120&amp;Language!$E$90&amp;W120,"")</f>
        <v/>
      </c>
      <c r="S120" s="122" t="str">
        <f>IF(O120&gt;0,X120&amp;Language!$E$90&amp;Y120,"")</f>
        <v/>
      </c>
      <c r="T120" s="290">
        <f>IF($H120="",0,Results!$U125)</f>
        <v>0</v>
      </c>
      <c r="U120" s="291">
        <f>IF($I120="",0,Results!$V125)</f>
        <v>0</v>
      </c>
      <c r="V120" s="270" t="str">
        <f t="shared" si="2"/>
        <v/>
      </c>
      <c r="W120" s="291" t="str">
        <f t="shared" si="3"/>
        <v/>
      </c>
      <c r="X120" s="270">
        <f>IF($O120=0,0,IF(Results!$R125="",0,Results!$R125))</f>
        <v>0</v>
      </c>
      <c r="Y120" s="291">
        <f>IF($O120=0,0,IF(Results!$T125="",0,Results!$T125))</f>
        <v>0</v>
      </c>
      <c r="Z120" s="270" t="str">
        <f>IF($O120=0,"",IF($X120&gt;$Y120,Settings!$C$4,IF($X120=$Y120,1,0)))</f>
        <v/>
      </c>
      <c r="AA120" s="291" t="str">
        <f>IF($O120=0,"",IF($X120&lt;$Y120,Settings!$C$4,IF($X120=$Y120,1,0)))</f>
        <v/>
      </c>
    </row>
    <row r="121" spans="2:27" x14ac:dyDescent="0.2">
      <c r="B121" s="5"/>
      <c r="C121" s="5"/>
      <c r="D121" s="5"/>
      <c r="E121" s="266">
        <v>118</v>
      </c>
      <c r="F121" s="171" t="str">
        <f>Planning!$Q124</f>
        <v>Bayer 04 Leverkusen</v>
      </c>
      <c r="G121" s="348" t="str">
        <f>Planning!$S124</f>
        <v>1. FC Heidenheim 1846</v>
      </c>
      <c r="H121" s="344" t="str">
        <f>IF(AND(Results!$I126&lt;&gt;"",Results!$K126&lt;&gt;"",Results!$F126&lt;&gt;Results!$H126,$F121&lt;&gt;"",$G121&lt;&gt;""),Results!$I126,"")</f>
        <v/>
      </c>
      <c r="I121" s="343" t="str">
        <f>IF(AND(Results!$I126&lt;&gt;"",Results!$K126&lt;&gt;"",Results!$F126&lt;&gt;Results!$H126,$F121&lt;&gt;"",$G121&lt;&gt;""),Results!$K126,"")</f>
        <v/>
      </c>
      <c r="J121" s="344" t="str">
        <f>IF(AND(Results!$L126&lt;&gt;"",Results!$N126&lt;&gt;"",Results!$F126&lt;&gt;Results!$H126,$F121&lt;&gt;"",$G121&lt;&gt;""),Results!$L126,"")</f>
        <v/>
      </c>
      <c r="K121" s="343" t="str">
        <f>IF(AND(Results!$L126&lt;&gt;"",Results!$N126&lt;&gt;"",Results!$F126&lt;&gt;Results!$H126,$F121&lt;&gt;"",$G121&lt;&gt;""),Results!$N126,"")</f>
        <v/>
      </c>
      <c r="L121" s="344" t="str">
        <f>IF(AND(Results!$O126&lt;&gt;"",Results!$Q126&lt;&gt;"",Results!$F126&lt;&gt;Results!$H126,$F121&lt;&gt;"",$G121&lt;&gt;""),Results!$O126,"")</f>
        <v/>
      </c>
      <c r="M121" s="122" t="str">
        <f>IF(AND(Results!$O126&lt;&gt;"",Results!$Q126&lt;&gt;"",Results!$F126&lt;&gt;Results!$H126,$F121&lt;&gt;"",$G121&lt;&gt;""),Results!$Q126,"")</f>
        <v/>
      </c>
      <c r="N121" s="16" t="str">
        <f>IF(Planning!$I124=0,F121&amp;G121,"")</f>
        <v>Bayer 04 Leverkusen1. FC Heidenheim 1846</v>
      </c>
      <c r="O121" s="122">
        <f>IF(AND(Results!$Z$6&gt;0,$E121-1&gt;=Results!$Z$6*Calc!$F$26),0,IF(AND(F121&lt;&gt;"",G121&lt;&gt;"",F121&lt;&gt;G121,Results!$R126&lt;&gt;"",Results!$T126&lt;&gt;""),1,0))</f>
        <v>0</v>
      </c>
      <c r="P121" s="122" t="str">
        <f>IF(AND(O121&gt;0,Planning!$I124=0),V121&amp;Language!$E$90&amp;W121,"")</f>
        <v/>
      </c>
      <c r="Q121" s="2" t="str">
        <f>IF(Planning!$I124=1,F121&amp;G121,"")</f>
        <v/>
      </c>
      <c r="R121" s="88" t="str">
        <f>IF(AND(O121&gt;0,Planning!$I124=1),V121&amp;Language!$E$90&amp;W121,"")</f>
        <v/>
      </c>
      <c r="S121" s="122" t="str">
        <f>IF(O121&gt;0,X121&amp;Language!$E$90&amp;Y121,"")</f>
        <v/>
      </c>
      <c r="T121" s="290">
        <f>IF($H121="",0,Results!$U126)</f>
        <v>0</v>
      </c>
      <c r="U121" s="291">
        <f>IF($I121="",0,Results!$V126)</f>
        <v>0</v>
      </c>
      <c r="V121" s="270" t="str">
        <f t="shared" si="2"/>
        <v/>
      </c>
      <c r="W121" s="291" t="str">
        <f t="shared" si="3"/>
        <v/>
      </c>
      <c r="X121" s="270">
        <f>IF($O121=0,0,IF(Results!$R126="",0,Results!$R126))</f>
        <v>0</v>
      </c>
      <c r="Y121" s="291">
        <f>IF($O121=0,0,IF(Results!$T126="",0,Results!$T126))</f>
        <v>0</v>
      </c>
      <c r="Z121" s="270" t="str">
        <f>IF($O121=0,"",IF($X121&gt;$Y121,Settings!$C$4,IF($X121=$Y121,1,0)))</f>
        <v/>
      </c>
      <c r="AA121" s="291" t="str">
        <f>IF($O121=0,"",IF($X121&lt;$Y121,Settings!$C$4,IF($X121=$Y121,1,0)))</f>
        <v/>
      </c>
    </row>
    <row r="122" spans="2:27" x14ac:dyDescent="0.2">
      <c r="B122" s="5"/>
      <c r="C122" s="5"/>
      <c r="D122" s="5"/>
      <c r="E122" s="266">
        <v>119</v>
      </c>
      <c r="F122" s="171" t="str">
        <f>Planning!$Q125</f>
        <v>1. FSV Mainz 05</v>
      </c>
      <c r="G122" s="348" t="str">
        <f>Planning!$S125</f>
        <v>Borussia Dortmund</v>
      </c>
      <c r="H122" s="344" t="str">
        <f>IF(AND(Results!$I127&lt;&gt;"",Results!$K127&lt;&gt;"",Results!$F127&lt;&gt;Results!$H127,$F122&lt;&gt;"",$G122&lt;&gt;""),Results!$I127,"")</f>
        <v/>
      </c>
      <c r="I122" s="343" t="str">
        <f>IF(AND(Results!$I127&lt;&gt;"",Results!$K127&lt;&gt;"",Results!$F127&lt;&gt;Results!$H127,$F122&lt;&gt;"",$G122&lt;&gt;""),Results!$K127,"")</f>
        <v/>
      </c>
      <c r="J122" s="344" t="str">
        <f>IF(AND(Results!$L127&lt;&gt;"",Results!$N127&lt;&gt;"",Results!$F127&lt;&gt;Results!$H127,$F122&lt;&gt;"",$G122&lt;&gt;""),Results!$L127,"")</f>
        <v/>
      </c>
      <c r="K122" s="343" t="str">
        <f>IF(AND(Results!$L127&lt;&gt;"",Results!$N127&lt;&gt;"",Results!$F127&lt;&gt;Results!$H127,$F122&lt;&gt;"",$G122&lt;&gt;""),Results!$N127,"")</f>
        <v/>
      </c>
      <c r="L122" s="344" t="str">
        <f>IF(AND(Results!$O127&lt;&gt;"",Results!$Q127&lt;&gt;"",Results!$F127&lt;&gt;Results!$H127,$F122&lt;&gt;"",$G122&lt;&gt;""),Results!$O127,"")</f>
        <v/>
      </c>
      <c r="M122" s="122" t="str">
        <f>IF(AND(Results!$O127&lt;&gt;"",Results!$Q127&lt;&gt;"",Results!$F127&lt;&gt;Results!$H127,$F122&lt;&gt;"",$G122&lt;&gt;""),Results!$Q127,"")</f>
        <v/>
      </c>
      <c r="N122" s="16" t="str">
        <f>IF(Planning!$I125=0,F122&amp;G122,"")</f>
        <v>1. FSV Mainz 05Borussia Dortmund</v>
      </c>
      <c r="O122" s="122">
        <f>IF(AND(Results!$Z$6&gt;0,$E122-1&gt;=Results!$Z$6*Calc!$F$26),0,IF(AND(F122&lt;&gt;"",G122&lt;&gt;"",F122&lt;&gt;G122,Results!$R127&lt;&gt;"",Results!$T127&lt;&gt;""),1,0))</f>
        <v>0</v>
      </c>
      <c r="P122" s="122" t="str">
        <f>IF(AND(O122&gt;0,Planning!$I125=0),V122&amp;Language!$E$90&amp;W122,"")</f>
        <v/>
      </c>
      <c r="Q122" s="2" t="str">
        <f>IF(Planning!$I125=1,F122&amp;G122,"")</f>
        <v/>
      </c>
      <c r="R122" s="88" t="str">
        <f>IF(AND(O122&gt;0,Planning!$I125=1),V122&amp;Language!$E$90&amp;W122,"")</f>
        <v/>
      </c>
      <c r="S122" s="122" t="str">
        <f>IF(O122&gt;0,X122&amp;Language!$E$90&amp;Y122,"")</f>
        <v/>
      </c>
      <c r="T122" s="290">
        <f>IF($H122="",0,Results!$U127)</f>
        <v>0</v>
      </c>
      <c r="U122" s="291">
        <f>IF($I122="",0,Results!$V127)</f>
        <v>0</v>
      </c>
      <c r="V122" s="270" t="str">
        <f t="shared" si="2"/>
        <v/>
      </c>
      <c r="W122" s="291" t="str">
        <f t="shared" si="3"/>
        <v/>
      </c>
      <c r="X122" s="270">
        <f>IF($O122=0,0,IF(Results!$R127="",0,Results!$R127))</f>
        <v>0</v>
      </c>
      <c r="Y122" s="291">
        <f>IF($O122=0,0,IF(Results!$T127="",0,Results!$T127))</f>
        <v>0</v>
      </c>
      <c r="Z122" s="270" t="str">
        <f>IF($O122=0,"",IF($X122&gt;$Y122,Settings!$C$4,IF($X122=$Y122,1,0)))</f>
        <v/>
      </c>
      <c r="AA122" s="291" t="str">
        <f>IF($O122=0,"",IF($X122&lt;$Y122,Settings!$C$4,IF($X122=$Y122,1,0)))</f>
        <v/>
      </c>
    </row>
    <row r="123" spans="2:27" x14ac:dyDescent="0.2">
      <c r="B123" s="5"/>
      <c r="C123" s="5"/>
      <c r="D123" s="5"/>
      <c r="E123" s="266">
        <v>120</v>
      </c>
      <c r="F123" s="171" t="str">
        <f>Planning!$Q126</f>
        <v>Borussia Mönchengladbach</v>
      </c>
      <c r="G123" s="348" t="str">
        <f>Planning!$S126</f>
        <v>1. FC Union Berlin</v>
      </c>
      <c r="H123" s="344" t="str">
        <f>IF(AND(Results!$I128&lt;&gt;"",Results!$K128&lt;&gt;"",Results!$F128&lt;&gt;Results!$H128,$F123&lt;&gt;"",$G123&lt;&gt;""),Results!$I128,"")</f>
        <v/>
      </c>
      <c r="I123" s="343" t="str">
        <f>IF(AND(Results!$I128&lt;&gt;"",Results!$K128&lt;&gt;"",Results!$F128&lt;&gt;Results!$H128,$F123&lt;&gt;"",$G123&lt;&gt;""),Results!$K128,"")</f>
        <v/>
      </c>
      <c r="J123" s="344" t="str">
        <f>IF(AND(Results!$L128&lt;&gt;"",Results!$N128&lt;&gt;"",Results!$F128&lt;&gt;Results!$H128,$F123&lt;&gt;"",$G123&lt;&gt;""),Results!$L128,"")</f>
        <v/>
      </c>
      <c r="K123" s="343" t="str">
        <f>IF(AND(Results!$L128&lt;&gt;"",Results!$N128&lt;&gt;"",Results!$F128&lt;&gt;Results!$H128,$F123&lt;&gt;"",$G123&lt;&gt;""),Results!$N128,"")</f>
        <v/>
      </c>
      <c r="L123" s="344" t="str">
        <f>IF(AND(Results!$O128&lt;&gt;"",Results!$Q128&lt;&gt;"",Results!$F128&lt;&gt;Results!$H128,$F123&lt;&gt;"",$G123&lt;&gt;""),Results!$O128,"")</f>
        <v/>
      </c>
      <c r="M123" s="122" t="str">
        <f>IF(AND(Results!$O128&lt;&gt;"",Results!$Q128&lt;&gt;"",Results!$F128&lt;&gt;Results!$H128,$F123&lt;&gt;"",$G123&lt;&gt;""),Results!$Q128,"")</f>
        <v/>
      </c>
      <c r="N123" s="16" t="str">
        <f>IF(Planning!$I126=0,F123&amp;G123,"")</f>
        <v>Borussia Mönchengladbach1. FC Union Berlin</v>
      </c>
      <c r="O123" s="122">
        <f>IF(AND(Results!$Z$6&gt;0,$E123-1&gt;=Results!$Z$6*Calc!$F$26),0,IF(AND(F123&lt;&gt;"",G123&lt;&gt;"",F123&lt;&gt;G123,Results!$R128&lt;&gt;"",Results!$T128&lt;&gt;""),1,0))</f>
        <v>0</v>
      </c>
      <c r="P123" s="122" t="str">
        <f>IF(AND(O123&gt;0,Planning!$I126=0),V123&amp;Language!$E$90&amp;W123,"")</f>
        <v/>
      </c>
      <c r="Q123" s="2" t="str">
        <f>IF(Planning!$I126=1,F123&amp;G123,"")</f>
        <v/>
      </c>
      <c r="R123" s="88" t="str">
        <f>IF(AND(O123&gt;0,Planning!$I126=1),V123&amp;Language!$E$90&amp;W123,"")</f>
        <v/>
      </c>
      <c r="S123" s="122" t="str">
        <f>IF(O123&gt;0,X123&amp;Language!$E$90&amp;Y123,"")</f>
        <v/>
      </c>
      <c r="T123" s="290">
        <f>IF($H123="",0,Results!$U128)</f>
        <v>0</v>
      </c>
      <c r="U123" s="291">
        <f>IF($I123="",0,Results!$V128)</f>
        <v>0</v>
      </c>
      <c r="V123" s="270" t="str">
        <f t="shared" si="2"/>
        <v/>
      </c>
      <c r="W123" s="291" t="str">
        <f t="shared" si="3"/>
        <v/>
      </c>
      <c r="X123" s="270">
        <f>IF($O123=0,0,IF(Results!$R128="",0,Results!$R128))</f>
        <v>0</v>
      </c>
      <c r="Y123" s="291">
        <f>IF($O123=0,0,IF(Results!$T128="",0,Results!$T128))</f>
        <v>0</v>
      </c>
      <c r="Z123" s="270" t="str">
        <f>IF($O123=0,"",IF($X123&gt;$Y123,Settings!$C$4,IF($X123=$Y123,1,0)))</f>
        <v/>
      </c>
      <c r="AA123" s="291" t="str">
        <f>IF($O123=0,"",IF($X123&lt;$Y123,Settings!$C$4,IF($X123=$Y123,1,0)))</f>
        <v/>
      </c>
    </row>
    <row r="124" spans="2:27" x14ac:dyDescent="0.2">
      <c r="B124" s="5"/>
      <c r="C124" s="5"/>
      <c r="D124" s="5"/>
      <c r="E124" s="266">
        <v>121</v>
      </c>
      <c r="F124" s="171" t="str">
        <f>Planning!$Q127</f>
        <v>1. FC Köln</v>
      </c>
      <c r="G124" s="348" t="str">
        <f>Planning!$S127</f>
        <v>Eintracht Frankfurt</v>
      </c>
      <c r="H124" s="344" t="str">
        <f>IF(AND(Results!$I129&lt;&gt;"",Results!$K129&lt;&gt;"",Results!$F129&lt;&gt;Results!$H129,$F124&lt;&gt;"",$G124&lt;&gt;""),Results!$I129,"")</f>
        <v/>
      </c>
      <c r="I124" s="343" t="str">
        <f>IF(AND(Results!$I129&lt;&gt;"",Results!$K129&lt;&gt;"",Results!$F129&lt;&gt;Results!$H129,$F124&lt;&gt;"",$G124&lt;&gt;""),Results!$K129,"")</f>
        <v/>
      </c>
      <c r="J124" s="344" t="str">
        <f>IF(AND(Results!$L129&lt;&gt;"",Results!$N129&lt;&gt;"",Results!$F129&lt;&gt;Results!$H129,$F124&lt;&gt;"",$G124&lt;&gt;""),Results!$L129,"")</f>
        <v/>
      </c>
      <c r="K124" s="343" t="str">
        <f>IF(AND(Results!$L129&lt;&gt;"",Results!$N129&lt;&gt;"",Results!$F129&lt;&gt;Results!$H129,$F124&lt;&gt;"",$G124&lt;&gt;""),Results!$N129,"")</f>
        <v/>
      </c>
      <c r="L124" s="344" t="str">
        <f>IF(AND(Results!$O129&lt;&gt;"",Results!$Q129&lt;&gt;"",Results!$F129&lt;&gt;Results!$H129,$F124&lt;&gt;"",$G124&lt;&gt;""),Results!$O129,"")</f>
        <v/>
      </c>
      <c r="M124" s="122" t="str">
        <f>IF(AND(Results!$O129&lt;&gt;"",Results!$Q129&lt;&gt;"",Results!$F129&lt;&gt;Results!$H129,$F124&lt;&gt;"",$G124&lt;&gt;""),Results!$Q129,"")</f>
        <v/>
      </c>
      <c r="N124" s="16" t="str">
        <f>IF(Planning!$I127=0,F124&amp;G124,"")</f>
        <v>1. FC KölnEintracht Frankfurt</v>
      </c>
      <c r="O124" s="122">
        <f>IF(AND(Results!$Z$6&gt;0,$E124-1&gt;=Results!$Z$6*Calc!$F$26),0,IF(AND(F124&lt;&gt;"",G124&lt;&gt;"",F124&lt;&gt;G124,Results!$R129&lt;&gt;"",Results!$T129&lt;&gt;""),1,0))</f>
        <v>0</v>
      </c>
      <c r="P124" s="122" t="str">
        <f>IF(AND(O124&gt;0,Planning!$I127=0),V124&amp;Language!$E$90&amp;W124,"")</f>
        <v/>
      </c>
      <c r="Q124" s="2" t="str">
        <f>IF(Planning!$I127=1,F124&amp;G124,"")</f>
        <v/>
      </c>
      <c r="R124" s="88" t="str">
        <f>IF(AND(O124&gt;0,Planning!$I127=1),V124&amp;Language!$E$90&amp;W124,"")</f>
        <v/>
      </c>
      <c r="S124" s="122" t="str">
        <f>IF(O124&gt;0,X124&amp;Language!$E$90&amp;Y124,"")</f>
        <v/>
      </c>
      <c r="T124" s="290">
        <f>IF($H124="",0,Results!$U129)</f>
        <v>0</v>
      </c>
      <c r="U124" s="291">
        <f>IF($I124="",0,Results!$V129)</f>
        <v>0</v>
      </c>
      <c r="V124" s="270" t="str">
        <f t="shared" si="2"/>
        <v/>
      </c>
      <c r="W124" s="291" t="str">
        <f t="shared" si="3"/>
        <v/>
      </c>
      <c r="X124" s="270">
        <f>IF($O124=0,0,IF(Results!$R129="",0,Results!$R129))</f>
        <v>0</v>
      </c>
      <c r="Y124" s="291">
        <f>IF($O124=0,0,IF(Results!$T129="",0,Results!$T129))</f>
        <v>0</v>
      </c>
      <c r="Z124" s="270" t="str">
        <f>IF($O124=0,"",IF($X124&gt;$Y124,Settings!$C$4,IF($X124=$Y124,1,0)))</f>
        <v/>
      </c>
      <c r="AA124" s="291" t="str">
        <f>IF($O124=0,"",IF($X124&lt;$Y124,Settings!$C$4,IF($X124=$Y124,1,0)))</f>
        <v/>
      </c>
    </row>
    <row r="125" spans="2:27" x14ac:dyDescent="0.2">
      <c r="B125" s="5"/>
      <c r="C125" s="5"/>
      <c r="D125" s="5"/>
      <c r="E125" s="266">
        <v>122</v>
      </c>
      <c r="F125" s="171" t="str">
        <f>Planning!$Q128</f>
        <v>FC Augsburg</v>
      </c>
      <c r="G125" s="348" t="str">
        <f>Planning!$S128</f>
        <v>VfL Wolfsburg</v>
      </c>
      <c r="H125" s="344" t="str">
        <f>IF(AND(Results!$I130&lt;&gt;"",Results!$K130&lt;&gt;"",Results!$F130&lt;&gt;Results!$H130,$F125&lt;&gt;"",$G125&lt;&gt;""),Results!$I130,"")</f>
        <v/>
      </c>
      <c r="I125" s="343" t="str">
        <f>IF(AND(Results!$I130&lt;&gt;"",Results!$K130&lt;&gt;"",Results!$F130&lt;&gt;Results!$H130,$F125&lt;&gt;"",$G125&lt;&gt;""),Results!$K130,"")</f>
        <v/>
      </c>
      <c r="J125" s="344" t="str">
        <f>IF(AND(Results!$L130&lt;&gt;"",Results!$N130&lt;&gt;"",Results!$F130&lt;&gt;Results!$H130,$F125&lt;&gt;"",$G125&lt;&gt;""),Results!$L130,"")</f>
        <v/>
      </c>
      <c r="K125" s="343" t="str">
        <f>IF(AND(Results!$L130&lt;&gt;"",Results!$N130&lt;&gt;"",Results!$F130&lt;&gt;Results!$H130,$F125&lt;&gt;"",$G125&lt;&gt;""),Results!$N130,"")</f>
        <v/>
      </c>
      <c r="L125" s="344" t="str">
        <f>IF(AND(Results!$O130&lt;&gt;"",Results!$Q130&lt;&gt;"",Results!$F130&lt;&gt;Results!$H130,$F125&lt;&gt;"",$G125&lt;&gt;""),Results!$O130,"")</f>
        <v/>
      </c>
      <c r="M125" s="122" t="str">
        <f>IF(AND(Results!$O130&lt;&gt;"",Results!$Q130&lt;&gt;"",Results!$F130&lt;&gt;Results!$H130,$F125&lt;&gt;"",$G125&lt;&gt;""),Results!$Q130,"")</f>
        <v/>
      </c>
      <c r="N125" s="16" t="str">
        <f>IF(Planning!$I128=0,F125&amp;G125,"")</f>
        <v>FC AugsburgVfL Wolfsburg</v>
      </c>
      <c r="O125" s="122">
        <f>IF(AND(Results!$Z$6&gt;0,$E125-1&gt;=Results!$Z$6*Calc!$F$26),0,IF(AND(F125&lt;&gt;"",G125&lt;&gt;"",F125&lt;&gt;G125,Results!$R130&lt;&gt;"",Results!$T130&lt;&gt;""),1,0))</f>
        <v>0</v>
      </c>
      <c r="P125" s="122" t="str">
        <f>IF(AND(O125&gt;0,Planning!$I128=0),V125&amp;Language!$E$90&amp;W125,"")</f>
        <v/>
      </c>
      <c r="Q125" s="2" t="str">
        <f>IF(Planning!$I128=1,F125&amp;G125,"")</f>
        <v/>
      </c>
      <c r="R125" s="88" t="str">
        <f>IF(AND(O125&gt;0,Planning!$I128=1),V125&amp;Language!$E$90&amp;W125,"")</f>
        <v/>
      </c>
      <c r="S125" s="122" t="str">
        <f>IF(O125&gt;0,X125&amp;Language!$E$90&amp;Y125,"")</f>
        <v/>
      </c>
      <c r="T125" s="290">
        <f>IF($H125="",0,Results!$U130)</f>
        <v>0</v>
      </c>
      <c r="U125" s="291">
        <f>IF($I125="",0,Results!$V130)</f>
        <v>0</v>
      </c>
      <c r="V125" s="270" t="str">
        <f t="shared" si="2"/>
        <v/>
      </c>
      <c r="W125" s="291" t="str">
        <f t="shared" si="3"/>
        <v/>
      </c>
      <c r="X125" s="270">
        <f>IF($O125=0,0,IF(Results!$R130="",0,Results!$R130))</f>
        <v>0</v>
      </c>
      <c r="Y125" s="291">
        <f>IF($O125=0,0,IF(Results!$T130="",0,Results!$T130))</f>
        <v>0</v>
      </c>
      <c r="Z125" s="270" t="str">
        <f>IF($O125=0,"",IF($X125&gt;$Y125,Settings!$C$4,IF($X125=$Y125,1,0)))</f>
        <v/>
      </c>
      <c r="AA125" s="291" t="str">
        <f>IF($O125=0,"",IF($X125&lt;$Y125,Settings!$C$4,IF($X125=$Y125,1,0)))</f>
        <v/>
      </c>
    </row>
    <row r="126" spans="2:27" x14ac:dyDescent="0.2">
      <c r="B126" s="5"/>
      <c r="C126" s="5"/>
      <c r="D126" s="5"/>
      <c r="E126" s="266">
        <v>123</v>
      </c>
      <c r="F126" s="171" t="str">
        <f>Planning!$Q129</f>
        <v>VfB Stuttgart</v>
      </c>
      <c r="G126" s="348" t="str">
        <f>Planning!$S129</f>
        <v>FC Bayern München</v>
      </c>
      <c r="H126" s="344" t="str">
        <f>IF(AND(Results!$I131&lt;&gt;"",Results!$K131&lt;&gt;"",Results!$F131&lt;&gt;Results!$H131,$F126&lt;&gt;"",$G126&lt;&gt;""),Results!$I131,"")</f>
        <v/>
      </c>
      <c r="I126" s="343" t="str">
        <f>IF(AND(Results!$I131&lt;&gt;"",Results!$K131&lt;&gt;"",Results!$F131&lt;&gt;Results!$H131,$F126&lt;&gt;"",$G126&lt;&gt;""),Results!$K131,"")</f>
        <v/>
      </c>
      <c r="J126" s="344" t="str">
        <f>IF(AND(Results!$L131&lt;&gt;"",Results!$N131&lt;&gt;"",Results!$F131&lt;&gt;Results!$H131,$F126&lt;&gt;"",$G126&lt;&gt;""),Results!$L131,"")</f>
        <v/>
      </c>
      <c r="K126" s="343" t="str">
        <f>IF(AND(Results!$L131&lt;&gt;"",Results!$N131&lt;&gt;"",Results!$F131&lt;&gt;Results!$H131,$F126&lt;&gt;"",$G126&lt;&gt;""),Results!$N131,"")</f>
        <v/>
      </c>
      <c r="L126" s="344" t="str">
        <f>IF(AND(Results!$O131&lt;&gt;"",Results!$Q131&lt;&gt;"",Results!$F131&lt;&gt;Results!$H131,$F126&lt;&gt;"",$G126&lt;&gt;""),Results!$O131,"")</f>
        <v/>
      </c>
      <c r="M126" s="122" t="str">
        <f>IF(AND(Results!$O131&lt;&gt;"",Results!$Q131&lt;&gt;"",Results!$F131&lt;&gt;Results!$H131,$F126&lt;&gt;"",$G126&lt;&gt;""),Results!$Q131,"")</f>
        <v/>
      </c>
      <c r="N126" s="16" t="str">
        <f>IF(Planning!$I129=0,F126&amp;G126,"")</f>
        <v>VfB StuttgartFC Bayern München</v>
      </c>
      <c r="O126" s="122">
        <f>IF(AND(Results!$Z$6&gt;0,$E126-1&gt;=Results!$Z$6*Calc!$F$26),0,IF(AND(F126&lt;&gt;"",G126&lt;&gt;"",F126&lt;&gt;G126,Results!$R131&lt;&gt;"",Results!$T131&lt;&gt;""),1,0))</f>
        <v>0</v>
      </c>
      <c r="P126" s="122" t="str">
        <f>IF(AND(O126&gt;0,Planning!$I129=0),V126&amp;Language!$E$90&amp;W126,"")</f>
        <v/>
      </c>
      <c r="Q126" s="2" t="str">
        <f>IF(Planning!$I129=1,F126&amp;G126,"")</f>
        <v/>
      </c>
      <c r="R126" s="88" t="str">
        <f>IF(AND(O126&gt;0,Planning!$I129=1),V126&amp;Language!$E$90&amp;W126,"")</f>
        <v/>
      </c>
      <c r="S126" s="122" t="str">
        <f>IF(O126&gt;0,X126&amp;Language!$E$90&amp;Y126,"")</f>
        <v/>
      </c>
      <c r="T126" s="290">
        <f>IF($H126="",0,Results!$U131)</f>
        <v>0</v>
      </c>
      <c r="U126" s="291">
        <f>IF($I126="",0,Results!$V131)</f>
        <v>0</v>
      </c>
      <c r="V126" s="270" t="str">
        <f t="shared" si="2"/>
        <v/>
      </c>
      <c r="W126" s="291" t="str">
        <f t="shared" si="3"/>
        <v/>
      </c>
      <c r="X126" s="270">
        <f>IF($O126=0,0,IF(Results!$R131="",0,Results!$R131))</f>
        <v>0</v>
      </c>
      <c r="Y126" s="291">
        <f>IF($O126=0,0,IF(Results!$T131="",0,Results!$T131))</f>
        <v>0</v>
      </c>
      <c r="Z126" s="270" t="str">
        <f>IF($O126=0,"",IF($X126&gt;$Y126,Settings!$C$4,IF($X126=$Y126,1,0)))</f>
        <v/>
      </c>
      <c r="AA126" s="291" t="str">
        <f>IF($O126=0,"",IF($X126&lt;$Y126,Settings!$C$4,IF($X126=$Y126,1,0)))</f>
        <v/>
      </c>
    </row>
    <row r="127" spans="2:27" x14ac:dyDescent="0.2">
      <c r="B127" s="5"/>
      <c r="C127" s="5"/>
      <c r="D127" s="5"/>
      <c r="E127" s="266">
        <v>124</v>
      </c>
      <c r="F127" s="171" t="str">
        <f>Planning!$Q130</f>
        <v>FC St. Pauli</v>
      </c>
      <c r="G127" s="348" t="str">
        <f>Planning!$S130</f>
        <v>TSG Hoffenheim</v>
      </c>
      <c r="H127" s="344" t="str">
        <f>IF(AND(Results!$I132&lt;&gt;"",Results!$K132&lt;&gt;"",Results!$F132&lt;&gt;Results!$H132,$F127&lt;&gt;"",$G127&lt;&gt;""),Results!$I132,"")</f>
        <v/>
      </c>
      <c r="I127" s="343" t="str">
        <f>IF(AND(Results!$I132&lt;&gt;"",Results!$K132&lt;&gt;"",Results!$F132&lt;&gt;Results!$H132,$F127&lt;&gt;"",$G127&lt;&gt;""),Results!$K132,"")</f>
        <v/>
      </c>
      <c r="J127" s="344" t="str">
        <f>IF(AND(Results!$L132&lt;&gt;"",Results!$N132&lt;&gt;"",Results!$F132&lt;&gt;Results!$H132,$F127&lt;&gt;"",$G127&lt;&gt;""),Results!$L132,"")</f>
        <v/>
      </c>
      <c r="K127" s="343" t="str">
        <f>IF(AND(Results!$L132&lt;&gt;"",Results!$N132&lt;&gt;"",Results!$F132&lt;&gt;Results!$H132,$F127&lt;&gt;"",$G127&lt;&gt;""),Results!$N132,"")</f>
        <v/>
      </c>
      <c r="L127" s="344" t="str">
        <f>IF(AND(Results!$O132&lt;&gt;"",Results!$Q132&lt;&gt;"",Results!$F132&lt;&gt;Results!$H132,$F127&lt;&gt;"",$G127&lt;&gt;""),Results!$O132,"")</f>
        <v/>
      </c>
      <c r="M127" s="122" t="str">
        <f>IF(AND(Results!$O132&lt;&gt;"",Results!$Q132&lt;&gt;"",Results!$F132&lt;&gt;Results!$H132,$F127&lt;&gt;"",$G127&lt;&gt;""),Results!$Q132,"")</f>
        <v/>
      </c>
      <c r="N127" s="16" t="str">
        <f>IF(Planning!$I130=0,F127&amp;G127,"")</f>
        <v>FC St. PauliTSG Hoffenheim</v>
      </c>
      <c r="O127" s="122">
        <f>IF(AND(Results!$Z$6&gt;0,$E127-1&gt;=Results!$Z$6*Calc!$F$26),0,IF(AND(F127&lt;&gt;"",G127&lt;&gt;"",F127&lt;&gt;G127,Results!$R132&lt;&gt;"",Results!$T132&lt;&gt;""),1,0))</f>
        <v>0</v>
      </c>
      <c r="P127" s="122" t="str">
        <f>IF(AND(O127&gt;0,Planning!$I130=0),V127&amp;Language!$E$90&amp;W127,"")</f>
        <v/>
      </c>
      <c r="Q127" s="2" t="str">
        <f>IF(Planning!$I130=1,F127&amp;G127,"")</f>
        <v/>
      </c>
      <c r="R127" s="88" t="str">
        <f>IF(AND(O127&gt;0,Planning!$I130=1),V127&amp;Language!$E$90&amp;W127,"")</f>
        <v/>
      </c>
      <c r="S127" s="122" t="str">
        <f>IF(O127&gt;0,X127&amp;Language!$E$90&amp;Y127,"")</f>
        <v/>
      </c>
      <c r="T127" s="290">
        <f>IF($H127="",0,Results!$U132)</f>
        <v>0</v>
      </c>
      <c r="U127" s="291">
        <f>IF($I127="",0,Results!$V132)</f>
        <v>0</v>
      </c>
      <c r="V127" s="270" t="str">
        <f t="shared" si="2"/>
        <v/>
      </c>
      <c r="W127" s="291" t="str">
        <f t="shared" si="3"/>
        <v/>
      </c>
      <c r="X127" s="270">
        <f>IF($O127=0,0,IF(Results!$R132="",0,Results!$R132))</f>
        <v>0</v>
      </c>
      <c r="Y127" s="291">
        <f>IF($O127=0,0,IF(Results!$T132="",0,Results!$T132))</f>
        <v>0</v>
      </c>
      <c r="Z127" s="270" t="str">
        <f>IF($O127=0,"",IF($X127&gt;$Y127,Settings!$C$4,IF($X127=$Y127,1,0)))</f>
        <v/>
      </c>
      <c r="AA127" s="291" t="str">
        <f>IF($O127=0,"",IF($X127&lt;$Y127,Settings!$C$4,IF($X127=$Y127,1,0)))</f>
        <v/>
      </c>
    </row>
    <row r="128" spans="2:27" x14ac:dyDescent="0.2">
      <c r="B128" s="5"/>
      <c r="C128" s="5"/>
      <c r="D128" s="5"/>
      <c r="E128" s="266">
        <v>125</v>
      </c>
      <c r="F128" s="171" t="str">
        <f>Planning!$Q131</f>
        <v>SV Werder Bremen</v>
      </c>
      <c r="G128" s="348" t="str">
        <f>Planning!$S131</f>
        <v>Hamburger SV</v>
      </c>
      <c r="H128" s="344" t="str">
        <f>IF(AND(Results!$I133&lt;&gt;"",Results!$K133&lt;&gt;"",Results!$F133&lt;&gt;Results!$H133,$F128&lt;&gt;"",$G128&lt;&gt;""),Results!$I133,"")</f>
        <v/>
      </c>
      <c r="I128" s="343" t="str">
        <f>IF(AND(Results!$I133&lt;&gt;"",Results!$K133&lt;&gt;"",Results!$F133&lt;&gt;Results!$H133,$F128&lt;&gt;"",$G128&lt;&gt;""),Results!$K133,"")</f>
        <v/>
      </c>
      <c r="J128" s="344" t="str">
        <f>IF(AND(Results!$L133&lt;&gt;"",Results!$N133&lt;&gt;"",Results!$F133&lt;&gt;Results!$H133,$F128&lt;&gt;"",$G128&lt;&gt;""),Results!$L133,"")</f>
        <v/>
      </c>
      <c r="K128" s="343" t="str">
        <f>IF(AND(Results!$L133&lt;&gt;"",Results!$N133&lt;&gt;"",Results!$F133&lt;&gt;Results!$H133,$F128&lt;&gt;"",$G128&lt;&gt;""),Results!$N133,"")</f>
        <v/>
      </c>
      <c r="L128" s="344" t="str">
        <f>IF(AND(Results!$O133&lt;&gt;"",Results!$Q133&lt;&gt;"",Results!$F133&lt;&gt;Results!$H133,$F128&lt;&gt;"",$G128&lt;&gt;""),Results!$O133,"")</f>
        <v/>
      </c>
      <c r="M128" s="122" t="str">
        <f>IF(AND(Results!$O133&lt;&gt;"",Results!$Q133&lt;&gt;"",Results!$F133&lt;&gt;Results!$H133,$F128&lt;&gt;"",$G128&lt;&gt;""),Results!$Q133,"")</f>
        <v/>
      </c>
      <c r="N128" s="16" t="str">
        <f>IF(Planning!$I131=0,F128&amp;G128,"")</f>
        <v>SV Werder BremenHamburger SV</v>
      </c>
      <c r="O128" s="122">
        <f>IF(AND(Results!$Z$6&gt;0,$E128-1&gt;=Results!$Z$6*Calc!$F$26),0,IF(AND(F128&lt;&gt;"",G128&lt;&gt;"",F128&lt;&gt;G128,Results!$R133&lt;&gt;"",Results!$T133&lt;&gt;""),1,0))</f>
        <v>0</v>
      </c>
      <c r="P128" s="122" t="str">
        <f>IF(AND(O128&gt;0,Planning!$I131=0),V128&amp;Language!$E$90&amp;W128,"")</f>
        <v/>
      </c>
      <c r="Q128" s="2" t="str">
        <f>IF(Planning!$I131=1,F128&amp;G128,"")</f>
        <v/>
      </c>
      <c r="R128" s="88" t="str">
        <f>IF(AND(O128&gt;0,Planning!$I131=1),V128&amp;Language!$E$90&amp;W128,"")</f>
        <v/>
      </c>
      <c r="S128" s="122" t="str">
        <f>IF(O128&gt;0,X128&amp;Language!$E$90&amp;Y128,"")</f>
        <v/>
      </c>
      <c r="T128" s="290">
        <f>IF($H128="",0,Results!$U133)</f>
        <v>0</v>
      </c>
      <c r="U128" s="291">
        <f>IF($I128="",0,Results!$V133)</f>
        <v>0</v>
      </c>
      <c r="V128" s="270" t="str">
        <f t="shared" si="2"/>
        <v/>
      </c>
      <c r="W128" s="291" t="str">
        <f t="shared" si="3"/>
        <v/>
      </c>
      <c r="X128" s="270">
        <f>IF($O128=0,0,IF(Results!$R133="",0,Results!$R133))</f>
        <v>0</v>
      </c>
      <c r="Y128" s="291">
        <f>IF($O128=0,0,IF(Results!$T133="",0,Results!$T133))</f>
        <v>0</v>
      </c>
      <c r="Z128" s="270" t="str">
        <f>IF($O128=0,"",IF($X128&gt;$Y128,Settings!$C$4,IF($X128=$Y128,1,0)))</f>
        <v/>
      </c>
      <c r="AA128" s="291" t="str">
        <f>IF($O128=0,"",IF($X128&lt;$Y128,Settings!$C$4,IF($X128=$Y128,1,0)))</f>
        <v/>
      </c>
    </row>
    <row r="129" spans="2:27" x14ac:dyDescent="0.2">
      <c r="B129" s="5"/>
      <c r="C129" s="5"/>
      <c r="D129" s="5"/>
      <c r="E129" s="266">
        <v>126</v>
      </c>
      <c r="F129" s="171" t="str">
        <f>Planning!$Q132</f>
        <v>RB Leipzig</v>
      </c>
      <c r="G129" s="348" t="str">
        <f>Planning!$S132</f>
        <v>SC Freiburg</v>
      </c>
      <c r="H129" s="344" t="str">
        <f>IF(AND(Results!$I134&lt;&gt;"",Results!$K134&lt;&gt;"",Results!$F134&lt;&gt;Results!$H134,$F129&lt;&gt;"",$G129&lt;&gt;""),Results!$I134,"")</f>
        <v/>
      </c>
      <c r="I129" s="343" t="str">
        <f>IF(AND(Results!$I134&lt;&gt;"",Results!$K134&lt;&gt;"",Results!$F134&lt;&gt;Results!$H134,$F129&lt;&gt;"",$G129&lt;&gt;""),Results!$K134,"")</f>
        <v/>
      </c>
      <c r="J129" s="344" t="str">
        <f>IF(AND(Results!$L134&lt;&gt;"",Results!$N134&lt;&gt;"",Results!$F134&lt;&gt;Results!$H134,$F129&lt;&gt;"",$G129&lt;&gt;""),Results!$L134,"")</f>
        <v/>
      </c>
      <c r="K129" s="343" t="str">
        <f>IF(AND(Results!$L134&lt;&gt;"",Results!$N134&lt;&gt;"",Results!$F134&lt;&gt;Results!$H134,$F129&lt;&gt;"",$G129&lt;&gt;""),Results!$N134,"")</f>
        <v/>
      </c>
      <c r="L129" s="344" t="str">
        <f>IF(AND(Results!$O134&lt;&gt;"",Results!$Q134&lt;&gt;"",Results!$F134&lt;&gt;Results!$H134,$F129&lt;&gt;"",$G129&lt;&gt;""),Results!$O134,"")</f>
        <v/>
      </c>
      <c r="M129" s="122" t="str">
        <f>IF(AND(Results!$O134&lt;&gt;"",Results!$Q134&lt;&gt;"",Results!$F134&lt;&gt;Results!$H134,$F129&lt;&gt;"",$G129&lt;&gt;""),Results!$Q134,"")</f>
        <v/>
      </c>
      <c r="N129" s="16" t="str">
        <f>IF(Planning!$I132=0,F129&amp;G129,"")</f>
        <v>RB LeipzigSC Freiburg</v>
      </c>
      <c r="O129" s="122">
        <f>IF(AND(Results!$Z$6&gt;0,$E129-1&gt;=Results!$Z$6*Calc!$F$26),0,IF(AND(F129&lt;&gt;"",G129&lt;&gt;"",F129&lt;&gt;G129,Results!$R134&lt;&gt;"",Results!$T134&lt;&gt;""),1,0))</f>
        <v>0</v>
      </c>
      <c r="P129" s="122" t="str">
        <f>IF(AND(O129&gt;0,Planning!$I132=0),V129&amp;Language!$E$90&amp;W129,"")</f>
        <v/>
      </c>
      <c r="Q129" s="2" t="str">
        <f>IF(Planning!$I132=1,F129&amp;G129,"")</f>
        <v/>
      </c>
      <c r="R129" s="88" t="str">
        <f>IF(AND(O129&gt;0,Planning!$I132=1),V129&amp;Language!$E$90&amp;W129,"")</f>
        <v/>
      </c>
      <c r="S129" s="122" t="str">
        <f>IF(O129&gt;0,X129&amp;Language!$E$90&amp;Y129,"")</f>
        <v/>
      </c>
      <c r="T129" s="290">
        <f>IF($H129="",0,Results!$U134)</f>
        <v>0</v>
      </c>
      <c r="U129" s="291">
        <f>IF($I129="",0,Results!$V134)</f>
        <v>0</v>
      </c>
      <c r="V129" s="270" t="str">
        <f t="shared" si="2"/>
        <v/>
      </c>
      <c r="W129" s="291" t="str">
        <f t="shared" si="3"/>
        <v/>
      </c>
      <c r="X129" s="270">
        <f>IF($O129=0,0,IF(Results!$R134="",0,Results!$R134))</f>
        <v>0</v>
      </c>
      <c r="Y129" s="291">
        <f>IF($O129=0,0,IF(Results!$T134="",0,Results!$T134))</f>
        <v>0</v>
      </c>
      <c r="Z129" s="270" t="str">
        <f>IF($O129=0,"",IF($X129&gt;$Y129,Settings!$C$4,IF($X129=$Y129,1,0)))</f>
        <v/>
      </c>
      <c r="AA129" s="291" t="str">
        <f>IF($O129=0,"",IF($X129&lt;$Y129,Settings!$C$4,IF($X129=$Y129,1,0)))</f>
        <v/>
      </c>
    </row>
    <row r="130" spans="2:27" x14ac:dyDescent="0.2">
      <c r="B130" s="5"/>
      <c r="C130" s="5"/>
      <c r="D130" s="5"/>
      <c r="E130" s="266">
        <v>127</v>
      </c>
      <c r="F130" s="171" t="str">
        <f>Planning!$Q133</f>
        <v>1. FC Heidenheim 1846</v>
      </c>
      <c r="G130" s="348" t="str">
        <f>Planning!$S133</f>
        <v>1. FSV Mainz 05</v>
      </c>
      <c r="H130" s="344" t="str">
        <f>IF(AND(Results!$I135&lt;&gt;"",Results!$K135&lt;&gt;"",Results!$F135&lt;&gt;Results!$H135,$F130&lt;&gt;"",$G130&lt;&gt;""),Results!$I135,"")</f>
        <v/>
      </c>
      <c r="I130" s="343" t="str">
        <f>IF(AND(Results!$I135&lt;&gt;"",Results!$K135&lt;&gt;"",Results!$F135&lt;&gt;Results!$H135,$F130&lt;&gt;"",$G130&lt;&gt;""),Results!$K135,"")</f>
        <v/>
      </c>
      <c r="J130" s="344" t="str">
        <f>IF(AND(Results!$L135&lt;&gt;"",Results!$N135&lt;&gt;"",Results!$F135&lt;&gt;Results!$H135,$F130&lt;&gt;"",$G130&lt;&gt;""),Results!$L135,"")</f>
        <v/>
      </c>
      <c r="K130" s="343" t="str">
        <f>IF(AND(Results!$L135&lt;&gt;"",Results!$N135&lt;&gt;"",Results!$F135&lt;&gt;Results!$H135,$F130&lt;&gt;"",$G130&lt;&gt;""),Results!$N135,"")</f>
        <v/>
      </c>
      <c r="L130" s="344" t="str">
        <f>IF(AND(Results!$O135&lt;&gt;"",Results!$Q135&lt;&gt;"",Results!$F135&lt;&gt;Results!$H135,$F130&lt;&gt;"",$G130&lt;&gt;""),Results!$O135,"")</f>
        <v/>
      </c>
      <c r="M130" s="122" t="str">
        <f>IF(AND(Results!$O135&lt;&gt;"",Results!$Q135&lt;&gt;"",Results!$F135&lt;&gt;Results!$H135,$F130&lt;&gt;"",$G130&lt;&gt;""),Results!$Q135,"")</f>
        <v/>
      </c>
      <c r="N130" s="16" t="str">
        <f>IF(Planning!$I133=0,F130&amp;G130,"")</f>
        <v>1. FC Heidenheim 18461. FSV Mainz 05</v>
      </c>
      <c r="O130" s="122">
        <f>IF(AND(Results!$Z$6&gt;0,$E130-1&gt;=Results!$Z$6*Calc!$F$26),0,IF(AND(F130&lt;&gt;"",G130&lt;&gt;"",F130&lt;&gt;G130,Results!$R135&lt;&gt;"",Results!$T135&lt;&gt;""),1,0))</f>
        <v>0</v>
      </c>
      <c r="P130" s="122" t="str">
        <f>IF(AND(O130&gt;0,Planning!$I133=0),V130&amp;Language!$E$90&amp;W130,"")</f>
        <v/>
      </c>
      <c r="Q130" s="2" t="str">
        <f>IF(Planning!$I133=1,F130&amp;G130,"")</f>
        <v/>
      </c>
      <c r="R130" s="88" t="str">
        <f>IF(AND(O130&gt;0,Planning!$I133=1),V130&amp;Language!$E$90&amp;W130,"")</f>
        <v/>
      </c>
      <c r="S130" s="122" t="str">
        <f>IF(O130&gt;0,X130&amp;Language!$E$90&amp;Y130,"")</f>
        <v/>
      </c>
      <c r="T130" s="290">
        <f>IF($H130="",0,Results!$U135)</f>
        <v>0</v>
      </c>
      <c r="U130" s="291">
        <f>IF($I130="",0,Results!$V135)</f>
        <v>0</v>
      </c>
      <c r="V130" s="270" t="str">
        <f t="shared" si="2"/>
        <v/>
      </c>
      <c r="W130" s="291" t="str">
        <f t="shared" si="3"/>
        <v/>
      </c>
      <c r="X130" s="270">
        <f>IF($O130=0,0,IF(Results!$R135="",0,Results!$R135))</f>
        <v>0</v>
      </c>
      <c r="Y130" s="291">
        <f>IF($O130=0,0,IF(Results!$T135="",0,Results!$T135))</f>
        <v>0</v>
      </c>
      <c r="Z130" s="270" t="str">
        <f>IF($O130=0,"",IF($X130&gt;$Y130,Settings!$C$4,IF($X130=$Y130,1,0)))</f>
        <v/>
      </c>
      <c r="AA130" s="291" t="str">
        <f>IF($O130=0,"",IF($X130&lt;$Y130,Settings!$C$4,IF($X130=$Y130,1,0)))</f>
        <v/>
      </c>
    </row>
    <row r="131" spans="2:27" x14ac:dyDescent="0.2">
      <c r="B131" s="5"/>
      <c r="C131" s="5"/>
      <c r="D131" s="5"/>
      <c r="E131" s="266">
        <v>128</v>
      </c>
      <c r="F131" s="171" t="str">
        <f>Planning!$Q134</f>
        <v>1. FC Union Berlin</v>
      </c>
      <c r="G131" s="348" t="str">
        <f>Planning!$S134</f>
        <v>Bayer 04 Leverkusen</v>
      </c>
      <c r="H131" s="344" t="str">
        <f>IF(AND(Results!$I136&lt;&gt;"",Results!$K136&lt;&gt;"",Results!$F136&lt;&gt;Results!$H136,$F131&lt;&gt;"",$G131&lt;&gt;""),Results!$I136,"")</f>
        <v/>
      </c>
      <c r="I131" s="343" t="str">
        <f>IF(AND(Results!$I136&lt;&gt;"",Results!$K136&lt;&gt;"",Results!$F136&lt;&gt;Results!$H136,$F131&lt;&gt;"",$G131&lt;&gt;""),Results!$K136,"")</f>
        <v/>
      </c>
      <c r="J131" s="344" t="str">
        <f>IF(AND(Results!$L136&lt;&gt;"",Results!$N136&lt;&gt;"",Results!$F136&lt;&gt;Results!$H136,$F131&lt;&gt;"",$G131&lt;&gt;""),Results!$L136,"")</f>
        <v/>
      </c>
      <c r="K131" s="343" t="str">
        <f>IF(AND(Results!$L136&lt;&gt;"",Results!$N136&lt;&gt;"",Results!$F136&lt;&gt;Results!$H136,$F131&lt;&gt;"",$G131&lt;&gt;""),Results!$N136,"")</f>
        <v/>
      </c>
      <c r="L131" s="344" t="str">
        <f>IF(AND(Results!$O136&lt;&gt;"",Results!$Q136&lt;&gt;"",Results!$F136&lt;&gt;Results!$H136,$F131&lt;&gt;"",$G131&lt;&gt;""),Results!$O136,"")</f>
        <v/>
      </c>
      <c r="M131" s="122" t="str">
        <f>IF(AND(Results!$O136&lt;&gt;"",Results!$Q136&lt;&gt;"",Results!$F136&lt;&gt;Results!$H136,$F131&lt;&gt;"",$G131&lt;&gt;""),Results!$Q136,"")</f>
        <v/>
      </c>
      <c r="N131" s="16" t="str">
        <f>IF(Planning!$I134=0,F131&amp;G131,"")</f>
        <v>1. FC Union BerlinBayer 04 Leverkusen</v>
      </c>
      <c r="O131" s="122">
        <f>IF(AND(Results!$Z$6&gt;0,$E131-1&gt;=Results!$Z$6*Calc!$F$26),0,IF(AND(F131&lt;&gt;"",G131&lt;&gt;"",F131&lt;&gt;G131,Results!$R136&lt;&gt;"",Results!$T136&lt;&gt;""),1,0))</f>
        <v>0</v>
      </c>
      <c r="P131" s="122" t="str">
        <f>IF(AND(O131&gt;0,Planning!$I134=0),V131&amp;Language!$E$90&amp;W131,"")</f>
        <v/>
      </c>
      <c r="Q131" s="2" t="str">
        <f>IF(Planning!$I134=1,F131&amp;G131,"")</f>
        <v/>
      </c>
      <c r="R131" s="88" t="str">
        <f>IF(AND(O131&gt;0,Planning!$I134=1),V131&amp;Language!$E$90&amp;W131,"")</f>
        <v/>
      </c>
      <c r="S131" s="122" t="str">
        <f>IF(O131&gt;0,X131&amp;Language!$E$90&amp;Y131,"")</f>
        <v/>
      </c>
      <c r="T131" s="290">
        <f>IF($H131="",0,Results!$U136)</f>
        <v>0</v>
      </c>
      <c r="U131" s="291">
        <f>IF($I131="",0,Results!$V136)</f>
        <v>0</v>
      </c>
      <c r="V131" s="270" t="str">
        <f t="shared" si="2"/>
        <v/>
      </c>
      <c r="W131" s="291" t="str">
        <f t="shared" si="3"/>
        <v/>
      </c>
      <c r="X131" s="270">
        <f>IF($O131=0,0,IF(Results!$R136="",0,Results!$R136))</f>
        <v>0</v>
      </c>
      <c r="Y131" s="291">
        <f>IF($O131=0,0,IF(Results!$T136="",0,Results!$T136))</f>
        <v>0</v>
      </c>
      <c r="Z131" s="270" t="str">
        <f>IF($O131=0,"",IF($X131&gt;$Y131,Settings!$C$4,IF($X131=$Y131,1,0)))</f>
        <v/>
      </c>
      <c r="AA131" s="291" t="str">
        <f>IF($O131=0,"",IF($X131&lt;$Y131,Settings!$C$4,IF($X131=$Y131,1,0)))</f>
        <v/>
      </c>
    </row>
    <row r="132" spans="2:27" x14ac:dyDescent="0.2">
      <c r="B132" s="5"/>
      <c r="C132" s="5"/>
      <c r="D132" s="5"/>
      <c r="E132" s="266">
        <v>129</v>
      </c>
      <c r="F132" s="171" t="str">
        <f>Planning!$Q135</f>
        <v>Borussia Dortmund</v>
      </c>
      <c r="G132" s="348" t="str">
        <f>Planning!$S135</f>
        <v>1. FC Köln</v>
      </c>
      <c r="H132" s="344" t="str">
        <f>IF(AND(Results!$I137&lt;&gt;"",Results!$K137&lt;&gt;"",Results!$F137&lt;&gt;Results!$H137,$F132&lt;&gt;"",$G132&lt;&gt;""),Results!$I137,"")</f>
        <v/>
      </c>
      <c r="I132" s="343" t="str">
        <f>IF(AND(Results!$I137&lt;&gt;"",Results!$K137&lt;&gt;"",Results!$F137&lt;&gt;Results!$H137,$F132&lt;&gt;"",$G132&lt;&gt;""),Results!$K137,"")</f>
        <v/>
      </c>
      <c r="J132" s="344" t="str">
        <f>IF(AND(Results!$L137&lt;&gt;"",Results!$N137&lt;&gt;"",Results!$F137&lt;&gt;Results!$H137,$F132&lt;&gt;"",$G132&lt;&gt;""),Results!$L137,"")</f>
        <v/>
      </c>
      <c r="K132" s="343" t="str">
        <f>IF(AND(Results!$L137&lt;&gt;"",Results!$N137&lt;&gt;"",Results!$F137&lt;&gt;Results!$H137,$F132&lt;&gt;"",$G132&lt;&gt;""),Results!$N137,"")</f>
        <v/>
      </c>
      <c r="L132" s="344" t="str">
        <f>IF(AND(Results!$O137&lt;&gt;"",Results!$Q137&lt;&gt;"",Results!$F137&lt;&gt;Results!$H137,$F132&lt;&gt;"",$G132&lt;&gt;""),Results!$O137,"")</f>
        <v/>
      </c>
      <c r="M132" s="122" t="str">
        <f>IF(AND(Results!$O137&lt;&gt;"",Results!$Q137&lt;&gt;"",Results!$F137&lt;&gt;Results!$H137,$F132&lt;&gt;"",$G132&lt;&gt;""),Results!$Q137,"")</f>
        <v/>
      </c>
      <c r="N132" s="16" t="str">
        <f>IF(Planning!$I135=0,F132&amp;G132,"")</f>
        <v>Borussia Dortmund1. FC Köln</v>
      </c>
      <c r="O132" s="122">
        <f>IF(AND(Results!$Z$6&gt;0,$E132-1&gt;=Results!$Z$6*Calc!$F$26),0,IF(AND(F132&lt;&gt;"",G132&lt;&gt;"",F132&lt;&gt;G132,Results!$R137&lt;&gt;"",Results!$T137&lt;&gt;""),1,0))</f>
        <v>0</v>
      </c>
      <c r="P132" s="122" t="str">
        <f>IF(AND(O132&gt;0,Planning!$I135=0),V132&amp;Language!$E$90&amp;W132,"")</f>
        <v/>
      </c>
      <c r="Q132" s="2" t="str">
        <f>IF(Planning!$I135=1,F132&amp;G132,"")</f>
        <v/>
      </c>
      <c r="R132" s="88" t="str">
        <f>IF(AND(O132&gt;0,Planning!$I135=1),V132&amp;Language!$E$90&amp;W132,"")</f>
        <v/>
      </c>
      <c r="S132" s="122" t="str">
        <f>IF(O132&gt;0,X132&amp;Language!$E$90&amp;Y132,"")</f>
        <v/>
      </c>
      <c r="T132" s="290">
        <f>IF($H132="",0,Results!$U137)</f>
        <v>0</v>
      </c>
      <c r="U132" s="291">
        <f>IF($I132="",0,Results!$V137)</f>
        <v>0</v>
      </c>
      <c r="V132" s="270" t="str">
        <f t="shared" si="2"/>
        <v/>
      </c>
      <c r="W132" s="291" t="str">
        <f t="shared" si="3"/>
        <v/>
      </c>
      <c r="X132" s="270">
        <f>IF($O132=0,0,IF(Results!$R137="",0,Results!$R137))</f>
        <v>0</v>
      </c>
      <c r="Y132" s="291">
        <f>IF($O132=0,0,IF(Results!$T137="",0,Results!$T137))</f>
        <v>0</v>
      </c>
      <c r="Z132" s="270" t="str">
        <f>IF($O132=0,"",IF($X132&gt;$Y132,Settings!$C$4,IF($X132=$Y132,1,0)))</f>
        <v/>
      </c>
      <c r="AA132" s="291" t="str">
        <f>IF($O132=0,"",IF($X132&lt;$Y132,Settings!$C$4,IF($X132=$Y132,1,0)))</f>
        <v/>
      </c>
    </row>
    <row r="133" spans="2:27" x14ac:dyDescent="0.2">
      <c r="B133" s="5"/>
      <c r="C133" s="5"/>
      <c r="D133" s="5"/>
      <c r="E133" s="266">
        <v>130</v>
      </c>
      <c r="F133" s="171" t="str">
        <f>Planning!$Q136</f>
        <v>VfL Wolfsburg</v>
      </c>
      <c r="G133" s="348" t="str">
        <f>Planning!$S136</f>
        <v>Borussia Mönchengladbach</v>
      </c>
      <c r="H133" s="344" t="str">
        <f>IF(AND(Results!$I138&lt;&gt;"",Results!$K138&lt;&gt;"",Results!$F138&lt;&gt;Results!$H138,$F133&lt;&gt;"",$G133&lt;&gt;""),Results!$I138,"")</f>
        <v/>
      </c>
      <c r="I133" s="343" t="str">
        <f>IF(AND(Results!$I138&lt;&gt;"",Results!$K138&lt;&gt;"",Results!$F138&lt;&gt;Results!$H138,$F133&lt;&gt;"",$G133&lt;&gt;""),Results!$K138,"")</f>
        <v/>
      </c>
      <c r="J133" s="344" t="str">
        <f>IF(AND(Results!$L138&lt;&gt;"",Results!$N138&lt;&gt;"",Results!$F138&lt;&gt;Results!$H138,$F133&lt;&gt;"",$G133&lt;&gt;""),Results!$L138,"")</f>
        <v/>
      </c>
      <c r="K133" s="343" t="str">
        <f>IF(AND(Results!$L138&lt;&gt;"",Results!$N138&lt;&gt;"",Results!$F138&lt;&gt;Results!$H138,$F133&lt;&gt;"",$G133&lt;&gt;""),Results!$N138,"")</f>
        <v/>
      </c>
      <c r="L133" s="344" t="str">
        <f>IF(AND(Results!$O138&lt;&gt;"",Results!$Q138&lt;&gt;"",Results!$F138&lt;&gt;Results!$H138,$F133&lt;&gt;"",$G133&lt;&gt;""),Results!$O138,"")</f>
        <v/>
      </c>
      <c r="M133" s="122" t="str">
        <f>IF(AND(Results!$O138&lt;&gt;"",Results!$Q138&lt;&gt;"",Results!$F138&lt;&gt;Results!$H138,$F133&lt;&gt;"",$G133&lt;&gt;""),Results!$Q138,"")</f>
        <v/>
      </c>
      <c r="N133" s="16" t="str">
        <f>IF(Planning!$I136=0,F133&amp;G133,"")</f>
        <v>VfL WolfsburgBorussia Mönchengladbach</v>
      </c>
      <c r="O133" s="122">
        <f>IF(AND(Results!$Z$6&gt;0,$E133-1&gt;=Results!$Z$6*Calc!$F$26),0,IF(AND(F133&lt;&gt;"",G133&lt;&gt;"",F133&lt;&gt;G133,Results!$R138&lt;&gt;"",Results!$T138&lt;&gt;""),1,0))</f>
        <v>0</v>
      </c>
      <c r="P133" s="122" t="str">
        <f>IF(AND(O133&gt;0,Planning!$I136=0),V133&amp;Language!$E$90&amp;W133,"")</f>
        <v/>
      </c>
      <c r="Q133" s="2" t="str">
        <f>IF(Planning!$I136=1,F133&amp;G133,"")</f>
        <v/>
      </c>
      <c r="R133" s="88" t="str">
        <f>IF(AND(O133&gt;0,Planning!$I136=1),V133&amp;Language!$E$90&amp;W133,"")</f>
        <v/>
      </c>
      <c r="S133" s="122" t="str">
        <f>IF(O133&gt;0,X133&amp;Language!$E$90&amp;Y133,"")</f>
        <v/>
      </c>
      <c r="T133" s="290">
        <f>IF($H133="",0,Results!$U138)</f>
        <v>0</v>
      </c>
      <c r="U133" s="291">
        <f>IF($I133="",0,Results!$V138)</f>
        <v>0</v>
      </c>
      <c r="V133" s="270" t="str">
        <f t="shared" ref="V133:V196" si="4">IF(O133&gt;0,SUM(H133,J133,L133),"")</f>
        <v/>
      </c>
      <c r="W133" s="291" t="str">
        <f t="shared" ref="W133:W196" si="5">IF(O133&gt;0,SUM(I133,K133,M133),"")</f>
        <v/>
      </c>
      <c r="X133" s="270">
        <f>IF($O133=0,0,IF(Results!$R138="",0,Results!$R138))</f>
        <v>0</v>
      </c>
      <c r="Y133" s="291">
        <f>IF($O133=0,0,IF(Results!$T138="",0,Results!$T138))</f>
        <v>0</v>
      </c>
      <c r="Z133" s="270" t="str">
        <f>IF($O133=0,"",IF($X133&gt;$Y133,Settings!$C$4,IF($X133=$Y133,1,0)))</f>
        <v/>
      </c>
      <c r="AA133" s="291" t="str">
        <f>IF($O133=0,"",IF($X133&lt;$Y133,Settings!$C$4,IF($X133=$Y133,1,0)))</f>
        <v/>
      </c>
    </row>
    <row r="134" spans="2:27" x14ac:dyDescent="0.2">
      <c r="B134" s="5"/>
      <c r="C134" s="5"/>
      <c r="D134" s="5"/>
      <c r="E134" s="266">
        <v>131</v>
      </c>
      <c r="F134" s="171" t="str">
        <f>Planning!$Q137</f>
        <v>Eintracht Frankfurt</v>
      </c>
      <c r="G134" s="348" t="str">
        <f>Planning!$S137</f>
        <v>VfB Stuttgart</v>
      </c>
      <c r="H134" s="344" t="str">
        <f>IF(AND(Results!$I139&lt;&gt;"",Results!$K139&lt;&gt;"",Results!$F139&lt;&gt;Results!$H139,$F134&lt;&gt;"",$G134&lt;&gt;""),Results!$I139,"")</f>
        <v/>
      </c>
      <c r="I134" s="343" t="str">
        <f>IF(AND(Results!$I139&lt;&gt;"",Results!$K139&lt;&gt;"",Results!$F139&lt;&gt;Results!$H139,$F134&lt;&gt;"",$G134&lt;&gt;""),Results!$K139,"")</f>
        <v/>
      </c>
      <c r="J134" s="344" t="str">
        <f>IF(AND(Results!$L139&lt;&gt;"",Results!$N139&lt;&gt;"",Results!$F139&lt;&gt;Results!$H139,$F134&lt;&gt;"",$G134&lt;&gt;""),Results!$L139,"")</f>
        <v/>
      </c>
      <c r="K134" s="343" t="str">
        <f>IF(AND(Results!$L139&lt;&gt;"",Results!$N139&lt;&gt;"",Results!$F139&lt;&gt;Results!$H139,$F134&lt;&gt;"",$G134&lt;&gt;""),Results!$N139,"")</f>
        <v/>
      </c>
      <c r="L134" s="344" t="str">
        <f>IF(AND(Results!$O139&lt;&gt;"",Results!$Q139&lt;&gt;"",Results!$F139&lt;&gt;Results!$H139,$F134&lt;&gt;"",$G134&lt;&gt;""),Results!$O139,"")</f>
        <v/>
      </c>
      <c r="M134" s="122" t="str">
        <f>IF(AND(Results!$O139&lt;&gt;"",Results!$Q139&lt;&gt;"",Results!$F139&lt;&gt;Results!$H139,$F134&lt;&gt;"",$G134&lt;&gt;""),Results!$Q139,"")</f>
        <v/>
      </c>
      <c r="N134" s="16" t="str">
        <f>IF(Planning!$I137=0,F134&amp;G134,"")</f>
        <v>Eintracht FrankfurtVfB Stuttgart</v>
      </c>
      <c r="O134" s="122">
        <f>IF(AND(Results!$Z$6&gt;0,$E134-1&gt;=Results!$Z$6*Calc!$F$26),0,IF(AND(F134&lt;&gt;"",G134&lt;&gt;"",F134&lt;&gt;G134,Results!$R139&lt;&gt;"",Results!$T139&lt;&gt;""),1,0))</f>
        <v>0</v>
      </c>
      <c r="P134" s="122" t="str">
        <f>IF(AND(O134&gt;0,Planning!$I137=0),V134&amp;Language!$E$90&amp;W134,"")</f>
        <v/>
      </c>
      <c r="Q134" s="2" t="str">
        <f>IF(Planning!$I137=1,F134&amp;G134,"")</f>
        <v/>
      </c>
      <c r="R134" s="88" t="str">
        <f>IF(AND(O134&gt;0,Planning!$I137=1),V134&amp;Language!$E$90&amp;W134,"")</f>
        <v/>
      </c>
      <c r="S134" s="122" t="str">
        <f>IF(O134&gt;0,X134&amp;Language!$E$90&amp;Y134,"")</f>
        <v/>
      </c>
      <c r="T134" s="290">
        <f>IF($H134="",0,Results!$U139)</f>
        <v>0</v>
      </c>
      <c r="U134" s="291">
        <f>IF($I134="",0,Results!$V139)</f>
        <v>0</v>
      </c>
      <c r="V134" s="270" t="str">
        <f t="shared" si="4"/>
        <v/>
      </c>
      <c r="W134" s="291" t="str">
        <f t="shared" si="5"/>
        <v/>
      </c>
      <c r="X134" s="270">
        <f>IF($O134=0,0,IF(Results!$R139="",0,Results!$R139))</f>
        <v>0</v>
      </c>
      <c r="Y134" s="291">
        <f>IF($O134=0,0,IF(Results!$T139="",0,Results!$T139))</f>
        <v>0</v>
      </c>
      <c r="Z134" s="270" t="str">
        <f>IF($O134=0,"",IF($X134&gt;$Y134,Settings!$C$4,IF($X134=$Y134,1,0)))</f>
        <v/>
      </c>
      <c r="AA134" s="291" t="str">
        <f>IF($O134=0,"",IF($X134&lt;$Y134,Settings!$C$4,IF($X134=$Y134,1,0)))</f>
        <v/>
      </c>
    </row>
    <row r="135" spans="2:27" x14ac:dyDescent="0.2">
      <c r="B135" s="5"/>
      <c r="C135" s="5"/>
      <c r="D135" s="5"/>
      <c r="E135" s="266">
        <v>132</v>
      </c>
      <c r="F135" s="171" t="str">
        <f>Planning!$Q138</f>
        <v>TSG Hoffenheim</v>
      </c>
      <c r="G135" s="348" t="str">
        <f>Planning!$S138</f>
        <v>FC Augsburg</v>
      </c>
      <c r="H135" s="344" t="str">
        <f>IF(AND(Results!$I140&lt;&gt;"",Results!$K140&lt;&gt;"",Results!$F140&lt;&gt;Results!$H140,$F135&lt;&gt;"",$G135&lt;&gt;""),Results!$I140,"")</f>
        <v/>
      </c>
      <c r="I135" s="343" t="str">
        <f>IF(AND(Results!$I140&lt;&gt;"",Results!$K140&lt;&gt;"",Results!$F140&lt;&gt;Results!$H140,$F135&lt;&gt;"",$G135&lt;&gt;""),Results!$K140,"")</f>
        <v/>
      </c>
      <c r="J135" s="344" t="str">
        <f>IF(AND(Results!$L140&lt;&gt;"",Results!$N140&lt;&gt;"",Results!$F140&lt;&gt;Results!$H140,$F135&lt;&gt;"",$G135&lt;&gt;""),Results!$L140,"")</f>
        <v/>
      </c>
      <c r="K135" s="343" t="str">
        <f>IF(AND(Results!$L140&lt;&gt;"",Results!$N140&lt;&gt;"",Results!$F140&lt;&gt;Results!$H140,$F135&lt;&gt;"",$G135&lt;&gt;""),Results!$N140,"")</f>
        <v/>
      </c>
      <c r="L135" s="344" t="str">
        <f>IF(AND(Results!$O140&lt;&gt;"",Results!$Q140&lt;&gt;"",Results!$F140&lt;&gt;Results!$H140,$F135&lt;&gt;"",$G135&lt;&gt;""),Results!$O140,"")</f>
        <v/>
      </c>
      <c r="M135" s="122" t="str">
        <f>IF(AND(Results!$O140&lt;&gt;"",Results!$Q140&lt;&gt;"",Results!$F140&lt;&gt;Results!$H140,$F135&lt;&gt;"",$G135&lt;&gt;""),Results!$Q140,"")</f>
        <v/>
      </c>
      <c r="N135" s="16" t="str">
        <f>IF(Planning!$I138=0,F135&amp;G135,"")</f>
        <v>TSG HoffenheimFC Augsburg</v>
      </c>
      <c r="O135" s="122">
        <f>IF(AND(Results!$Z$6&gt;0,$E135-1&gt;=Results!$Z$6*Calc!$F$26),0,IF(AND(F135&lt;&gt;"",G135&lt;&gt;"",F135&lt;&gt;G135,Results!$R140&lt;&gt;"",Results!$T140&lt;&gt;""),1,0))</f>
        <v>0</v>
      </c>
      <c r="P135" s="122" t="str">
        <f>IF(AND(O135&gt;0,Planning!$I138=0),V135&amp;Language!$E$90&amp;W135,"")</f>
        <v/>
      </c>
      <c r="Q135" s="2" t="str">
        <f>IF(Planning!$I138=1,F135&amp;G135,"")</f>
        <v/>
      </c>
      <c r="R135" s="88" t="str">
        <f>IF(AND(O135&gt;0,Planning!$I138=1),V135&amp;Language!$E$90&amp;W135,"")</f>
        <v/>
      </c>
      <c r="S135" s="122" t="str">
        <f>IF(O135&gt;0,X135&amp;Language!$E$90&amp;Y135,"")</f>
        <v/>
      </c>
      <c r="T135" s="290">
        <f>IF($H135="",0,Results!$U140)</f>
        <v>0</v>
      </c>
      <c r="U135" s="291">
        <f>IF($I135="",0,Results!$V140)</f>
        <v>0</v>
      </c>
      <c r="V135" s="270" t="str">
        <f t="shared" si="4"/>
        <v/>
      </c>
      <c r="W135" s="291" t="str">
        <f t="shared" si="5"/>
        <v/>
      </c>
      <c r="X135" s="270">
        <f>IF($O135=0,0,IF(Results!$R140="",0,Results!$R140))</f>
        <v>0</v>
      </c>
      <c r="Y135" s="291">
        <f>IF($O135=0,0,IF(Results!$T140="",0,Results!$T140))</f>
        <v>0</v>
      </c>
      <c r="Z135" s="270" t="str">
        <f>IF($O135=0,"",IF($X135&gt;$Y135,Settings!$C$4,IF($X135=$Y135,1,0)))</f>
        <v/>
      </c>
      <c r="AA135" s="291" t="str">
        <f>IF($O135=0,"",IF($X135&lt;$Y135,Settings!$C$4,IF($X135=$Y135,1,0)))</f>
        <v/>
      </c>
    </row>
    <row r="136" spans="2:27" x14ac:dyDescent="0.2">
      <c r="B136" s="5"/>
      <c r="C136" s="5"/>
      <c r="D136" s="5"/>
      <c r="E136" s="266">
        <v>133</v>
      </c>
      <c r="F136" s="171" t="str">
        <f>Planning!$Q139</f>
        <v>FC Bayern München</v>
      </c>
      <c r="G136" s="348" t="str">
        <f>Planning!$S139</f>
        <v>SV Werder Bremen</v>
      </c>
      <c r="H136" s="344" t="str">
        <f>IF(AND(Results!$I141&lt;&gt;"",Results!$K141&lt;&gt;"",Results!$F141&lt;&gt;Results!$H141,$F136&lt;&gt;"",$G136&lt;&gt;""),Results!$I141,"")</f>
        <v/>
      </c>
      <c r="I136" s="343" t="str">
        <f>IF(AND(Results!$I141&lt;&gt;"",Results!$K141&lt;&gt;"",Results!$F141&lt;&gt;Results!$H141,$F136&lt;&gt;"",$G136&lt;&gt;""),Results!$K141,"")</f>
        <v/>
      </c>
      <c r="J136" s="344" t="str">
        <f>IF(AND(Results!$L141&lt;&gt;"",Results!$N141&lt;&gt;"",Results!$F141&lt;&gt;Results!$H141,$F136&lt;&gt;"",$G136&lt;&gt;""),Results!$L141,"")</f>
        <v/>
      </c>
      <c r="K136" s="343" t="str">
        <f>IF(AND(Results!$L141&lt;&gt;"",Results!$N141&lt;&gt;"",Results!$F141&lt;&gt;Results!$H141,$F136&lt;&gt;"",$G136&lt;&gt;""),Results!$N141,"")</f>
        <v/>
      </c>
      <c r="L136" s="344" t="str">
        <f>IF(AND(Results!$O141&lt;&gt;"",Results!$Q141&lt;&gt;"",Results!$F141&lt;&gt;Results!$H141,$F136&lt;&gt;"",$G136&lt;&gt;""),Results!$O141,"")</f>
        <v/>
      </c>
      <c r="M136" s="122" t="str">
        <f>IF(AND(Results!$O141&lt;&gt;"",Results!$Q141&lt;&gt;"",Results!$F141&lt;&gt;Results!$H141,$F136&lt;&gt;"",$G136&lt;&gt;""),Results!$Q141,"")</f>
        <v/>
      </c>
      <c r="N136" s="16" t="str">
        <f>IF(Planning!$I139=0,F136&amp;G136,"")</f>
        <v>FC Bayern MünchenSV Werder Bremen</v>
      </c>
      <c r="O136" s="122">
        <f>IF(AND(Results!$Z$6&gt;0,$E136-1&gt;=Results!$Z$6*Calc!$F$26),0,IF(AND(F136&lt;&gt;"",G136&lt;&gt;"",F136&lt;&gt;G136,Results!$R141&lt;&gt;"",Results!$T141&lt;&gt;""),1,0))</f>
        <v>0</v>
      </c>
      <c r="P136" s="122" t="str">
        <f>IF(AND(O136&gt;0,Planning!$I139=0),V136&amp;Language!$E$90&amp;W136,"")</f>
        <v/>
      </c>
      <c r="Q136" s="2" t="str">
        <f>IF(Planning!$I139=1,F136&amp;G136,"")</f>
        <v/>
      </c>
      <c r="R136" s="88" t="str">
        <f>IF(AND(O136&gt;0,Planning!$I139=1),V136&amp;Language!$E$90&amp;W136,"")</f>
        <v/>
      </c>
      <c r="S136" s="122" t="str">
        <f>IF(O136&gt;0,X136&amp;Language!$E$90&amp;Y136,"")</f>
        <v/>
      </c>
      <c r="T136" s="290">
        <f>IF($H136="",0,Results!$U141)</f>
        <v>0</v>
      </c>
      <c r="U136" s="291">
        <f>IF($I136="",0,Results!$V141)</f>
        <v>0</v>
      </c>
      <c r="V136" s="270" t="str">
        <f t="shared" si="4"/>
        <v/>
      </c>
      <c r="W136" s="291" t="str">
        <f t="shared" si="5"/>
        <v/>
      </c>
      <c r="X136" s="270">
        <f>IF($O136=0,0,IF(Results!$R141="",0,Results!$R141))</f>
        <v>0</v>
      </c>
      <c r="Y136" s="291">
        <f>IF($O136=0,0,IF(Results!$T141="",0,Results!$T141))</f>
        <v>0</v>
      </c>
      <c r="Z136" s="270" t="str">
        <f>IF($O136=0,"",IF($X136&gt;$Y136,Settings!$C$4,IF($X136=$Y136,1,0)))</f>
        <v/>
      </c>
      <c r="AA136" s="291" t="str">
        <f>IF($O136=0,"",IF($X136&lt;$Y136,Settings!$C$4,IF($X136=$Y136,1,0)))</f>
        <v/>
      </c>
    </row>
    <row r="137" spans="2:27" x14ac:dyDescent="0.2">
      <c r="B137" s="5"/>
      <c r="C137" s="5"/>
      <c r="D137" s="5"/>
      <c r="E137" s="266">
        <v>134</v>
      </c>
      <c r="F137" s="171" t="str">
        <f>Planning!$Q140</f>
        <v>SC Freiburg</v>
      </c>
      <c r="G137" s="348" t="str">
        <f>Planning!$S140</f>
        <v>FC St. Pauli</v>
      </c>
      <c r="H137" s="344" t="str">
        <f>IF(AND(Results!$I142&lt;&gt;"",Results!$K142&lt;&gt;"",Results!$F142&lt;&gt;Results!$H142,$F137&lt;&gt;"",$G137&lt;&gt;""),Results!$I142,"")</f>
        <v/>
      </c>
      <c r="I137" s="343" t="str">
        <f>IF(AND(Results!$I142&lt;&gt;"",Results!$K142&lt;&gt;"",Results!$F142&lt;&gt;Results!$H142,$F137&lt;&gt;"",$G137&lt;&gt;""),Results!$K142,"")</f>
        <v/>
      </c>
      <c r="J137" s="344" t="str">
        <f>IF(AND(Results!$L142&lt;&gt;"",Results!$N142&lt;&gt;"",Results!$F142&lt;&gt;Results!$H142,$F137&lt;&gt;"",$G137&lt;&gt;""),Results!$L142,"")</f>
        <v/>
      </c>
      <c r="K137" s="343" t="str">
        <f>IF(AND(Results!$L142&lt;&gt;"",Results!$N142&lt;&gt;"",Results!$F142&lt;&gt;Results!$H142,$F137&lt;&gt;"",$G137&lt;&gt;""),Results!$N142,"")</f>
        <v/>
      </c>
      <c r="L137" s="344" t="str">
        <f>IF(AND(Results!$O142&lt;&gt;"",Results!$Q142&lt;&gt;"",Results!$F142&lt;&gt;Results!$H142,$F137&lt;&gt;"",$G137&lt;&gt;""),Results!$O142,"")</f>
        <v/>
      </c>
      <c r="M137" s="122" t="str">
        <f>IF(AND(Results!$O142&lt;&gt;"",Results!$Q142&lt;&gt;"",Results!$F142&lt;&gt;Results!$H142,$F137&lt;&gt;"",$G137&lt;&gt;""),Results!$Q142,"")</f>
        <v/>
      </c>
      <c r="N137" s="16" t="str">
        <f>IF(Planning!$I140=0,F137&amp;G137,"")</f>
        <v>SC FreiburgFC St. Pauli</v>
      </c>
      <c r="O137" s="122">
        <f>IF(AND(Results!$Z$6&gt;0,$E137-1&gt;=Results!$Z$6*Calc!$F$26),0,IF(AND(F137&lt;&gt;"",G137&lt;&gt;"",F137&lt;&gt;G137,Results!$R142&lt;&gt;"",Results!$T142&lt;&gt;""),1,0))</f>
        <v>0</v>
      </c>
      <c r="P137" s="122" t="str">
        <f>IF(AND(O137&gt;0,Planning!$I140=0),V137&amp;Language!$E$90&amp;W137,"")</f>
        <v/>
      </c>
      <c r="Q137" s="2" t="str">
        <f>IF(Planning!$I140=1,F137&amp;G137,"")</f>
        <v/>
      </c>
      <c r="R137" s="88" t="str">
        <f>IF(AND(O137&gt;0,Planning!$I140=1),V137&amp;Language!$E$90&amp;W137,"")</f>
        <v/>
      </c>
      <c r="S137" s="122" t="str">
        <f>IF(O137&gt;0,X137&amp;Language!$E$90&amp;Y137,"")</f>
        <v/>
      </c>
      <c r="T137" s="290">
        <f>IF($H137="",0,Results!$U142)</f>
        <v>0</v>
      </c>
      <c r="U137" s="291">
        <f>IF($I137="",0,Results!$V142)</f>
        <v>0</v>
      </c>
      <c r="V137" s="270" t="str">
        <f t="shared" si="4"/>
        <v/>
      </c>
      <c r="W137" s="291" t="str">
        <f t="shared" si="5"/>
        <v/>
      </c>
      <c r="X137" s="270">
        <f>IF($O137=0,0,IF(Results!$R142="",0,Results!$R142))</f>
        <v>0</v>
      </c>
      <c r="Y137" s="291">
        <f>IF($O137=0,0,IF(Results!$T142="",0,Results!$T142))</f>
        <v>0</v>
      </c>
      <c r="Z137" s="270" t="str">
        <f>IF($O137=0,"",IF($X137&gt;$Y137,Settings!$C$4,IF($X137=$Y137,1,0)))</f>
        <v/>
      </c>
      <c r="AA137" s="291" t="str">
        <f>IF($O137=0,"",IF($X137&lt;$Y137,Settings!$C$4,IF($X137=$Y137,1,0)))</f>
        <v/>
      </c>
    </row>
    <row r="138" spans="2:27" x14ac:dyDescent="0.2">
      <c r="B138" s="5"/>
      <c r="C138" s="5"/>
      <c r="D138" s="5"/>
      <c r="E138" s="266">
        <v>135</v>
      </c>
      <c r="F138" s="171" t="str">
        <f>Planning!$Q141</f>
        <v>Hamburger SV</v>
      </c>
      <c r="G138" s="348" t="str">
        <f>Planning!$S141</f>
        <v>RB Leipzig</v>
      </c>
      <c r="H138" s="344" t="str">
        <f>IF(AND(Results!$I143&lt;&gt;"",Results!$K143&lt;&gt;"",Results!$F143&lt;&gt;Results!$H143,$F138&lt;&gt;"",$G138&lt;&gt;""),Results!$I143,"")</f>
        <v/>
      </c>
      <c r="I138" s="343" t="str">
        <f>IF(AND(Results!$I143&lt;&gt;"",Results!$K143&lt;&gt;"",Results!$F143&lt;&gt;Results!$H143,$F138&lt;&gt;"",$G138&lt;&gt;""),Results!$K143,"")</f>
        <v/>
      </c>
      <c r="J138" s="344" t="str">
        <f>IF(AND(Results!$L143&lt;&gt;"",Results!$N143&lt;&gt;"",Results!$F143&lt;&gt;Results!$H143,$F138&lt;&gt;"",$G138&lt;&gt;""),Results!$L143,"")</f>
        <v/>
      </c>
      <c r="K138" s="343" t="str">
        <f>IF(AND(Results!$L143&lt;&gt;"",Results!$N143&lt;&gt;"",Results!$F143&lt;&gt;Results!$H143,$F138&lt;&gt;"",$G138&lt;&gt;""),Results!$N143,"")</f>
        <v/>
      </c>
      <c r="L138" s="344" t="str">
        <f>IF(AND(Results!$O143&lt;&gt;"",Results!$Q143&lt;&gt;"",Results!$F143&lt;&gt;Results!$H143,$F138&lt;&gt;"",$G138&lt;&gt;""),Results!$O143,"")</f>
        <v/>
      </c>
      <c r="M138" s="122" t="str">
        <f>IF(AND(Results!$O143&lt;&gt;"",Results!$Q143&lt;&gt;"",Results!$F143&lt;&gt;Results!$H143,$F138&lt;&gt;"",$G138&lt;&gt;""),Results!$Q143,"")</f>
        <v/>
      </c>
      <c r="N138" s="16" t="str">
        <f>IF(Planning!$I141=0,F138&amp;G138,"")</f>
        <v>Hamburger SVRB Leipzig</v>
      </c>
      <c r="O138" s="122">
        <f>IF(AND(Results!$Z$6&gt;0,$E138-1&gt;=Results!$Z$6*Calc!$F$26),0,IF(AND(F138&lt;&gt;"",G138&lt;&gt;"",F138&lt;&gt;G138,Results!$R143&lt;&gt;"",Results!$T143&lt;&gt;""),1,0))</f>
        <v>0</v>
      </c>
      <c r="P138" s="122" t="str">
        <f>IF(AND(O138&gt;0,Planning!$I141=0),V138&amp;Language!$E$90&amp;W138,"")</f>
        <v/>
      </c>
      <c r="Q138" s="2" t="str">
        <f>IF(Planning!$I141=1,F138&amp;G138,"")</f>
        <v/>
      </c>
      <c r="R138" s="88" t="str">
        <f>IF(AND(O138&gt;0,Planning!$I141=1),V138&amp;Language!$E$90&amp;W138,"")</f>
        <v/>
      </c>
      <c r="S138" s="122" t="str">
        <f>IF(O138&gt;0,X138&amp;Language!$E$90&amp;Y138,"")</f>
        <v/>
      </c>
      <c r="T138" s="290">
        <f>IF($H138="",0,Results!$U143)</f>
        <v>0</v>
      </c>
      <c r="U138" s="291">
        <f>IF($I138="",0,Results!$V143)</f>
        <v>0</v>
      </c>
      <c r="V138" s="270" t="str">
        <f t="shared" si="4"/>
        <v/>
      </c>
      <c r="W138" s="291" t="str">
        <f t="shared" si="5"/>
        <v/>
      </c>
      <c r="X138" s="270">
        <f>IF($O138=0,0,IF(Results!$R143="",0,Results!$R143))</f>
        <v>0</v>
      </c>
      <c r="Y138" s="291">
        <f>IF($O138=0,0,IF(Results!$T143="",0,Results!$T143))</f>
        <v>0</v>
      </c>
      <c r="Z138" s="270" t="str">
        <f>IF($O138=0,"",IF($X138&gt;$Y138,Settings!$C$4,IF($X138=$Y138,1,0)))</f>
        <v/>
      </c>
      <c r="AA138" s="291" t="str">
        <f>IF($O138=0,"",IF($X138&lt;$Y138,Settings!$C$4,IF($X138=$Y138,1,0)))</f>
        <v/>
      </c>
    </row>
    <row r="139" spans="2:27" x14ac:dyDescent="0.2">
      <c r="B139" s="5"/>
      <c r="C139" s="5"/>
      <c r="D139" s="5"/>
      <c r="E139" s="266">
        <v>136</v>
      </c>
      <c r="F139" s="171" t="str">
        <f>Planning!$Q142</f>
        <v>1. FC Union Berlin</v>
      </c>
      <c r="G139" s="348" t="str">
        <f>Planning!$S142</f>
        <v>1. FC Heidenheim 1846</v>
      </c>
      <c r="H139" s="344" t="str">
        <f>IF(AND(Results!$I144&lt;&gt;"",Results!$K144&lt;&gt;"",Results!$F144&lt;&gt;Results!$H144,$F139&lt;&gt;"",$G139&lt;&gt;""),Results!$I144,"")</f>
        <v/>
      </c>
      <c r="I139" s="343" t="str">
        <f>IF(AND(Results!$I144&lt;&gt;"",Results!$K144&lt;&gt;"",Results!$F144&lt;&gt;Results!$H144,$F139&lt;&gt;"",$G139&lt;&gt;""),Results!$K144,"")</f>
        <v/>
      </c>
      <c r="J139" s="344" t="str">
        <f>IF(AND(Results!$L144&lt;&gt;"",Results!$N144&lt;&gt;"",Results!$F144&lt;&gt;Results!$H144,$F139&lt;&gt;"",$G139&lt;&gt;""),Results!$L144,"")</f>
        <v/>
      </c>
      <c r="K139" s="343" t="str">
        <f>IF(AND(Results!$L144&lt;&gt;"",Results!$N144&lt;&gt;"",Results!$F144&lt;&gt;Results!$H144,$F139&lt;&gt;"",$G139&lt;&gt;""),Results!$N144,"")</f>
        <v/>
      </c>
      <c r="L139" s="344" t="str">
        <f>IF(AND(Results!$O144&lt;&gt;"",Results!$Q144&lt;&gt;"",Results!$F144&lt;&gt;Results!$H144,$F139&lt;&gt;"",$G139&lt;&gt;""),Results!$O144,"")</f>
        <v/>
      </c>
      <c r="M139" s="122" t="str">
        <f>IF(AND(Results!$O144&lt;&gt;"",Results!$Q144&lt;&gt;"",Results!$F144&lt;&gt;Results!$H144,$F139&lt;&gt;"",$G139&lt;&gt;""),Results!$Q144,"")</f>
        <v/>
      </c>
      <c r="N139" s="16" t="str">
        <f>IF(Planning!$I142=0,F139&amp;G139,"")</f>
        <v>1. FC Union Berlin1. FC Heidenheim 1846</v>
      </c>
      <c r="O139" s="122">
        <f>IF(AND(Results!$Z$6&gt;0,$E139-1&gt;=Results!$Z$6*Calc!$F$26),0,IF(AND(F139&lt;&gt;"",G139&lt;&gt;"",F139&lt;&gt;G139,Results!$R144&lt;&gt;"",Results!$T144&lt;&gt;""),1,0))</f>
        <v>0</v>
      </c>
      <c r="P139" s="122" t="str">
        <f>IF(AND(O139&gt;0,Planning!$I142=0),V139&amp;Language!$E$90&amp;W139,"")</f>
        <v/>
      </c>
      <c r="Q139" s="2" t="str">
        <f>IF(Planning!$I142=1,F139&amp;G139,"")</f>
        <v/>
      </c>
      <c r="R139" s="88" t="str">
        <f>IF(AND(O139&gt;0,Planning!$I142=1),V139&amp;Language!$E$90&amp;W139,"")</f>
        <v/>
      </c>
      <c r="S139" s="122" t="str">
        <f>IF(O139&gt;0,X139&amp;Language!$E$90&amp;Y139,"")</f>
        <v/>
      </c>
      <c r="T139" s="290">
        <f>IF($H139="",0,Results!$U144)</f>
        <v>0</v>
      </c>
      <c r="U139" s="291">
        <f>IF($I139="",0,Results!$V144)</f>
        <v>0</v>
      </c>
      <c r="V139" s="270" t="str">
        <f t="shared" si="4"/>
        <v/>
      </c>
      <c r="W139" s="291" t="str">
        <f t="shared" si="5"/>
        <v/>
      </c>
      <c r="X139" s="270">
        <f>IF($O139=0,0,IF(Results!$R144="",0,Results!$R144))</f>
        <v>0</v>
      </c>
      <c r="Y139" s="291">
        <f>IF($O139=0,0,IF(Results!$T144="",0,Results!$T144))</f>
        <v>0</v>
      </c>
      <c r="Z139" s="270" t="str">
        <f>IF($O139=0,"",IF($X139&gt;$Y139,Settings!$C$4,IF($X139=$Y139,1,0)))</f>
        <v/>
      </c>
      <c r="AA139" s="291" t="str">
        <f>IF($O139=0,"",IF($X139&lt;$Y139,Settings!$C$4,IF($X139=$Y139,1,0)))</f>
        <v/>
      </c>
    </row>
    <row r="140" spans="2:27" x14ac:dyDescent="0.2">
      <c r="B140" s="5"/>
      <c r="C140" s="5"/>
      <c r="D140" s="5"/>
      <c r="E140" s="266">
        <v>137</v>
      </c>
      <c r="F140" s="171" t="str">
        <f>Planning!$Q143</f>
        <v>1. FC Köln</v>
      </c>
      <c r="G140" s="348" t="str">
        <f>Planning!$S143</f>
        <v>1. FSV Mainz 05</v>
      </c>
      <c r="H140" s="344" t="str">
        <f>IF(AND(Results!$I145&lt;&gt;"",Results!$K145&lt;&gt;"",Results!$F145&lt;&gt;Results!$H145,$F140&lt;&gt;"",$G140&lt;&gt;""),Results!$I145,"")</f>
        <v/>
      </c>
      <c r="I140" s="343" t="str">
        <f>IF(AND(Results!$I145&lt;&gt;"",Results!$K145&lt;&gt;"",Results!$F145&lt;&gt;Results!$H145,$F140&lt;&gt;"",$G140&lt;&gt;""),Results!$K145,"")</f>
        <v/>
      </c>
      <c r="J140" s="344" t="str">
        <f>IF(AND(Results!$L145&lt;&gt;"",Results!$N145&lt;&gt;"",Results!$F145&lt;&gt;Results!$H145,$F140&lt;&gt;"",$G140&lt;&gt;""),Results!$L145,"")</f>
        <v/>
      </c>
      <c r="K140" s="343" t="str">
        <f>IF(AND(Results!$L145&lt;&gt;"",Results!$N145&lt;&gt;"",Results!$F145&lt;&gt;Results!$H145,$F140&lt;&gt;"",$G140&lt;&gt;""),Results!$N145,"")</f>
        <v/>
      </c>
      <c r="L140" s="344" t="str">
        <f>IF(AND(Results!$O145&lt;&gt;"",Results!$Q145&lt;&gt;"",Results!$F145&lt;&gt;Results!$H145,$F140&lt;&gt;"",$G140&lt;&gt;""),Results!$O145,"")</f>
        <v/>
      </c>
      <c r="M140" s="122" t="str">
        <f>IF(AND(Results!$O145&lt;&gt;"",Results!$Q145&lt;&gt;"",Results!$F145&lt;&gt;Results!$H145,$F140&lt;&gt;"",$G140&lt;&gt;""),Results!$Q145,"")</f>
        <v/>
      </c>
      <c r="N140" s="16" t="str">
        <f>IF(Planning!$I143=0,F140&amp;G140,"")</f>
        <v>1. FC Köln1. FSV Mainz 05</v>
      </c>
      <c r="O140" s="122">
        <f>IF(AND(Results!$Z$6&gt;0,$E140-1&gt;=Results!$Z$6*Calc!$F$26),0,IF(AND(F140&lt;&gt;"",G140&lt;&gt;"",F140&lt;&gt;G140,Results!$R145&lt;&gt;"",Results!$T145&lt;&gt;""),1,0))</f>
        <v>0</v>
      </c>
      <c r="P140" s="122" t="str">
        <f>IF(AND(O140&gt;0,Planning!$I143=0),V140&amp;Language!$E$90&amp;W140,"")</f>
        <v/>
      </c>
      <c r="Q140" s="2" t="str">
        <f>IF(Planning!$I143=1,F140&amp;G140,"")</f>
        <v/>
      </c>
      <c r="R140" s="88" t="str">
        <f>IF(AND(O140&gt;0,Planning!$I143=1),V140&amp;Language!$E$90&amp;W140,"")</f>
        <v/>
      </c>
      <c r="S140" s="122" t="str">
        <f>IF(O140&gt;0,X140&amp;Language!$E$90&amp;Y140,"")</f>
        <v/>
      </c>
      <c r="T140" s="290">
        <f>IF($H140="",0,Results!$U145)</f>
        <v>0</v>
      </c>
      <c r="U140" s="291">
        <f>IF($I140="",0,Results!$V145)</f>
        <v>0</v>
      </c>
      <c r="V140" s="270" t="str">
        <f t="shared" si="4"/>
        <v/>
      </c>
      <c r="W140" s="291" t="str">
        <f t="shared" si="5"/>
        <v/>
      </c>
      <c r="X140" s="270">
        <f>IF($O140=0,0,IF(Results!$R145="",0,Results!$R145))</f>
        <v>0</v>
      </c>
      <c r="Y140" s="291">
        <f>IF($O140=0,0,IF(Results!$T145="",0,Results!$T145))</f>
        <v>0</v>
      </c>
      <c r="Z140" s="270" t="str">
        <f>IF($O140=0,"",IF($X140&gt;$Y140,Settings!$C$4,IF($X140=$Y140,1,0)))</f>
        <v/>
      </c>
      <c r="AA140" s="291" t="str">
        <f>IF($O140=0,"",IF($X140&lt;$Y140,Settings!$C$4,IF($X140=$Y140,1,0)))</f>
        <v/>
      </c>
    </row>
    <row r="141" spans="2:27" x14ac:dyDescent="0.2">
      <c r="B141" s="5"/>
      <c r="C141" s="5"/>
      <c r="D141" s="5"/>
      <c r="E141" s="266">
        <v>138</v>
      </c>
      <c r="F141" s="171" t="str">
        <f>Planning!$Q144</f>
        <v>Bayer 04 Leverkusen</v>
      </c>
      <c r="G141" s="348" t="str">
        <f>Planning!$S144</f>
        <v>VfL Wolfsburg</v>
      </c>
      <c r="H141" s="344" t="str">
        <f>IF(AND(Results!$I146&lt;&gt;"",Results!$K146&lt;&gt;"",Results!$F146&lt;&gt;Results!$H146,$F141&lt;&gt;"",$G141&lt;&gt;""),Results!$I146,"")</f>
        <v/>
      </c>
      <c r="I141" s="343" t="str">
        <f>IF(AND(Results!$I146&lt;&gt;"",Results!$K146&lt;&gt;"",Results!$F146&lt;&gt;Results!$H146,$F141&lt;&gt;"",$G141&lt;&gt;""),Results!$K146,"")</f>
        <v/>
      </c>
      <c r="J141" s="344" t="str">
        <f>IF(AND(Results!$L146&lt;&gt;"",Results!$N146&lt;&gt;"",Results!$F146&lt;&gt;Results!$H146,$F141&lt;&gt;"",$G141&lt;&gt;""),Results!$L146,"")</f>
        <v/>
      </c>
      <c r="K141" s="343" t="str">
        <f>IF(AND(Results!$L146&lt;&gt;"",Results!$N146&lt;&gt;"",Results!$F146&lt;&gt;Results!$H146,$F141&lt;&gt;"",$G141&lt;&gt;""),Results!$N146,"")</f>
        <v/>
      </c>
      <c r="L141" s="344" t="str">
        <f>IF(AND(Results!$O146&lt;&gt;"",Results!$Q146&lt;&gt;"",Results!$F146&lt;&gt;Results!$H146,$F141&lt;&gt;"",$G141&lt;&gt;""),Results!$O146,"")</f>
        <v/>
      </c>
      <c r="M141" s="122" t="str">
        <f>IF(AND(Results!$O146&lt;&gt;"",Results!$Q146&lt;&gt;"",Results!$F146&lt;&gt;Results!$H146,$F141&lt;&gt;"",$G141&lt;&gt;""),Results!$Q146,"")</f>
        <v/>
      </c>
      <c r="N141" s="16" t="str">
        <f>IF(Planning!$I144=0,F141&amp;G141,"")</f>
        <v>Bayer 04 LeverkusenVfL Wolfsburg</v>
      </c>
      <c r="O141" s="122">
        <f>IF(AND(Results!$Z$6&gt;0,$E141-1&gt;=Results!$Z$6*Calc!$F$26),0,IF(AND(F141&lt;&gt;"",G141&lt;&gt;"",F141&lt;&gt;G141,Results!$R146&lt;&gt;"",Results!$T146&lt;&gt;""),1,0))</f>
        <v>0</v>
      </c>
      <c r="P141" s="122" t="str">
        <f>IF(AND(O141&gt;0,Planning!$I144=0),V141&amp;Language!$E$90&amp;W141,"")</f>
        <v/>
      </c>
      <c r="Q141" s="2" t="str">
        <f>IF(Planning!$I144=1,F141&amp;G141,"")</f>
        <v/>
      </c>
      <c r="R141" s="88" t="str">
        <f>IF(AND(O141&gt;0,Planning!$I144=1),V141&amp;Language!$E$90&amp;W141,"")</f>
        <v/>
      </c>
      <c r="S141" s="122" t="str">
        <f>IF(O141&gt;0,X141&amp;Language!$E$90&amp;Y141,"")</f>
        <v/>
      </c>
      <c r="T141" s="290">
        <f>IF($H141="",0,Results!$U146)</f>
        <v>0</v>
      </c>
      <c r="U141" s="291">
        <f>IF($I141="",0,Results!$V146)</f>
        <v>0</v>
      </c>
      <c r="V141" s="270" t="str">
        <f t="shared" si="4"/>
        <v/>
      </c>
      <c r="W141" s="291" t="str">
        <f t="shared" si="5"/>
        <v/>
      </c>
      <c r="X141" s="270">
        <f>IF($O141=0,0,IF(Results!$R146="",0,Results!$R146))</f>
        <v>0</v>
      </c>
      <c r="Y141" s="291">
        <f>IF($O141=0,0,IF(Results!$T146="",0,Results!$T146))</f>
        <v>0</v>
      </c>
      <c r="Z141" s="270" t="str">
        <f>IF($O141=0,"",IF($X141&gt;$Y141,Settings!$C$4,IF($X141=$Y141,1,0)))</f>
        <v/>
      </c>
      <c r="AA141" s="291" t="str">
        <f>IF($O141=0,"",IF($X141&lt;$Y141,Settings!$C$4,IF($X141=$Y141,1,0)))</f>
        <v/>
      </c>
    </row>
    <row r="142" spans="2:27" x14ac:dyDescent="0.2">
      <c r="B142" s="5"/>
      <c r="C142" s="5"/>
      <c r="D142" s="5"/>
      <c r="E142" s="266">
        <v>139</v>
      </c>
      <c r="F142" s="171" t="str">
        <f>Planning!$Q145</f>
        <v>VfB Stuttgart</v>
      </c>
      <c r="G142" s="348" t="str">
        <f>Planning!$S145</f>
        <v>Borussia Dortmund</v>
      </c>
      <c r="H142" s="344" t="str">
        <f>IF(AND(Results!$I147&lt;&gt;"",Results!$K147&lt;&gt;"",Results!$F147&lt;&gt;Results!$H147,$F142&lt;&gt;"",$G142&lt;&gt;""),Results!$I147,"")</f>
        <v/>
      </c>
      <c r="I142" s="343" t="str">
        <f>IF(AND(Results!$I147&lt;&gt;"",Results!$K147&lt;&gt;"",Results!$F147&lt;&gt;Results!$H147,$F142&lt;&gt;"",$G142&lt;&gt;""),Results!$K147,"")</f>
        <v/>
      </c>
      <c r="J142" s="344" t="str">
        <f>IF(AND(Results!$L147&lt;&gt;"",Results!$N147&lt;&gt;"",Results!$F147&lt;&gt;Results!$H147,$F142&lt;&gt;"",$G142&lt;&gt;""),Results!$L147,"")</f>
        <v/>
      </c>
      <c r="K142" s="343" t="str">
        <f>IF(AND(Results!$L147&lt;&gt;"",Results!$N147&lt;&gt;"",Results!$F147&lt;&gt;Results!$H147,$F142&lt;&gt;"",$G142&lt;&gt;""),Results!$N147,"")</f>
        <v/>
      </c>
      <c r="L142" s="344" t="str">
        <f>IF(AND(Results!$O147&lt;&gt;"",Results!$Q147&lt;&gt;"",Results!$F147&lt;&gt;Results!$H147,$F142&lt;&gt;"",$G142&lt;&gt;""),Results!$O147,"")</f>
        <v/>
      </c>
      <c r="M142" s="122" t="str">
        <f>IF(AND(Results!$O147&lt;&gt;"",Results!$Q147&lt;&gt;"",Results!$F147&lt;&gt;Results!$H147,$F142&lt;&gt;"",$G142&lt;&gt;""),Results!$Q147,"")</f>
        <v/>
      </c>
      <c r="N142" s="16" t="str">
        <f>IF(Planning!$I145=0,F142&amp;G142,"")</f>
        <v>VfB StuttgartBorussia Dortmund</v>
      </c>
      <c r="O142" s="122">
        <f>IF(AND(Results!$Z$6&gt;0,$E142-1&gt;=Results!$Z$6*Calc!$F$26),0,IF(AND(F142&lt;&gt;"",G142&lt;&gt;"",F142&lt;&gt;G142,Results!$R147&lt;&gt;"",Results!$T147&lt;&gt;""),1,0))</f>
        <v>0</v>
      </c>
      <c r="P142" s="122" t="str">
        <f>IF(AND(O142&gt;0,Planning!$I145=0),V142&amp;Language!$E$90&amp;W142,"")</f>
        <v/>
      </c>
      <c r="Q142" s="2" t="str">
        <f>IF(Planning!$I145=1,F142&amp;G142,"")</f>
        <v/>
      </c>
      <c r="R142" s="88" t="str">
        <f>IF(AND(O142&gt;0,Planning!$I145=1),V142&amp;Language!$E$90&amp;W142,"")</f>
        <v/>
      </c>
      <c r="S142" s="122" t="str">
        <f>IF(O142&gt;0,X142&amp;Language!$E$90&amp;Y142,"")</f>
        <v/>
      </c>
      <c r="T142" s="290">
        <f>IF($H142="",0,Results!$U147)</f>
        <v>0</v>
      </c>
      <c r="U142" s="291">
        <f>IF($I142="",0,Results!$V147)</f>
        <v>0</v>
      </c>
      <c r="V142" s="270" t="str">
        <f t="shared" si="4"/>
        <v/>
      </c>
      <c r="W142" s="291" t="str">
        <f t="shared" si="5"/>
        <v/>
      </c>
      <c r="X142" s="270">
        <f>IF($O142=0,0,IF(Results!$R147="",0,Results!$R147))</f>
        <v>0</v>
      </c>
      <c r="Y142" s="291">
        <f>IF($O142=0,0,IF(Results!$T147="",0,Results!$T147))</f>
        <v>0</v>
      </c>
      <c r="Z142" s="270" t="str">
        <f>IF($O142=0,"",IF($X142&gt;$Y142,Settings!$C$4,IF($X142=$Y142,1,0)))</f>
        <v/>
      </c>
      <c r="AA142" s="291" t="str">
        <f>IF($O142=0,"",IF($X142&lt;$Y142,Settings!$C$4,IF($X142=$Y142,1,0)))</f>
        <v/>
      </c>
    </row>
    <row r="143" spans="2:27" x14ac:dyDescent="0.2">
      <c r="B143" s="5"/>
      <c r="C143" s="5"/>
      <c r="D143" s="5"/>
      <c r="E143" s="266">
        <v>140</v>
      </c>
      <c r="F143" s="171" t="str">
        <f>Planning!$Q146</f>
        <v>Borussia Mönchengladbach</v>
      </c>
      <c r="G143" s="348" t="str">
        <f>Planning!$S146</f>
        <v>TSG Hoffenheim</v>
      </c>
      <c r="H143" s="344" t="str">
        <f>IF(AND(Results!$I148&lt;&gt;"",Results!$K148&lt;&gt;"",Results!$F148&lt;&gt;Results!$H148,$F143&lt;&gt;"",$G143&lt;&gt;""),Results!$I148,"")</f>
        <v/>
      </c>
      <c r="I143" s="343" t="str">
        <f>IF(AND(Results!$I148&lt;&gt;"",Results!$K148&lt;&gt;"",Results!$F148&lt;&gt;Results!$H148,$F143&lt;&gt;"",$G143&lt;&gt;""),Results!$K148,"")</f>
        <v/>
      </c>
      <c r="J143" s="344" t="str">
        <f>IF(AND(Results!$L148&lt;&gt;"",Results!$N148&lt;&gt;"",Results!$F148&lt;&gt;Results!$H148,$F143&lt;&gt;"",$G143&lt;&gt;""),Results!$L148,"")</f>
        <v/>
      </c>
      <c r="K143" s="343" t="str">
        <f>IF(AND(Results!$L148&lt;&gt;"",Results!$N148&lt;&gt;"",Results!$F148&lt;&gt;Results!$H148,$F143&lt;&gt;"",$G143&lt;&gt;""),Results!$N148,"")</f>
        <v/>
      </c>
      <c r="L143" s="344" t="str">
        <f>IF(AND(Results!$O148&lt;&gt;"",Results!$Q148&lt;&gt;"",Results!$F148&lt;&gt;Results!$H148,$F143&lt;&gt;"",$G143&lt;&gt;""),Results!$O148,"")</f>
        <v/>
      </c>
      <c r="M143" s="122" t="str">
        <f>IF(AND(Results!$O148&lt;&gt;"",Results!$Q148&lt;&gt;"",Results!$F148&lt;&gt;Results!$H148,$F143&lt;&gt;"",$G143&lt;&gt;""),Results!$Q148,"")</f>
        <v/>
      </c>
      <c r="N143" s="16" t="str">
        <f>IF(Planning!$I146=0,F143&amp;G143,"")</f>
        <v>Borussia MönchengladbachTSG Hoffenheim</v>
      </c>
      <c r="O143" s="122">
        <f>IF(AND(Results!$Z$6&gt;0,$E143-1&gt;=Results!$Z$6*Calc!$F$26),0,IF(AND(F143&lt;&gt;"",G143&lt;&gt;"",F143&lt;&gt;G143,Results!$R148&lt;&gt;"",Results!$T148&lt;&gt;""),1,0))</f>
        <v>0</v>
      </c>
      <c r="P143" s="122" t="str">
        <f>IF(AND(O143&gt;0,Planning!$I146=0),V143&amp;Language!$E$90&amp;W143,"")</f>
        <v/>
      </c>
      <c r="Q143" s="2" t="str">
        <f>IF(Planning!$I146=1,F143&amp;G143,"")</f>
        <v/>
      </c>
      <c r="R143" s="88" t="str">
        <f>IF(AND(O143&gt;0,Planning!$I146=1),V143&amp;Language!$E$90&amp;W143,"")</f>
        <v/>
      </c>
      <c r="S143" s="122" t="str">
        <f>IF(O143&gt;0,X143&amp;Language!$E$90&amp;Y143,"")</f>
        <v/>
      </c>
      <c r="T143" s="290">
        <f>IF($H143="",0,Results!$U148)</f>
        <v>0</v>
      </c>
      <c r="U143" s="291">
        <f>IF($I143="",0,Results!$V148)</f>
        <v>0</v>
      </c>
      <c r="V143" s="270" t="str">
        <f t="shared" si="4"/>
        <v/>
      </c>
      <c r="W143" s="291" t="str">
        <f t="shared" si="5"/>
        <v/>
      </c>
      <c r="X143" s="270">
        <f>IF($O143=0,0,IF(Results!$R148="",0,Results!$R148))</f>
        <v>0</v>
      </c>
      <c r="Y143" s="291">
        <f>IF($O143=0,0,IF(Results!$T148="",0,Results!$T148))</f>
        <v>0</v>
      </c>
      <c r="Z143" s="270" t="str">
        <f>IF($O143=0,"",IF($X143&gt;$Y143,Settings!$C$4,IF($X143=$Y143,1,0)))</f>
        <v/>
      </c>
      <c r="AA143" s="291" t="str">
        <f>IF($O143=0,"",IF($X143&lt;$Y143,Settings!$C$4,IF($X143=$Y143,1,0)))</f>
        <v/>
      </c>
    </row>
    <row r="144" spans="2:27" x14ac:dyDescent="0.2">
      <c r="B144" s="5"/>
      <c r="C144" s="5"/>
      <c r="D144" s="5"/>
      <c r="E144" s="266">
        <v>141</v>
      </c>
      <c r="F144" s="171" t="str">
        <f>Planning!$Q147</f>
        <v>SV Werder Bremen</v>
      </c>
      <c r="G144" s="348" t="str">
        <f>Planning!$S147</f>
        <v>Eintracht Frankfurt</v>
      </c>
      <c r="H144" s="344" t="str">
        <f>IF(AND(Results!$I149&lt;&gt;"",Results!$K149&lt;&gt;"",Results!$F149&lt;&gt;Results!$H149,$F144&lt;&gt;"",$G144&lt;&gt;""),Results!$I149,"")</f>
        <v/>
      </c>
      <c r="I144" s="343" t="str">
        <f>IF(AND(Results!$I149&lt;&gt;"",Results!$K149&lt;&gt;"",Results!$F149&lt;&gt;Results!$H149,$F144&lt;&gt;"",$G144&lt;&gt;""),Results!$K149,"")</f>
        <v/>
      </c>
      <c r="J144" s="344" t="str">
        <f>IF(AND(Results!$L149&lt;&gt;"",Results!$N149&lt;&gt;"",Results!$F149&lt;&gt;Results!$H149,$F144&lt;&gt;"",$G144&lt;&gt;""),Results!$L149,"")</f>
        <v/>
      </c>
      <c r="K144" s="343" t="str">
        <f>IF(AND(Results!$L149&lt;&gt;"",Results!$N149&lt;&gt;"",Results!$F149&lt;&gt;Results!$H149,$F144&lt;&gt;"",$G144&lt;&gt;""),Results!$N149,"")</f>
        <v/>
      </c>
      <c r="L144" s="344" t="str">
        <f>IF(AND(Results!$O149&lt;&gt;"",Results!$Q149&lt;&gt;"",Results!$F149&lt;&gt;Results!$H149,$F144&lt;&gt;"",$G144&lt;&gt;""),Results!$O149,"")</f>
        <v/>
      </c>
      <c r="M144" s="122" t="str">
        <f>IF(AND(Results!$O149&lt;&gt;"",Results!$Q149&lt;&gt;"",Results!$F149&lt;&gt;Results!$H149,$F144&lt;&gt;"",$G144&lt;&gt;""),Results!$Q149,"")</f>
        <v/>
      </c>
      <c r="N144" s="16" t="str">
        <f>IF(Planning!$I147=0,F144&amp;G144,"")</f>
        <v>SV Werder BremenEintracht Frankfurt</v>
      </c>
      <c r="O144" s="122">
        <f>IF(AND(Results!$Z$6&gt;0,$E144-1&gt;=Results!$Z$6*Calc!$F$26),0,IF(AND(F144&lt;&gt;"",G144&lt;&gt;"",F144&lt;&gt;G144,Results!$R149&lt;&gt;"",Results!$T149&lt;&gt;""),1,0))</f>
        <v>0</v>
      </c>
      <c r="P144" s="122" t="str">
        <f>IF(AND(O144&gt;0,Planning!$I147=0),V144&amp;Language!$E$90&amp;W144,"")</f>
        <v/>
      </c>
      <c r="Q144" s="2" t="str">
        <f>IF(Planning!$I147=1,F144&amp;G144,"")</f>
        <v/>
      </c>
      <c r="R144" s="88" t="str">
        <f>IF(AND(O144&gt;0,Planning!$I147=1),V144&amp;Language!$E$90&amp;W144,"")</f>
        <v/>
      </c>
      <c r="S144" s="122" t="str">
        <f>IF(O144&gt;0,X144&amp;Language!$E$90&amp;Y144,"")</f>
        <v/>
      </c>
      <c r="T144" s="290">
        <f>IF($H144="",0,Results!$U149)</f>
        <v>0</v>
      </c>
      <c r="U144" s="291">
        <f>IF($I144="",0,Results!$V149)</f>
        <v>0</v>
      </c>
      <c r="V144" s="270" t="str">
        <f t="shared" si="4"/>
        <v/>
      </c>
      <c r="W144" s="291" t="str">
        <f t="shared" si="5"/>
        <v/>
      </c>
      <c r="X144" s="270">
        <f>IF($O144=0,0,IF(Results!$R149="",0,Results!$R149))</f>
        <v>0</v>
      </c>
      <c r="Y144" s="291">
        <f>IF($O144=0,0,IF(Results!$T149="",0,Results!$T149))</f>
        <v>0</v>
      </c>
      <c r="Z144" s="270" t="str">
        <f>IF($O144=0,"",IF($X144&gt;$Y144,Settings!$C$4,IF($X144=$Y144,1,0)))</f>
        <v/>
      </c>
      <c r="AA144" s="291" t="str">
        <f>IF($O144=0,"",IF($X144&lt;$Y144,Settings!$C$4,IF($X144=$Y144,1,0)))</f>
        <v/>
      </c>
    </row>
    <row r="145" spans="2:27" x14ac:dyDescent="0.2">
      <c r="B145" s="5"/>
      <c r="C145" s="5"/>
      <c r="D145" s="5"/>
      <c r="E145" s="266">
        <v>142</v>
      </c>
      <c r="F145" s="171" t="str">
        <f>Planning!$Q148</f>
        <v>FC Augsburg</v>
      </c>
      <c r="G145" s="348" t="str">
        <f>Planning!$S148</f>
        <v>SC Freiburg</v>
      </c>
      <c r="H145" s="344" t="str">
        <f>IF(AND(Results!$I150&lt;&gt;"",Results!$K150&lt;&gt;"",Results!$F150&lt;&gt;Results!$H150,$F145&lt;&gt;"",$G145&lt;&gt;""),Results!$I150,"")</f>
        <v/>
      </c>
      <c r="I145" s="343" t="str">
        <f>IF(AND(Results!$I150&lt;&gt;"",Results!$K150&lt;&gt;"",Results!$F150&lt;&gt;Results!$H150,$F145&lt;&gt;"",$G145&lt;&gt;""),Results!$K150,"")</f>
        <v/>
      </c>
      <c r="J145" s="344" t="str">
        <f>IF(AND(Results!$L150&lt;&gt;"",Results!$N150&lt;&gt;"",Results!$F150&lt;&gt;Results!$H150,$F145&lt;&gt;"",$G145&lt;&gt;""),Results!$L150,"")</f>
        <v/>
      </c>
      <c r="K145" s="343" t="str">
        <f>IF(AND(Results!$L150&lt;&gt;"",Results!$N150&lt;&gt;"",Results!$F150&lt;&gt;Results!$H150,$F145&lt;&gt;"",$G145&lt;&gt;""),Results!$N150,"")</f>
        <v/>
      </c>
      <c r="L145" s="344" t="str">
        <f>IF(AND(Results!$O150&lt;&gt;"",Results!$Q150&lt;&gt;"",Results!$F150&lt;&gt;Results!$H150,$F145&lt;&gt;"",$G145&lt;&gt;""),Results!$O150,"")</f>
        <v/>
      </c>
      <c r="M145" s="122" t="str">
        <f>IF(AND(Results!$O150&lt;&gt;"",Results!$Q150&lt;&gt;"",Results!$F150&lt;&gt;Results!$H150,$F145&lt;&gt;"",$G145&lt;&gt;""),Results!$Q150,"")</f>
        <v/>
      </c>
      <c r="N145" s="16" t="str">
        <f>IF(Planning!$I148=0,F145&amp;G145,"")</f>
        <v>FC AugsburgSC Freiburg</v>
      </c>
      <c r="O145" s="122">
        <f>IF(AND(Results!$Z$6&gt;0,$E145-1&gt;=Results!$Z$6*Calc!$F$26),0,IF(AND(F145&lt;&gt;"",G145&lt;&gt;"",F145&lt;&gt;G145,Results!$R150&lt;&gt;"",Results!$T150&lt;&gt;""),1,0))</f>
        <v>0</v>
      </c>
      <c r="P145" s="122" t="str">
        <f>IF(AND(O145&gt;0,Planning!$I148=0),V145&amp;Language!$E$90&amp;W145,"")</f>
        <v/>
      </c>
      <c r="Q145" s="2" t="str">
        <f>IF(Planning!$I148=1,F145&amp;G145,"")</f>
        <v/>
      </c>
      <c r="R145" s="88" t="str">
        <f>IF(AND(O145&gt;0,Planning!$I148=1),V145&amp;Language!$E$90&amp;W145,"")</f>
        <v/>
      </c>
      <c r="S145" s="122" t="str">
        <f>IF(O145&gt;0,X145&amp;Language!$E$90&amp;Y145,"")</f>
        <v/>
      </c>
      <c r="T145" s="290">
        <f>IF($H145="",0,Results!$U150)</f>
        <v>0</v>
      </c>
      <c r="U145" s="291">
        <f>IF($I145="",0,Results!$V150)</f>
        <v>0</v>
      </c>
      <c r="V145" s="270" t="str">
        <f t="shared" si="4"/>
        <v/>
      </c>
      <c r="W145" s="291" t="str">
        <f t="shared" si="5"/>
        <v/>
      </c>
      <c r="X145" s="270">
        <f>IF($O145=0,0,IF(Results!$R150="",0,Results!$R150))</f>
        <v>0</v>
      </c>
      <c r="Y145" s="291">
        <f>IF($O145=0,0,IF(Results!$T150="",0,Results!$T150))</f>
        <v>0</v>
      </c>
      <c r="Z145" s="270" t="str">
        <f>IF($O145=0,"",IF($X145&gt;$Y145,Settings!$C$4,IF($X145=$Y145,1,0)))</f>
        <v/>
      </c>
      <c r="AA145" s="291" t="str">
        <f>IF($O145=0,"",IF($X145&lt;$Y145,Settings!$C$4,IF($X145=$Y145,1,0)))</f>
        <v/>
      </c>
    </row>
    <row r="146" spans="2:27" x14ac:dyDescent="0.2">
      <c r="B146" s="5"/>
      <c r="C146" s="5"/>
      <c r="D146" s="5"/>
      <c r="E146" s="266">
        <v>143</v>
      </c>
      <c r="F146" s="171" t="str">
        <f>Planning!$Q149</f>
        <v>RB Leipzig</v>
      </c>
      <c r="G146" s="348" t="str">
        <f>Planning!$S149</f>
        <v>FC Bayern München</v>
      </c>
      <c r="H146" s="344" t="str">
        <f>IF(AND(Results!$I151&lt;&gt;"",Results!$K151&lt;&gt;"",Results!$F151&lt;&gt;Results!$H151,$F146&lt;&gt;"",$G146&lt;&gt;""),Results!$I151,"")</f>
        <v/>
      </c>
      <c r="I146" s="343" t="str">
        <f>IF(AND(Results!$I151&lt;&gt;"",Results!$K151&lt;&gt;"",Results!$F151&lt;&gt;Results!$H151,$F146&lt;&gt;"",$G146&lt;&gt;""),Results!$K151,"")</f>
        <v/>
      </c>
      <c r="J146" s="344" t="str">
        <f>IF(AND(Results!$L151&lt;&gt;"",Results!$N151&lt;&gt;"",Results!$F151&lt;&gt;Results!$H151,$F146&lt;&gt;"",$G146&lt;&gt;""),Results!$L151,"")</f>
        <v/>
      </c>
      <c r="K146" s="343" t="str">
        <f>IF(AND(Results!$L151&lt;&gt;"",Results!$N151&lt;&gt;"",Results!$F151&lt;&gt;Results!$H151,$F146&lt;&gt;"",$G146&lt;&gt;""),Results!$N151,"")</f>
        <v/>
      </c>
      <c r="L146" s="344" t="str">
        <f>IF(AND(Results!$O151&lt;&gt;"",Results!$Q151&lt;&gt;"",Results!$F151&lt;&gt;Results!$H151,$F146&lt;&gt;"",$G146&lt;&gt;""),Results!$O151,"")</f>
        <v/>
      </c>
      <c r="M146" s="122" t="str">
        <f>IF(AND(Results!$O151&lt;&gt;"",Results!$Q151&lt;&gt;"",Results!$F151&lt;&gt;Results!$H151,$F146&lt;&gt;"",$G146&lt;&gt;""),Results!$Q151,"")</f>
        <v/>
      </c>
      <c r="N146" s="16" t="str">
        <f>IF(Planning!$I149=0,F146&amp;G146,"")</f>
        <v>RB LeipzigFC Bayern München</v>
      </c>
      <c r="O146" s="122">
        <f>IF(AND(Results!$Z$6&gt;0,$E146-1&gt;=Results!$Z$6*Calc!$F$26),0,IF(AND(F146&lt;&gt;"",G146&lt;&gt;"",F146&lt;&gt;G146,Results!$R151&lt;&gt;"",Results!$T151&lt;&gt;""),1,0))</f>
        <v>0</v>
      </c>
      <c r="P146" s="122" t="str">
        <f>IF(AND(O146&gt;0,Planning!$I149=0),V146&amp;Language!$E$90&amp;W146,"")</f>
        <v/>
      </c>
      <c r="Q146" s="2" t="str">
        <f>IF(Planning!$I149=1,F146&amp;G146,"")</f>
        <v/>
      </c>
      <c r="R146" s="88" t="str">
        <f>IF(AND(O146&gt;0,Planning!$I149=1),V146&amp;Language!$E$90&amp;W146,"")</f>
        <v/>
      </c>
      <c r="S146" s="122" t="str">
        <f>IF(O146&gt;0,X146&amp;Language!$E$90&amp;Y146,"")</f>
        <v/>
      </c>
      <c r="T146" s="290">
        <f>IF($H146="",0,Results!$U151)</f>
        <v>0</v>
      </c>
      <c r="U146" s="291">
        <f>IF($I146="",0,Results!$V151)</f>
        <v>0</v>
      </c>
      <c r="V146" s="270" t="str">
        <f t="shared" si="4"/>
        <v/>
      </c>
      <c r="W146" s="291" t="str">
        <f t="shared" si="5"/>
        <v/>
      </c>
      <c r="X146" s="270">
        <f>IF($O146=0,0,IF(Results!$R151="",0,Results!$R151))</f>
        <v>0</v>
      </c>
      <c r="Y146" s="291">
        <f>IF($O146=0,0,IF(Results!$T151="",0,Results!$T151))</f>
        <v>0</v>
      </c>
      <c r="Z146" s="270" t="str">
        <f>IF($O146=0,"",IF($X146&gt;$Y146,Settings!$C$4,IF($X146=$Y146,1,0)))</f>
        <v/>
      </c>
      <c r="AA146" s="291" t="str">
        <f>IF($O146=0,"",IF($X146&lt;$Y146,Settings!$C$4,IF($X146=$Y146,1,0)))</f>
        <v/>
      </c>
    </row>
    <row r="147" spans="2:27" x14ac:dyDescent="0.2">
      <c r="B147" s="5"/>
      <c r="C147" s="5"/>
      <c r="D147" s="5"/>
      <c r="E147" s="266">
        <v>144</v>
      </c>
      <c r="F147" s="171" t="str">
        <f>Planning!$Q150</f>
        <v>FC St. Pauli</v>
      </c>
      <c r="G147" s="348" t="str">
        <f>Planning!$S150</f>
        <v>Hamburger SV</v>
      </c>
      <c r="H147" s="344" t="str">
        <f>IF(AND(Results!$I152&lt;&gt;"",Results!$K152&lt;&gt;"",Results!$F152&lt;&gt;Results!$H152,$F147&lt;&gt;"",$G147&lt;&gt;""),Results!$I152,"")</f>
        <v/>
      </c>
      <c r="I147" s="343" t="str">
        <f>IF(AND(Results!$I152&lt;&gt;"",Results!$K152&lt;&gt;"",Results!$F152&lt;&gt;Results!$H152,$F147&lt;&gt;"",$G147&lt;&gt;""),Results!$K152,"")</f>
        <v/>
      </c>
      <c r="J147" s="344" t="str">
        <f>IF(AND(Results!$L152&lt;&gt;"",Results!$N152&lt;&gt;"",Results!$F152&lt;&gt;Results!$H152,$F147&lt;&gt;"",$G147&lt;&gt;""),Results!$L152,"")</f>
        <v/>
      </c>
      <c r="K147" s="343" t="str">
        <f>IF(AND(Results!$L152&lt;&gt;"",Results!$N152&lt;&gt;"",Results!$F152&lt;&gt;Results!$H152,$F147&lt;&gt;"",$G147&lt;&gt;""),Results!$N152,"")</f>
        <v/>
      </c>
      <c r="L147" s="344" t="str">
        <f>IF(AND(Results!$O152&lt;&gt;"",Results!$Q152&lt;&gt;"",Results!$F152&lt;&gt;Results!$H152,$F147&lt;&gt;"",$G147&lt;&gt;""),Results!$O152,"")</f>
        <v/>
      </c>
      <c r="M147" s="122" t="str">
        <f>IF(AND(Results!$O152&lt;&gt;"",Results!$Q152&lt;&gt;"",Results!$F152&lt;&gt;Results!$H152,$F147&lt;&gt;"",$G147&lt;&gt;""),Results!$Q152,"")</f>
        <v/>
      </c>
      <c r="N147" s="16" t="str">
        <f>IF(Planning!$I150=0,F147&amp;G147,"")</f>
        <v>FC St. PauliHamburger SV</v>
      </c>
      <c r="O147" s="122">
        <f>IF(AND(Results!$Z$6&gt;0,$E147-1&gt;=Results!$Z$6*Calc!$F$26),0,IF(AND(F147&lt;&gt;"",G147&lt;&gt;"",F147&lt;&gt;G147,Results!$R152&lt;&gt;"",Results!$T152&lt;&gt;""),1,0))</f>
        <v>0</v>
      </c>
      <c r="P147" s="122" t="str">
        <f>IF(AND(O147&gt;0,Planning!$I150=0),V147&amp;Language!$E$90&amp;W147,"")</f>
        <v/>
      </c>
      <c r="Q147" s="2" t="str">
        <f>IF(Planning!$I150=1,F147&amp;G147,"")</f>
        <v/>
      </c>
      <c r="R147" s="88" t="str">
        <f>IF(AND(O147&gt;0,Planning!$I150=1),V147&amp;Language!$E$90&amp;W147,"")</f>
        <v/>
      </c>
      <c r="S147" s="122" t="str">
        <f>IF(O147&gt;0,X147&amp;Language!$E$90&amp;Y147,"")</f>
        <v/>
      </c>
      <c r="T147" s="290">
        <f>IF($H147="",0,Results!$U152)</f>
        <v>0</v>
      </c>
      <c r="U147" s="291">
        <f>IF($I147="",0,Results!$V152)</f>
        <v>0</v>
      </c>
      <c r="V147" s="270" t="str">
        <f t="shared" si="4"/>
        <v/>
      </c>
      <c r="W147" s="291" t="str">
        <f t="shared" si="5"/>
        <v/>
      </c>
      <c r="X147" s="270">
        <f>IF($O147=0,0,IF(Results!$R152="",0,Results!$R152))</f>
        <v>0</v>
      </c>
      <c r="Y147" s="291">
        <f>IF($O147=0,0,IF(Results!$T152="",0,Results!$T152))</f>
        <v>0</v>
      </c>
      <c r="Z147" s="270" t="str">
        <f>IF($O147=0,"",IF($X147&gt;$Y147,Settings!$C$4,IF($X147=$Y147,1,0)))</f>
        <v/>
      </c>
      <c r="AA147" s="291" t="str">
        <f>IF($O147=0,"",IF($X147&lt;$Y147,Settings!$C$4,IF($X147=$Y147,1,0)))</f>
        <v/>
      </c>
    </row>
    <row r="148" spans="2:27" x14ac:dyDescent="0.2">
      <c r="B148" s="5"/>
      <c r="C148" s="5"/>
      <c r="D148" s="5"/>
      <c r="E148" s="266">
        <v>145</v>
      </c>
      <c r="F148" s="171" t="str">
        <f>Planning!$Q151</f>
        <v>1. FC Heidenheim 1846</v>
      </c>
      <c r="G148" s="348" t="str">
        <f>Planning!$S151</f>
        <v>1. FC Köln</v>
      </c>
      <c r="H148" s="344" t="str">
        <f>IF(AND(Results!$I153&lt;&gt;"",Results!$K153&lt;&gt;"",Results!$F153&lt;&gt;Results!$H153,$F148&lt;&gt;"",$G148&lt;&gt;""),Results!$I153,"")</f>
        <v/>
      </c>
      <c r="I148" s="343" t="str">
        <f>IF(AND(Results!$I153&lt;&gt;"",Results!$K153&lt;&gt;"",Results!$F153&lt;&gt;Results!$H153,$F148&lt;&gt;"",$G148&lt;&gt;""),Results!$K153,"")</f>
        <v/>
      </c>
      <c r="J148" s="344" t="str">
        <f>IF(AND(Results!$L153&lt;&gt;"",Results!$N153&lt;&gt;"",Results!$F153&lt;&gt;Results!$H153,$F148&lt;&gt;"",$G148&lt;&gt;""),Results!$L153,"")</f>
        <v/>
      </c>
      <c r="K148" s="343" t="str">
        <f>IF(AND(Results!$L153&lt;&gt;"",Results!$N153&lt;&gt;"",Results!$F153&lt;&gt;Results!$H153,$F148&lt;&gt;"",$G148&lt;&gt;""),Results!$N153,"")</f>
        <v/>
      </c>
      <c r="L148" s="344" t="str">
        <f>IF(AND(Results!$O153&lt;&gt;"",Results!$Q153&lt;&gt;"",Results!$F153&lt;&gt;Results!$H153,$F148&lt;&gt;"",$G148&lt;&gt;""),Results!$O153,"")</f>
        <v/>
      </c>
      <c r="M148" s="122" t="str">
        <f>IF(AND(Results!$O153&lt;&gt;"",Results!$Q153&lt;&gt;"",Results!$F153&lt;&gt;Results!$H153,$F148&lt;&gt;"",$G148&lt;&gt;""),Results!$Q153,"")</f>
        <v/>
      </c>
      <c r="N148" s="16" t="str">
        <f>IF(Planning!$I151=0,F148&amp;G148,"")</f>
        <v>1. FC Heidenheim 18461. FC Köln</v>
      </c>
      <c r="O148" s="122">
        <f>IF(AND(Results!$Z$6&gt;0,$E148-1&gt;=Results!$Z$6*Calc!$F$26),0,IF(AND(F148&lt;&gt;"",G148&lt;&gt;"",F148&lt;&gt;G148,Results!$R153&lt;&gt;"",Results!$T153&lt;&gt;""),1,0))</f>
        <v>0</v>
      </c>
      <c r="P148" s="122" t="str">
        <f>IF(AND(O148&gt;0,Planning!$I151=0),V148&amp;Language!$E$90&amp;W148,"")</f>
        <v/>
      </c>
      <c r="Q148" s="2" t="str">
        <f>IF(Planning!$I151=1,F148&amp;G148,"")</f>
        <v/>
      </c>
      <c r="R148" s="88" t="str">
        <f>IF(AND(O148&gt;0,Planning!$I151=1),V148&amp;Language!$E$90&amp;W148,"")</f>
        <v/>
      </c>
      <c r="S148" s="122" t="str">
        <f>IF(O148&gt;0,X148&amp;Language!$E$90&amp;Y148,"")</f>
        <v/>
      </c>
      <c r="T148" s="290">
        <f>IF($H148="",0,Results!$U153)</f>
        <v>0</v>
      </c>
      <c r="U148" s="291">
        <f>IF($I148="",0,Results!$V153)</f>
        <v>0</v>
      </c>
      <c r="V148" s="270" t="str">
        <f t="shared" si="4"/>
        <v/>
      </c>
      <c r="W148" s="291" t="str">
        <f t="shared" si="5"/>
        <v/>
      </c>
      <c r="X148" s="270">
        <f>IF($O148=0,0,IF(Results!$R153="",0,Results!$R153))</f>
        <v>0</v>
      </c>
      <c r="Y148" s="291">
        <f>IF($O148=0,0,IF(Results!$T153="",0,Results!$T153))</f>
        <v>0</v>
      </c>
      <c r="Z148" s="270" t="str">
        <f>IF($O148=0,"",IF($X148&gt;$Y148,Settings!$C$4,IF($X148=$Y148,1,0)))</f>
        <v/>
      </c>
      <c r="AA148" s="291" t="str">
        <f>IF($O148=0,"",IF($X148&lt;$Y148,Settings!$C$4,IF($X148=$Y148,1,0)))</f>
        <v/>
      </c>
    </row>
    <row r="149" spans="2:27" x14ac:dyDescent="0.2">
      <c r="E149" s="266">
        <v>146</v>
      </c>
      <c r="F149" s="171" t="str">
        <f>Planning!$Q152</f>
        <v>VfL Wolfsburg</v>
      </c>
      <c r="G149" s="348" t="str">
        <f>Planning!$S152</f>
        <v>1. FC Union Berlin</v>
      </c>
      <c r="H149" s="344" t="str">
        <f>IF(AND(Results!$I154&lt;&gt;"",Results!$K154&lt;&gt;"",Results!$F154&lt;&gt;Results!$H154,$F149&lt;&gt;"",$G149&lt;&gt;""),Results!$I154,"")</f>
        <v/>
      </c>
      <c r="I149" s="343" t="str">
        <f>IF(AND(Results!$I154&lt;&gt;"",Results!$K154&lt;&gt;"",Results!$F154&lt;&gt;Results!$H154,$F149&lt;&gt;"",$G149&lt;&gt;""),Results!$K154,"")</f>
        <v/>
      </c>
      <c r="J149" s="344" t="str">
        <f>IF(AND(Results!$L154&lt;&gt;"",Results!$N154&lt;&gt;"",Results!$F154&lt;&gt;Results!$H154,$F149&lt;&gt;"",$G149&lt;&gt;""),Results!$L154,"")</f>
        <v/>
      </c>
      <c r="K149" s="343" t="str">
        <f>IF(AND(Results!$L154&lt;&gt;"",Results!$N154&lt;&gt;"",Results!$F154&lt;&gt;Results!$H154,$F149&lt;&gt;"",$G149&lt;&gt;""),Results!$N154,"")</f>
        <v/>
      </c>
      <c r="L149" s="344" t="str">
        <f>IF(AND(Results!$O154&lt;&gt;"",Results!$Q154&lt;&gt;"",Results!$F154&lt;&gt;Results!$H154,$F149&lt;&gt;"",$G149&lt;&gt;""),Results!$O154,"")</f>
        <v/>
      </c>
      <c r="M149" s="122" t="str">
        <f>IF(AND(Results!$O154&lt;&gt;"",Results!$Q154&lt;&gt;"",Results!$F154&lt;&gt;Results!$H154,$F149&lt;&gt;"",$G149&lt;&gt;""),Results!$Q154,"")</f>
        <v/>
      </c>
      <c r="N149" s="16" t="str">
        <f>IF(Planning!$I152=0,F149&amp;G149,"")</f>
        <v>VfL Wolfsburg1. FC Union Berlin</v>
      </c>
      <c r="O149" s="122">
        <f>IF(AND(Results!$Z$6&gt;0,$E149-1&gt;=Results!$Z$6*Calc!$F$26),0,IF(AND(F149&lt;&gt;"",G149&lt;&gt;"",F149&lt;&gt;G149,Results!$R154&lt;&gt;"",Results!$T154&lt;&gt;""),1,0))</f>
        <v>0</v>
      </c>
      <c r="P149" s="122" t="str">
        <f>IF(AND(O149&gt;0,Planning!$I152=0),V149&amp;Language!$E$90&amp;W149,"")</f>
        <v/>
      </c>
      <c r="Q149" s="2" t="str">
        <f>IF(Planning!$I152=1,F149&amp;G149,"")</f>
        <v/>
      </c>
      <c r="R149" s="88" t="str">
        <f>IF(AND(O149&gt;0,Planning!$I152=1),V149&amp;Language!$E$90&amp;W149,"")</f>
        <v/>
      </c>
      <c r="S149" s="122" t="str">
        <f>IF(O149&gt;0,X149&amp;Language!$E$90&amp;Y149,"")</f>
        <v/>
      </c>
      <c r="T149" s="290">
        <f>IF($H149="",0,Results!$U154)</f>
        <v>0</v>
      </c>
      <c r="U149" s="291">
        <f>IF($I149="",0,Results!$V154)</f>
        <v>0</v>
      </c>
      <c r="V149" s="270" t="str">
        <f t="shared" si="4"/>
        <v/>
      </c>
      <c r="W149" s="291" t="str">
        <f t="shared" si="5"/>
        <v/>
      </c>
      <c r="X149" s="270">
        <f>IF($O149=0,0,IF(Results!$R154="",0,Results!$R154))</f>
        <v>0</v>
      </c>
      <c r="Y149" s="291">
        <f>IF($O149=0,0,IF(Results!$T154="",0,Results!$T154))</f>
        <v>0</v>
      </c>
      <c r="Z149" s="270" t="str">
        <f>IF($O149=0,"",IF($X149&gt;$Y149,Settings!$C$4,IF($X149=$Y149,1,0)))</f>
        <v/>
      </c>
      <c r="AA149" s="291" t="str">
        <f>IF($O149=0,"",IF($X149&lt;$Y149,Settings!$C$4,IF($X149=$Y149,1,0)))</f>
        <v/>
      </c>
    </row>
    <row r="150" spans="2:27" x14ac:dyDescent="0.2">
      <c r="E150" s="266">
        <v>147</v>
      </c>
      <c r="F150" s="171" t="str">
        <f>Planning!$Q153</f>
        <v>1. FSV Mainz 05</v>
      </c>
      <c r="G150" s="348" t="str">
        <f>Planning!$S153</f>
        <v>VfB Stuttgart</v>
      </c>
      <c r="H150" s="344" t="str">
        <f>IF(AND(Results!$I155&lt;&gt;"",Results!$K155&lt;&gt;"",Results!$F155&lt;&gt;Results!$H155,$F150&lt;&gt;"",$G150&lt;&gt;""),Results!$I155,"")</f>
        <v/>
      </c>
      <c r="I150" s="343" t="str">
        <f>IF(AND(Results!$I155&lt;&gt;"",Results!$K155&lt;&gt;"",Results!$F155&lt;&gt;Results!$H155,$F150&lt;&gt;"",$G150&lt;&gt;""),Results!$K155,"")</f>
        <v/>
      </c>
      <c r="J150" s="344" t="str">
        <f>IF(AND(Results!$L155&lt;&gt;"",Results!$N155&lt;&gt;"",Results!$F155&lt;&gt;Results!$H155,$F150&lt;&gt;"",$G150&lt;&gt;""),Results!$L155,"")</f>
        <v/>
      </c>
      <c r="K150" s="343" t="str">
        <f>IF(AND(Results!$L155&lt;&gt;"",Results!$N155&lt;&gt;"",Results!$F155&lt;&gt;Results!$H155,$F150&lt;&gt;"",$G150&lt;&gt;""),Results!$N155,"")</f>
        <v/>
      </c>
      <c r="L150" s="344" t="str">
        <f>IF(AND(Results!$O155&lt;&gt;"",Results!$Q155&lt;&gt;"",Results!$F155&lt;&gt;Results!$H155,$F150&lt;&gt;"",$G150&lt;&gt;""),Results!$O155,"")</f>
        <v/>
      </c>
      <c r="M150" s="122" t="str">
        <f>IF(AND(Results!$O155&lt;&gt;"",Results!$Q155&lt;&gt;"",Results!$F155&lt;&gt;Results!$H155,$F150&lt;&gt;"",$G150&lt;&gt;""),Results!$Q155,"")</f>
        <v/>
      </c>
      <c r="N150" s="16" t="str">
        <f>IF(Planning!$I153=0,F150&amp;G150,"")</f>
        <v>1. FSV Mainz 05VfB Stuttgart</v>
      </c>
      <c r="O150" s="122">
        <f>IF(AND(Results!$Z$6&gt;0,$E150-1&gt;=Results!$Z$6*Calc!$F$26),0,IF(AND(F150&lt;&gt;"",G150&lt;&gt;"",F150&lt;&gt;G150,Results!$R155&lt;&gt;"",Results!$T155&lt;&gt;""),1,0))</f>
        <v>0</v>
      </c>
      <c r="P150" s="122" t="str">
        <f>IF(AND(O150&gt;0,Planning!$I153=0),V150&amp;Language!$E$90&amp;W150,"")</f>
        <v/>
      </c>
      <c r="Q150" s="2" t="str">
        <f>IF(Planning!$I153=1,F150&amp;G150,"")</f>
        <v/>
      </c>
      <c r="R150" s="88" t="str">
        <f>IF(AND(O150&gt;0,Planning!$I153=1),V150&amp;Language!$E$90&amp;W150,"")</f>
        <v/>
      </c>
      <c r="S150" s="122" t="str">
        <f>IF(O150&gt;0,X150&amp;Language!$E$90&amp;Y150,"")</f>
        <v/>
      </c>
      <c r="T150" s="290">
        <f>IF($H150="",0,Results!$U155)</f>
        <v>0</v>
      </c>
      <c r="U150" s="291">
        <f>IF($I150="",0,Results!$V155)</f>
        <v>0</v>
      </c>
      <c r="V150" s="270" t="str">
        <f t="shared" si="4"/>
        <v/>
      </c>
      <c r="W150" s="291" t="str">
        <f t="shared" si="5"/>
        <v/>
      </c>
      <c r="X150" s="270">
        <f>IF($O150=0,0,IF(Results!$R155="",0,Results!$R155))</f>
        <v>0</v>
      </c>
      <c r="Y150" s="291">
        <f>IF($O150=0,0,IF(Results!$T155="",0,Results!$T155))</f>
        <v>0</v>
      </c>
      <c r="Z150" s="270" t="str">
        <f>IF($O150=0,"",IF($X150&gt;$Y150,Settings!$C$4,IF($X150=$Y150,1,0)))</f>
        <v/>
      </c>
      <c r="AA150" s="291" t="str">
        <f>IF($O150=0,"",IF($X150&lt;$Y150,Settings!$C$4,IF($X150=$Y150,1,0)))</f>
        <v/>
      </c>
    </row>
    <row r="151" spans="2:27" x14ac:dyDescent="0.2">
      <c r="E151" s="266">
        <v>148</v>
      </c>
      <c r="F151" s="171" t="str">
        <f>Planning!$Q154</f>
        <v>TSG Hoffenheim</v>
      </c>
      <c r="G151" s="348" t="str">
        <f>Planning!$S154</f>
        <v>Bayer 04 Leverkusen</v>
      </c>
      <c r="H151" s="344" t="str">
        <f>IF(AND(Results!$I156&lt;&gt;"",Results!$K156&lt;&gt;"",Results!$F156&lt;&gt;Results!$H156,$F151&lt;&gt;"",$G151&lt;&gt;""),Results!$I156,"")</f>
        <v/>
      </c>
      <c r="I151" s="343" t="str">
        <f>IF(AND(Results!$I156&lt;&gt;"",Results!$K156&lt;&gt;"",Results!$F156&lt;&gt;Results!$H156,$F151&lt;&gt;"",$G151&lt;&gt;""),Results!$K156,"")</f>
        <v/>
      </c>
      <c r="J151" s="344" t="str">
        <f>IF(AND(Results!$L156&lt;&gt;"",Results!$N156&lt;&gt;"",Results!$F156&lt;&gt;Results!$H156,$F151&lt;&gt;"",$G151&lt;&gt;""),Results!$L156,"")</f>
        <v/>
      </c>
      <c r="K151" s="343" t="str">
        <f>IF(AND(Results!$L156&lt;&gt;"",Results!$N156&lt;&gt;"",Results!$F156&lt;&gt;Results!$H156,$F151&lt;&gt;"",$G151&lt;&gt;""),Results!$N156,"")</f>
        <v/>
      </c>
      <c r="L151" s="344" t="str">
        <f>IF(AND(Results!$O156&lt;&gt;"",Results!$Q156&lt;&gt;"",Results!$F156&lt;&gt;Results!$H156,$F151&lt;&gt;"",$G151&lt;&gt;""),Results!$O156,"")</f>
        <v/>
      </c>
      <c r="M151" s="122" t="str">
        <f>IF(AND(Results!$O156&lt;&gt;"",Results!$Q156&lt;&gt;"",Results!$F156&lt;&gt;Results!$H156,$F151&lt;&gt;"",$G151&lt;&gt;""),Results!$Q156,"")</f>
        <v/>
      </c>
      <c r="N151" s="16" t="str">
        <f>IF(Planning!$I154=0,F151&amp;G151,"")</f>
        <v>TSG HoffenheimBayer 04 Leverkusen</v>
      </c>
      <c r="O151" s="122">
        <f>IF(AND(Results!$Z$6&gt;0,$E151-1&gt;=Results!$Z$6*Calc!$F$26),0,IF(AND(F151&lt;&gt;"",G151&lt;&gt;"",F151&lt;&gt;G151,Results!$R156&lt;&gt;"",Results!$T156&lt;&gt;""),1,0))</f>
        <v>0</v>
      </c>
      <c r="P151" s="122" t="str">
        <f>IF(AND(O151&gt;0,Planning!$I154=0),V151&amp;Language!$E$90&amp;W151,"")</f>
        <v/>
      </c>
      <c r="Q151" s="2" t="str">
        <f>IF(Planning!$I154=1,F151&amp;G151,"")</f>
        <v/>
      </c>
      <c r="R151" s="88" t="str">
        <f>IF(AND(O151&gt;0,Planning!$I154=1),V151&amp;Language!$E$90&amp;W151,"")</f>
        <v/>
      </c>
      <c r="S151" s="122" t="str">
        <f>IF(O151&gt;0,X151&amp;Language!$E$90&amp;Y151,"")</f>
        <v/>
      </c>
      <c r="T151" s="290">
        <f>IF($H151="",0,Results!$U156)</f>
        <v>0</v>
      </c>
      <c r="U151" s="291">
        <f>IF($I151="",0,Results!$V156)</f>
        <v>0</v>
      </c>
      <c r="V151" s="270" t="str">
        <f t="shared" si="4"/>
        <v/>
      </c>
      <c r="W151" s="291" t="str">
        <f t="shared" si="5"/>
        <v/>
      </c>
      <c r="X151" s="270">
        <f>IF($O151=0,0,IF(Results!$R156="",0,Results!$R156))</f>
        <v>0</v>
      </c>
      <c r="Y151" s="291">
        <f>IF($O151=0,0,IF(Results!$T156="",0,Results!$T156))</f>
        <v>0</v>
      </c>
      <c r="Z151" s="270" t="str">
        <f>IF($O151=0,"",IF($X151&gt;$Y151,Settings!$C$4,IF($X151=$Y151,1,0)))</f>
        <v/>
      </c>
      <c r="AA151" s="291" t="str">
        <f>IF($O151=0,"",IF($X151&lt;$Y151,Settings!$C$4,IF($X151=$Y151,1,0)))</f>
        <v/>
      </c>
    </row>
    <row r="152" spans="2:27" x14ac:dyDescent="0.2">
      <c r="E152" s="266">
        <v>149</v>
      </c>
      <c r="F152" s="171" t="str">
        <f>Planning!$Q155</f>
        <v>Borussia Dortmund</v>
      </c>
      <c r="G152" s="348" t="str">
        <f>Planning!$S155</f>
        <v>SV Werder Bremen</v>
      </c>
      <c r="H152" s="344" t="str">
        <f>IF(AND(Results!$I157&lt;&gt;"",Results!$K157&lt;&gt;"",Results!$F157&lt;&gt;Results!$H157,$F152&lt;&gt;"",$G152&lt;&gt;""),Results!$I157,"")</f>
        <v/>
      </c>
      <c r="I152" s="343" t="str">
        <f>IF(AND(Results!$I157&lt;&gt;"",Results!$K157&lt;&gt;"",Results!$F157&lt;&gt;Results!$H157,$F152&lt;&gt;"",$G152&lt;&gt;""),Results!$K157,"")</f>
        <v/>
      </c>
      <c r="J152" s="344" t="str">
        <f>IF(AND(Results!$L157&lt;&gt;"",Results!$N157&lt;&gt;"",Results!$F157&lt;&gt;Results!$H157,$F152&lt;&gt;"",$G152&lt;&gt;""),Results!$L157,"")</f>
        <v/>
      </c>
      <c r="K152" s="343" t="str">
        <f>IF(AND(Results!$L157&lt;&gt;"",Results!$N157&lt;&gt;"",Results!$F157&lt;&gt;Results!$H157,$F152&lt;&gt;"",$G152&lt;&gt;""),Results!$N157,"")</f>
        <v/>
      </c>
      <c r="L152" s="344" t="str">
        <f>IF(AND(Results!$O157&lt;&gt;"",Results!$Q157&lt;&gt;"",Results!$F157&lt;&gt;Results!$H157,$F152&lt;&gt;"",$G152&lt;&gt;""),Results!$O157,"")</f>
        <v/>
      </c>
      <c r="M152" s="122" t="str">
        <f>IF(AND(Results!$O157&lt;&gt;"",Results!$Q157&lt;&gt;"",Results!$F157&lt;&gt;Results!$H157,$F152&lt;&gt;"",$G152&lt;&gt;""),Results!$Q157,"")</f>
        <v/>
      </c>
      <c r="N152" s="16" t="str">
        <f>IF(Planning!$I155=0,F152&amp;G152,"")</f>
        <v>Borussia DortmundSV Werder Bremen</v>
      </c>
      <c r="O152" s="122">
        <f>IF(AND(Results!$Z$6&gt;0,$E152-1&gt;=Results!$Z$6*Calc!$F$26),0,IF(AND(F152&lt;&gt;"",G152&lt;&gt;"",F152&lt;&gt;G152,Results!$R157&lt;&gt;"",Results!$T157&lt;&gt;""),1,0))</f>
        <v>0</v>
      </c>
      <c r="P152" s="122" t="str">
        <f>IF(AND(O152&gt;0,Planning!$I155=0),V152&amp;Language!$E$90&amp;W152,"")</f>
        <v/>
      </c>
      <c r="Q152" s="2" t="str">
        <f>IF(Planning!$I155=1,F152&amp;G152,"")</f>
        <v/>
      </c>
      <c r="R152" s="88" t="str">
        <f>IF(AND(O152&gt;0,Planning!$I155=1),V152&amp;Language!$E$90&amp;W152,"")</f>
        <v/>
      </c>
      <c r="S152" s="122" t="str">
        <f>IF(O152&gt;0,X152&amp;Language!$E$90&amp;Y152,"")</f>
        <v/>
      </c>
      <c r="T152" s="290">
        <f>IF($H152="",0,Results!$U157)</f>
        <v>0</v>
      </c>
      <c r="U152" s="291">
        <f>IF($I152="",0,Results!$V157)</f>
        <v>0</v>
      </c>
      <c r="V152" s="270" t="str">
        <f t="shared" si="4"/>
        <v/>
      </c>
      <c r="W152" s="291" t="str">
        <f t="shared" si="5"/>
        <v/>
      </c>
      <c r="X152" s="270">
        <f>IF($O152=0,0,IF(Results!$R157="",0,Results!$R157))</f>
        <v>0</v>
      </c>
      <c r="Y152" s="291">
        <f>IF($O152=0,0,IF(Results!$T157="",0,Results!$T157))</f>
        <v>0</v>
      </c>
      <c r="Z152" s="270" t="str">
        <f>IF($O152=0,"",IF($X152&gt;$Y152,Settings!$C$4,IF($X152=$Y152,1,0)))</f>
        <v/>
      </c>
      <c r="AA152" s="291" t="str">
        <f>IF($O152=0,"",IF($X152&lt;$Y152,Settings!$C$4,IF($X152=$Y152,1,0)))</f>
        <v/>
      </c>
    </row>
    <row r="153" spans="2:27" x14ac:dyDescent="0.2">
      <c r="E153" s="266">
        <v>150</v>
      </c>
      <c r="F153" s="171" t="str">
        <f>Planning!$Q156</f>
        <v>SC Freiburg</v>
      </c>
      <c r="G153" s="348" t="str">
        <f>Planning!$S156</f>
        <v>Borussia Mönchengladbach</v>
      </c>
      <c r="H153" s="344" t="str">
        <f>IF(AND(Results!$I158&lt;&gt;"",Results!$K158&lt;&gt;"",Results!$F158&lt;&gt;Results!$H158,$F153&lt;&gt;"",$G153&lt;&gt;""),Results!$I158,"")</f>
        <v/>
      </c>
      <c r="I153" s="343" t="str">
        <f>IF(AND(Results!$I158&lt;&gt;"",Results!$K158&lt;&gt;"",Results!$F158&lt;&gt;Results!$H158,$F153&lt;&gt;"",$G153&lt;&gt;""),Results!$K158,"")</f>
        <v/>
      </c>
      <c r="J153" s="344" t="str">
        <f>IF(AND(Results!$L158&lt;&gt;"",Results!$N158&lt;&gt;"",Results!$F158&lt;&gt;Results!$H158,$F153&lt;&gt;"",$G153&lt;&gt;""),Results!$L158,"")</f>
        <v/>
      </c>
      <c r="K153" s="343" t="str">
        <f>IF(AND(Results!$L158&lt;&gt;"",Results!$N158&lt;&gt;"",Results!$F158&lt;&gt;Results!$H158,$F153&lt;&gt;"",$G153&lt;&gt;""),Results!$N158,"")</f>
        <v/>
      </c>
      <c r="L153" s="344" t="str">
        <f>IF(AND(Results!$O158&lt;&gt;"",Results!$Q158&lt;&gt;"",Results!$F158&lt;&gt;Results!$H158,$F153&lt;&gt;"",$G153&lt;&gt;""),Results!$O158,"")</f>
        <v/>
      </c>
      <c r="M153" s="122" t="str">
        <f>IF(AND(Results!$O158&lt;&gt;"",Results!$Q158&lt;&gt;"",Results!$F158&lt;&gt;Results!$H158,$F153&lt;&gt;"",$G153&lt;&gt;""),Results!$Q158,"")</f>
        <v/>
      </c>
      <c r="N153" s="16" t="str">
        <f>IF(Planning!$I156=0,F153&amp;G153,"")</f>
        <v>SC FreiburgBorussia Mönchengladbach</v>
      </c>
      <c r="O153" s="122">
        <f>IF(AND(Results!$Z$6&gt;0,$E153-1&gt;=Results!$Z$6*Calc!$F$26),0,IF(AND(F153&lt;&gt;"",G153&lt;&gt;"",F153&lt;&gt;G153,Results!$R158&lt;&gt;"",Results!$T158&lt;&gt;""),1,0))</f>
        <v>0</v>
      </c>
      <c r="P153" s="122" t="str">
        <f>IF(AND(O153&gt;0,Planning!$I156=0),V153&amp;Language!$E$90&amp;W153,"")</f>
        <v/>
      </c>
      <c r="Q153" s="2" t="str">
        <f>IF(Planning!$I156=1,F153&amp;G153,"")</f>
        <v/>
      </c>
      <c r="R153" s="88" t="str">
        <f>IF(AND(O153&gt;0,Planning!$I156=1),V153&amp;Language!$E$90&amp;W153,"")</f>
        <v/>
      </c>
      <c r="S153" s="122" t="str">
        <f>IF(O153&gt;0,X153&amp;Language!$E$90&amp;Y153,"")</f>
        <v/>
      </c>
      <c r="T153" s="290">
        <f>IF($H153="",0,Results!$U158)</f>
        <v>0</v>
      </c>
      <c r="U153" s="291">
        <f>IF($I153="",0,Results!$V158)</f>
        <v>0</v>
      </c>
      <c r="V153" s="270" t="str">
        <f t="shared" si="4"/>
        <v/>
      </c>
      <c r="W153" s="291" t="str">
        <f t="shared" si="5"/>
        <v/>
      </c>
      <c r="X153" s="270">
        <f>IF($O153=0,0,IF(Results!$R158="",0,Results!$R158))</f>
        <v>0</v>
      </c>
      <c r="Y153" s="291">
        <f>IF($O153=0,0,IF(Results!$T158="",0,Results!$T158))</f>
        <v>0</v>
      </c>
      <c r="Z153" s="270" t="str">
        <f>IF($O153=0,"",IF($X153&gt;$Y153,Settings!$C$4,IF($X153=$Y153,1,0)))</f>
        <v/>
      </c>
      <c r="AA153" s="291" t="str">
        <f>IF($O153=0,"",IF($X153&lt;$Y153,Settings!$C$4,IF($X153=$Y153,1,0)))</f>
        <v/>
      </c>
    </row>
    <row r="154" spans="2:27" x14ac:dyDescent="0.2">
      <c r="E154" s="266">
        <v>151</v>
      </c>
      <c r="F154" s="171" t="str">
        <f>Planning!$Q157</f>
        <v>Eintracht Frankfurt</v>
      </c>
      <c r="G154" s="348" t="str">
        <f>Planning!$S157</f>
        <v>RB Leipzig</v>
      </c>
      <c r="H154" s="344" t="str">
        <f>IF(AND(Results!$I159&lt;&gt;"",Results!$K159&lt;&gt;"",Results!$F159&lt;&gt;Results!$H159,$F154&lt;&gt;"",$G154&lt;&gt;""),Results!$I159,"")</f>
        <v/>
      </c>
      <c r="I154" s="343" t="str">
        <f>IF(AND(Results!$I159&lt;&gt;"",Results!$K159&lt;&gt;"",Results!$F159&lt;&gt;Results!$H159,$F154&lt;&gt;"",$G154&lt;&gt;""),Results!$K159,"")</f>
        <v/>
      </c>
      <c r="J154" s="344" t="str">
        <f>IF(AND(Results!$L159&lt;&gt;"",Results!$N159&lt;&gt;"",Results!$F159&lt;&gt;Results!$H159,$F154&lt;&gt;"",$G154&lt;&gt;""),Results!$L159,"")</f>
        <v/>
      </c>
      <c r="K154" s="343" t="str">
        <f>IF(AND(Results!$L159&lt;&gt;"",Results!$N159&lt;&gt;"",Results!$F159&lt;&gt;Results!$H159,$F154&lt;&gt;"",$G154&lt;&gt;""),Results!$N159,"")</f>
        <v/>
      </c>
      <c r="L154" s="344" t="str">
        <f>IF(AND(Results!$O159&lt;&gt;"",Results!$Q159&lt;&gt;"",Results!$F159&lt;&gt;Results!$H159,$F154&lt;&gt;"",$G154&lt;&gt;""),Results!$O159,"")</f>
        <v/>
      </c>
      <c r="M154" s="122" t="str">
        <f>IF(AND(Results!$O159&lt;&gt;"",Results!$Q159&lt;&gt;"",Results!$F159&lt;&gt;Results!$H159,$F154&lt;&gt;"",$G154&lt;&gt;""),Results!$Q159,"")</f>
        <v/>
      </c>
      <c r="N154" s="16" t="str">
        <f>IF(Planning!$I157=0,F154&amp;G154,"")</f>
        <v>Eintracht FrankfurtRB Leipzig</v>
      </c>
      <c r="O154" s="122">
        <f>IF(AND(Results!$Z$6&gt;0,$E154-1&gt;=Results!$Z$6*Calc!$F$26),0,IF(AND(F154&lt;&gt;"",G154&lt;&gt;"",F154&lt;&gt;G154,Results!$R159&lt;&gt;"",Results!$T159&lt;&gt;""),1,0))</f>
        <v>0</v>
      </c>
      <c r="P154" s="122" t="str">
        <f>IF(AND(O154&gt;0,Planning!$I157=0),V154&amp;Language!$E$90&amp;W154,"")</f>
        <v/>
      </c>
      <c r="Q154" s="2" t="str">
        <f>IF(Planning!$I157=1,F154&amp;G154,"")</f>
        <v/>
      </c>
      <c r="R154" s="88" t="str">
        <f>IF(AND(O154&gt;0,Planning!$I157=1),V154&amp;Language!$E$90&amp;W154,"")</f>
        <v/>
      </c>
      <c r="S154" s="122" t="str">
        <f>IF(O154&gt;0,X154&amp;Language!$E$90&amp;Y154,"")</f>
        <v/>
      </c>
      <c r="T154" s="290">
        <f>IF($H154="",0,Results!$U159)</f>
        <v>0</v>
      </c>
      <c r="U154" s="291">
        <f>IF($I154="",0,Results!$V159)</f>
        <v>0</v>
      </c>
      <c r="V154" s="270" t="str">
        <f t="shared" si="4"/>
        <v/>
      </c>
      <c r="W154" s="291" t="str">
        <f t="shared" si="5"/>
        <v/>
      </c>
      <c r="X154" s="270">
        <f>IF($O154=0,0,IF(Results!$R159="",0,Results!$R159))</f>
        <v>0</v>
      </c>
      <c r="Y154" s="291">
        <f>IF($O154=0,0,IF(Results!$T159="",0,Results!$T159))</f>
        <v>0</v>
      </c>
      <c r="Z154" s="270" t="str">
        <f>IF($O154=0,"",IF($X154&gt;$Y154,Settings!$C$4,IF($X154=$Y154,1,0)))</f>
        <v/>
      </c>
      <c r="AA154" s="291" t="str">
        <f>IF($O154=0,"",IF($X154&lt;$Y154,Settings!$C$4,IF($X154=$Y154,1,0)))</f>
        <v/>
      </c>
    </row>
    <row r="155" spans="2:27" x14ac:dyDescent="0.2">
      <c r="E155" s="266">
        <v>152</v>
      </c>
      <c r="F155" s="171" t="str">
        <f>Planning!$Q158</f>
        <v>Hamburger SV</v>
      </c>
      <c r="G155" s="348" t="str">
        <f>Planning!$S158</f>
        <v>FC Augsburg</v>
      </c>
      <c r="H155" s="344" t="str">
        <f>IF(AND(Results!$I160&lt;&gt;"",Results!$K160&lt;&gt;"",Results!$F160&lt;&gt;Results!$H160,$F155&lt;&gt;"",$G155&lt;&gt;""),Results!$I160,"")</f>
        <v/>
      </c>
      <c r="I155" s="343" t="str">
        <f>IF(AND(Results!$I160&lt;&gt;"",Results!$K160&lt;&gt;"",Results!$F160&lt;&gt;Results!$H160,$F155&lt;&gt;"",$G155&lt;&gt;""),Results!$K160,"")</f>
        <v/>
      </c>
      <c r="J155" s="344" t="str">
        <f>IF(AND(Results!$L160&lt;&gt;"",Results!$N160&lt;&gt;"",Results!$F160&lt;&gt;Results!$H160,$F155&lt;&gt;"",$G155&lt;&gt;""),Results!$L160,"")</f>
        <v/>
      </c>
      <c r="K155" s="343" t="str">
        <f>IF(AND(Results!$L160&lt;&gt;"",Results!$N160&lt;&gt;"",Results!$F160&lt;&gt;Results!$H160,$F155&lt;&gt;"",$G155&lt;&gt;""),Results!$N160,"")</f>
        <v/>
      </c>
      <c r="L155" s="344" t="str">
        <f>IF(AND(Results!$O160&lt;&gt;"",Results!$Q160&lt;&gt;"",Results!$F160&lt;&gt;Results!$H160,$F155&lt;&gt;"",$G155&lt;&gt;""),Results!$O160,"")</f>
        <v/>
      </c>
      <c r="M155" s="122" t="str">
        <f>IF(AND(Results!$O160&lt;&gt;"",Results!$Q160&lt;&gt;"",Results!$F160&lt;&gt;Results!$H160,$F155&lt;&gt;"",$G155&lt;&gt;""),Results!$Q160,"")</f>
        <v/>
      </c>
      <c r="N155" s="16" t="str">
        <f>IF(Planning!$I158=0,F155&amp;G155,"")</f>
        <v>Hamburger SVFC Augsburg</v>
      </c>
      <c r="O155" s="122">
        <f>IF(AND(Results!$Z$6&gt;0,$E155-1&gt;=Results!$Z$6*Calc!$F$26),0,IF(AND(F155&lt;&gt;"",G155&lt;&gt;"",F155&lt;&gt;G155,Results!$R160&lt;&gt;"",Results!$T160&lt;&gt;""),1,0))</f>
        <v>0</v>
      </c>
      <c r="P155" s="122" t="str">
        <f>IF(AND(O155&gt;0,Planning!$I158=0),V155&amp;Language!$E$90&amp;W155,"")</f>
        <v/>
      </c>
      <c r="Q155" s="2" t="str">
        <f>IF(Planning!$I158=1,F155&amp;G155,"")</f>
        <v/>
      </c>
      <c r="R155" s="88" t="str">
        <f>IF(AND(O155&gt;0,Planning!$I158=1),V155&amp;Language!$E$90&amp;W155,"")</f>
        <v/>
      </c>
      <c r="S155" s="122" t="str">
        <f>IF(O155&gt;0,X155&amp;Language!$E$90&amp;Y155,"")</f>
        <v/>
      </c>
      <c r="T155" s="290">
        <f>IF($H155="",0,Results!$U160)</f>
        <v>0</v>
      </c>
      <c r="U155" s="291">
        <f>IF($I155="",0,Results!$V160)</f>
        <v>0</v>
      </c>
      <c r="V155" s="270" t="str">
        <f t="shared" si="4"/>
        <v/>
      </c>
      <c r="W155" s="291" t="str">
        <f t="shared" si="5"/>
        <v/>
      </c>
      <c r="X155" s="270">
        <f>IF($O155=0,0,IF(Results!$R160="",0,Results!$R160))</f>
        <v>0</v>
      </c>
      <c r="Y155" s="291">
        <f>IF($O155=0,0,IF(Results!$T160="",0,Results!$T160))</f>
        <v>0</v>
      </c>
      <c r="Z155" s="270" t="str">
        <f>IF($O155=0,"",IF($X155&gt;$Y155,Settings!$C$4,IF($X155=$Y155,1,0)))</f>
        <v/>
      </c>
      <c r="AA155" s="291" t="str">
        <f>IF($O155=0,"",IF($X155&lt;$Y155,Settings!$C$4,IF($X155=$Y155,1,0)))</f>
        <v/>
      </c>
    </row>
    <row r="156" spans="2:27" x14ac:dyDescent="0.2">
      <c r="E156" s="266">
        <v>153</v>
      </c>
      <c r="F156" s="171" t="str">
        <f>Planning!$Q159</f>
        <v>FC Bayern München</v>
      </c>
      <c r="G156" s="348" t="str">
        <f>Planning!$S159</f>
        <v>FC St. Pauli</v>
      </c>
      <c r="H156" s="344" t="str">
        <f>IF(AND(Results!$I161&lt;&gt;"",Results!$K161&lt;&gt;"",Results!$F161&lt;&gt;Results!$H161,$F156&lt;&gt;"",$G156&lt;&gt;""),Results!$I161,"")</f>
        <v/>
      </c>
      <c r="I156" s="343" t="str">
        <f>IF(AND(Results!$I161&lt;&gt;"",Results!$K161&lt;&gt;"",Results!$F161&lt;&gt;Results!$H161,$F156&lt;&gt;"",$G156&lt;&gt;""),Results!$K161,"")</f>
        <v/>
      </c>
      <c r="J156" s="344" t="str">
        <f>IF(AND(Results!$L161&lt;&gt;"",Results!$N161&lt;&gt;"",Results!$F161&lt;&gt;Results!$H161,$F156&lt;&gt;"",$G156&lt;&gt;""),Results!$L161,"")</f>
        <v/>
      </c>
      <c r="K156" s="343" t="str">
        <f>IF(AND(Results!$L161&lt;&gt;"",Results!$N161&lt;&gt;"",Results!$F161&lt;&gt;Results!$H161,$F156&lt;&gt;"",$G156&lt;&gt;""),Results!$N161,"")</f>
        <v/>
      </c>
      <c r="L156" s="344" t="str">
        <f>IF(AND(Results!$O161&lt;&gt;"",Results!$Q161&lt;&gt;"",Results!$F161&lt;&gt;Results!$H161,$F156&lt;&gt;"",$G156&lt;&gt;""),Results!$O161,"")</f>
        <v/>
      </c>
      <c r="M156" s="122" t="str">
        <f>IF(AND(Results!$O161&lt;&gt;"",Results!$Q161&lt;&gt;"",Results!$F161&lt;&gt;Results!$H161,$F156&lt;&gt;"",$G156&lt;&gt;""),Results!$Q161,"")</f>
        <v/>
      </c>
      <c r="N156" s="16" t="str">
        <f>IF(Planning!$I159=0,F156&amp;G156,"")</f>
        <v>FC Bayern MünchenFC St. Pauli</v>
      </c>
      <c r="O156" s="122">
        <f>IF(AND(Results!$Z$6&gt;0,$E156-1&gt;=Results!$Z$6*Calc!$F$26),0,IF(AND(F156&lt;&gt;"",G156&lt;&gt;"",F156&lt;&gt;G156,Results!$R161&lt;&gt;"",Results!$T161&lt;&gt;""),1,0))</f>
        <v>0</v>
      </c>
      <c r="P156" s="122" t="str">
        <f>IF(AND(O156&gt;0,Planning!$I159=0),V156&amp;Language!$E$90&amp;W156,"")</f>
        <v/>
      </c>
      <c r="Q156" s="2" t="str">
        <f>IF(Planning!$I159=1,F156&amp;G156,"")</f>
        <v/>
      </c>
      <c r="R156" s="88" t="str">
        <f>IF(AND(O156&gt;0,Planning!$I159=1),V156&amp;Language!$E$90&amp;W156,"")</f>
        <v/>
      </c>
      <c r="S156" s="122" t="str">
        <f>IF(O156&gt;0,X156&amp;Language!$E$90&amp;Y156,"")</f>
        <v/>
      </c>
      <c r="T156" s="290">
        <f>IF($H156="",0,Results!$U161)</f>
        <v>0</v>
      </c>
      <c r="U156" s="291">
        <f>IF($I156="",0,Results!$V161)</f>
        <v>0</v>
      </c>
      <c r="V156" s="270" t="str">
        <f t="shared" si="4"/>
        <v/>
      </c>
      <c r="W156" s="291" t="str">
        <f t="shared" si="5"/>
        <v/>
      </c>
      <c r="X156" s="270">
        <f>IF($O156=0,0,IF(Results!$R161="",0,Results!$R161))</f>
        <v>0</v>
      </c>
      <c r="Y156" s="291">
        <f>IF($O156=0,0,IF(Results!$T161="",0,Results!$T161))</f>
        <v>0</v>
      </c>
      <c r="Z156" s="270" t="str">
        <f>IF($O156=0,"",IF($X156&gt;$Y156,Settings!$C$4,IF($X156=$Y156,1,0)))</f>
        <v/>
      </c>
      <c r="AA156" s="291" t="str">
        <f>IF($O156=0,"",IF($X156&lt;$Y156,Settings!$C$4,IF($X156=$Y156,1,0)))</f>
        <v/>
      </c>
    </row>
    <row r="157" spans="2:27" x14ac:dyDescent="0.2">
      <c r="E157" s="266">
        <v>154</v>
      </c>
      <c r="F157" s="171" t="str">
        <f>Planning!$Q160</f>
        <v>VfL Wolfsburg</v>
      </c>
      <c r="G157" s="348" t="str">
        <f>Planning!$S160</f>
        <v>1. FC Heidenheim 1846</v>
      </c>
      <c r="H157" s="344" t="str">
        <f>IF(AND(Results!$I162&lt;&gt;"",Results!$K162&lt;&gt;"",Results!$F162&lt;&gt;Results!$H162,$F157&lt;&gt;"",$G157&lt;&gt;""),Results!$I162,"")</f>
        <v/>
      </c>
      <c r="I157" s="343" t="str">
        <f>IF(AND(Results!$I162&lt;&gt;"",Results!$K162&lt;&gt;"",Results!$F162&lt;&gt;Results!$H162,$F157&lt;&gt;"",$G157&lt;&gt;""),Results!$K162,"")</f>
        <v/>
      </c>
      <c r="J157" s="344" t="str">
        <f>IF(AND(Results!$L162&lt;&gt;"",Results!$N162&lt;&gt;"",Results!$F162&lt;&gt;Results!$H162,$F157&lt;&gt;"",$G157&lt;&gt;""),Results!$L162,"")</f>
        <v/>
      </c>
      <c r="K157" s="343" t="str">
        <f>IF(AND(Results!$L162&lt;&gt;"",Results!$N162&lt;&gt;"",Results!$F162&lt;&gt;Results!$H162,$F157&lt;&gt;"",$G157&lt;&gt;""),Results!$N162,"")</f>
        <v/>
      </c>
      <c r="L157" s="344" t="str">
        <f>IF(AND(Results!$O162&lt;&gt;"",Results!$Q162&lt;&gt;"",Results!$F162&lt;&gt;Results!$H162,$F157&lt;&gt;"",$G157&lt;&gt;""),Results!$O162,"")</f>
        <v/>
      </c>
      <c r="M157" s="122" t="str">
        <f>IF(AND(Results!$O162&lt;&gt;"",Results!$Q162&lt;&gt;"",Results!$F162&lt;&gt;Results!$H162,$F157&lt;&gt;"",$G157&lt;&gt;""),Results!$Q162,"")</f>
        <v/>
      </c>
      <c r="N157" s="16" t="str">
        <f>IF(Planning!$I160=0,F157&amp;G157,"")</f>
        <v/>
      </c>
      <c r="O157" s="122">
        <f>IF(AND(Results!$Z$6&gt;0,$E157-1&gt;=Results!$Z$6*Calc!$F$26),0,IF(AND(F157&lt;&gt;"",G157&lt;&gt;"",F157&lt;&gt;G157,Results!$R162&lt;&gt;"",Results!$T162&lt;&gt;""),1,0))</f>
        <v>0</v>
      </c>
      <c r="P157" s="122" t="str">
        <f>IF(AND(O157&gt;0,Planning!$I160=0),V157&amp;Language!$E$90&amp;W157,"")</f>
        <v/>
      </c>
      <c r="Q157" s="2" t="str">
        <f>IF(Planning!$I160=1,F157&amp;G157,"")</f>
        <v>VfL Wolfsburg1. FC Heidenheim 1846</v>
      </c>
      <c r="R157" s="88" t="str">
        <f>IF(AND(O157&gt;0,Planning!$I160=1),V157&amp;Language!$E$90&amp;W157,"")</f>
        <v/>
      </c>
      <c r="S157" s="122" t="str">
        <f>IF(O157&gt;0,X157&amp;Language!$E$90&amp;Y157,"")</f>
        <v/>
      </c>
      <c r="T157" s="290">
        <f>IF($H157="",0,Results!$U162)</f>
        <v>0</v>
      </c>
      <c r="U157" s="291">
        <f>IF($I157="",0,Results!$V162)</f>
        <v>0</v>
      </c>
      <c r="V157" s="270" t="str">
        <f t="shared" si="4"/>
        <v/>
      </c>
      <c r="W157" s="291" t="str">
        <f t="shared" si="5"/>
        <v/>
      </c>
      <c r="X157" s="270">
        <f>IF($O157=0,0,IF(Results!$R162="",0,Results!$R162))</f>
        <v>0</v>
      </c>
      <c r="Y157" s="291">
        <f>IF($O157=0,0,IF(Results!$T162="",0,Results!$T162))</f>
        <v>0</v>
      </c>
      <c r="Z157" s="270" t="str">
        <f>IF($O157=0,"",IF($X157&gt;$Y157,Settings!$C$4,IF($X157=$Y157,1,0)))</f>
        <v/>
      </c>
      <c r="AA157" s="291" t="str">
        <f>IF($O157=0,"",IF($X157&lt;$Y157,Settings!$C$4,IF($X157=$Y157,1,0)))</f>
        <v/>
      </c>
    </row>
    <row r="158" spans="2:27" x14ac:dyDescent="0.2">
      <c r="E158" s="266">
        <v>155</v>
      </c>
      <c r="F158" s="171" t="str">
        <f>Planning!$Q161</f>
        <v>1. FC Köln</v>
      </c>
      <c r="G158" s="348" t="str">
        <f>Planning!$S161</f>
        <v>VfB Stuttgart</v>
      </c>
      <c r="H158" s="344" t="str">
        <f>IF(AND(Results!$I163&lt;&gt;"",Results!$K163&lt;&gt;"",Results!$F163&lt;&gt;Results!$H163,$F158&lt;&gt;"",$G158&lt;&gt;""),Results!$I163,"")</f>
        <v/>
      </c>
      <c r="I158" s="343" t="str">
        <f>IF(AND(Results!$I163&lt;&gt;"",Results!$K163&lt;&gt;"",Results!$F163&lt;&gt;Results!$H163,$F158&lt;&gt;"",$G158&lt;&gt;""),Results!$K163,"")</f>
        <v/>
      </c>
      <c r="J158" s="344" t="str">
        <f>IF(AND(Results!$L163&lt;&gt;"",Results!$N163&lt;&gt;"",Results!$F163&lt;&gt;Results!$H163,$F158&lt;&gt;"",$G158&lt;&gt;""),Results!$L163,"")</f>
        <v/>
      </c>
      <c r="K158" s="343" t="str">
        <f>IF(AND(Results!$L163&lt;&gt;"",Results!$N163&lt;&gt;"",Results!$F163&lt;&gt;Results!$H163,$F158&lt;&gt;"",$G158&lt;&gt;""),Results!$N163,"")</f>
        <v/>
      </c>
      <c r="L158" s="344" t="str">
        <f>IF(AND(Results!$O163&lt;&gt;"",Results!$Q163&lt;&gt;"",Results!$F163&lt;&gt;Results!$H163,$F158&lt;&gt;"",$G158&lt;&gt;""),Results!$O163,"")</f>
        <v/>
      </c>
      <c r="M158" s="122" t="str">
        <f>IF(AND(Results!$O163&lt;&gt;"",Results!$Q163&lt;&gt;"",Results!$F163&lt;&gt;Results!$H163,$F158&lt;&gt;"",$G158&lt;&gt;""),Results!$Q163,"")</f>
        <v/>
      </c>
      <c r="N158" s="16" t="str">
        <f>IF(Planning!$I161=0,F158&amp;G158,"")</f>
        <v/>
      </c>
      <c r="O158" s="122">
        <f>IF(AND(Results!$Z$6&gt;0,$E158-1&gt;=Results!$Z$6*Calc!$F$26),0,IF(AND(F158&lt;&gt;"",G158&lt;&gt;"",F158&lt;&gt;G158,Results!$R163&lt;&gt;"",Results!$T163&lt;&gt;""),1,0))</f>
        <v>0</v>
      </c>
      <c r="P158" s="122" t="str">
        <f>IF(AND(O158&gt;0,Planning!$I161=0),V158&amp;Language!$E$90&amp;W158,"")</f>
        <v/>
      </c>
      <c r="Q158" s="2" t="str">
        <f>IF(Planning!$I161=1,F158&amp;G158,"")</f>
        <v>1. FC KölnVfB Stuttgart</v>
      </c>
      <c r="R158" s="88" t="str">
        <f>IF(AND(O158&gt;0,Planning!$I161=1),V158&amp;Language!$E$90&amp;W158,"")</f>
        <v/>
      </c>
      <c r="S158" s="122" t="str">
        <f>IF(O158&gt;0,X158&amp;Language!$E$90&amp;Y158,"")</f>
        <v/>
      </c>
      <c r="T158" s="290">
        <f>IF($H158="",0,Results!$U163)</f>
        <v>0</v>
      </c>
      <c r="U158" s="291">
        <f>IF($I158="",0,Results!$V163)</f>
        <v>0</v>
      </c>
      <c r="V158" s="270" t="str">
        <f t="shared" si="4"/>
        <v/>
      </c>
      <c r="W158" s="291" t="str">
        <f t="shared" si="5"/>
        <v/>
      </c>
      <c r="X158" s="270">
        <f>IF($O158=0,0,IF(Results!$R163="",0,Results!$R163))</f>
        <v>0</v>
      </c>
      <c r="Y158" s="291">
        <f>IF($O158=0,0,IF(Results!$T163="",0,Results!$T163))</f>
        <v>0</v>
      </c>
      <c r="Z158" s="270" t="str">
        <f>IF($O158=0,"",IF($X158&gt;$Y158,Settings!$C$4,IF($X158=$Y158,1,0)))</f>
        <v/>
      </c>
      <c r="AA158" s="291" t="str">
        <f>IF($O158=0,"",IF($X158&lt;$Y158,Settings!$C$4,IF($X158=$Y158,1,0)))</f>
        <v/>
      </c>
    </row>
    <row r="159" spans="2:27" x14ac:dyDescent="0.2">
      <c r="E159" s="266">
        <v>156</v>
      </c>
      <c r="F159" s="171" t="str">
        <f>Planning!$Q162</f>
        <v>TSG Hoffenheim</v>
      </c>
      <c r="G159" s="348" t="str">
        <f>Planning!$S162</f>
        <v>1. FC Union Berlin</v>
      </c>
      <c r="H159" s="344" t="str">
        <f>IF(AND(Results!$I164&lt;&gt;"",Results!$K164&lt;&gt;"",Results!$F164&lt;&gt;Results!$H164,$F159&lt;&gt;"",$G159&lt;&gt;""),Results!$I164,"")</f>
        <v/>
      </c>
      <c r="I159" s="343" t="str">
        <f>IF(AND(Results!$I164&lt;&gt;"",Results!$K164&lt;&gt;"",Results!$F164&lt;&gt;Results!$H164,$F159&lt;&gt;"",$G159&lt;&gt;""),Results!$K164,"")</f>
        <v/>
      </c>
      <c r="J159" s="344" t="str">
        <f>IF(AND(Results!$L164&lt;&gt;"",Results!$N164&lt;&gt;"",Results!$F164&lt;&gt;Results!$H164,$F159&lt;&gt;"",$G159&lt;&gt;""),Results!$L164,"")</f>
        <v/>
      </c>
      <c r="K159" s="343" t="str">
        <f>IF(AND(Results!$L164&lt;&gt;"",Results!$N164&lt;&gt;"",Results!$F164&lt;&gt;Results!$H164,$F159&lt;&gt;"",$G159&lt;&gt;""),Results!$N164,"")</f>
        <v/>
      </c>
      <c r="L159" s="344" t="str">
        <f>IF(AND(Results!$O164&lt;&gt;"",Results!$Q164&lt;&gt;"",Results!$F164&lt;&gt;Results!$H164,$F159&lt;&gt;"",$G159&lt;&gt;""),Results!$O164,"")</f>
        <v/>
      </c>
      <c r="M159" s="122" t="str">
        <f>IF(AND(Results!$O164&lt;&gt;"",Results!$Q164&lt;&gt;"",Results!$F164&lt;&gt;Results!$H164,$F159&lt;&gt;"",$G159&lt;&gt;""),Results!$Q164,"")</f>
        <v/>
      </c>
      <c r="N159" s="16" t="str">
        <f>IF(Planning!$I162=0,F159&amp;G159,"")</f>
        <v/>
      </c>
      <c r="O159" s="122">
        <f>IF(AND(Results!$Z$6&gt;0,$E159-1&gt;=Results!$Z$6*Calc!$F$26),0,IF(AND(F159&lt;&gt;"",G159&lt;&gt;"",F159&lt;&gt;G159,Results!$R164&lt;&gt;"",Results!$T164&lt;&gt;""),1,0))</f>
        <v>0</v>
      </c>
      <c r="P159" s="122" t="str">
        <f>IF(AND(O159&gt;0,Planning!$I162=0),V159&amp;Language!$E$90&amp;W159,"")</f>
        <v/>
      </c>
      <c r="Q159" s="2" t="str">
        <f>IF(Planning!$I162=1,F159&amp;G159,"")</f>
        <v>TSG Hoffenheim1. FC Union Berlin</v>
      </c>
      <c r="R159" s="88" t="str">
        <f>IF(AND(O159&gt;0,Planning!$I162=1),V159&amp;Language!$E$90&amp;W159,"")</f>
        <v/>
      </c>
      <c r="S159" s="122" t="str">
        <f>IF(O159&gt;0,X159&amp;Language!$E$90&amp;Y159,"")</f>
        <v/>
      </c>
      <c r="T159" s="290">
        <f>IF($H159="",0,Results!$U164)</f>
        <v>0</v>
      </c>
      <c r="U159" s="291">
        <f>IF($I159="",0,Results!$V164)</f>
        <v>0</v>
      </c>
      <c r="V159" s="270" t="str">
        <f t="shared" si="4"/>
        <v/>
      </c>
      <c r="W159" s="291" t="str">
        <f t="shared" si="5"/>
        <v/>
      </c>
      <c r="X159" s="270">
        <f>IF($O159=0,0,IF(Results!$R164="",0,Results!$R164))</f>
        <v>0</v>
      </c>
      <c r="Y159" s="291">
        <f>IF($O159=0,0,IF(Results!$T164="",0,Results!$T164))</f>
        <v>0</v>
      </c>
      <c r="Z159" s="270" t="str">
        <f>IF($O159=0,"",IF($X159&gt;$Y159,Settings!$C$4,IF($X159=$Y159,1,0)))</f>
        <v/>
      </c>
      <c r="AA159" s="291" t="str">
        <f>IF($O159=0,"",IF($X159&lt;$Y159,Settings!$C$4,IF($X159=$Y159,1,0)))</f>
        <v/>
      </c>
    </row>
    <row r="160" spans="2:27" x14ac:dyDescent="0.2">
      <c r="E160" s="266">
        <v>157</v>
      </c>
      <c r="F160" s="171" t="str">
        <f>Planning!$Q163</f>
        <v>1. FSV Mainz 05</v>
      </c>
      <c r="G160" s="348" t="str">
        <f>Planning!$S163</f>
        <v>SV Werder Bremen</v>
      </c>
      <c r="H160" s="344" t="str">
        <f>IF(AND(Results!$I165&lt;&gt;"",Results!$K165&lt;&gt;"",Results!$F165&lt;&gt;Results!$H165,$F160&lt;&gt;"",$G160&lt;&gt;""),Results!$I165,"")</f>
        <v/>
      </c>
      <c r="I160" s="343" t="str">
        <f>IF(AND(Results!$I165&lt;&gt;"",Results!$K165&lt;&gt;"",Results!$F165&lt;&gt;Results!$H165,$F160&lt;&gt;"",$G160&lt;&gt;""),Results!$K165,"")</f>
        <v/>
      </c>
      <c r="J160" s="344" t="str">
        <f>IF(AND(Results!$L165&lt;&gt;"",Results!$N165&lt;&gt;"",Results!$F165&lt;&gt;Results!$H165,$F160&lt;&gt;"",$G160&lt;&gt;""),Results!$L165,"")</f>
        <v/>
      </c>
      <c r="K160" s="343" t="str">
        <f>IF(AND(Results!$L165&lt;&gt;"",Results!$N165&lt;&gt;"",Results!$F165&lt;&gt;Results!$H165,$F160&lt;&gt;"",$G160&lt;&gt;""),Results!$N165,"")</f>
        <v/>
      </c>
      <c r="L160" s="344" t="str">
        <f>IF(AND(Results!$O165&lt;&gt;"",Results!$Q165&lt;&gt;"",Results!$F165&lt;&gt;Results!$H165,$F160&lt;&gt;"",$G160&lt;&gt;""),Results!$O165,"")</f>
        <v/>
      </c>
      <c r="M160" s="122" t="str">
        <f>IF(AND(Results!$O165&lt;&gt;"",Results!$Q165&lt;&gt;"",Results!$F165&lt;&gt;Results!$H165,$F160&lt;&gt;"",$G160&lt;&gt;""),Results!$Q165,"")</f>
        <v/>
      </c>
      <c r="N160" s="16" t="str">
        <f>IF(Planning!$I163=0,F160&amp;G160,"")</f>
        <v/>
      </c>
      <c r="O160" s="122">
        <f>IF(AND(Results!$Z$6&gt;0,$E160-1&gt;=Results!$Z$6*Calc!$F$26),0,IF(AND(F160&lt;&gt;"",G160&lt;&gt;"",F160&lt;&gt;G160,Results!$R165&lt;&gt;"",Results!$T165&lt;&gt;""),1,0))</f>
        <v>0</v>
      </c>
      <c r="P160" s="122" t="str">
        <f>IF(AND(O160&gt;0,Planning!$I163=0),V160&amp;Language!$E$90&amp;W160,"")</f>
        <v/>
      </c>
      <c r="Q160" s="2" t="str">
        <f>IF(Planning!$I163=1,F160&amp;G160,"")</f>
        <v>1. FSV Mainz 05SV Werder Bremen</v>
      </c>
      <c r="R160" s="88" t="str">
        <f>IF(AND(O160&gt;0,Planning!$I163=1),V160&amp;Language!$E$90&amp;W160,"")</f>
        <v/>
      </c>
      <c r="S160" s="122" t="str">
        <f>IF(O160&gt;0,X160&amp;Language!$E$90&amp;Y160,"")</f>
        <v/>
      </c>
      <c r="T160" s="290">
        <f>IF($H160="",0,Results!$U165)</f>
        <v>0</v>
      </c>
      <c r="U160" s="291">
        <f>IF($I160="",0,Results!$V165)</f>
        <v>0</v>
      </c>
      <c r="V160" s="270" t="str">
        <f t="shared" si="4"/>
        <v/>
      </c>
      <c r="W160" s="291" t="str">
        <f t="shared" si="5"/>
        <v/>
      </c>
      <c r="X160" s="270">
        <f>IF($O160=0,0,IF(Results!$R165="",0,Results!$R165))</f>
        <v>0</v>
      </c>
      <c r="Y160" s="291">
        <f>IF($O160=0,0,IF(Results!$T165="",0,Results!$T165))</f>
        <v>0</v>
      </c>
      <c r="Z160" s="270" t="str">
        <f>IF($O160=0,"",IF($X160&gt;$Y160,Settings!$C$4,IF($X160=$Y160,1,0)))</f>
        <v/>
      </c>
      <c r="AA160" s="291" t="str">
        <f>IF($O160=0,"",IF($X160&lt;$Y160,Settings!$C$4,IF($X160=$Y160,1,0)))</f>
        <v/>
      </c>
    </row>
    <row r="161" spans="5:27" x14ac:dyDescent="0.2">
      <c r="E161" s="266">
        <v>158</v>
      </c>
      <c r="F161" s="171" t="str">
        <f>Planning!$Q164</f>
        <v>SC Freiburg</v>
      </c>
      <c r="G161" s="348" t="str">
        <f>Planning!$S164</f>
        <v>Bayer 04 Leverkusen</v>
      </c>
      <c r="H161" s="344" t="str">
        <f>IF(AND(Results!$I166&lt;&gt;"",Results!$K166&lt;&gt;"",Results!$F166&lt;&gt;Results!$H166,$F161&lt;&gt;"",$G161&lt;&gt;""),Results!$I166,"")</f>
        <v/>
      </c>
      <c r="I161" s="343" t="str">
        <f>IF(AND(Results!$I166&lt;&gt;"",Results!$K166&lt;&gt;"",Results!$F166&lt;&gt;Results!$H166,$F161&lt;&gt;"",$G161&lt;&gt;""),Results!$K166,"")</f>
        <v/>
      </c>
      <c r="J161" s="344" t="str">
        <f>IF(AND(Results!$L166&lt;&gt;"",Results!$N166&lt;&gt;"",Results!$F166&lt;&gt;Results!$H166,$F161&lt;&gt;"",$G161&lt;&gt;""),Results!$L166,"")</f>
        <v/>
      </c>
      <c r="K161" s="343" t="str">
        <f>IF(AND(Results!$L166&lt;&gt;"",Results!$N166&lt;&gt;"",Results!$F166&lt;&gt;Results!$H166,$F161&lt;&gt;"",$G161&lt;&gt;""),Results!$N166,"")</f>
        <v/>
      </c>
      <c r="L161" s="344" t="str">
        <f>IF(AND(Results!$O166&lt;&gt;"",Results!$Q166&lt;&gt;"",Results!$F166&lt;&gt;Results!$H166,$F161&lt;&gt;"",$G161&lt;&gt;""),Results!$O166,"")</f>
        <v/>
      </c>
      <c r="M161" s="122" t="str">
        <f>IF(AND(Results!$O166&lt;&gt;"",Results!$Q166&lt;&gt;"",Results!$F166&lt;&gt;Results!$H166,$F161&lt;&gt;"",$G161&lt;&gt;""),Results!$Q166,"")</f>
        <v/>
      </c>
      <c r="N161" s="16" t="str">
        <f>IF(Planning!$I164=0,F161&amp;G161,"")</f>
        <v/>
      </c>
      <c r="O161" s="122">
        <f>IF(AND(Results!$Z$6&gt;0,$E161-1&gt;=Results!$Z$6*Calc!$F$26),0,IF(AND(F161&lt;&gt;"",G161&lt;&gt;"",F161&lt;&gt;G161,Results!$R166&lt;&gt;"",Results!$T166&lt;&gt;""),1,0))</f>
        <v>0</v>
      </c>
      <c r="P161" s="122" t="str">
        <f>IF(AND(O161&gt;0,Planning!$I164=0),V161&amp;Language!$E$90&amp;W161,"")</f>
        <v/>
      </c>
      <c r="Q161" s="2" t="str">
        <f>IF(Planning!$I164=1,F161&amp;G161,"")</f>
        <v>SC FreiburgBayer 04 Leverkusen</v>
      </c>
      <c r="R161" s="88" t="str">
        <f>IF(AND(O161&gt;0,Planning!$I164=1),V161&amp;Language!$E$90&amp;W161,"")</f>
        <v/>
      </c>
      <c r="S161" s="122" t="str">
        <f>IF(O161&gt;0,X161&amp;Language!$E$90&amp;Y161,"")</f>
        <v/>
      </c>
      <c r="T161" s="290">
        <f>IF($H161="",0,Results!$U166)</f>
        <v>0</v>
      </c>
      <c r="U161" s="291">
        <f>IF($I161="",0,Results!$V166)</f>
        <v>0</v>
      </c>
      <c r="V161" s="270" t="str">
        <f t="shared" si="4"/>
        <v/>
      </c>
      <c r="W161" s="291" t="str">
        <f t="shared" si="5"/>
        <v/>
      </c>
      <c r="X161" s="270">
        <f>IF($O161=0,0,IF(Results!$R166="",0,Results!$R166))</f>
        <v>0</v>
      </c>
      <c r="Y161" s="291">
        <f>IF($O161=0,0,IF(Results!$T166="",0,Results!$T166))</f>
        <v>0</v>
      </c>
      <c r="Z161" s="270" t="str">
        <f>IF($O161=0,"",IF($X161&gt;$Y161,Settings!$C$4,IF($X161=$Y161,1,0)))</f>
        <v/>
      </c>
      <c r="AA161" s="291" t="str">
        <f>IF($O161=0,"",IF($X161&lt;$Y161,Settings!$C$4,IF($X161=$Y161,1,0)))</f>
        <v/>
      </c>
    </row>
    <row r="162" spans="5:27" x14ac:dyDescent="0.2">
      <c r="E162" s="266">
        <v>159</v>
      </c>
      <c r="F162" s="171" t="str">
        <f>Planning!$Q165</f>
        <v>Borussia Dortmund</v>
      </c>
      <c r="G162" s="348" t="str">
        <f>Planning!$S165</f>
        <v>RB Leipzig</v>
      </c>
      <c r="H162" s="344" t="str">
        <f>IF(AND(Results!$I167&lt;&gt;"",Results!$K167&lt;&gt;"",Results!$F167&lt;&gt;Results!$H167,$F162&lt;&gt;"",$G162&lt;&gt;""),Results!$I167,"")</f>
        <v/>
      </c>
      <c r="I162" s="343" t="str">
        <f>IF(AND(Results!$I167&lt;&gt;"",Results!$K167&lt;&gt;"",Results!$F167&lt;&gt;Results!$H167,$F162&lt;&gt;"",$G162&lt;&gt;""),Results!$K167,"")</f>
        <v/>
      </c>
      <c r="J162" s="344" t="str">
        <f>IF(AND(Results!$L167&lt;&gt;"",Results!$N167&lt;&gt;"",Results!$F167&lt;&gt;Results!$H167,$F162&lt;&gt;"",$G162&lt;&gt;""),Results!$L167,"")</f>
        <v/>
      </c>
      <c r="K162" s="343" t="str">
        <f>IF(AND(Results!$L167&lt;&gt;"",Results!$N167&lt;&gt;"",Results!$F167&lt;&gt;Results!$H167,$F162&lt;&gt;"",$G162&lt;&gt;""),Results!$N167,"")</f>
        <v/>
      </c>
      <c r="L162" s="344" t="str">
        <f>IF(AND(Results!$O167&lt;&gt;"",Results!$Q167&lt;&gt;"",Results!$F167&lt;&gt;Results!$H167,$F162&lt;&gt;"",$G162&lt;&gt;""),Results!$O167,"")</f>
        <v/>
      </c>
      <c r="M162" s="122" t="str">
        <f>IF(AND(Results!$O167&lt;&gt;"",Results!$Q167&lt;&gt;"",Results!$F167&lt;&gt;Results!$H167,$F162&lt;&gt;"",$G162&lt;&gt;""),Results!$Q167,"")</f>
        <v/>
      </c>
      <c r="N162" s="16" t="str">
        <f>IF(Planning!$I165=0,F162&amp;G162,"")</f>
        <v/>
      </c>
      <c r="O162" s="122">
        <f>IF(AND(Results!$Z$6&gt;0,$E162-1&gt;=Results!$Z$6*Calc!$F$26),0,IF(AND(F162&lt;&gt;"",G162&lt;&gt;"",F162&lt;&gt;G162,Results!$R167&lt;&gt;"",Results!$T167&lt;&gt;""),1,0))</f>
        <v>0</v>
      </c>
      <c r="P162" s="122" t="str">
        <f>IF(AND(O162&gt;0,Planning!$I165=0),V162&amp;Language!$E$90&amp;W162,"")</f>
        <v/>
      </c>
      <c r="Q162" s="2" t="str">
        <f>IF(Planning!$I165=1,F162&amp;G162,"")</f>
        <v>Borussia DortmundRB Leipzig</v>
      </c>
      <c r="R162" s="88" t="str">
        <f>IF(AND(O162&gt;0,Planning!$I165=1),V162&amp;Language!$E$90&amp;W162,"")</f>
        <v/>
      </c>
      <c r="S162" s="122" t="str">
        <f>IF(O162&gt;0,X162&amp;Language!$E$90&amp;Y162,"")</f>
        <v/>
      </c>
      <c r="T162" s="290">
        <f>IF($H162="",0,Results!$U167)</f>
        <v>0</v>
      </c>
      <c r="U162" s="291">
        <f>IF($I162="",0,Results!$V167)</f>
        <v>0</v>
      </c>
      <c r="V162" s="270" t="str">
        <f t="shared" si="4"/>
        <v/>
      </c>
      <c r="W162" s="291" t="str">
        <f t="shared" si="5"/>
        <v/>
      </c>
      <c r="X162" s="270">
        <f>IF($O162=0,0,IF(Results!$R167="",0,Results!$R167))</f>
        <v>0</v>
      </c>
      <c r="Y162" s="291">
        <f>IF($O162=0,0,IF(Results!$T167="",0,Results!$T167))</f>
        <v>0</v>
      </c>
      <c r="Z162" s="270" t="str">
        <f>IF($O162=0,"",IF($X162&gt;$Y162,Settings!$C$4,IF($X162=$Y162,1,0)))</f>
        <v/>
      </c>
      <c r="AA162" s="291" t="str">
        <f>IF($O162=0,"",IF($X162&lt;$Y162,Settings!$C$4,IF($X162=$Y162,1,0)))</f>
        <v/>
      </c>
    </row>
    <row r="163" spans="5:27" x14ac:dyDescent="0.2">
      <c r="E163" s="266">
        <v>160</v>
      </c>
      <c r="F163" s="171" t="str">
        <f>Planning!$Q166</f>
        <v>Hamburger SV</v>
      </c>
      <c r="G163" s="348" t="str">
        <f>Planning!$S166</f>
        <v>Borussia Mönchengladbach</v>
      </c>
      <c r="H163" s="344" t="str">
        <f>IF(AND(Results!$I168&lt;&gt;"",Results!$K168&lt;&gt;"",Results!$F168&lt;&gt;Results!$H168,$F163&lt;&gt;"",$G163&lt;&gt;""),Results!$I168,"")</f>
        <v/>
      </c>
      <c r="I163" s="343" t="str">
        <f>IF(AND(Results!$I168&lt;&gt;"",Results!$K168&lt;&gt;"",Results!$F168&lt;&gt;Results!$H168,$F163&lt;&gt;"",$G163&lt;&gt;""),Results!$K168,"")</f>
        <v/>
      </c>
      <c r="J163" s="344" t="str">
        <f>IF(AND(Results!$L168&lt;&gt;"",Results!$N168&lt;&gt;"",Results!$F168&lt;&gt;Results!$H168,$F163&lt;&gt;"",$G163&lt;&gt;""),Results!$L168,"")</f>
        <v/>
      </c>
      <c r="K163" s="343" t="str">
        <f>IF(AND(Results!$L168&lt;&gt;"",Results!$N168&lt;&gt;"",Results!$F168&lt;&gt;Results!$H168,$F163&lt;&gt;"",$G163&lt;&gt;""),Results!$N168,"")</f>
        <v/>
      </c>
      <c r="L163" s="344" t="str">
        <f>IF(AND(Results!$O168&lt;&gt;"",Results!$Q168&lt;&gt;"",Results!$F168&lt;&gt;Results!$H168,$F163&lt;&gt;"",$G163&lt;&gt;""),Results!$O168,"")</f>
        <v/>
      </c>
      <c r="M163" s="122" t="str">
        <f>IF(AND(Results!$O168&lt;&gt;"",Results!$Q168&lt;&gt;"",Results!$F168&lt;&gt;Results!$H168,$F163&lt;&gt;"",$G163&lt;&gt;""),Results!$Q168,"")</f>
        <v/>
      </c>
      <c r="N163" s="16" t="str">
        <f>IF(Planning!$I166=0,F163&amp;G163,"")</f>
        <v/>
      </c>
      <c r="O163" s="122">
        <f>IF(AND(Results!$Z$6&gt;0,$E163-1&gt;=Results!$Z$6*Calc!$F$26),0,IF(AND(F163&lt;&gt;"",G163&lt;&gt;"",F163&lt;&gt;G163,Results!$R168&lt;&gt;"",Results!$T168&lt;&gt;""),1,0))</f>
        <v>0</v>
      </c>
      <c r="P163" s="122" t="str">
        <f>IF(AND(O163&gt;0,Planning!$I166=0),V163&amp;Language!$E$90&amp;W163,"")</f>
        <v/>
      </c>
      <c r="Q163" s="2" t="str">
        <f>IF(Planning!$I166=1,F163&amp;G163,"")</f>
        <v>Hamburger SVBorussia Mönchengladbach</v>
      </c>
      <c r="R163" s="88" t="str">
        <f>IF(AND(O163&gt;0,Planning!$I166=1),V163&amp;Language!$E$90&amp;W163,"")</f>
        <v/>
      </c>
      <c r="S163" s="122" t="str">
        <f>IF(O163&gt;0,X163&amp;Language!$E$90&amp;Y163,"")</f>
        <v/>
      </c>
      <c r="T163" s="290">
        <f>IF($H163="",0,Results!$U168)</f>
        <v>0</v>
      </c>
      <c r="U163" s="291">
        <f>IF($I163="",0,Results!$V168)</f>
        <v>0</v>
      </c>
      <c r="V163" s="270" t="str">
        <f t="shared" si="4"/>
        <v/>
      </c>
      <c r="W163" s="291" t="str">
        <f t="shared" si="5"/>
        <v/>
      </c>
      <c r="X163" s="270">
        <f>IF($O163=0,0,IF(Results!$R168="",0,Results!$R168))</f>
        <v>0</v>
      </c>
      <c r="Y163" s="291">
        <f>IF($O163=0,0,IF(Results!$T168="",0,Results!$T168))</f>
        <v>0</v>
      </c>
      <c r="Z163" s="270" t="str">
        <f>IF($O163=0,"",IF($X163&gt;$Y163,Settings!$C$4,IF($X163=$Y163,1,0)))</f>
        <v/>
      </c>
      <c r="AA163" s="291" t="str">
        <f>IF($O163=0,"",IF($X163&lt;$Y163,Settings!$C$4,IF($X163=$Y163,1,0)))</f>
        <v/>
      </c>
    </row>
    <row r="164" spans="5:27" x14ac:dyDescent="0.2">
      <c r="E164" s="266">
        <v>161</v>
      </c>
      <c r="F164" s="171" t="str">
        <f>Planning!$Q167</f>
        <v>Eintracht Frankfurt</v>
      </c>
      <c r="G164" s="348" t="str">
        <f>Planning!$S167</f>
        <v>FC St. Pauli</v>
      </c>
      <c r="H164" s="344" t="str">
        <f>IF(AND(Results!$I169&lt;&gt;"",Results!$K169&lt;&gt;"",Results!$F169&lt;&gt;Results!$H169,$F164&lt;&gt;"",$G164&lt;&gt;""),Results!$I169,"")</f>
        <v/>
      </c>
      <c r="I164" s="343" t="str">
        <f>IF(AND(Results!$I169&lt;&gt;"",Results!$K169&lt;&gt;"",Results!$F169&lt;&gt;Results!$H169,$F164&lt;&gt;"",$G164&lt;&gt;""),Results!$K169,"")</f>
        <v/>
      </c>
      <c r="J164" s="344" t="str">
        <f>IF(AND(Results!$L169&lt;&gt;"",Results!$N169&lt;&gt;"",Results!$F169&lt;&gt;Results!$H169,$F164&lt;&gt;"",$G164&lt;&gt;""),Results!$L169,"")</f>
        <v/>
      </c>
      <c r="K164" s="343" t="str">
        <f>IF(AND(Results!$L169&lt;&gt;"",Results!$N169&lt;&gt;"",Results!$F169&lt;&gt;Results!$H169,$F164&lt;&gt;"",$G164&lt;&gt;""),Results!$N169,"")</f>
        <v/>
      </c>
      <c r="L164" s="344" t="str">
        <f>IF(AND(Results!$O169&lt;&gt;"",Results!$Q169&lt;&gt;"",Results!$F169&lt;&gt;Results!$H169,$F164&lt;&gt;"",$G164&lt;&gt;""),Results!$O169,"")</f>
        <v/>
      </c>
      <c r="M164" s="122" t="str">
        <f>IF(AND(Results!$O169&lt;&gt;"",Results!$Q169&lt;&gt;"",Results!$F169&lt;&gt;Results!$H169,$F164&lt;&gt;"",$G164&lt;&gt;""),Results!$Q169,"")</f>
        <v/>
      </c>
      <c r="N164" s="16" t="str">
        <f>IF(Planning!$I167=0,F164&amp;G164,"")</f>
        <v/>
      </c>
      <c r="O164" s="122">
        <f>IF(AND(Results!$Z$6&gt;0,$E164-1&gt;=Results!$Z$6*Calc!$F$26),0,IF(AND(F164&lt;&gt;"",G164&lt;&gt;"",F164&lt;&gt;G164,Results!$R169&lt;&gt;"",Results!$T169&lt;&gt;""),1,0))</f>
        <v>0</v>
      </c>
      <c r="P164" s="122" t="str">
        <f>IF(AND(O164&gt;0,Planning!$I167=0),V164&amp;Language!$E$90&amp;W164,"")</f>
        <v/>
      </c>
      <c r="Q164" s="2" t="str">
        <f>IF(Planning!$I167=1,F164&amp;G164,"")</f>
        <v>Eintracht FrankfurtFC St. Pauli</v>
      </c>
      <c r="R164" s="88" t="str">
        <f>IF(AND(O164&gt;0,Planning!$I167=1),V164&amp;Language!$E$90&amp;W164,"")</f>
        <v/>
      </c>
      <c r="S164" s="122" t="str">
        <f>IF(O164&gt;0,X164&amp;Language!$E$90&amp;Y164,"")</f>
        <v/>
      </c>
      <c r="T164" s="290">
        <f>IF($H164="",0,Results!$U169)</f>
        <v>0</v>
      </c>
      <c r="U164" s="291">
        <f>IF($I164="",0,Results!$V169)</f>
        <v>0</v>
      </c>
      <c r="V164" s="270" t="str">
        <f t="shared" si="4"/>
        <v/>
      </c>
      <c r="W164" s="291" t="str">
        <f t="shared" si="5"/>
        <v/>
      </c>
      <c r="X164" s="270">
        <f>IF($O164=0,0,IF(Results!$R169="",0,Results!$R169))</f>
        <v>0</v>
      </c>
      <c r="Y164" s="291">
        <f>IF($O164=0,0,IF(Results!$T169="",0,Results!$T169))</f>
        <v>0</v>
      </c>
      <c r="Z164" s="270" t="str">
        <f>IF($O164=0,"",IF($X164&gt;$Y164,Settings!$C$4,IF($X164=$Y164,1,0)))</f>
        <v/>
      </c>
      <c r="AA164" s="291" t="str">
        <f>IF($O164=0,"",IF($X164&lt;$Y164,Settings!$C$4,IF($X164=$Y164,1,0)))</f>
        <v/>
      </c>
    </row>
    <row r="165" spans="5:27" x14ac:dyDescent="0.2">
      <c r="E165" s="266">
        <v>162</v>
      </c>
      <c r="F165" s="171" t="str">
        <f>Planning!$Q168</f>
        <v>FC Bayern München</v>
      </c>
      <c r="G165" s="348" t="str">
        <f>Planning!$S168</f>
        <v>FC Augsburg</v>
      </c>
      <c r="H165" s="344" t="str">
        <f>IF(AND(Results!$I170&lt;&gt;"",Results!$K170&lt;&gt;"",Results!$F170&lt;&gt;Results!$H170,$F165&lt;&gt;"",$G165&lt;&gt;""),Results!$I170,"")</f>
        <v/>
      </c>
      <c r="I165" s="343" t="str">
        <f>IF(AND(Results!$I170&lt;&gt;"",Results!$K170&lt;&gt;"",Results!$F170&lt;&gt;Results!$H170,$F165&lt;&gt;"",$G165&lt;&gt;""),Results!$K170,"")</f>
        <v/>
      </c>
      <c r="J165" s="344" t="str">
        <f>IF(AND(Results!$L170&lt;&gt;"",Results!$N170&lt;&gt;"",Results!$F170&lt;&gt;Results!$H170,$F165&lt;&gt;"",$G165&lt;&gt;""),Results!$L170,"")</f>
        <v/>
      </c>
      <c r="K165" s="343" t="str">
        <f>IF(AND(Results!$L170&lt;&gt;"",Results!$N170&lt;&gt;"",Results!$F170&lt;&gt;Results!$H170,$F165&lt;&gt;"",$G165&lt;&gt;""),Results!$N170,"")</f>
        <v/>
      </c>
      <c r="L165" s="344" t="str">
        <f>IF(AND(Results!$O170&lt;&gt;"",Results!$Q170&lt;&gt;"",Results!$F170&lt;&gt;Results!$H170,$F165&lt;&gt;"",$G165&lt;&gt;""),Results!$O170,"")</f>
        <v/>
      </c>
      <c r="M165" s="122" t="str">
        <f>IF(AND(Results!$O170&lt;&gt;"",Results!$Q170&lt;&gt;"",Results!$F170&lt;&gt;Results!$H170,$F165&lt;&gt;"",$G165&lt;&gt;""),Results!$Q170,"")</f>
        <v/>
      </c>
      <c r="N165" s="16" t="str">
        <f>IF(Planning!$I168=0,F165&amp;G165,"")</f>
        <v/>
      </c>
      <c r="O165" s="122">
        <f>IF(AND(Results!$Z$6&gt;0,$E165-1&gt;=Results!$Z$6*Calc!$F$26),0,IF(AND(F165&lt;&gt;"",G165&lt;&gt;"",F165&lt;&gt;G165,Results!$R170&lt;&gt;"",Results!$T170&lt;&gt;""),1,0))</f>
        <v>0</v>
      </c>
      <c r="P165" s="122" t="str">
        <f>IF(AND(O165&gt;0,Planning!$I168=0),V165&amp;Language!$E$90&amp;W165,"")</f>
        <v/>
      </c>
      <c r="Q165" s="2" t="str">
        <f>IF(Planning!$I168=1,F165&amp;G165,"")</f>
        <v>FC Bayern MünchenFC Augsburg</v>
      </c>
      <c r="R165" s="88" t="str">
        <f>IF(AND(O165&gt;0,Planning!$I168=1),V165&amp;Language!$E$90&amp;W165,"")</f>
        <v/>
      </c>
      <c r="S165" s="122" t="str">
        <f>IF(O165&gt;0,X165&amp;Language!$E$90&amp;Y165,"")</f>
        <v/>
      </c>
      <c r="T165" s="290">
        <f>IF($H165="",0,Results!$U170)</f>
        <v>0</v>
      </c>
      <c r="U165" s="291">
        <f>IF($I165="",0,Results!$V170)</f>
        <v>0</v>
      </c>
      <c r="V165" s="270" t="str">
        <f t="shared" si="4"/>
        <v/>
      </c>
      <c r="W165" s="291" t="str">
        <f t="shared" si="5"/>
        <v/>
      </c>
      <c r="X165" s="270">
        <f>IF($O165=0,0,IF(Results!$R170="",0,Results!$R170))</f>
        <v>0</v>
      </c>
      <c r="Y165" s="291">
        <f>IF($O165=0,0,IF(Results!$T170="",0,Results!$T170))</f>
        <v>0</v>
      </c>
      <c r="Z165" s="270" t="str">
        <f>IF($O165=0,"",IF($X165&gt;$Y165,Settings!$C$4,IF($X165=$Y165,1,0)))</f>
        <v/>
      </c>
      <c r="AA165" s="291" t="str">
        <f>IF($O165=0,"",IF($X165&lt;$Y165,Settings!$C$4,IF($X165=$Y165,1,0)))</f>
        <v/>
      </c>
    </row>
    <row r="166" spans="5:27" x14ac:dyDescent="0.2">
      <c r="E166" s="266">
        <v>163</v>
      </c>
      <c r="F166" s="171" t="str">
        <f>Planning!$Q169</f>
        <v>1. FC Heidenheim 1846</v>
      </c>
      <c r="G166" s="348" t="str">
        <f>Planning!$S169</f>
        <v>VfB Stuttgart</v>
      </c>
      <c r="H166" s="344" t="str">
        <f>IF(AND(Results!$I171&lt;&gt;"",Results!$K171&lt;&gt;"",Results!$F171&lt;&gt;Results!$H171,$F166&lt;&gt;"",$G166&lt;&gt;""),Results!$I171,"")</f>
        <v/>
      </c>
      <c r="I166" s="343" t="str">
        <f>IF(AND(Results!$I171&lt;&gt;"",Results!$K171&lt;&gt;"",Results!$F171&lt;&gt;Results!$H171,$F166&lt;&gt;"",$G166&lt;&gt;""),Results!$K171,"")</f>
        <v/>
      </c>
      <c r="J166" s="344" t="str">
        <f>IF(AND(Results!$L171&lt;&gt;"",Results!$N171&lt;&gt;"",Results!$F171&lt;&gt;Results!$H171,$F166&lt;&gt;"",$G166&lt;&gt;""),Results!$L171,"")</f>
        <v/>
      </c>
      <c r="K166" s="343" t="str">
        <f>IF(AND(Results!$L171&lt;&gt;"",Results!$N171&lt;&gt;"",Results!$F171&lt;&gt;Results!$H171,$F166&lt;&gt;"",$G166&lt;&gt;""),Results!$N171,"")</f>
        <v/>
      </c>
      <c r="L166" s="344" t="str">
        <f>IF(AND(Results!$O171&lt;&gt;"",Results!$Q171&lt;&gt;"",Results!$F171&lt;&gt;Results!$H171,$F166&lt;&gt;"",$G166&lt;&gt;""),Results!$O171,"")</f>
        <v/>
      </c>
      <c r="M166" s="122" t="str">
        <f>IF(AND(Results!$O171&lt;&gt;"",Results!$Q171&lt;&gt;"",Results!$F171&lt;&gt;Results!$H171,$F166&lt;&gt;"",$G166&lt;&gt;""),Results!$Q171,"")</f>
        <v/>
      </c>
      <c r="N166" s="16" t="str">
        <f>IF(Planning!$I169=0,F166&amp;G166,"")</f>
        <v/>
      </c>
      <c r="O166" s="122">
        <f>IF(AND(Results!$Z$6&gt;0,$E166-1&gt;=Results!$Z$6*Calc!$F$26),0,IF(AND(F166&lt;&gt;"",G166&lt;&gt;"",F166&lt;&gt;G166,Results!$R171&lt;&gt;"",Results!$T171&lt;&gt;""),1,0))</f>
        <v>0</v>
      </c>
      <c r="P166" s="122" t="str">
        <f>IF(AND(O166&gt;0,Planning!$I169=0),V166&amp;Language!$E$90&amp;W166,"")</f>
        <v/>
      </c>
      <c r="Q166" s="2" t="str">
        <f>IF(Planning!$I169=1,F166&amp;G166,"")</f>
        <v>1. FC Heidenheim 1846VfB Stuttgart</v>
      </c>
      <c r="R166" s="88" t="str">
        <f>IF(AND(O166&gt;0,Planning!$I169=1),V166&amp;Language!$E$90&amp;W166,"")</f>
        <v/>
      </c>
      <c r="S166" s="122" t="str">
        <f>IF(O166&gt;0,X166&amp;Language!$E$90&amp;Y166,"")</f>
        <v/>
      </c>
      <c r="T166" s="290">
        <f>IF($H166="",0,Results!$U171)</f>
        <v>0</v>
      </c>
      <c r="U166" s="291">
        <f>IF($I166="",0,Results!$V171)</f>
        <v>0</v>
      </c>
      <c r="V166" s="270" t="str">
        <f t="shared" si="4"/>
        <v/>
      </c>
      <c r="W166" s="291" t="str">
        <f t="shared" si="5"/>
        <v/>
      </c>
      <c r="X166" s="270">
        <f>IF($O166=0,0,IF(Results!$R171="",0,Results!$R171))</f>
        <v>0</v>
      </c>
      <c r="Y166" s="291">
        <f>IF($O166=0,0,IF(Results!$T171="",0,Results!$T171))</f>
        <v>0</v>
      </c>
      <c r="Z166" s="270" t="str">
        <f>IF($O166=0,"",IF($X166&gt;$Y166,Settings!$C$4,IF($X166=$Y166,1,0)))</f>
        <v/>
      </c>
      <c r="AA166" s="291" t="str">
        <f>IF($O166=0,"",IF($X166&lt;$Y166,Settings!$C$4,IF($X166=$Y166,1,0)))</f>
        <v/>
      </c>
    </row>
    <row r="167" spans="5:27" x14ac:dyDescent="0.2">
      <c r="E167" s="266">
        <v>164</v>
      </c>
      <c r="F167" s="171" t="str">
        <f>Planning!$Q170</f>
        <v>VfL Wolfsburg</v>
      </c>
      <c r="G167" s="348" t="str">
        <f>Planning!$S170</f>
        <v>TSG Hoffenheim</v>
      </c>
      <c r="H167" s="344" t="str">
        <f>IF(AND(Results!$I172&lt;&gt;"",Results!$K172&lt;&gt;"",Results!$F172&lt;&gt;Results!$H172,$F167&lt;&gt;"",$G167&lt;&gt;""),Results!$I172,"")</f>
        <v/>
      </c>
      <c r="I167" s="343" t="str">
        <f>IF(AND(Results!$I172&lt;&gt;"",Results!$K172&lt;&gt;"",Results!$F172&lt;&gt;Results!$H172,$F167&lt;&gt;"",$G167&lt;&gt;""),Results!$K172,"")</f>
        <v/>
      </c>
      <c r="J167" s="344" t="str">
        <f>IF(AND(Results!$L172&lt;&gt;"",Results!$N172&lt;&gt;"",Results!$F172&lt;&gt;Results!$H172,$F167&lt;&gt;"",$G167&lt;&gt;""),Results!$L172,"")</f>
        <v/>
      </c>
      <c r="K167" s="343" t="str">
        <f>IF(AND(Results!$L172&lt;&gt;"",Results!$N172&lt;&gt;"",Results!$F172&lt;&gt;Results!$H172,$F167&lt;&gt;"",$G167&lt;&gt;""),Results!$N172,"")</f>
        <v/>
      </c>
      <c r="L167" s="344" t="str">
        <f>IF(AND(Results!$O172&lt;&gt;"",Results!$Q172&lt;&gt;"",Results!$F172&lt;&gt;Results!$H172,$F167&lt;&gt;"",$G167&lt;&gt;""),Results!$O172,"")</f>
        <v/>
      </c>
      <c r="M167" s="122" t="str">
        <f>IF(AND(Results!$O172&lt;&gt;"",Results!$Q172&lt;&gt;"",Results!$F172&lt;&gt;Results!$H172,$F167&lt;&gt;"",$G167&lt;&gt;""),Results!$Q172,"")</f>
        <v/>
      </c>
      <c r="N167" s="16" t="str">
        <f>IF(Planning!$I170=0,F167&amp;G167,"")</f>
        <v/>
      </c>
      <c r="O167" s="122">
        <f>IF(AND(Results!$Z$6&gt;0,$E167-1&gt;=Results!$Z$6*Calc!$F$26),0,IF(AND(F167&lt;&gt;"",G167&lt;&gt;"",F167&lt;&gt;G167,Results!$R172&lt;&gt;"",Results!$T172&lt;&gt;""),1,0))</f>
        <v>0</v>
      </c>
      <c r="P167" s="122" t="str">
        <f>IF(AND(O167&gt;0,Planning!$I170=0),V167&amp;Language!$E$90&amp;W167,"")</f>
        <v/>
      </c>
      <c r="Q167" s="2" t="str">
        <f>IF(Planning!$I170=1,F167&amp;G167,"")</f>
        <v>VfL WolfsburgTSG Hoffenheim</v>
      </c>
      <c r="R167" s="88" t="str">
        <f>IF(AND(O167&gt;0,Planning!$I170=1),V167&amp;Language!$E$90&amp;W167,"")</f>
        <v/>
      </c>
      <c r="S167" s="122" t="str">
        <f>IF(O167&gt;0,X167&amp;Language!$E$90&amp;Y167,"")</f>
        <v/>
      </c>
      <c r="T167" s="290">
        <f>IF($H167="",0,Results!$U172)</f>
        <v>0</v>
      </c>
      <c r="U167" s="291">
        <f>IF($I167="",0,Results!$V172)</f>
        <v>0</v>
      </c>
      <c r="V167" s="270" t="str">
        <f t="shared" si="4"/>
        <v/>
      </c>
      <c r="W167" s="291" t="str">
        <f t="shared" si="5"/>
        <v/>
      </c>
      <c r="X167" s="270">
        <f>IF($O167=0,0,IF(Results!$R172="",0,Results!$R172))</f>
        <v>0</v>
      </c>
      <c r="Y167" s="291">
        <f>IF($O167=0,0,IF(Results!$T172="",0,Results!$T172))</f>
        <v>0</v>
      </c>
      <c r="Z167" s="270" t="str">
        <f>IF($O167=0,"",IF($X167&gt;$Y167,Settings!$C$4,IF($X167=$Y167,1,0)))</f>
        <v/>
      </c>
      <c r="AA167" s="291" t="str">
        <f>IF($O167=0,"",IF($X167&lt;$Y167,Settings!$C$4,IF($X167=$Y167,1,0)))</f>
        <v/>
      </c>
    </row>
    <row r="168" spans="5:27" x14ac:dyDescent="0.2">
      <c r="E168" s="266">
        <v>165</v>
      </c>
      <c r="F168" s="171" t="str">
        <f>Planning!$Q171</f>
        <v>SV Werder Bremen</v>
      </c>
      <c r="G168" s="348" t="str">
        <f>Planning!$S171</f>
        <v>1. FC Köln</v>
      </c>
      <c r="H168" s="344" t="str">
        <f>IF(AND(Results!$I173&lt;&gt;"",Results!$K173&lt;&gt;"",Results!$F173&lt;&gt;Results!$H173,$F168&lt;&gt;"",$G168&lt;&gt;""),Results!$I173,"")</f>
        <v/>
      </c>
      <c r="I168" s="343" t="str">
        <f>IF(AND(Results!$I173&lt;&gt;"",Results!$K173&lt;&gt;"",Results!$F173&lt;&gt;Results!$H173,$F168&lt;&gt;"",$G168&lt;&gt;""),Results!$K173,"")</f>
        <v/>
      </c>
      <c r="J168" s="344" t="str">
        <f>IF(AND(Results!$L173&lt;&gt;"",Results!$N173&lt;&gt;"",Results!$F173&lt;&gt;Results!$H173,$F168&lt;&gt;"",$G168&lt;&gt;""),Results!$L173,"")</f>
        <v/>
      </c>
      <c r="K168" s="343" t="str">
        <f>IF(AND(Results!$L173&lt;&gt;"",Results!$N173&lt;&gt;"",Results!$F173&lt;&gt;Results!$H173,$F168&lt;&gt;"",$G168&lt;&gt;""),Results!$N173,"")</f>
        <v/>
      </c>
      <c r="L168" s="344" t="str">
        <f>IF(AND(Results!$O173&lt;&gt;"",Results!$Q173&lt;&gt;"",Results!$F173&lt;&gt;Results!$H173,$F168&lt;&gt;"",$G168&lt;&gt;""),Results!$O173,"")</f>
        <v/>
      </c>
      <c r="M168" s="122" t="str">
        <f>IF(AND(Results!$O173&lt;&gt;"",Results!$Q173&lt;&gt;"",Results!$F173&lt;&gt;Results!$H173,$F168&lt;&gt;"",$G168&lt;&gt;""),Results!$Q173,"")</f>
        <v/>
      </c>
      <c r="N168" s="16" t="str">
        <f>IF(Planning!$I171=0,F168&amp;G168,"")</f>
        <v/>
      </c>
      <c r="O168" s="122">
        <f>IF(AND(Results!$Z$6&gt;0,$E168-1&gt;=Results!$Z$6*Calc!$F$26),0,IF(AND(F168&lt;&gt;"",G168&lt;&gt;"",F168&lt;&gt;G168,Results!$R173&lt;&gt;"",Results!$T173&lt;&gt;""),1,0))</f>
        <v>0</v>
      </c>
      <c r="P168" s="122" t="str">
        <f>IF(AND(O168&gt;0,Planning!$I171=0),V168&amp;Language!$E$90&amp;W168,"")</f>
        <v/>
      </c>
      <c r="Q168" s="2" t="str">
        <f>IF(Planning!$I171=1,F168&amp;G168,"")</f>
        <v>SV Werder Bremen1. FC Köln</v>
      </c>
      <c r="R168" s="88" t="str">
        <f>IF(AND(O168&gt;0,Planning!$I171=1),V168&amp;Language!$E$90&amp;W168,"")</f>
        <v/>
      </c>
      <c r="S168" s="122" t="str">
        <f>IF(O168&gt;0,X168&amp;Language!$E$90&amp;Y168,"")</f>
        <v/>
      </c>
      <c r="T168" s="290">
        <f>IF($H168="",0,Results!$U173)</f>
        <v>0</v>
      </c>
      <c r="U168" s="291">
        <f>IF($I168="",0,Results!$V173)</f>
        <v>0</v>
      </c>
      <c r="V168" s="270" t="str">
        <f t="shared" si="4"/>
        <v/>
      </c>
      <c r="W168" s="291" t="str">
        <f t="shared" si="5"/>
        <v/>
      </c>
      <c r="X168" s="270">
        <f>IF($O168=0,0,IF(Results!$R173="",0,Results!$R173))</f>
        <v>0</v>
      </c>
      <c r="Y168" s="291">
        <f>IF($O168=0,0,IF(Results!$T173="",0,Results!$T173))</f>
        <v>0</v>
      </c>
      <c r="Z168" s="270" t="str">
        <f>IF($O168=0,"",IF($X168&gt;$Y168,Settings!$C$4,IF($X168=$Y168,1,0)))</f>
        <v/>
      </c>
      <c r="AA168" s="291" t="str">
        <f>IF($O168=0,"",IF($X168&lt;$Y168,Settings!$C$4,IF($X168=$Y168,1,0)))</f>
        <v/>
      </c>
    </row>
    <row r="169" spans="5:27" x14ac:dyDescent="0.2">
      <c r="E169" s="266">
        <v>166</v>
      </c>
      <c r="F169" s="171" t="str">
        <f>Planning!$Q172</f>
        <v>1. FC Union Berlin</v>
      </c>
      <c r="G169" s="348" t="str">
        <f>Planning!$S172</f>
        <v>SC Freiburg</v>
      </c>
      <c r="H169" s="344" t="str">
        <f>IF(AND(Results!$I174&lt;&gt;"",Results!$K174&lt;&gt;"",Results!$F174&lt;&gt;Results!$H174,$F169&lt;&gt;"",$G169&lt;&gt;""),Results!$I174,"")</f>
        <v/>
      </c>
      <c r="I169" s="343" t="str">
        <f>IF(AND(Results!$I174&lt;&gt;"",Results!$K174&lt;&gt;"",Results!$F174&lt;&gt;Results!$H174,$F169&lt;&gt;"",$G169&lt;&gt;""),Results!$K174,"")</f>
        <v/>
      </c>
      <c r="J169" s="344" t="str">
        <f>IF(AND(Results!$L174&lt;&gt;"",Results!$N174&lt;&gt;"",Results!$F174&lt;&gt;Results!$H174,$F169&lt;&gt;"",$G169&lt;&gt;""),Results!$L174,"")</f>
        <v/>
      </c>
      <c r="K169" s="343" t="str">
        <f>IF(AND(Results!$L174&lt;&gt;"",Results!$N174&lt;&gt;"",Results!$F174&lt;&gt;Results!$H174,$F169&lt;&gt;"",$G169&lt;&gt;""),Results!$N174,"")</f>
        <v/>
      </c>
      <c r="L169" s="344" t="str">
        <f>IF(AND(Results!$O174&lt;&gt;"",Results!$Q174&lt;&gt;"",Results!$F174&lt;&gt;Results!$H174,$F169&lt;&gt;"",$G169&lt;&gt;""),Results!$O174,"")</f>
        <v/>
      </c>
      <c r="M169" s="122" t="str">
        <f>IF(AND(Results!$O174&lt;&gt;"",Results!$Q174&lt;&gt;"",Results!$F174&lt;&gt;Results!$H174,$F169&lt;&gt;"",$G169&lt;&gt;""),Results!$Q174,"")</f>
        <v/>
      </c>
      <c r="N169" s="16" t="str">
        <f>IF(Planning!$I172=0,F169&amp;G169,"")</f>
        <v/>
      </c>
      <c r="O169" s="122">
        <f>IF(AND(Results!$Z$6&gt;0,$E169-1&gt;=Results!$Z$6*Calc!$F$26),0,IF(AND(F169&lt;&gt;"",G169&lt;&gt;"",F169&lt;&gt;G169,Results!$R174&lt;&gt;"",Results!$T174&lt;&gt;""),1,0))</f>
        <v>0</v>
      </c>
      <c r="P169" s="122" t="str">
        <f>IF(AND(O169&gt;0,Planning!$I172=0),V169&amp;Language!$E$90&amp;W169,"")</f>
        <v/>
      </c>
      <c r="Q169" s="2" t="str">
        <f>IF(Planning!$I172=1,F169&amp;G169,"")</f>
        <v>1. FC Union BerlinSC Freiburg</v>
      </c>
      <c r="R169" s="88" t="str">
        <f>IF(AND(O169&gt;0,Planning!$I172=1),V169&amp;Language!$E$90&amp;W169,"")</f>
        <v/>
      </c>
      <c r="S169" s="122" t="str">
        <f>IF(O169&gt;0,X169&amp;Language!$E$90&amp;Y169,"")</f>
        <v/>
      </c>
      <c r="T169" s="290">
        <f>IF($H169="",0,Results!$U174)</f>
        <v>0</v>
      </c>
      <c r="U169" s="291">
        <f>IF($I169="",0,Results!$V174)</f>
        <v>0</v>
      </c>
      <c r="V169" s="270" t="str">
        <f t="shared" si="4"/>
        <v/>
      </c>
      <c r="W169" s="291" t="str">
        <f t="shared" si="5"/>
        <v/>
      </c>
      <c r="X169" s="270">
        <f>IF($O169=0,0,IF(Results!$R174="",0,Results!$R174))</f>
        <v>0</v>
      </c>
      <c r="Y169" s="291">
        <f>IF($O169=0,0,IF(Results!$T174="",0,Results!$T174))</f>
        <v>0</v>
      </c>
      <c r="Z169" s="270" t="str">
        <f>IF($O169=0,"",IF($X169&gt;$Y169,Settings!$C$4,IF($X169=$Y169,1,0)))</f>
        <v/>
      </c>
      <c r="AA169" s="291" t="str">
        <f>IF($O169=0,"",IF($X169&lt;$Y169,Settings!$C$4,IF($X169=$Y169,1,0)))</f>
        <v/>
      </c>
    </row>
    <row r="170" spans="5:27" x14ac:dyDescent="0.2">
      <c r="E170" s="266">
        <v>167</v>
      </c>
      <c r="F170" s="171" t="str">
        <f>Planning!$Q173</f>
        <v>RB Leipzig</v>
      </c>
      <c r="G170" s="348" t="str">
        <f>Planning!$S173</f>
        <v>1. FSV Mainz 05</v>
      </c>
      <c r="H170" s="344" t="str">
        <f>IF(AND(Results!$I175&lt;&gt;"",Results!$K175&lt;&gt;"",Results!$F175&lt;&gt;Results!$H175,$F170&lt;&gt;"",$G170&lt;&gt;""),Results!$I175,"")</f>
        <v/>
      </c>
      <c r="I170" s="343" t="str">
        <f>IF(AND(Results!$I175&lt;&gt;"",Results!$K175&lt;&gt;"",Results!$F175&lt;&gt;Results!$H175,$F170&lt;&gt;"",$G170&lt;&gt;""),Results!$K175,"")</f>
        <v/>
      </c>
      <c r="J170" s="344" t="str">
        <f>IF(AND(Results!$L175&lt;&gt;"",Results!$N175&lt;&gt;"",Results!$F175&lt;&gt;Results!$H175,$F170&lt;&gt;"",$G170&lt;&gt;""),Results!$L175,"")</f>
        <v/>
      </c>
      <c r="K170" s="343" t="str">
        <f>IF(AND(Results!$L175&lt;&gt;"",Results!$N175&lt;&gt;"",Results!$F175&lt;&gt;Results!$H175,$F170&lt;&gt;"",$G170&lt;&gt;""),Results!$N175,"")</f>
        <v/>
      </c>
      <c r="L170" s="344" t="str">
        <f>IF(AND(Results!$O175&lt;&gt;"",Results!$Q175&lt;&gt;"",Results!$F175&lt;&gt;Results!$H175,$F170&lt;&gt;"",$G170&lt;&gt;""),Results!$O175,"")</f>
        <v/>
      </c>
      <c r="M170" s="122" t="str">
        <f>IF(AND(Results!$O175&lt;&gt;"",Results!$Q175&lt;&gt;"",Results!$F175&lt;&gt;Results!$H175,$F170&lt;&gt;"",$G170&lt;&gt;""),Results!$Q175,"")</f>
        <v/>
      </c>
      <c r="N170" s="16" t="str">
        <f>IF(Planning!$I173=0,F170&amp;G170,"")</f>
        <v/>
      </c>
      <c r="O170" s="122">
        <f>IF(AND(Results!$Z$6&gt;0,$E170-1&gt;=Results!$Z$6*Calc!$F$26),0,IF(AND(F170&lt;&gt;"",G170&lt;&gt;"",F170&lt;&gt;G170,Results!$R175&lt;&gt;"",Results!$T175&lt;&gt;""),1,0))</f>
        <v>0</v>
      </c>
      <c r="P170" s="122" t="str">
        <f>IF(AND(O170&gt;0,Planning!$I173=0),V170&amp;Language!$E$90&amp;W170,"")</f>
        <v/>
      </c>
      <c r="Q170" s="2" t="str">
        <f>IF(Planning!$I173=1,F170&amp;G170,"")</f>
        <v>RB Leipzig1. FSV Mainz 05</v>
      </c>
      <c r="R170" s="88" t="str">
        <f>IF(AND(O170&gt;0,Planning!$I173=1),V170&amp;Language!$E$90&amp;W170,"")</f>
        <v/>
      </c>
      <c r="S170" s="122" t="str">
        <f>IF(O170&gt;0,X170&amp;Language!$E$90&amp;Y170,"")</f>
        <v/>
      </c>
      <c r="T170" s="290">
        <f>IF($H170="",0,Results!$U175)</f>
        <v>0</v>
      </c>
      <c r="U170" s="291">
        <f>IF($I170="",0,Results!$V175)</f>
        <v>0</v>
      </c>
      <c r="V170" s="270" t="str">
        <f t="shared" si="4"/>
        <v/>
      </c>
      <c r="W170" s="291" t="str">
        <f t="shared" si="5"/>
        <v/>
      </c>
      <c r="X170" s="270">
        <f>IF($O170=0,0,IF(Results!$R175="",0,Results!$R175))</f>
        <v>0</v>
      </c>
      <c r="Y170" s="291">
        <f>IF($O170=0,0,IF(Results!$T175="",0,Results!$T175))</f>
        <v>0</v>
      </c>
      <c r="Z170" s="270" t="str">
        <f>IF($O170=0,"",IF($X170&gt;$Y170,Settings!$C$4,IF($X170=$Y170,1,0)))</f>
        <v/>
      </c>
      <c r="AA170" s="291" t="str">
        <f>IF($O170=0,"",IF($X170&lt;$Y170,Settings!$C$4,IF($X170=$Y170,1,0)))</f>
        <v/>
      </c>
    </row>
    <row r="171" spans="5:27" x14ac:dyDescent="0.2">
      <c r="E171" s="266">
        <v>168</v>
      </c>
      <c r="F171" s="171" t="str">
        <f>Planning!$Q174</f>
        <v>Bayer 04 Leverkusen</v>
      </c>
      <c r="G171" s="348" t="str">
        <f>Planning!$S174</f>
        <v>Hamburger SV</v>
      </c>
      <c r="H171" s="344" t="str">
        <f>IF(AND(Results!$I176&lt;&gt;"",Results!$K176&lt;&gt;"",Results!$F176&lt;&gt;Results!$H176,$F171&lt;&gt;"",$G171&lt;&gt;""),Results!$I176,"")</f>
        <v/>
      </c>
      <c r="I171" s="343" t="str">
        <f>IF(AND(Results!$I176&lt;&gt;"",Results!$K176&lt;&gt;"",Results!$F176&lt;&gt;Results!$H176,$F171&lt;&gt;"",$G171&lt;&gt;""),Results!$K176,"")</f>
        <v/>
      </c>
      <c r="J171" s="344" t="str">
        <f>IF(AND(Results!$L176&lt;&gt;"",Results!$N176&lt;&gt;"",Results!$F176&lt;&gt;Results!$H176,$F171&lt;&gt;"",$G171&lt;&gt;""),Results!$L176,"")</f>
        <v/>
      </c>
      <c r="K171" s="343" t="str">
        <f>IF(AND(Results!$L176&lt;&gt;"",Results!$N176&lt;&gt;"",Results!$F176&lt;&gt;Results!$H176,$F171&lt;&gt;"",$G171&lt;&gt;""),Results!$N176,"")</f>
        <v/>
      </c>
      <c r="L171" s="344" t="str">
        <f>IF(AND(Results!$O176&lt;&gt;"",Results!$Q176&lt;&gt;"",Results!$F176&lt;&gt;Results!$H176,$F171&lt;&gt;"",$G171&lt;&gt;""),Results!$O176,"")</f>
        <v/>
      </c>
      <c r="M171" s="122" t="str">
        <f>IF(AND(Results!$O176&lt;&gt;"",Results!$Q176&lt;&gt;"",Results!$F176&lt;&gt;Results!$H176,$F171&lt;&gt;"",$G171&lt;&gt;""),Results!$Q176,"")</f>
        <v/>
      </c>
      <c r="N171" s="16" t="str">
        <f>IF(Planning!$I174=0,F171&amp;G171,"")</f>
        <v/>
      </c>
      <c r="O171" s="122">
        <f>IF(AND(Results!$Z$6&gt;0,$E171-1&gt;=Results!$Z$6*Calc!$F$26),0,IF(AND(F171&lt;&gt;"",G171&lt;&gt;"",F171&lt;&gt;G171,Results!$R176&lt;&gt;"",Results!$T176&lt;&gt;""),1,0))</f>
        <v>0</v>
      </c>
      <c r="P171" s="122" t="str">
        <f>IF(AND(O171&gt;0,Planning!$I174=0),V171&amp;Language!$E$90&amp;W171,"")</f>
        <v/>
      </c>
      <c r="Q171" s="2" t="str">
        <f>IF(Planning!$I174=1,F171&amp;G171,"")</f>
        <v>Bayer 04 LeverkusenHamburger SV</v>
      </c>
      <c r="R171" s="88" t="str">
        <f>IF(AND(O171&gt;0,Planning!$I174=1),V171&amp;Language!$E$90&amp;W171,"")</f>
        <v/>
      </c>
      <c r="S171" s="122" t="str">
        <f>IF(O171&gt;0,X171&amp;Language!$E$90&amp;Y171,"")</f>
        <v/>
      </c>
      <c r="T171" s="290">
        <f>IF($H171="",0,Results!$U176)</f>
        <v>0</v>
      </c>
      <c r="U171" s="291">
        <f>IF($I171="",0,Results!$V176)</f>
        <v>0</v>
      </c>
      <c r="V171" s="270" t="str">
        <f t="shared" si="4"/>
        <v/>
      </c>
      <c r="W171" s="291" t="str">
        <f t="shared" si="5"/>
        <v/>
      </c>
      <c r="X171" s="270">
        <f>IF($O171=0,0,IF(Results!$R176="",0,Results!$R176))</f>
        <v>0</v>
      </c>
      <c r="Y171" s="291">
        <f>IF($O171=0,0,IF(Results!$T176="",0,Results!$T176))</f>
        <v>0</v>
      </c>
      <c r="Z171" s="270" t="str">
        <f>IF($O171=0,"",IF($X171&gt;$Y171,Settings!$C$4,IF($X171=$Y171,1,0)))</f>
        <v/>
      </c>
      <c r="AA171" s="291" t="str">
        <f>IF($O171=0,"",IF($X171&lt;$Y171,Settings!$C$4,IF($X171=$Y171,1,0)))</f>
        <v/>
      </c>
    </row>
    <row r="172" spans="5:27" x14ac:dyDescent="0.2">
      <c r="E172" s="266">
        <v>169</v>
      </c>
      <c r="F172" s="171" t="str">
        <f>Planning!$Q175</f>
        <v>FC St. Pauli</v>
      </c>
      <c r="G172" s="348" t="str">
        <f>Planning!$S175</f>
        <v>Borussia Dortmund</v>
      </c>
      <c r="H172" s="344" t="str">
        <f>IF(AND(Results!$I177&lt;&gt;"",Results!$K177&lt;&gt;"",Results!$F177&lt;&gt;Results!$H177,$F172&lt;&gt;"",$G172&lt;&gt;""),Results!$I177,"")</f>
        <v/>
      </c>
      <c r="I172" s="343" t="str">
        <f>IF(AND(Results!$I177&lt;&gt;"",Results!$K177&lt;&gt;"",Results!$F177&lt;&gt;Results!$H177,$F172&lt;&gt;"",$G172&lt;&gt;""),Results!$K177,"")</f>
        <v/>
      </c>
      <c r="J172" s="344" t="str">
        <f>IF(AND(Results!$L177&lt;&gt;"",Results!$N177&lt;&gt;"",Results!$F177&lt;&gt;Results!$H177,$F172&lt;&gt;"",$G172&lt;&gt;""),Results!$L177,"")</f>
        <v/>
      </c>
      <c r="K172" s="343" t="str">
        <f>IF(AND(Results!$L177&lt;&gt;"",Results!$N177&lt;&gt;"",Results!$F177&lt;&gt;Results!$H177,$F172&lt;&gt;"",$G172&lt;&gt;""),Results!$N177,"")</f>
        <v/>
      </c>
      <c r="L172" s="344" t="str">
        <f>IF(AND(Results!$O177&lt;&gt;"",Results!$Q177&lt;&gt;"",Results!$F177&lt;&gt;Results!$H177,$F172&lt;&gt;"",$G172&lt;&gt;""),Results!$O177,"")</f>
        <v/>
      </c>
      <c r="M172" s="122" t="str">
        <f>IF(AND(Results!$O177&lt;&gt;"",Results!$Q177&lt;&gt;"",Results!$F177&lt;&gt;Results!$H177,$F172&lt;&gt;"",$G172&lt;&gt;""),Results!$Q177,"")</f>
        <v/>
      </c>
      <c r="N172" s="16" t="str">
        <f>IF(Planning!$I175=0,F172&amp;G172,"")</f>
        <v/>
      </c>
      <c r="O172" s="122">
        <f>IF(AND(Results!$Z$6&gt;0,$E172-1&gt;=Results!$Z$6*Calc!$F$26),0,IF(AND(F172&lt;&gt;"",G172&lt;&gt;"",F172&lt;&gt;G172,Results!$R177&lt;&gt;"",Results!$T177&lt;&gt;""),1,0))</f>
        <v>0</v>
      </c>
      <c r="P172" s="122" t="str">
        <f>IF(AND(O172&gt;0,Planning!$I175=0),V172&amp;Language!$E$90&amp;W172,"")</f>
        <v/>
      </c>
      <c r="Q172" s="2" t="str">
        <f>IF(Planning!$I175=1,F172&amp;G172,"")</f>
        <v>FC St. PauliBorussia Dortmund</v>
      </c>
      <c r="R172" s="88" t="str">
        <f>IF(AND(O172&gt;0,Planning!$I175=1),V172&amp;Language!$E$90&amp;W172,"")</f>
        <v/>
      </c>
      <c r="S172" s="122" t="str">
        <f>IF(O172&gt;0,X172&amp;Language!$E$90&amp;Y172,"")</f>
        <v/>
      </c>
      <c r="T172" s="290">
        <f>IF($H172="",0,Results!$U177)</f>
        <v>0</v>
      </c>
      <c r="U172" s="291">
        <f>IF($I172="",0,Results!$V177)</f>
        <v>0</v>
      </c>
      <c r="V172" s="270" t="str">
        <f t="shared" si="4"/>
        <v/>
      </c>
      <c r="W172" s="291" t="str">
        <f t="shared" si="5"/>
        <v/>
      </c>
      <c r="X172" s="270">
        <f>IF($O172=0,0,IF(Results!$R177="",0,Results!$R177))</f>
        <v>0</v>
      </c>
      <c r="Y172" s="291">
        <f>IF($O172=0,0,IF(Results!$T177="",0,Results!$T177))</f>
        <v>0</v>
      </c>
      <c r="Z172" s="270" t="str">
        <f>IF($O172=0,"",IF($X172&gt;$Y172,Settings!$C$4,IF($X172=$Y172,1,0)))</f>
        <v/>
      </c>
      <c r="AA172" s="291" t="str">
        <f>IF($O172=0,"",IF($X172&lt;$Y172,Settings!$C$4,IF($X172=$Y172,1,0)))</f>
        <v/>
      </c>
    </row>
    <row r="173" spans="5:27" x14ac:dyDescent="0.2">
      <c r="E173" s="266">
        <v>170</v>
      </c>
      <c r="F173" s="171" t="str">
        <f>Planning!$Q176</f>
        <v>Borussia Mönchengladbach</v>
      </c>
      <c r="G173" s="348" t="str">
        <f>Planning!$S176</f>
        <v>FC Bayern München</v>
      </c>
      <c r="H173" s="344" t="str">
        <f>IF(AND(Results!$I178&lt;&gt;"",Results!$K178&lt;&gt;"",Results!$F178&lt;&gt;Results!$H178,$F173&lt;&gt;"",$G173&lt;&gt;""),Results!$I178,"")</f>
        <v/>
      </c>
      <c r="I173" s="343" t="str">
        <f>IF(AND(Results!$I178&lt;&gt;"",Results!$K178&lt;&gt;"",Results!$F178&lt;&gt;Results!$H178,$F173&lt;&gt;"",$G173&lt;&gt;""),Results!$K178,"")</f>
        <v/>
      </c>
      <c r="J173" s="344" t="str">
        <f>IF(AND(Results!$L178&lt;&gt;"",Results!$N178&lt;&gt;"",Results!$F178&lt;&gt;Results!$H178,$F173&lt;&gt;"",$G173&lt;&gt;""),Results!$L178,"")</f>
        <v/>
      </c>
      <c r="K173" s="343" t="str">
        <f>IF(AND(Results!$L178&lt;&gt;"",Results!$N178&lt;&gt;"",Results!$F178&lt;&gt;Results!$H178,$F173&lt;&gt;"",$G173&lt;&gt;""),Results!$N178,"")</f>
        <v/>
      </c>
      <c r="L173" s="344" t="str">
        <f>IF(AND(Results!$O178&lt;&gt;"",Results!$Q178&lt;&gt;"",Results!$F178&lt;&gt;Results!$H178,$F173&lt;&gt;"",$G173&lt;&gt;""),Results!$O178,"")</f>
        <v/>
      </c>
      <c r="M173" s="122" t="str">
        <f>IF(AND(Results!$O178&lt;&gt;"",Results!$Q178&lt;&gt;"",Results!$F178&lt;&gt;Results!$H178,$F173&lt;&gt;"",$G173&lt;&gt;""),Results!$Q178,"")</f>
        <v/>
      </c>
      <c r="N173" s="16" t="str">
        <f>IF(Planning!$I176=0,F173&amp;G173,"")</f>
        <v/>
      </c>
      <c r="O173" s="122">
        <f>IF(AND(Results!$Z$6&gt;0,$E173-1&gt;=Results!$Z$6*Calc!$F$26),0,IF(AND(F173&lt;&gt;"",G173&lt;&gt;"",F173&lt;&gt;G173,Results!$R178&lt;&gt;"",Results!$T178&lt;&gt;""),1,0))</f>
        <v>0</v>
      </c>
      <c r="P173" s="122" t="str">
        <f>IF(AND(O173&gt;0,Planning!$I176=0),V173&amp;Language!$E$90&amp;W173,"")</f>
        <v/>
      </c>
      <c r="Q173" s="2" t="str">
        <f>IF(Planning!$I176=1,F173&amp;G173,"")</f>
        <v>Borussia MönchengladbachFC Bayern München</v>
      </c>
      <c r="R173" s="88" t="str">
        <f>IF(AND(O173&gt;0,Planning!$I176=1),V173&amp;Language!$E$90&amp;W173,"")</f>
        <v/>
      </c>
      <c r="S173" s="122" t="str">
        <f>IF(O173&gt;0,X173&amp;Language!$E$90&amp;Y173,"")</f>
        <v/>
      </c>
      <c r="T173" s="290">
        <f>IF($H173="",0,Results!$U178)</f>
        <v>0</v>
      </c>
      <c r="U173" s="291">
        <f>IF($I173="",0,Results!$V178)</f>
        <v>0</v>
      </c>
      <c r="V173" s="270" t="str">
        <f t="shared" si="4"/>
        <v/>
      </c>
      <c r="W173" s="291" t="str">
        <f t="shared" si="5"/>
        <v/>
      </c>
      <c r="X173" s="270">
        <f>IF($O173=0,0,IF(Results!$R178="",0,Results!$R178))</f>
        <v>0</v>
      </c>
      <c r="Y173" s="291">
        <f>IF($O173=0,0,IF(Results!$T178="",0,Results!$T178))</f>
        <v>0</v>
      </c>
      <c r="Z173" s="270" t="str">
        <f>IF($O173=0,"",IF($X173&gt;$Y173,Settings!$C$4,IF($X173=$Y173,1,0)))</f>
        <v/>
      </c>
      <c r="AA173" s="291" t="str">
        <f>IF($O173=0,"",IF($X173&lt;$Y173,Settings!$C$4,IF($X173=$Y173,1,0)))</f>
        <v/>
      </c>
    </row>
    <row r="174" spans="5:27" x14ac:dyDescent="0.2">
      <c r="E174" s="266">
        <v>171</v>
      </c>
      <c r="F174" s="171" t="str">
        <f>Planning!$Q177</f>
        <v>FC Augsburg</v>
      </c>
      <c r="G174" s="348" t="str">
        <f>Planning!$S177</f>
        <v>Eintracht Frankfurt</v>
      </c>
      <c r="H174" s="344" t="str">
        <f>IF(AND(Results!$I179&lt;&gt;"",Results!$K179&lt;&gt;"",Results!$F179&lt;&gt;Results!$H179,$F174&lt;&gt;"",$G174&lt;&gt;""),Results!$I179,"")</f>
        <v/>
      </c>
      <c r="I174" s="343" t="str">
        <f>IF(AND(Results!$I179&lt;&gt;"",Results!$K179&lt;&gt;"",Results!$F179&lt;&gt;Results!$H179,$F174&lt;&gt;"",$G174&lt;&gt;""),Results!$K179,"")</f>
        <v/>
      </c>
      <c r="J174" s="344" t="str">
        <f>IF(AND(Results!$L179&lt;&gt;"",Results!$N179&lt;&gt;"",Results!$F179&lt;&gt;Results!$H179,$F174&lt;&gt;"",$G174&lt;&gt;""),Results!$L179,"")</f>
        <v/>
      </c>
      <c r="K174" s="343" t="str">
        <f>IF(AND(Results!$L179&lt;&gt;"",Results!$N179&lt;&gt;"",Results!$F179&lt;&gt;Results!$H179,$F174&lt;&gt;"",$G174&lt;&gt;""),Results!$N179,"")</f>
        <v/>
      </c>
      <c r="L174" s="344" t="str">
        <f>IF(AND(Results!$O179&lt;&gt;"",Results!$Q179&lt;&gt;"",Results!$F179&lt;&gt;Results!$H179,$F174&lt;&gt;"",$G174&lt;&gt;""),Results!$O179,"")</f>
        <v/>
      </c>
      <c r="M174" s="122" t="str">
        <f>IF(AND(Results!$O179&lt;&gt;"",Results!$Q179&lt;&gt;"",Results!$F179&lt;&gt;Results!$H179,$F174&lt;&gt;"",$G174&lt;&gt;""),Results!$Q179,"")</f>
        <v/>
      </c>
      <c r="N174" s="16" t="str">
        <f>IF(Planning!$I177=0,F174&amp;G174,"")</f>
        <v/>
      </c>
      <c r="O174" s="122">
        <f>IF(AND(Results!$Z$6&gt;0,$E174-1&gt;=Results!$Z$6*Calc!$F$26),0,IF(AND(F174&lt;&gt;"",G174&lt;&gt;"",F174&lt;&gt;G174,Results!$R179&lt;&gt;"",Results!$T179&lt;&gt;""),1,0))</f>
        <v>0</v>
      </c>
      <c r="P174" s="122" t="str">
        <f>IF(AND(O174&gt;0,Planning!$I177=0),V174&amp;Language!$E$90&amp;W174,"")</f>
        <v/>
      </c>
      <c r="Q174" s="2" t="str">
        <f>IF(Planning!$I177=1,F174&amp;G174,"")</f>
        <v>FC AugsburgEintracht Frankfurt</v>
      </c>
      <c r="R174" s="88" t="str">
        <f>IF(AND(O174&gt;0,Planning!$I177=1),V174&amp;Language!$E$90&amp;W174,"")</f>
        <v/>
      </c>
      <c r="S174" s="122" t="str">
        <f>IF(O174&gt;0,X174&amp;Language!$E$90&amp;Y174,"")</f>
        <v/>
      </c>
      <c r="T174" s="290">
        <f>IF($H174="",0,Results!$U179)</f>
        <v>0</v>
      </c>
      <c r="U174" s="291">
        <f>IF($I174="",0,Results!$V179)</f>
        <v>0</v>
      </c>
      <c r="V174" s="270" t="str">
        <f t="shared" si="4"/>
        <v/>
      </c>
      <c r="W174" s="291" t="str">
        <f t="shared" si="5"/>
        <v/>
      </c>
      <c r="X174" s="270">
        <f>IF($O174=0,0,IF(Results!$R179="",0,Results!$R179))</f>
        <v>0</v>
      </c>
      <c r="Y174" s="291">
        <f>IF($O174=0,0,IF(Results!$T179="",0,Results!$T179))</f>
        <v>0</v>
      </c>
      <c r="Z174" s="270" t="str">
        <f>IF($O174=0,"",IF($X174&gt;$Y174,Settings!$C$4,IF($X174=$Y174,1,0)))</f>
        <v/>
      </c>
      <c r="AA174" s="291" t="str">
        <f>IF($O174=0,"",IF($X174&lt;$Y174,Settings!$C$4,IF($X174=$Y174,1,0)))</f>
        <v/>
      </c>
    </row>
    <row r="175" spans="5:27" x14ac:dyDescent="0.2">
      <c r="E175" s="266">
        <v>172</v>
      </c>
      <c r="F175" s="171" t="str">
        <f>Planning!$Q178</f>
        <v>TSG Hoffenheim</v>
      </c>
      <c r="G175" s="348" t="str">
        <f>Planning!$S178</f>
        <v>1. FC Heidenheim 1846</v>
      </c>
      <c r="H175" s="344" t="str">
        <f>IF(AND(Results!$I180&lt;&gt;"",Results!$K180&lt;&gt;"",Results!$F180&lt;&gt;Results!$H180,$F175&lt;&gt;"",$G175&lt;&gt;""),Results!$I180,"")</f>
        <v/>
      </c>
      <c r="I175" s="343" t="str">
        <f>IF(AND(Results!$I180&lt;&gt;"",Results!$K180&lt;&gt;"",Results!$F180&lt;&gt;Results!$H180,$F175&lt;&gt;"",$G175&lt;&gt;""),Results!$K180,"")</f>
        <v/>
      </c>
      <c r="J175" s="344" t="str">
        <f>IF(AND(Results!$L180&lt;&gt;"",Results!$N180&lt;&gt;"",Results!$F180&lt;&gt;Results!$H180,$F175&lt;&gt;"",$G175&lt;&gt;""),Results!$L180,"")</f>
        <v/>
      </c>
      <c r="K175" s="343" t="str">
        <f>IF(AND(Results!$L180&lt;&gt;"",Results!$N180&lt;&gt;"",Results!$F180&lt;&gt;Results!$H180,$F175&lt;&gt;"",$G175&lt;&gt;""),Results!$N180,"")</f>
        <v/>
      </c>
      <c r="L175" s="344" t="str">
        <f>IF(AND(Results!$O180&lt;&gt;"",Results!$Q180&lt;&gt;"",Results!$F180&lt;&gt;Results!$H180,$F175&lt;&gt;"",$G175&lt;&gt;""),Results!$O180,"")</f>
        <v/>
      </c>
      <c r="M175" s="122" t="str">
        <f>IF(AND(Results!$O180&lt;&gt;"",Results!$Q180&lt;&gt;"",Results!$F180&lt;&gt;Results!$H180,$F175&lt;&gt;"",$G175&lt;&gt;""),Results!$Q180,"")</f>
        <v/>
      </c>
      <c r="N175" s="16" t="str">
        <f>IF(Planning!$I178=0,F175&amp;G175,"")</f>
        <v/>
      </c>
      <c r="O175" s="122">
        <f>IF(AND(Results!$Z$6&gt;0,$E175-1&gt;=Results!$Z$6*Calc!$F$26),0,IF(AND(F175&lt;&gt;"",G175&lt;&gt;"",F175&lt;&gt;G175,Results!$R180&lt;&gt;"",Results!$T180&lt;&gt;""),1,0))</f>
        <v>0</v>
      </c>
      <c r="P175" s="122" t="str">
        <f>IF(AND(O175&gt;0,Planning!$I178=0),V175&amp;Language!$E$90&amp;W175,"")</f>
        <v/>
      </c>
      <c r="Q175" s="2" t="str">
        <f>IF(Planning!$I178=1,F175&amp;G175,"")</f>
        <v>TSG Hoffenheim1. FC Heidenheim 1846</v>
      </c>
      <c r="R175" s="88" t="str">
        <f>IF(AND(O175&gt;0,Planning!$I178=1),V175&amp;Language!$E$90&amp;W175,"")</f>
        <v/>
      </c>
      <c r="S175" s="122" t="str">
        <f>IF(O175&gt;0,X175&amp;Language!$E$90&amp;Y175,"")</f>
        <v/>
      </c>
      <c r="T175" s="290">
        <f>IF($H175="",0,Results!$U180)</f>
        <v>0</v>
      </c>
      <c r="U175" s="291">
        <f>IF($I175="",0,Results!$V180)</f>
        <v>0</v>
      </c>
      <c r="V175" s="270" t="str">
        <f t="shared" si="4"/>
        <v/>
      </c>
      <c r="W175" s="291" t="str">
        <f t="shared" si="5"/>
        <v/>
      </c>
      <c r="X175" s="270">
        <f>IF($O175=0,0,IF(Results!$R180="",0,Results!$R180))</f>
        <v>0</v>
      </c>
      <c r="Y175" s="291">
        <f>IF($O175=0,0,IF(Results!$T180="",0,Results!$T180))</f>
        <v>0</v>
      </c>
      <c r="Z175" s="270" t="str">
        <f>IF($O175=0,"",IF($X175&gt;$Y175,Settings!$C$4,IF($X175=$Y175,1,0)))</f>
        <v/>
      </c>
      <c r="AA175" s="291" t="str">
        <f>IF($O175=0,"",IF($X175&lt;$Y175,Settings!$C$4,IF($X175=$Y175,1,0)))</f>
        <v/>
      </c>
    </row>
    <row r="176" spans="5:27" x14ac:dyDescent="0.2">
      <c r="E176" s="266">
        <v>173</v>
      </c>
      <c r="F176" s="171" t="str">
        <f>Planning!$Q179</f>
        <v>VfB Stuttgart</v>
      </c>
      <c r="G176" s="348" t="str">
        <f>Planning!$S179</f>
        <v>SV Werder Bremen</v>
      </c>
      <c r="H176" s="344" t="str">
        <f>IF(AND(Results!$I181&lt;&gt;"",Results!$K181&lt;&gt;"",Results!$F181&lt;&gt;Results!$H181,$F176&lt;&gt;"",$G176&lt;&gt;""),Results!$I181,"")</f>
        <v/>
      </c>
      <c r="I176" s="343" t="str">
        <f>IF(AND(Results!$I181&lt;&gt;"",Results!$K181&lt;&gt;"",Results!$F181&lt;&gt;Results!$H181,$F176&lt;&gt;"",$G176&lt;&gt;""),Results!$K181,"")</f>
        <v/>
      </c>
      <c r="J176" s="344" t="str">
        <f>IF(AND(Results!$L181&lt;&gt;"",Results!$N181&lt;&gt;"",Results!$F181&lt;&gt;Results!$H181,$F176&lt;&gt;"",$G176&lt;&gt;""),Results!$L181,"")</f>
        <v/>
      </c>
      <c r="K176" s="343" t="str">
        <f>IF(AND(Results!$L181&lt;&gt;"",Results!$N181&lt;&gt;"",Results!$F181&lt;&gt;Results!$H181,$F176&lt;&gt;"",$G176&lt;&gt;""),Results!$N181,"")</f>
        <v/>
      </c>
      <c r="L176" s="344" t="str">
        <f>IF(AND(Results!$O181&lt;&gt;"",Results!$Q181&lt;&gt;"",Results!$F181&lt;&gt;Results!$H181,$F176&lt;&gt;"",$G176&lt;&gt;""),Results!$O181,"")</f>
        <v/>
      </c>
      <c r="M176" s="122" t="str">
        <f>IF(AND(Results!$O181&lt;&gt;"",Results!$Q181&lt;&gt;"",Results!$F181&lt;&gt;Results!$H181,$F176&lt;&gt;"",$G176&lt;&gt;""),Results!$Q181,"")</f>
        <v/>
      </c>
      <c r="N176" s="16" t="str">
        <f>IF(Planning!$I179=0,F176&amp;G176,"")</f>
        <v/>
      </c>
      <c r="O176" s="122">
        <f>IF(AND(Results!$Z$6&gt;0,$E176-1&gt;=Results!$Z$6*Calc!$F$26),0,IF(AND(F176&lt;&gt;"",G176&lt;&gt;"",F176&lt;&gt;G176,Results!$R181&lt;&gt;"",Results!$T181&lt;&gt;""),1,0))</f>
        <v>0</v>
      </c>
      <c r="P176" s="122" t="str">
        <f>IF(AND(O176&gt;0,Planning!$I179=0),V176&amp;Language!$E$90&amp;W176,"")</f>
        <v/>
      </c>
      <c r="Q176" s="2" t="str">
        <f>IF(Planning!$I179=1,F176&amp;G176,"")</f>
        <v>VfB StuttgartSV Werder Bremen</v>
      </c>
      <c r="R176" s="88" t="str">
        <f>IF(AND(O176&gt;0,Planning!$I179=1),V176&amp;Language!$E$90&amp;W176,"")</f>
        <v/>
      </c>
      <c r="S176" s="122" t="str">
        <f>IF(O176&gt;0,X176&amp;Language!$E$90&amp;Y176,"")</f>
        <v/>
      </c>
      <c r="T176" s="290">
        <f>IF($H176="",0,Results!$U181)</f>
        <v>0</v>
      </c>
      <c r="U176" s="291">
        <f>IF($I176="",0,Results!$V181)</f>
        <v>0</v>
      </c>
      <c r="V176" s="270" t="str">
        <f t="shared" si="4"/>
        <v/>
      </c>
      <c r="W176" s="291" t="str">
        <f t="shared" si="5"/>
        <v/>
      </c>
      <c r="X176" s="270">
        <f>IF($O176=0,0,IF(Results!$R181="",0,Results!$R181))</f>
        <v>0</v>
      </c>
      <c r="Y176" s="291">
        <f>IF($O176=0,0,IF(Results!$T181="",0,Results!$T181))</f>
        <v>0</v>
      </c>
      <c r="Z176" s="270" t="str">
        <f>IF($O176=0,"",IF($X176&gt;$Y176,Settings!$C$4,IF($X176=$Y176,1,0)))</f>
        <v/>
      </c>
      <c r="AA176" s="291" t="str">
        <f>IF($O176=0,"",IF($X176&lt;$Y176,Settings!$C$4,IF($X176=$Y176,1,0)))</f>
        <v/>
      </c>
    </row>
    <row r="177" spans="5:27" x14ac:dyDescent="0.2">
      <c r="E177" s="266">
        <v>174</v>
      </c>
      <c r="F177" s="171" t="str">
        <f>Planning!$Q180</f>
        <v>SC Freiburg</v>
      </c>
      <c r="G177" s="348" t="str">
        <f>Planning!$S180</f>
        <v>VfL Wolfsburg</v>
      </c>
      <c r="H177" s="344" t="str">
        <f>IF(AND(Results!$I182&lt;&gt;"",Results!$K182&lt;&gt;"",Results!$F182&lt;&gt;Results!$H182,$F177&lt;&gt;"",$G177&lt;&gt;""),Results!$I182,"")</f>
        <v/>
      </c>
      <c r="I177" s="343" t="str">
        <f>IF(AND(Results!$I182&lt;&gt;"",Results!$K182&lt;&gt;"",Results!$F182&lt;&gt;Results!$H182,$F177&lt;&gt;"",$G177&lt;&gt;""),Results!$K182,"")</f>
        <v/>
      </c>
      <c r="J177" s="344" t="str">
        <f>IF(AND(Results!$L182&lt;&gt;"",Results!$N182&lt;&gt;"",Results!$F182&lt;&gt;Results!$H182,$F177&lt;&gt;"",$G177&lt;&gt;""),Results!$L182,"")</f>
        <v/>
      </c>
      <c r="K177" s="343" t="str">
        <f>IF(AND(Results!$L182&lt;&gt;"",Results!$N182&lt;&gt;"",Results!$F182&lt;&gt;Results!$H182,$F177&lt;&gt;"",$G177&lt;&gt;""),Results!$N182,"")</f>
        <v/>
      </c>
      <c r="L177" s="344" t="str">
        <f>IF(AND(Results!$O182&lt;&gt;"",Results!$Q182&lt;&gt;"",Results!$F182&lt;&gt;Results!$H182,$F177&lt;&gt;"",$G177&lt;&gt;""),Results!$O182,"")</f>
        <v/>
      </c>
      <c r="M177" s="122" t="str">
        <f>IF(AND(Results!$O182&lt;&gt;"",Results!$Q182&lt;&gt;"",Results!$F182&lt;&gt;Results!$H182,$F177&lt;&gt;"",$G177&lt;&gt;""),Results!$Q182,"")</f>
        <v/>
      </c>
      <c r="N177" s="16" t="str">
        <f>IF(Planning!$I180=0,F177&amp;G177,"")</f>
        <v/>
      </c>
      <c r="O177" s="122">
        <f>IF(AND(Results!$Z$6&gt;0,$E177-1&gt;=Results!$Z$6*Calc!$F$26),0,IF(AND(F177&lt;&gt;"",G177&lt;&gt;"",F177&lt;&gt;G177,Results!$R182&lt;&gt;"",Results!$T182&lt;&gt;""),1,0))</f>
        <v>0</v>
      </c>
      <c r="P177" s="122" t="str">
        <f>IF(AND(O177&gt;0,Planning!$I180=0),V177&amp;Language!$E$90&amp;W177,"")</f>
        <v/>
      </c>
      <c r="Q177" s="2" t="str">
        <f>IF(Planning!$I180=1,F177&amp;G177,"")</f>
        <v>SC FreiburgVfL Wolfsburg</v>
      </c>
      <c r="R177" s="88" t="str">
        <f>IF(AND(O177&gt;0,Planning!$I180=1),V177&amp;Language!$E$90&amp;W177,"")</f>
        <v/>
      </c>
      <c r="S177" s="122" t="str">
        <f>IF(O177&gt;0,X177&amp;Language!$E$90&amp;Y177,"")</f>
        <v/>
      </c>
      <c r="T177" s="290">
        <f>IF($H177="",0,Results!$U182)</f>
        <v>0</v>
      </c>
      <c r="U177" s="291">
        <f>IF($I177="",0,Results!$V182)</f>
        <v>0</v>
      </c>
      <c r="V177" s="270" t="str">
        <f t="shared" si="4"/>
        <v/>
      </c>
      <c r="W177" s="291" t="str">
        <f t="shared" si="5"/>
        <v/>
      </c>
      <c r="X177" s="270">
        <f>IF($O177=0,0,IF(Results!$R182="",0,Results!$R182))</f>
        <v>0</v>
      </c>
      <c r="Y177" s="291">
        <f>IF($O177=0,0,IF(Results!$T182="",0,Results!$T182))</f>
        <v>0</v>
      </c>
      <c r="Z177" s="270" t="str">
        <f>IF($O177=0,"",IF($X177&gt;$Y177,Settings!$C$4,IF($X177=$Y177,1,0)))</f>
        <v/>
      </c>
      <c r="AA177" s="291" t="str">
        <f>IF($O177=0,"",IF($X177&lt;$Y177,Settings!$C$4,IF($X177=$Y177,1,0)))</f>
        <v/>
      </c>
    </row>
    <row r="178" spans="5:27" x14ac:dyDescent="0.2">
      <c r="E178" s="266">
        <v>175</v>
      </c>
      <c r="F178" s="171" t="str">
        <f>Planning!$Q181</f>
        <v>1. FC Köln</v>
      </c>
      <c r="G178" s="348" t="str">
        <f>Planning!$S181</f>
        <v>RB Leipzig</v>
      </c>
      <c r="H178" s="344" t="str">
        <f>IF(AND(Results!$I183&lt;&gt;"",Results!$K183&lt;&gt;"",Results!$F183&lt;&gt;Results!$H183,$F178&lt;&gt;"",$G178&lt;&gt;""),Results!$I183,"")</f>
        <v/>
      </c>
      <c r="I178" s="343" t="str">
        <f>IF(AND(Results!$I183&lt;&gt;"",Results!$K183&lt;&gt;"",Results!$F183&lt;&gt;Results!$H183,$F178&lt;&gt;"",$G178&lt;&gt;""),Results!$K183,"")</f>
        <v/>
      </c>
      <c r="J178" s="344" t="str">
        <f>IF(AND(Results!$L183&lt;&gt;"",Results!$N183&lt;&gt;"",Results!$F183&lt;&gt;Results!$H183,$F178&lt;&gt;"",$G178&lt;&gt;""),Results!$L183,"")</f>
        <v/>
      </c>
      <c r="K178" s="343" t="str">
        <f>IF(AND(Results!$L183&lt;&gt;"",Results!$N183&lt;&gt;"",Results!$F183&lt;&gt;Results!$H183,$F178&lt;&gt;"",$G178&lt;&gt;""),Results!$N183,"")</f>
        <v/>
      </c>
      <c r="L178" s="344" t="str">
        <f>IF(AND(Results!$O183&lt;&gt;"",Results!$Q183&lt;&gt;"",Results!$F183&lt;&gt;Results!$H183,$F178&lt;&gt;"",$G178&lt;&gt;""),Results!$O183,"")</f>
        <v/>
      </c>
      <c r="M178" s="122" t="str">
        <f>IF(AND(Results!$O183&lt;&gt;"",Results!$Q183&lt;&gt;"",Results!$F183&lt;&gt;Results!$H183,$F178&lt;&gt;"",$G178&lt;&gt;""),Results!$Q183,"")</f>
        <v/>
      </c>
      <c r="N178" s="16" t="str">
        <f>IF(Planning!$I181=0,F178&amp;G178,"")</f>
        <v/>
      </c>
      <c r="O178" s="122">
        <f>IF(AND(Results!$Z$6&gt;0,$E178-1&gt;=Results!$Z$6*Calc!$F$26),0,IF(AND(F178&lt;&gt;"",G178&lt;&gt;"",F178&lt;&gt;G178,Results!$R183&lt;&gt;"",Results!$T183&lt;&gt;""),1,0))</f>
        <v>0</v>
      </c>
      <c r="P178" s="122" t="str">
        <f>IF(AND(O178&gt;0,Planning!$I181=0),V178&amp;Language!$E$90&amp;W178,"")</f>
        <v/>
      </c>
      <c r="Q178" s="2" t="str">
        <f>IF(Planning!$I181=1,F178&amp;G178,"")</f>
        <v>1. FC KölnRB Leipzig</v>
      </c>
      <c r="R178" s="88" t="str">
        <f>IF(AND(O178&gt;0,Planning!$I181=1),V178&amp;Language!$E$90&amp;W178,"")</f>
        <v/>
      </c>
      <c r="S178" s="122" t="str">
        <f>IF(O178&gt;0,X178&amp;Language!$E$90&amp;Y178,"")</f>
        <v/>
      </c>
      <c r="T178" s="290">
        <f>IF($H178="",0,Results!$U183)</f>
        <v>0</v>
      </c>
      <c r="U178" s="291">
        <f>IF($I178="",0,Results!$V183)</f>
        <v>0</v>
      </c>
      <c r="V178" s="270" t="str">
        <f t="shared" si="4"/>
        <v/>
      </c>
      <c r="W178" s="291" t="str">
        <f t="shared" si="5"/>
        <v/>
      </c>
      <c r="X178" s="270">
        <f>IF($O178=0,0,IF(Results!$R183="",0,Results!$R183))</f>
        <v>0</v>
      </c>
      <c r="Y178" s="291">
        <f>IF($O178=0,0,IF(Results!$T183="",0,Results!$T183))</f>
        <v>0</v>
      </c>
      <c r="Z178" s="270" t="str">
        <f>IF($O178=0,"",IF($X178&gt;$Y178,Settings!$C$4,IF($X178=$Y178,1,0)))</f>
        <v/>
      </c>
      <c r="AA178" s="291" t="str">
        <f>IF($O178=0,"",IF($X178&lt;$Y178,Settings!$C$4,IF($X178=$Y178,1,0)))</f>
        <v/>
      </c>
    </row>
    <row r="179" spans="5:27" x14ac:dyDescent="0.2">
      <c r="E179" s="266">
        <v>176</v>
      </c>
      <c r="F179" s="171" t="str">
        <f>Planning!$Q182</f>
        <v>Hamburger SV</v>
      </c>
      <c r="G179" s="348" t="str">
        <f>Planning!$S182</f>
        <v>1. FC Union Berlin</v>
      </c>
      <c r="H179" s="344" t="str">
        <f>IF(AND(Results!$I184&lt;&gt;"",Results!$K184&lt;&gt;"",Results!$F184&lt;&gt;Results!$H184,$F179&lt;&gt;"",$G179&lt;&gt;""),Results!$I184,"")</f>
        <v/>
      </c>
      <c r="I179" s="343" t="str">
        <f>IF(AND(Results!$I184&lt;&gt;"",Results!$K184&lt;&gt;"",Results!$F184&lt;&gt;Results!$H184,$F179&lt;&gt;"",$G179&lt;&gt;""),Results!$K184,"")</f>
        <v/>
      </c>
      <c r="J179" s="344" t="str">
        <f>IF(AND(Results!$L184&lt;&gt;"",Results!$N184&lt;&gt;"",Results!$F184&lt;&gt;Results!$H184,$F179&lt;&gt;"",$G179&lt;&gt;""),Results!$L184,"")</f>
        <v/>
      </c>
      <c r="K179" s="343" t="str">
        <f>IF(AND(Results!$L184&lt;&gt;"",Results!$N184&lt;&gt;"",Results!$F184&lt;&gt;Results!$H184,$F179&lt;&gt;"",$G179&lt;&gt;""),Results!$N184,"")</f>
        <v/>
      </c>
      <c r="L179" s="344" t="str">
        <f>IF(AND(Results!$O184&lt;&gt;"",Results!$Q184&lt;&gt;"",Results!$F184&lt;&gt;Results!$H184,$F179&lt;&gt;"",$G179&lt;&gt;""),Results!$O184,"")</f>
        <v/>
      </c>
      <c r="M179" s="122" t="str">
        <f>IF(AND(Results!$O184&lt;&gt;"",Results!$Q184&lt;&gt;"",Results!$F184&lt;&gt;Results!$H184,$F179&lt;&gt;"",$G179&lt;&gt;""),Results!$Q184,"")</f>
        <v/>
      </c>
      <c r="N179" s="16" t="str">
        <f>IF(Planning!$I182=0,F179&amp;G179,"")</f>
        <v/>
      </c>
      <c r="O179" s="122">
        <f>IF(AND(Results!$Z$6&gt;0,$E179-1&gt;=Results!$Z$6*Calc!$F$26),0,IF(AND(F179&lt;&gt;"",G179&lt;&gt;"",F179&lt;&gt;G179,Results!$R184&lt;&gt;"",Results!$T184&lt;&gt;""),1,0))</f>
        <v>0</v>
      </c>
      <c r="P179" s="122" t="str">
        <f>IF(AND(O179&gt;0,Planning!$I182=0),V179&amp;Language!$E$90&amp;W179,"")</f>
        <v/>
      </c>
      <c r="Q179" s="2" t="str">
        <f>IF(Planning!$I182=1,F179&amp;G179,"")</f>
        <v>Hamburger SV1. FC Union Berlin</v>
      </c>
      <c r="R179" s="88" t="str">
        <f>IF(AND(O179&gt;0,Planning!$I182=1),V179&amp;Language!$E$90&amp;W179,"")</f>
        <v/>
      </c>
      <c r="S179" s="122" t="str">
        <f>IF(O179&gt;0,X179&amp;Language!$E$90&amp;Y179,"")</f>
        <v/>
      </c>
      <c r="T179" s="290">
        <f>IF($H179="",0,Results!$U184)</f>
        <v>0</v>
      </c>
      <c r="U179" s="291">
        <f>IF($I179="",0,Results!$V184)</f>
        <v>0</v>
      </c>
      <c r="V179" s="270" t="str">
        <f t="shared" si="4"/>
        <v/>
      </c>
      <c r="W179" s="291" t="str">
        <f t="shared" si="5"/>
        <v/>
      </c>
      <c r="X179" s="270">
        <f>IF($O179=0,0,IF(Results!$R184="",0,Results!$R184))</f>
        <v>0</v>
      </c>
      <c r="Y179" s="291">
        <f>IF($O179=0,0,IF(Results!$T184="",0,Results!$T184))</f>
        <v>0</v>
      </c>
      <c r="Z179" s="270" t="str">
        <f>IF($O179=0,"",IF($X179&gt;$Y179,Settings!$C$4,IF($X179=$Y179,1,0)))</f>
        <v/>
      </c>
      <c r="AA179" s="291" t="str">
        <f>IF($O179=0,"",IF($X179&lt;$Y179,Settings!$C$4,IF($X179=$Y179,1,0)))</f>
        <v/>
      </c>
    </row>
    <row r="180" spans="5:27" x14ac:dyDescent="0.2">
      <c r="E180" s="266">
        <v>177</v>
      </c>
      <c r="F180" s="171" t="str">
        <f>Planning!$Q183</f>
        <v>1. FSV Mainz 05</v>
      </c>
      <c r="G180" s="348" t="str">
        <f>Planning!$S183</f>
        <v>FC St. Pauli</v>
      </c>
      <c r="H180" s="344" t="str">
        <f>IF(AND(Results!$I185&lt;&gt;"",Results!$K185&lt;&gt;"",Results!$F185&lt;&gt;Results!$H185,$F180&lt;&gt;"",$G180&lt;&gt;""),Results!$I185,"")</f>
        <v/>
      </c>
      <c r="I180" s="343" t="str">
        <f>IF(AND(Results!$I185&lt;&gt;"",Results!$K185&lt;&gt;"",Results!$F185&lt;&gt;Results!$H185,$F180&lt;&gt;"",$G180&lt;&gt;""),Results!$K185,"")</f>
        <v/>
      </c>
      <c r="J180" s="344" t="str">
        <f>IF(AND(Results!$L185&lt;&gt;"",Results!$N185&lt;&gt;"",Results!$F185&lt;&gt;Results!$H185,$F180&lt;&gt;"",$G180&lt;&gt;""),Results!$L185,"")</f>
        <v/>
      </c>
      <c r="K180" s="343" t="str">
        <f>IF(AND(Results!$L185&lt;&gt;"",Results!$N185&lt;&gt;"",Results!$F185&lt;&gt;Results!$H185,$F180&lt;&gt;"",$G180&lt;&gt;""),Results!$N185,"")</f>
        <v/>
      </c>
      <c r="L180" s="344" t="str">
        <f>IF(AND(Results!$O185&lt;&gt;"",Results!$Q185&lt;&gt;"",Results!$F185&lt;&gt;Results!$H185,$F180&lt;&gt;"",$G180&lt;&gt;""),Results!$O185,"")</f>
        <v/>
      </c>
      <c r="M180" s="122" t="str">
        <f>IF(AND(Results!$O185&lt;&gt;"",Results!$Q185&lt;&gt;"",Results!$F185&lt;&gt;Results!$H185,$F180&lt;&gt;"",$G180&lt;&gt;""),Results!$Q185,"")</f>
        <v/>
      </c>
      <c r="N180" s="16" t="str">
        <f>IF(Planning!$I183=0,F180&amp;G180,"")</f>
        <v/>
      </c>
      <c r="O180" s="122">
        <f>IF(AND(Results!$Z$6&gt;0,$E180-1&gt;=Results!$Z$6*Calc!$F$26),0,IF(AND(F180&lt;&gt;"",G180&lt;&gt;"",F180&lt;&gt;G180,Results!$R185&lt;&gt;"",Results!$T185&lt;&gt;""),1,0))</f>
        <v>0</v>
      </c>
      <c r="P180" s="122" t="str">
        <f>IF(AND(O180&gt;0,Planning!$I183=0),V180&amp;Language!$E$90&amp;W180,"")</f>
        <v/>
      </c>
      <c r="Q180" s="2" t="str">
        <f>IF(Planning!$I183=1,F180&amp;G180,"")</f>
        <v>1. FSV Mainz 05FC St. Pauli</v>
      </c>
      <c r="R180" s="88" t="str">
        <f>IF(AND(O180&gt;0,Planning!$I183=1),V180&amp;Language!$E$90&amp;W180,"")</f>
        <v/>
      </c>
      <c r="S180" s="122" t="str">
        <f>IF(O180&gt;0,X180&amp;Language!$E$90&amp;Y180,"")</f>
        <v/>
      </c>
      <c r="T180" s="290">
        <f>IF($H180="",0,Results!$U185)</f>
        <v>0</v>
      </c>
      <c r="U180" s="291">
        <f>IF($I180="",0,Results!$V185)</f>
        <v>0</v>
      </c>
      <c r="V180" s="270" t="str">
        <f t="shared" si="4"/>
        <v/>
      </c>
      <c r="W180" s="291" t="str">
        <f t="shared" si="5"/>
        <v/>
      </c>
      <c r="X180" s="270">
        <f>IF($O180=0,0,IF(Results!$R185="",0,Results!$R185))</f>
        <v>0</v>
      </c>
      <c r="Y180" s="291">
        <f>IF($O180=0,0,IF(Results!$T185="",0,Results!$T185))</f>
        <v>0</v>
      </c>
      <c r="Z180" s="270" t="str">
        <f>IF($O180=0,"",IF($X180&gt;$Y180,Settings!$C$4,IF($X180=$Y180,1,0)))</f>
        <v/>
      </c>
      <c r="AA180" s="291" t="str">
        <f>IF($O180=0,"",IF($X180&lt;$Y180,Settings!$C$4,IF($X180=$Y180,1,0)))</f>
        <v/>
      </c>
    </row>
    <row r="181" spans="5:27" x14ac:dyDescent="0.2">
      <c r="E181" s="266">
        <v>178</v>
      </c>
      <c r="F181" s="171" t="str">
        <f>Planning!$Q184</f>
        <v>FC Bayern München</v>
      </c>
      <c r="G181" s="348" t="str">
        <f>Planning!$S184</f>
        <v>Bayer 04 Leverkusen</v>
      </c>
      <c r="H181" s="344" t="str">
        <f>IF(AND(Results!$I186&lt;&gt;"",Results!$K186&lt;&gt;"",Results!$F186&lt;&gt;Results!$H186,$F181&lt;&gt;"",$G181&lt;&gt;""),Results!$I186,"")</f>
        <v/>
      </c>
      <c r="I181" s="343" t="str">
        <f>IF(AND(Results!$I186&lt;&gt;"",Results!$K186&lt;&gt;"",Results!$F186&lt;&gt;Results!$H186,$F181&lt;&gt;"",$G181&lt;&gt;""),Results!$K186,"")</f>
        <v/>
      </c>
      <c r="J181" s="344" t="str">
        <f>IF(AND(Results!$L186&lt;&gt;"",Results!$N186&lt;&gt;"",Results!$F186&lt;&gt;Results!$H186,$F181&lt;&gt;"",$G181&lt;&gt;""),Results!$L186,"")</f>
        <v/>
      </c>
      <c r="K181" s="343" t="str">
        <f>IF(AND(Results!$L186&lt;&gt;"",Results!$N186&lt;&gt;"",Results!$F186&lt;&gt;Results!$H186,$F181&lt;&gt;"",$G181&lt;&gt;""),Results!$N186,"")</f>
        <v/>
      </c>
      <c r="L181" s="344" t="str">
        <f>IF(AND(Results!$O186&lt;&gt;"",Results!$Q186&lt;&gt;"",Results!$F186&lt;&gt;Results!$H186,$F181&lt;&gt;"",$G181&lt;&gt;""),Results!$O186,"")</f>
        <v/>
      </c>
      <c r="M181" s="122" t="str">
        <f>IF(AND(Results!$O186&lt;&gt;"",Results!$Q186&lt;&gt;"",Results!$F186&lt;&gt;Results!$H186,$F181&lt;&gt;"",$G181&lt;&gt;""),Results!$Q186,"")</f>
        <v/>
      </c>
      <c r="N181" s="16" t="str">
        <f>IF(Planning!$I184=0,F181&amp;G181,"")</f>
        <v/>
      </c>
      <c r="O181" s="122">
        <f>IF(AND(Results!$Z$6&gt;0,$E181-1&gt;=Results!$Z$6*Calc!$F$26),0,IF(AND(F181&lt;&gt;"",G181&lt;&gt;"",F181&lt;&gt;G181,Results!$R186&lt;&gt;"",Results!$T186&lt;&gt;""),1,0))</f>
        <v>0</v>
      </c>
      <c r="P181" s="122" t="str">
        <f>IF(AND(O181&gt;0,Planning!$I184=0),V181&amp;Language!$E$90&amp;W181,"")</f>
        <v/>
      </c>
      <c r="Q181" s="2" t="str">
        <f>IF(Planning!$I184=1,F181&amp;G181,"")</f>
        <v>FC Bayern MünchenBayer 04 Leverkusen</v>
      </c>
      <c r="R181" s="88" t="str">
        <f>IF(AND(O181&gt;0,Planning!$I184=1),V181&amp;Language!$E$90&amp;W181,"")</f>
        <v/>
      </c>
      <c r="S181" s="122" t="str">
        <f>IF(O181&gt;0,X181&amp;Language!$E$90&amp;Y181,"")</f>
        <v/>
      </c>
      <c r="T181" s="290">
        <f>IF($H181="",0,Results!$U186)</f>
        <v>0</v>
      </c>
      <c r="U181" s="291">
        <f>IF($I181="",0,Results!$V186)</f>
        <v>0</v>
      </c>
      <c r="V181" s="270" t="str">
        <f t="shared" si="4"/>
        <v/>
      </c>
      <c r="W181" s="291" t="str">
        <f t="shared" si="5"/>
        <v/>
      </c>
      <c r="X181" s="270">
        <f>IF($O181=0,0,IF(Results!$R186="",0,Results!$R186))</f>
        <v>0</v>
      </c>
      <c r="Y181" s="291">
        <f>IF($O181=0,0,IF(Results!$T186="",0,Results!$T186))</f>
        <v>0</v>
      </c>
      <c r="Z181" s="270" t="str">
        <f>IF($O181=0,"",IF($X181&gt;$Y181,Settings!$C$4,IF($X181=$Y181,1,0)))</f>
        <v/>
      </c>
      <c r="AA181" s="291" t="str">
        <f>IF($O181=0,"",IF($X181&lt;$Y181,Settings!$C$4,IF($X181=$Y181,1,0)))</f>
        <v/>
      </c>
    </row>
    <row r="182" spans="5:27" x14ac:dyDescent="0.2">
      <c r="E182" s="266">
        <v>179</v>
      </c>
      <c r="F182" s="171" t="str">
        <f>Planning!$Q185</f>
        <v>Borussia Dortmund</v>
      </c>
      <c r="G182" s="348" t="str">
        <f>Planning!$S185</f>
        <v>FC Augsburg</v>
      </c>
      <c r="H182" s="344" t="str">
        <f>IF(AND(Results!$I187&lt;&gt;"",Results!$K187&lt;&gt;"",Results!$F187&lt;&gt;Results!$H187,$F182&lt;&gt;"",$G182&lt;&gt;""),Results!$I187,"")</f>
        <v/>
      </c>
      <c r="I182" s="343" t="str">
        <f>IF(AND(Results!$I187&lt;&gt;"",Results!$K187&lt;&gt;"",Results!$F187&lt;&gt;Results!$H187,$F182&lt;&gt;"",$G182&lt;&gt;""),Results!$K187,"")</f>
        <v/>
      </c>
      <c r="J182" s="344" t="str">
        <f>IF(AND(Results!$L187&lt;&gt;"",Results!$N187&lt;&gt;"",Results!$F187&lt;&gt;Results!$H187,$F182&lt;&gt;"",$G182&lt;&gt;""),Results!$L187,"")</f>
        <v/>
      </c>
      <c r="K182" s="343" t="str">
        <f>IF(AND(Results!$L187&lt;&gt;"",Results!$N187&lt;&gt;"",Results!$F187&lt;&gt;Results!$H187,$F182&lt;&gt;"",$G182&lt;&gt;""),Results!$N187,"")</f>
        <v/>
      </c>
      <c r="L182" s="344" t="str">
        <f>IF(AND(Results!$O187&lt;&gt;"",Results!$Q187&lt;&gt;"",Results!$F187&lt;&gt;Results!$H187,$F182&lt;&gt;"",$G182&lt;&gt;""),Results!$O187,"")</f>
        <v/>
      </c>
      <c r="M182" s="122" t="str">
        <f>IF(AND(Results!$O187&lt;&gt;"",Results!$Q187&lt;&gt;"",Results!$F187&lt;&gt;Results!$H187,$F182&lt;&gt;"",$G182&lt;&gt;""),Results!$Q187,"")</f>
        <v/>
      </c>
      <c r="N182" s="16" t="str">
        <f>IF(Planning!$I185=0,F182&amp;G182,"")</f>
        <v/>
      </c>
      <c r="O182" s="122">
        <f>IF(AND(Results!$Z$6&gt;0,$E182-1&gt;=Results!$Z$6*Calc!$F$26),0,IF(AND(F182&lt;&gt;"",G182&lt;&gt;"",F182&lt;&gt;G182,Results!$R187&lt;&gt;"",Results!$T187&lt;&gt;""),1,0))</f>
        <v>0</v>
      </c>
      <c r="P182" s="122" t="str">
        <f>IF(AND(O182&gt;0,Planning!$I185=0),V182&amp;Language!$E$90&amp;W182,"")</f>
        <v/>
      </c>
      <c r="Q182" s="2" t="str">
        <f>IF(Planning!$I185=1,F182&amp;G182,"")</f>
        <v>Borussia DortmundFC Augsburg</v>
      </c>
      <c r="R182" s="88" t="str">
        <f>IF(AND(O182&gt;0,Planning!$I185=1),V182&amp;Language!$E$90&amp;W182,"")</f>
        <v/>
      </c>
      <c r="S182" s="122" t="str">
        <f>IF(O182&gt;0,X182&amp;Language!$E$90&amp;Y182,"")</f>
        <v/>
      </c>
      <c r="T182" s="290">
        <f>IF($H182="",0,Results!$U187)</f>
        <v>0</v>
      </c>
      <c r="U182" s="291">
        <f>IF($I182="",0,Results!$V187)</f>
        <v>0</v>
      </c>
      <c r="V182" s="270" t="str">
        <f t="shared" si="4"/>
        <v/>
      </c>
      <c r="W182" s="291" t="str">
        <f t="shared" si="5"/>
        <v/>
      </c>
      <c r="X182" s="270">
        <f>IF($O182=0,0,IF(Results!$R187="",0,Results!$R187))</f>
        <v>0</v>
      </c>
      <c r="Y182" s="291">
        <f>IF($O182=0,0,IF(Results!$T187="",0,Results!$T187))</f>
        <v>0</v>
      </c>
      <c r="Z182" s="270" t="str">
        <f>IF($O182=0,"",IF($X182&gt;$Y182,Settings!$C$4,IF($X182=$Y182,1,0)))</f>
        <v/>
      </c>
      <c r="AA182" s="291" t="str">
        <f>IF($O182=0,"",IF($X182&lt;$Y182,Settings!$C$4,IF($X182=$Y182,1,0)))</f>
        <v/>
      </c>
    </row>
    <row r="183" spans="5:27" x14ac:dyDescent="0.2">
      <c r="E183" s="266">
        <v>180</v>
      </c>
      <c r="F183" s="171" t="str">
        <f>Planning!$Q186</f>
        <v>Eintracht Frankfurt</v>
      </c>
      <c r="G183" s="348" t="str">
        <f>Planning!$S186</f>
        <v>Borussia Mönchengladbach</v>
      </c>
      <c r="H183" s="344" t="str">
        <f>IF(AND(Results!$I188&lt;&gt;"",Results!$K188&lt;&gt;"",Results!$F188&lt;&gt;Results!$H188,$F183&lt;&gt;"",$G183&lt;&gt;""),Results!$I188,"")</f>
        <v/>
      </c>
      <c r="I183" s="343" t="str">
        <f>IF(AND(Results!$I188&lt;&gt;"",Results!$K188&lt;&gt;"",Results!$F188&lt;&gt;Results!$H188,$F183&lt;&gt;"",$G183&lt;&gt;""),Results!$K188,"")</f>
        <v/>
      </c>
      <c r="J183" s="344" t="str">
        <f>IF(AND(Results!$L188&lt;&gt;"",Results!$N188&lt;&gt;"",Results!$F188&lt;&gt;Results!$H188,$F183&lt;&gt;"",$G183&lt;&gt;""),Results!$L188,"")</f>
        <v/>
      </c>
      <c r="K183" s="343" t="str">
        <f>IF(AND(Results!$L188&lt;&gt;"",Results!$N188&lt;&gt;"",Results!$F188&lt;&gt;Results!$H188,$F183&lt;&gt;"",$G183&lt;&gt;""),Results!$N188,"")</f>
        <v/>
      </c>
      <c r="L183" s="344" t="str">
        <f>IF(AND(Results!$O188&lt;&gt;"",Results!$Q188&lt;&gt;"",Results!$F188&lt;&gt;Results!$H188,$F183&lt;&gt;"",$G183&lt;&gt;""),Results!$O188,"")</f>
        <v/>
      </c>
      <c r="M183" s="122" t="str">
        <f>IF(AND(Results!$O188&lt;&gt;"",Results!$Q188&lt;&gt;"",Results!$F188&lt;&gt;Results!$H188,$F183&lt;&gt;"",$G183&lt;&gt;""),Results!$Q188,"")</f>
        <v/>
      </c>
      <c r="N183" s="16" t="str">
        <f>IF(Planning!$I186=0,F183&amp;G183,"")</f>
        <v/>
      </c>
      <c r="O183" s="122">
        <f>IF(AND(Results!$Z$6&gt;0,$E183-1&gt;=Results!$Z$6*Calc!$F$26),0,IF(AND(F183&lt;&gt;"",G183&lt;&gt;"",F183&lt;&gt;G183,Results!$R188&lt;&gt;"",Results!$T188&lt;&gt;""),1,0))</f>
        <v>0</v>
      </c>
      <c r="P183" s="122" t="str">
        <f>IF(AND(O183&gt;0,Planning!$I186=0),V183&amp;Language!$E$90&amp;W183,"")</f>
        <v/>
      </c>
      <c r="Q183" s="2" t="str">
        <f>IF(Planning!$I186=1,F183&amp;G183,"")</f>
        <v>Eintracht FrankfurtBorussia Mönchengladbach</v>
      </c>
      <c r="R183" s="88" t="str">
        <f>IF(AND(O183&gt;0,Planning!$I186=1),V183&amp;Language!$E$90&amp;W183,"")</f>
        <v/>
      </c>
      <c r="S183" s="122" t="str">
        <f>IF(O183&gt;0,X183&amp;Language!$E$90&amp;Y183,"")</f>
        <v/>
      </c>
      <c r="T183" s="290">
        <f>IF($H183="",0,Results!$U188)</f>
        <v>0</v>
      </c>
      <c r="U183" s="291">
        <f>IF($I183="",0,Results!$V188)</f>
        <v>0</v>
      </c>
      <c r="V183" s="270" t="str">
        <f t="shared" si="4"/>
        <v/>
      </c>
      <c r="W183" s="291" t="str">
        <f t="shared" si="5"/>
        <v/>
      </c>
      <c r="X183" s="270">
        <f>IF($O183=0,0,IF(Results!$R188="",0,Results!$R188))</f>
        <v>0</v>
      </c>
      <c r="Y183" s="291">
        <f>IF($O183=0,0,IF(Results!$T188="",0,Results!$T188))</f>
        <v>0</v>
      </c>
      <c r="Z183" s="270" t="str">
        <f>IF($O183=0,"",IF($X183&gt;$Y183,Settings!$C$4,IF($X183=$Y183,1,0)))</f>
        <v/>
      </c>
      <c r="AA183" s="291" t="str">
        <f>IF($O183=0,"",IF($X183&lt;$Y183,Settings!$C$4,IF($X183=$Y183,1,0)))</f>
        <v/>
      </c>
    </row>
    <row r="184" spans="5:27" x14ac:dyDescent="0.2">
      <c r="E184" s="266">
        <v>181</v>
      </c>
      <c r="F184" s="171" t="str">
        <f>Planning!$Q187</f>
        <v>1. FC Heidenheim 1846</v>
      </c>
      <c r="G184" s="348" t="str">
        <f>Planning!$S187</f>
        <v>SV Werder Bremen</v>
      </c>
      <c r="H184" s="344" t="str">
        <f>IF(AND(Results!$I189&lt;&gt;"",Results!$K189&lt;&gt;"",Results!$F189&lt;&gt;Results!$H189,$F184&lt;&gt;"",$G184&lt;&gt;""),Results!$I189,"")</f>
        <v/>
      </c>
      <c r="I184" s="343" t="str">
        <f>IF(AND(Results!$I189&lt;&gt;"",Results!$K189&lt;&gt;"",Results!$F189&lt;&gt;Results!$H189,$F184&lt;&gt;"",$G184&lt;&gt;""),Results!$K189,"")</f>
        <v/>
      </c>
      <c r="J184" s="344" t="str">
        <f>IF(AND(Results!$L189&lt;&gt;"",Results!$N189&lt;&gt;"",Results!$F189&lt;&gt;Results!$H189,$F184&lt;&gt;"",$G184&lt;&gt;""),Results!$L189,"")</f>
        <v/>
      </c>
      <c r="K184" s="343" t="str">
        <f>IF(AND(Results!$L189&lt;&gt;"",Results!$N189&lt;&gt;"",Results!$F189&lt;&gt;Results!$H189,$F184&lt;&gt;"",$G184&lt;&gt;""),Results!$N189,"")</f>
        <v/>
      </c>
      <c r="L184" s="344" t="str">
        <f>IF(AND(Results!$O189&lt;&gt;"",Results!$Q189&lt;&gt;"",Results!$F189&lt;&gt;Results!$H189,$F184&lt;&gt;"",$G184&lt;&gt;""),Results!$O189,"")</f>
        <v/>
      </c>
      <c r="M184" s="122" t="str">
        <f>IF(AND(Results!$O189&lt;&gt;"",Results!$Q189&lt;&gt;"",Results!$F189&lt;&gt;Results!$H189,$F184&lt;&gt;"",$G184&lt;&gt;""),Results!$Q189,"")</f>
        <v/>
      </c>
      <c r="N184" s="16" t="str">
        <f>IF(Planning!$I187=0,F184&amp;G184,"")</f>
        <v/>
      </c>
      <c r="O184" s="122">
        <f>IF(AND(Results!$Z$6&gt;0,$E184-1&gt;=Results!$Z$6*Calc!$F$26),0,IF(AND(F184&lt;&gt;"",G184&lt;&gt;"",F184&lt;&gt;G184,Results!$R189&lt;&gt;"",Results!$T189&lt;&gt;""),1,0))</f>
        <v>0</v>
      </c>
      <c r="P184" s="122" t="str">
        <f>IF(AND(O184&gt;0,Planning!$I187=0),V184&amp;Language!$E$90&amp;W184,"")</f>
        <v/>
      </c>
      <c r="Q184" s="2" t="str">
        <f>IF(Planning!$I187=1,F184&amp;G184,"")</f>
        <v>1. FC Heidenheim 1846SV Werder Bremen</v>
      </c>
      <c r="R184" s="88" t="str">
        <f>IF(AND(O184&gt;0,Planning!$I187=1),V184&amp;Language!$E$90&amp;W184,"")</f>
        <v/>
      </c>
      <c r="S184" s="122" t="str">
        <f>IF(O184&gt;0,X184&amp;Language!$E$90&amp;Y184,"")</f>
        <v/>
      </c>
      <c r="T184" s="290">
        <f>IF($H184="",0,Results!$U189)</f>
        <v>0</v>
      </c>
      <c r="U184" s="291">
        <f>IF($I184="",0,Results!$V189)</f>
        <v>0</v>
      </c>
      <c r="V184" s="270" t="str">
        <f t="shared" si="4"/>
        <v/>
      </c>
      <c r="W184" s="291" t="str">
        <f t="shared" si="5"/>
        <v/>
      </c>
      <c r="X184" s="270">
        <f>IF($O184=0,0,IF(Results!$R189="",0,Results!$R189))</f>
        <v>0</v>
      </c>
      <c r="Y184" s="291">
        <f>IF($O184=0,0,IF(Results!$T189="",0,Results!$T189))</f>
        <v>0</v>
      </c>
      <c r="Z184" s="270" t="str">
        <f>IF($O184=0,"",IF($X184&gt;$Y184,Settings!$C$4,IF($X184=$Y184,1,0)))</f>
        <v/>
      </c>
      <c r="AA184" s="291" t="str">
        <f>IF($O184=0,"",IF($X184&lt;$Y184,Settings!$C$4,IF($X184=$Y184,1,0)))</f>
        <v/>
      </c>
    </row>
    <row r="185" spans="5:27" x14ac:dyDescent="0.2">
      <c r="E185" s="266">
        <v>182</v>
      </c>
      <c r="F185" s="171" t="str">
        <f>Planning!$Q188</f>
        <v>TSG Hoffenheim</v>
      </c>
      <c r="G185" s="348" t="str">
        <f>Planning!$S188</f>
        <v>SC Freiburg</v>
      </c>
      <c r="H185" s="344" t="str">
        <f>IF(AND(Results!$I190&lt;&gt;"",Results!$K190&lt;&gt;"",Results!$F190&lt;&gt;Results!$H190,$F185&lt;&gt;"",$G185&lt;&gt;""),Results!$I190,"")</f>
        <v/>
      </c>
      <c r="I185" s="343" t="str">
        <f>IF(AND(Results!$I190&lt;&gt;"",Results!$K190&lt;&gt;"",Results!$F190&lt;&gt;Results!$H190,$F185&lt;&gt;"",$G185&lt;&gt;""),Results!$K190,"")</f>
        <v/>
      </c>
      <c r="J185" s="344" t="str">
        <f>IF(AND(Results!$L190&lt;&gt;"",Results!$N190&lt;&gt;"",Results!$F190&lt;&gt;Results!$H190,$F185&lt;&gt;"",$G185&lt;&gt;""),Results!$L190,"")</f>
        <v/>
      </c>
      <c r="K185" s="343" t="str">
        <f>IF(AND(Results!$L190&lt;&gt;"",Results!$N190&lt;&gt;"",Results!$F190&lt;&gt;Results!$H190,$F185&lt;&gt;"",$G185&lt;&gt;""),Results!$N190,"")</f>
        <v/>
      </c>
      <c r="L185" s="344" t="str">
        <f>IF(AND(Results!$O190&lt;&gt;"",Results!$Q190&lt;&gt;"",Results!$F190&lt;&gt;Results!$H190,$F185&lt;&gt;"",$G185&lt;&gt;""),Results!$O190,"")</f>
        <v/>
      </c>
      <c r="M185" s="122" t="str">
        <f>IF(AND(Results!$O190&lt;&gt;"",Results!$Q190&lt;&gt;"",Results!$F190&lt;&gt;Results!$H190,$F185&lt;&gt;"",$G185&lt;&gt;""),Results!$Q190,"")</f>
        <v/>
      </c>
      <c r="N185" s="16" t="str">
        <f>IF(Planning!$I188=0,F185&amp;G185,"")</f>
        <v/>
      </c>
      <c r="O185" s="122">
        <f>IF(AND(Results!$Z$6&gt;0,$E185-1&gt;=Results!$Z$6*Calc!$F$26),0,IF(AND(F185&lt;&gt;"",G185&lt;&gt;"",F185&lt;&gt;G185,Results!$R190&lt;&gt;"",Results!$T190&lt;&gt;""),1,0))</f>
        <v>0</v>
      </c>
      <c r="P185" s="122" t="str">
        <f>IF(AND(O185&gt;0,Planning!$I188=0),V185&amp;Language!$E$90&amp;W185,"")</f>
        <v/>
      </c>
      <c r="Q185" s="2" t="str">
        <f>IF(Planning!$I188=1,F185&amp;G185,"")</f>
        <v>TSG HoffenheimSC Freiburg</v>
      </c>
      <c r="R185" s="88" t="str">
        <f>IF(AND(O185&gt;0,Planning!$I188=1),V185&amp;Language!$E$90&amp;W185,"")</f>
        <v/>
      </c>
      <c r="S185" s="122" t="str">
        <f>IF(O185&gt;0,X185&amp;Language!$E$90&amp;Y185,"")</f>
        <v/>
      </c>
      <c r="T185" s="290">
        <f>IF($H185="",0,Results!$U190)</f>
        <v>0</v>
      </c>
      <c r="U185" s="291">
        <f>IF($I185="",0,Results!$V190)</f>
        <v>0</v>
      </c>
      <c r="V185" s="270" t="str">
        <f t="shared" si="4"/>
        <v/>
      </c>
      <c r="W185" s="291" t="str">
        <f t="shared" si="5"/>
        <v/>
      </c>
      <c r="X185" s="270">
        <f>IF($O185=0,0,IF(Results!$R190="",0,Results!$R190))</f>
        <v>0</v>
      </c>
      <c r="Y185" s="291">
        <f>IF($O185=0,0,IF(Results!$T190="",0,Results!$T190))</f>
        <v>0</v>
      </c>
      <c r="Z185" s="270" t="str">
        <f>IF($O185=0,"",IF($X185&gt;$Y185,Settings!$C$4,IF($X185=$Y185,1,0)))</f>
        <v/>
      </c>
      <c r="AA185" s="291" t="str">
        <f>IF($O185=0,"",IF($X185&lt;$Y185,Settings!$C$4,IF($X185=$Y185,1,0)))</f>
        <v/>
      </c>
    </row>
    <row r="186" spans="5:27" x14ac:dyDescent="0.2">
      <c r="E186" s="266">
        <v>183</v>
      </c>
      <c r="F186" s="171" t="str">
        <f>Planning!$Q189</f>
        <v>RB Leipzig</v>
      </c>
      <c r="G186" s="348" t="str">
        <f>Planning!$S189</f>
        <v>VfB Stuttgart</v>
      </c>
      <c r="H186" s="344" t="str">
        <f>IF(AND(Results!$I191&lt;&gt;"",Results!$K191&lt;&gt;"",Results!$F191&lt;&gt;Results!$H191,$F186&lt;&gt;"",$G186&lt;&gt;""),Results!$I191,"")</f>
        <v/>
      </c>
      <c r="I186" s="343" t="str">
        <f>IF(AND(Results!$I191&lt;&gt;"",Results!$K191&lt;&gt;"",Results!$F191&lt;&gt;Results!$H191,$F186&lt;&gt;"",$G186&lt;&gt;""),Results!$K191,"")</f>
        <v/>
      </c>
      <c r="J186" s="344" t="str">
        <f>IF(AND(Results!$L191&lt;&gt;"",Results!$N191&lt;&gt;"",Results!$F191&lt;&gt;Results!$H191,$F186&lt;&gt;"",$G186&lt;&gt;""),Results!$L191,"")</f>
        <v/>
      </c>
      <c r="K186" s="343" t="str">
        <f>IF(AND(Results!$L191&lt;&gt;"",Results!$N191&lt;&gt;"",Results!$F191&lt;&gt;Results!$H191,$F186&lt;&gt;"",$G186&lt;&gt;""),Results!$N191,"")</f>
        <v/>
      </c>
      <c r="L186" s="344" t="str">
        <f>IF(AND(Results!$O191&lt;&gt;"",Results!$Q191&lt;&gt;"",Results!$F191&lt;&gt;Results!$H191,$F186&lt;&gt;"",$G186&lt;&gt;""),Results!$O191,"")</f>
        <v/>
      </c>
      <c r="M186" s="122" t="str">
        <f>IF(AND(Results!$O191&lt;&gt;"",Results!$Q191&lt;&gt;"",Results!$F191&lt;&gt;Results!$H191,$F186&lt;&gt;"",$G186&lt;&gt;""),Results!$Q191,"")</f>
        <v/>
      </c>
      <c r="N186" s="16" t="str">
        <f>IF(Planning!$I189=0,F186&amp;G186,"")</f>
        <v/>
      </c>
      <c r="O186" s="122">
        <f>IF(AND(Results!$Z$6&gt;0,$E186-1&gt;=Results!$Z$6*Calc!$F$26),0,IF(AND(F186&lt;&gt;"",G186&lt;&gt;"",F186&lt;&gt;G186,Results!$R191&lt;&gt;"",Results!$T191&lt;&gt;""),1,0))</f>
        <v>0</v>
      </c>
      <c r="P186" s="122" t="str">
        <f>IF(AND(O186&gt;0,Planning!$I189=0),V186&amp;Language!$E$90&amp;W186,"")</f>
        <v/>
      </c>
      <c r="Q186" s="2" t="str">
        <f>IF(Planning!$I189=1,F186&amp;G186,"")</f>
        <v>RB LeipzigVfB Stuttgart</v>
      </c>
      <c r="R186" s="88" t="str">
        <f>IF(AND(O186&gt;0,Planning!$I189=1),V186&amp;Language!$E$90&amp;W186,"")</f>
        <v/>
      </c>
      <c r="S186" s="122" t="str">
        <f>IF(O186&gt;0,X186&amp;Language!$E$90&amp;Y186,"")</f>
        <v/>
      </c>
      <c r="T186" s="290">
        <f>IF($H186="",0,Results!$U191)</f>
        <v>0</v>
      </c>
      <c r="U186" s="291">
        <f>IF($I186="",0,Results!$V191)</f>
        <v>0</v>
      </c>
      <c r="V186" s="270" t="str">
        <f t="shared" si="4"/>
        <v/>
      </c>
      <c r="W186" s="291" t="str">
        <f t="shared" si="5"/>
        <v/>
      </c>
      <c r="X186" s="270">
        <f>IF($O186=0,0,IF(Results!$R191="",0,Results!$R191))</f>
        <v>0</v>
      </c>
      <c r="Y186" s="291">
        <f>IF($O186=0,0,IF(Results!$T191="",0,Results!$T191))</f>
        <v>0</v>
      </c>
      <c r="Z186" s="270" t="str">
        <f>IF($O186=0,"",IF($X186&gt;$Y186,Settings!$C$4,IF($X186=$Y186,1,0)))</f>
        <v/>
      </c>
      <c r="AA186" s="291" t="str">
        <f>IF($O186=0,"",IF($X186&lt;$Y186,Settings!$C$4,IF($X186=$Y186,1,0)))</f>
        <v/>
      </c>
    </row>
    <row r="187" spans="5:27" x14ac:dyDescent="0.2">
      <c r="E187" s="266">
        <v>184</v>
      </c>
      <c r="F187" s="171" t="str">
        <f>Planning!$Q190</f>
        <v>VfL Wolfsburg</v>
      </c>
      <c r="G187" s="348" t="str">
        <f>Planning!$S190</f>
        <v>Hamburger SV</v>
      </c>
      <c r="H187" s="344" t="str">
        <f>IF(AND(Results!$I192&lt;&gt;"",Results!$K192&lt;&gt;"",Results!$F192&lt;&gt;Results!$H192,$F187&lt;&gt;"",$G187&lt;&gt;""),Results!$I192,"")</f>
        <v/>
      </c>
      <c r="I187" s="343" t="str">
        <f>IF(AND(Results!$I192&lt;&gt;"",Results!$K192&lt;&gt;"",Results!$F192&lt;&gt;Results!$H192,$F187&lt;&gt;"",$G187&lt;&gt;""),Results!$K192,"")</f>
        <v/>
      </c>
      <c r="J187" s="344" t="str">
        <f>IF(AND(Results!$L192&lt;&gt;"",Results!$N192&lt;&gt;"",Results!$F192&lt;&gt;Results!$H192,$F187&lt;&gt;"",$G187&lt;&gt;""),Results!$L192,"")</f>
        <v/>
      </c>
      <c r="K187" s="343" t="str">
        <f>IF(AND(Results!$L192&lt;&gt;"",Results!$N192&lt;&gt;"",Results!$F192&lt;&gt;Results!$H192,$F187&lt;&gt;"",$G187&lt;&gt;""),Results!$N192,"")</f>
        <v/>
      </c>
      <c r="L187" s="344" t="str">
        <f>IF(AND(Results!$O192&lt;&gt;"",Results!$Q192&lt;&gt;"",Results!$F192&lt;&gt;Results!$H192,$F187&lt;&gt;"",$G187&lt;&gt;""),Results!$O192,"")</f>
        <v/>
      </c>
      <c r="M187" s="122" t="str">
        <f>IF(AND(Results!$O192&lt;&gt;"",Results!$Q192&lt;&gt;"",Results!$F192&lt;&gt;Results!$H192,$F187&lt;&gt;"",$G187&lt;&gt;""),Results!$Q192,"")</f>
        <v/>
      </c>
      <c r="N187" s="16" t="str">
        <f>IF(Planning!$I190=0,F187&amp;G187,"")</f>
        <v/>
      </c>
      <c r="O187" s="122">
        <f>IF(AND(Results!$Z$6&gt;0,$E187-1&gt;=Results!$Z$6*Calc!$F$26),0,IF(AND(F187&lt;&gt;"",G187&lt;&gt;"",F187&lt;&gt;G187,Results!$R192&lt;&gt;"",Results!$T192&lt;&gt;""),1,0))</f>
        <v>0</v>
      </c>
      <c r="P187" s="122" t="str">
        <f>IF(AND(O187&gt;0,Planning!$I190=0),V187&amp;Language!$E$90&amp;W187,"")</f>
        <v/>
      </c>
      <c r="Q187" s="2" t="str">
        <f>IF(Planning!$I190=1,F187&amp;G187,"")</f>
        <v>VfL WolfsburgHamburger SV</v>
      </c>
      <c r="R187" s="88" t="str">
        <f>IF(AND(O187&gt;0,Planning!$I190=1),V187&amp;Language!$E$90&amp;W187,"")</f>
        <v/>
      </c>
      <c r="S187" s="122" t="str">
        <f>IF(O187&gt;0,X187&amp;Language!$E$90&amp;Y187,"")</f>
        <v/>
      </c>
      <c r="T187" s="290">
        <f>IF($H187="",0,Results!$U192)</f>
        <v>0</v>
      </c>
      <c r="U187" s="291">
        <f>IF($I187="",0,Results!$V192)</f>
        <v>0</v>
      </c>
      <c r="V187" s="270" t="str">
        <f t="shared" si="4"/>
        <v/>
      </c>
      <c r="W187" s="291" t="str">
        <f t="shared" si="5"/>
        <v/>
      </c>
      <c r="X187" s="270">
        <f>IF($O187=0,0,IF(Results!$R192="",0,Results!$R192))</f>
        <v>0</v>
      </c>
      <c r="Y187" s="291">
        <f>IF($O187=0,0,IF(Results!$T192="",0,Results!$T192))</f>
        <v>0</v>
      </c>
      <c r="Z187" s="270" t="str">
        <f>IF($O187=0,"",IF($X187&gt;$Y187,Settings!$C$4,IF($X187=$Y187,1,0)))</f>
        <v/>
      </c>
      <c r="AA187" s="291" t="str">
        <f>IF($O187=0,"",IF($X187&lt;$Y187,Settings!$C$4,IF($X187=$Y187,1,0)))</f>
        <v/>
      </c>
    </row>
    <row r="188" spans="5:27" x14ac:dyDescent="0.2">
      <c r="E188" s="266">
        <v>185</v>
      </c>
      <c r="F188" s="171" t="str">
        <f>Planning!$Q191</f>
        <v>FC St. Pauli</v>
      </c>
      <c r="G188" s="348" t="str">
        <f>Planning!$S191</f>
        <v>1. FC Köln</v>
      </c>
      <c r="H188" s="344" t="str">
        <f>IF(AND(Results!$I193&lt;&gt;"",Results!$K193&lt;&gt;"",Results!$F193&lt;&gt;Results!$H193,$F188&lt;&gt;"",$G188&lt;&gt;""),Results!$I193,"")</f>
        <v/>
      </c>
      <c r="I188" s="343" t="str">
        <f>IF(AND(Results!$I193&lt;&gt;"",Results!$K193&lt;&gt;"",Results!$F193&lt;&gt;Results!$H193,$F188&lt;&gt;"",$G188&lt;&gt;""),Results!$K193,"")</f>
        <v/>
      </c>
      <c r="J188" s="344" t="str">
        <f>IF(AND(Results!$L193&lt;&gt;"",Results!$N193&lt;&gt;"",Results!$F193&lt;&gt;Results!$H193,$F188&lt;&gt;"",$G188&lt;&gt;""),Results!$L193,"")</f>
        <v/>
      </c>
      <c r="K188" s="343" t="str">
        <f>IF(AND(Results!$L193&lt;&gt;"",Results!$N193&lt;&gt;"",Results!$F193&lt;&gt;Results!$H193,$F188&lt;&gt;"",$G188&lt;&gt;""),Results!$N193,"")</f>
        <v/>
      </c>
      <c r="L188" s="344" t="str">
        <f>IF(AND(Results!$O193&lt;&gt;"",Results!$Q193&lt;&gt;"",Results!$F193&lt;&gt;Results!$H193,$F188&lt;&gt;"",$G188&lt;&gt;""),Results!$O193,"")</f>
        <v/>
      </c>
      <c r="M188" s="122" t="str">
        <f>IF(AND(Results!$O193&lt;&gt;"",Results!$Q193&lt;&gt;"",Results!$F193&lt;&gt;Results!$H193,$F188&lt;&gt;"",$G188&lt;&gt;""),Results!$Q193,"")</f>
        <v/>
      </c>
      <c r="N188" s="16" t="str">
        <f>IF(Planning!$I191=0,F188&amp;G188,"")</f>
        <v/>
      </c>
      <c r="O188" s="122">
        <f>IF(AND(Results!$Z$6&gt;0,$E188-1&gt;=Results!$Z$6*Calc!$F$26),0,IF(AND(F188&lt;&gt;"",G188&lt;&gt;"",F188&lt;&gt;G188,Results!$R193&lt;&gt;"",Results!$T193&lt;&gt;""),1,0))</f>
        <v>0</v>
      </c>
      <c r="P188" s="122" t="str">
        <f>IF(AND(O188&gt;0,Planning!$I191=0),V188&amp;Language!$E$90&amp;W188,"")</f>
        <v/>
      </c>
      <c r="Q188" s="2" t="str">
        <f>IF(Planning!$I191=1,F188&amp;G188,"")</f>
        <v>FC St. Pauli1. FC Köln</v>
      </c>
      <c r="R188" s="88" t="str">
        <f>IF(AND(O188&gt;0,Planning!$I191=1),V188&amp;Language!$E$90&amp;W188,"")</f>
        <v/>
      </c>
      <c r="S188" s="122" t="str">
        <f>IF(O188&gt;0,X188&amp;Language!$E$90&amp;Y188,"")</f>
        <v/>
      </c>
      <c r="T188" s="290">
        <f>IF($H188="",0,Results!$U193)</f>
        <v>0</v>
      </c>
      <c r="U188" s="291">
        <f>IF($I188="",0,Results!$V193)</f>
        <v>0</v>
      </c>
      <c r="V188" s="270" t="str">
        <f t="shared" si="4"/>
        <v/>
      </c>
      <c r="W188" s="291" t="str">
        <f t="shared" si="5"/>
        <v/>
      </c>
      <c r="X188" s="270">
        <f>IF($O188=0,0,IF(Results!$R193="",0,Results!$R193))</f>
        <v>0</v>
      </c>
      <c r="Y188" s="291">
        <f>IF($O188=0,0,IF(Results!$T193="",0,Results!$T193))</f>
        <v>0</v>
      </c>
      <c r="Z188" s="270" t="str">
        <f>IF($O188=0,"",IF($X188&gt;$Y188,Settings!$C$4,IF($X188=$Y188,1,0)))</f>
        <v/>
      </c>
      <c r="AA188" s="291" t="str">
        <f>IF($O188=0,"",IF($X188&lt;$Y188,Settings!$C$4,IF($X188=$Y188,1,0)))</f>
        <v/>
      </c>
    </row>
    <row r="189" spans="5:27" x14ac:dyDescent="0.2">
      <c r="E189" s="266">
        <v>186</v>
      </c>
      <c r="F189" s="171" t="str">
        <f>Planning!$Q192</f>
        <v>1. FC Union Berlin</v>
      </c>
      <c r="G189" s="348" t="str">
        <f>Planning!$S192</f>
        <v>FC Bayern München</v>
      </c>
      <c r="H189" s="344" t="str">
        <f>IF(AND(Results!$I194&lt;&gt;"",Results!$K194&lt;&gt;"",Results!$F194&lt;&gt;Results!$H194,$F189&lt;&gt;"",$G189&lt;&gt;""),Results!$I194,"")</f>
        <v/>
      </c>
      <c r="I189" s="343" t="str">
        <f>IF(AND(Results!$I194&lt;&gt;"",Results!$K194&lt;&gt;"",Results!$F194&lt;&gt;Results!$H194,$F189&lt;&gt;"",$G189&lt;&gt;""),Results!$K194,"")</f>
        <v/>
      </c>
      <c r="J189" s="344" t="str">
        <f>IF(AND(Results!$L194&lt;&gt;"",Results!$N194&lt;&gt;"",Results!$F194&lt;&gt;Results!$H194,$F189&lt;&gt;"",$G189&lt;&gt;""),Results!$L194,"")</f>
        <v/>
      </c>
      <c r="K189" s="343" t="str">
        <f>IF(AND(Results!$L194&lt;&gt;"",Results!$N194&lt;&gt;"",Results!$F194&lt;&gt;Results!$H194,$F189&lt;&gt;"",$G189&lt;&gt;""),Results!$N194,"")</f>
        <v/>
      </c>
      <c r="L189" s="344" t="str">
        <f>IF(AND(Results!$O194&lt;&gt;"",Results!$Q194&lt;&gt;"",Results!$F194&lt;&gt;Results!$H194,$F189&lt;&gt;"",$G189&lt;&gt;""),Results!$O194,"")</f>
        <v/>
      </c>
      <c r="M189" s="122" t="str">
        <f>IF(AND(Results!$O194&lt;&gt;"",Results!$Q194&lt;&gt;"",Results!$F194&lt;&gt;Results!$H194,$F189&lt;&gt;"",$G189&lt;&gt;""),Results!$Q194,"")</f>
        <v/>
      </c>
      <c r="N189" s="16" t="str">
        <f>IF(Planning!$I192=0,F189&amp;G189,"")</f>
        <v/>
      </c>
      <c r="O189" s="122">
        <f>IF(AND(Results!$Z$6&gt;0,$E189-1&gt;=Results!$Z$6*Calc!$F$26),0,IF(AND(F189&lt;&gt;"",G189&lt;&gt;"",F189&lt;&gt;G189,Results!$R194&lt;&gt;"",Results!$T194&lt;&gt;""),1,0))</f>
        <v>0</v>
      </c>
      <c r="P189" s="122" t="str">
        <f>IF(AND(O189&gt;0,Planning!$I192=0),V189&amp;Language!$E$90&amp;W189,"")</f>
        <v/>
      </c>
      <c r="Q189" s="2" t="str">
        <f>IF(Planning!$I192=1,F189&amp;G189,"")</f>
        <v>1. FC Union BerlinFC Bayern München</v>
      </c>
      <c r="R189" s="88" t="str">
        <f>IF(AND(O189&gt;0,Planning!$I192=1),V189&amp;Language!$E$90&amp;W189,"")</f>
        <v/>
      </c>
      <c r="S189" s="122" t="str">
        <f>IF(O189&gt;0,X189&amp;Language!$E$90&amp;Y189,"")</f>
        <v/>
      </c>
      <c r="T189" s="290">
        <f>IF($H189="",0,Results!$U194)</f>
        <v>0</v>
      </c>
      <c r="U189" s="291">
        <f>IF($I189="",0,Results!$V194)</f>
        <v>0</v>
      </c>
      <c r="V189" s="270" t="str">
        <f t="shared" si="4"/>
        <v/>
      </c>
      <c r="W189" s="291" t="str">
        <f t="shared" si="5"/>
        <v/>
      </c>
      <c r="X189" s="270">
        <f>IF($O189=0,0,IF(Results!$R194="",0,Results!$R194))</f>
        <v>0</v>
      </c>
      <c r="Y189" s="291">
        <f>IF($O189=0,0,IF(Results!$T194="",0,Results!$T194))</f>
        <v>0</v>
      </c>
      <c r="Z189" s="270" t="str">
        <f>IF($O189=0,"",IF($X189&gt;$Y189,Settings!$C$4,IF($X189=$Y189,1,0)))</f>
        <v/>
      </c>
      <c r="AA189" s="291" t="str">
        <f>IF($O189=0,"",IF($X189&lt;$Y189,Settings!$C$4,IF($X189=$Y189,1,0)))</f>
        <v/>
      </c>
    </row>
    <row r="190" spans="5:27" x14ac:dyDescent="0.2">
      <c r="E190" s="266">
        <v>187</v>
      </c>
      <c r="F190" s="171" t="str">
        <f>Planning!$Q193</f>
        <v>FC Augsburg</v>
      </c>
      <c r="G190" s="348" t="str">
        <f>Planning!$S193</f>
        <v>1. FSV Mainz 05</v>
      </c>
      <c r="H190" s="344" t="str">
        <f>IF(AND(Results!$I195&lt;&gt;"",Results!$K195&lt;&gt;"",Results!$F195&lt;&gt;Results!$H195,$F190&lt;&gt;"",$G190&lt;&gt;""),Results!$I195,"")</f>
        <v/>
      </c>
      <c r="I190" s="343" t="str">
        <f>IF(AND(Results!$I195&lt;&gt;"",Results!$K195&lt;&gt;"",Results!$F195&lt;&gt;Results!$H195,$F190&lt;&gt;"",$G190&lt;&gt;""),Results!$K195,"")</f>
        <v/>
      </c>
      <c r="J190" s="344" t="str">
        <f>IF(AND(Results!$L195&lt;&gt;"",Results!$N195&lt;&gt;"",Results!$F195&lt;&gt;Results!$H195,$F190&lt;&gt;"",$G190&lt;&gt;""),Results!$L195,"")</f>
        <v/>
      </c>
      <c r="K190" s="343" t="str">
        <f>IF(AND(Results!$L195&lt;&gt;"",Results!$N195&lt;&gt;"",Results!$F195&lt;&gt;Results!$H195,$F190&lt;&gt;"",$G190&lt;&gt;""),Results!$N195,"")</f>
        <v/>
      </c>
      <c r="L190" s="344" t="str">
        <f>IF(AND(Results!$O195&lt;&gt;"",Results!$Q195&lt;&gt;"",Results!$F195&lt;&gt;Results!$H195,$F190&lt;&gt;"",$G190&lt;&gt;""),Results!$O195,"")</f>
        <v/>
      </c>
      <c r="M190" s="122" t="str">
        <f>IF(AND(Results!$O195&lt;&gt;"",Results!$Q195&lt;&gt;"",Results!$F195&lt;&gt;Results!$H195,$F190&lt;&gt;"",$G190&lt;&gt;""),Results!$Q195,"")</f>
        <v/>
      </c>
      <c r="N190" s="16" t="str">
        <f>IF(Planning!$I193=0,F190&amp;G190,"")</f>
        <v/>
      </c>
      <c r="O190" s="122">
        <f>IF(AND(Results!$Z$6&gt;0,$E190-1&gt;=Results!$Z$6*Calc!$F$26),0,IF(AND(F190&lt;&gt;"",G190&lt;&gt;"",F190&lt;&gt;G190,Results!$R195&lt;&gt;"",Results!$T195&lt;&gt;""),1,0))</f>
        <v>0</v>
      </c>
      <c r="P190" s="122" t="str">
        <f>IF(AND(O190&gt;0,Planning!$I193=0),V190&amp;Language!$E$90&amp;W190,"")</f>
        <v/>
      </c>
      <c r="Q190" s="2" t="str">
        <f>IF(Planning!$I193=1,F190&amp;G190,"")</f>
        <v>FC Augsburg1. FSV Mainz 05</v>
      </c>
      <c r="R190" s="88" t="str">
        <f>IF(AND(O190&gt;0,Planning!$I193=1),V190&amp;Language!$E$90&amp;W190,"")</f>
        <v/>
      </c>
      <c r="S190" s="122" t="str">
        <f>IF(O190&gt;0,X190&amp;Language!$E$90&amp;Y190,"")</f>
        <v/>
      </c>
      <c r="T190" s="290">
        <f>IF($H190="",0,Results!$U195)</f>
        <v>0</v>
      </c>
      <c r="U190" s="291">
        <f>IF($I190="",0,Results!$V195)</f>
        <v>0</v>
      </c>
      <c r="V190" s="270" t="str">
        <f t="shared" si="4"/>
        <v/>
      </c>
      <c r="W190" s="291" t="str">
        <f t="shared" si="5"/>
        <v/>
      </c>
      <c r="X190" s="270">
        <f>IF($O190=0,0,IF(Results!$R195="",0,Results!$R195))</f>
        <v>0</v>
      </c>
      <c r="Y190" s="291">
        <f>IF($O190=0,0,IF(Results!$T195="",0,Results!$T195))</f>
        <v>0</v>
      </c>
      <c r="Z190" s="270" t="str">
        <f>IF($O190=0,"",IF($X190&gt;$Y190,Settings!$C$4,IF($X190=$Y190,1,0)))</f>
        <v/>
      </c>
      <c r="AA190" s="291" t="str">
        <f>IF($O190=0,"",IF($X190&lt;$Y190,Settings!$C$4,IF($X190=$Y190,1,0)))</f>
        <v/>
      </c>
    </row>
    <row r="191" spans="5:27" x14ac:dyDescent="0.2">
      <c r="E191" s="266">
        <v>188</v>
      </c>
      <c r="F191" s="171" t="str">
        <f>Planning!$Q194</f>
        <v>Bayer 04 Leverkusen</v>
      </c>
      <c r="G191" s="348" t="str">
        <f>Planning!$S194</f>
        <v>Eintracht Frankfurt</v>
      </c>
      <c r="H191" s="344" t="str">
        <f>IF(AND(Results!$I196&lt;&gt;"",Results!$K196&lt;&gt;"",Results!$F196&lt;&gt;Results!$H196,$F191&lt;&gt;"",$G191&lt;&gt;""),Results!$I196,"")</f>
        <v/>
      </c>
      <c r="I191" s="343" t="str">
        <f>IF(AND(Results!$I196&lt;&gt;"",Results!$K196&lt;&gt;"",Results!$F196&lt;&gt;Results!$H196,$F191&lt;&gt;"",$G191&lt;&gt;""),Results!$K196,"")</f>
        <v/>
      </c>
      <c r="J191" s="344" t="str">
        <f>IF(AND(Results!$L196&lt;&gt;"",Results!$N196&lt;&gt;"",Results!$F196&lt;&gt;Results!$H196,$F191&lt;&gt;"",$G191&lt;&gt;""),Results!$L196,"")</f>
        <v/>
      </c>
      <c r="K191" s="343" t="str">
        <f>IF(AND(Results!$L196&lt;&gt;"",Results!$N196&lt;&gt;"",Results!$F196&lt;&gt;Results!$H196,$F191&lt;&gt;"",$G191&lt;&gt;""),Results!$N196,"")</f>
        <v/>
      </c>
      <c r="L191" s="344" t="str">
        <f>IF(AND(Results!$O196&lt;&gt;"",Results!$Q196&lt;&gt;"",Results!$F196&lt;&gt;Results!$H196,$F191&lt;&gt;"",$G191&lt;&gt;""),Results!$O196,"")</f>
        <v/>
      </c>
      <c r="M191" s="122" t="str">
        <f>IF(AND(Results!$O196&lt;&gt;"",Results!$Q196&lt;&gt;"",Results!$F196&lt;&gt;Results!$H196,$F191&lt;&gt;"",$G191&lt;&gt;""),Results!$Q196,"")</f>
        <v/>
      </c>
      <c r="N191" s="16" t="str">
        <f>IF(Planning!$I194=0,F191&amp;G191,"")</f>
        <v/>
      </c>
      <c r="O191" s="122">
        <f>IF(AND(Results!$Z$6&gt;0,$E191-1&gt;=Results!$Z$6*Calc!$F$26),0,IF(AND(F191&lt;&gt;"",G191&lt;&gt;"",F191&lt;&gt;G191,Results!$R196&lt;&gt;"",Results!$T196&lt;&gt;""),1,0))</f>
        <v>0</v>
      </c>
      <c r="P191" s="122" t="str">
        <f>IF(AND(O191&gt;0,Planning!$I194=0),V191&amp;Language!$E$90&amp;W191,"")</f>
        <v/>
      </c>
      <c r="Q191" s="2" t="str">
        <f>IF(Planning!$I194=1,F191&amp;G191,"")</f>
        <v>Bayer 04 LeverkusenEintracht Frankfurt</v>
      </c>
      <c r="R191" s="88" t="str">
        <f>IF(AND(O191&gt;0,Planning!$I194=1),V191&amp;Language!$E$90&amp;W191,"")</f>
        <v/>
      </c>
      <c r="S191" s="122" t="str">
        <f>IF(O191&gt;0,X191&amp;Language!$E$90&amp;Y191,"")</f>
        <v/>
      </c>
      <c r="T191" s="290">
        <f>IF($H191="",0,Results!$U196)</f>
        <v>0</v>
      </c>
      <c r="U191" s="291">
        <f>IF($I191="",0,Results!$V196)</f>
        <v>0</v>
      </c>
      <c r="V191" s="270" t="str">
        <f t="shared" si="4"/>
        <v/>
      </c>
      <c r="W191" s="291" t="str">
        <f t="shared" si="5"/>
        <v/>
      </c>
      <c r="X191" s="270">
        <f>IF($O191=0,0,IF(Results!$R196="",0,Results!$R196))</f>
        <v>0</v>
      </c>
      <c r="Y191" s="291">
        <f>IF($O191=0,0,IF(Results!$T196="",0,Results!$T196))</f>
        <v>0</v>
      </c>
      <c r="Z191" s="270" t="str">
        <f>IF($O191=0,"",IF($X191&gt;$Y191,Settings!$C$4,IF($X191=$Y191,1,0)))</f>
        <v/>
      </c>
      <c r="AA191" s="291" t="str">
        <f>IF($O191=0,"",IF($X191&lt;$Y191,Settings!$C$4,IF($X191=$Y191,1,0)))</f>
        <v/>
      </c>
    </row>
    <row r="192" spans="5:27" x14ac:dyDescent="0.2">
      <c r="E192" s="266">
        <v>189</v>
      </c>
      <c r="F192" s="171" t="str">
        <f>Planning!$Q195</f>
        <v>Borussia Mönchengladbach</v>
      </c>
      <c r="G192" s="348" t="str">
        <f>Planning!$S195</f>
        <v>Borussia Dortmund</v>
      </c>
      <c r="H192" s="344" t="str">
        <f>IF(AND(Results!$I197&lt;&gt;"",Results!$K197&lt;&gt;"",Results!$F197&lt;&gt;Results!$H197,$F192&lt;&gt;"",$G192&lt;&gt;""),Results!$I197,"")</f>
        <v/>
      </c>
      <c r="I192" s="343" t="str">
        <f>IF(AND(Results!$I197&lt;&gt;"",Results!$K197&lt;&gt;"",Results!$F197&lt;&gt;Results!$H197,$F192&lt;&gt;"",$G192&lt;&gt;""),Results!$K197,"")</f>
        <v/>
      </c>
      <c r="J192" s="344" t="str">
        <f>IF(AND(Results!$L197&lt;&gt;"",Results!$N197&lt;&gt;"",Results!$F197&lt;&gt;Results!$H197,$F192&lt;&gt;"",$G192&lt;&gt;""),Results!$L197,"")</f>
        <v/>
      </c>
      <c r="K192" s="343" t="str">
        <f>IF(AND(Results!$L197&lt;&gt;"",Results!$N197&lt;&gt;"",Results!$F197&lt;&gt;Results!$H197,$F192&lt;&gt;"",$G192&lt;&gt;""),Results!$N197,"")</f>
        <v/>
      </c>
      <c r="L192" s="344" t="str">
        <f>IF(AND(Results!$O197&lt;&gt;"",Results!$Q197&lt;&gt;"",Results!$F197&lt;&gt;Results!$H197,$F192&lt;&gt;"",$G192&lt;&gt;""),Results!$O197,"")</f>
        <v/>
      </c>
      <c r="M192" s="122" t="str">
        <f>IF(AND(Results!$O197&lt;&gt;"",Results!$Q197&lt;&gt;"",Results!$F197&lt;&gt;Results!$H197,$F192&lt;&gt;"",$G192&lt;&gt;""),Results!$Q197,"")</f>
        <v/>
      </c>
      <c r="N192" s="16" t="str">
        <f>IF(Planning!$I195=0,F192&amp;G192,"")</f>
        <v/>
      </c>
      <c r="O192" s="122">
        <f>IF(AND(Results!$Z$6&gt;0,$E192-1&gt;=Results!$Z$6*Calc!$F$26),0,IF(AND(F192&lt;&gt;"",G192&lt;&gt;"",F192&lt;&gt;G192,Results!$R197&lt;&gt;"",Results!$T197&lt;&gt;""),1,0))</f>
        <v>0</v>
      </c>
      <c r="P192" s="122" t="str">
        <f>IF(AND(O192&gt;0,Planning!$I195=0),V192&amp;Language!$E$90&amp;W192,"")</f>
        <v/>
      </c>
      <c r="Q192" s="2" t="str">
        <f>IF(Planning!$I195=1,F192&amp;G192,"")</f>
        <v>Borussia MönchengladbachBorussia Dortmund</v>
      </c>
      <c r="R192" s="88" t="str">
        <f>IF(AND(O192&gt;0,Planning!$I195=1),V192&amp;Language!$E$90&amp;W192,"")</f>
        <v/>
      </c>
      <c r="S192" s="122" t="str">
        <f>IF(O192&gt;0,X192&amp;Language!$E$90&amp;Y192,"")</f>
        <v/>
      </c>
      <c r="T192" s="290">
        <f>IF($H192="",0,Results!$U197)</f>
        <v>0</v>
      </c>
      <c r="U192" s="291">
        <f>IF($I192="",0,Results!$V197)</f>
        <v>0</v>
      </c>
      <c r="V192" s="270" t="str">
        <f t="shared" si="4"/>
        <v/>
      </c>
      <c r="W192" s="291" t="str">
        <f t="shared" si="5"/>
        <v/>
      </c>
      <c r="X192" s="270">
        <f>IF($O192=0,0,IF(Results!$R197="",0,Results!$R197))</f>
        <v>0</v>
      </c>
      <c r="Y192" s="291">
        <f>IF($O192=0,0,IF(Results!$T197="",0,Results!$T197))</f>
        <v>0</v>
      </c>
      <c r="Z192" s="270" t="str">
        <f>IF($O192=0,"",IF($X192&gt;$Y192,Settings!$C$4,IF($X192=$Y192,1,0)))</f>
        <v/>
      </c>
      <c r="AA192" s="291" t="str">
        <f>IF($O192=0,"",IF($X192&lt;$Y192,Settings!$C$4,IF($X192=$Y192,1,0)))</f>
        <v/>
      </c>
    </row>
    <row r="193" spans="5:27" x14ac:dyDescent="0.2">
      <c r="E193" s="266">
        <v>190</v>
      </c>
      <c r="F193" s="171" t="str">
        <f>Planning!$Q196</f>
        <v>SC Freiburg</v>
      </c>
      <c r="G193" s="348" t="str">
        <f>Planning!$S196</f>
        <v>1. FC Heidenheim 1846</v>
      </c>
      <c r="H193" s="344" t="str">
        <f>IF(AND(Results!$I198&lt;&gt;"",Results!$K198&lt;&gt;"",Results!$F198&lt;&gt;Results!$H198,$F193&lt;&gt;"",$G193&lt;&gt;""),Results!$I198,"")</f>
        <v/>
      </c>
      <c r="I193" s="343" t="str">
        <f>IF(AND(Results!$I198&lt;&gt;"",Results!$K198&lt;&gt;"",Results!$F198&lt;&gt;Results!$H198,$F193&lt;&gt;"",$G193&lt;&gt;""),Results!$K198,"")</f>
        <v/>
      </c>
      <c r="J193" s="344" t="str">
        <f>IF(AND(Results!$L198&lt;&gt;"",Results!$N198&lt;&gt;"",Results!$F198&lt;&gt;Results!$H198,$F193&lt;&gt;"",$G193&lt;&gt;""),Results!$L198,"")</f>
        <v/>
      </c>
      <c r="K193" s="343" t="str">
        <f>IF(AND(Results!$L198&lt;&gt;"",Results!$N198&lt;&gt;"",Results!$F198&lt;&gt;Results!$H198,$F193&lt;&gt;"",$G193&lt;&gt;""),Results!$N198,"")</f>
        <v/>
      </c>
      <c r="L193" s="344" t="str">
        <f>IF(AND(Results!$O198&lt;&gt;"",Results!$Q198&lt;&gt;"",Results!$F198&lt;&gt;Results!$H198,$F193&lt;&gt;"",$G193&lt;&gt;""),Results!$O198,"")</f>
        <v/>
      </c>
      <c r="M193" s="122" t="str">
        <f>IF(AND(Results!$O198&lt;&gt;"",Results!$Q198&lt;&gt;"",Results!$F198&lt;&gt;Results!$H198,$F193&lt;&gt;"",$G193&lt;&gt;""),Results!$Q198,"")</f>
        <v/>
      </c>
      <c r="N193" s="16" t="str">
        <f>IF(Planning!$I196=0,F193&amp;G193,"")</f>
        <v/>
      </c>
      <c r="O193" s="122">
        <f>IF(AND(Results!$Z$6&gt;0,$E193-1&gt;=Results!$Z$6*Calc!$F$26),0,IF(AND(F193&lt;&gt;"",G193&lt;&gt;"",F193&lt;&gt;G193,Results!$R198&lt;&gt;"",Results!$T198&lt;&gt;""),1,0))</f>
        <v>0</v>
      </c>
      <c r="P193" s="122" t="str">
        <f>IF(AND(O193&gt;0,Planning!$I196=0),V193&amp;Language!$E$90&amp;W193,"")</f>
        <v/>
      </c>
      <c r="Q193" s="2" t="str">
        <f>IF(Planning!$I196=1,F193&amp;G193,"")</f>
        <v>SC Freiburg1. FC Heidenheim 1846</v>
      </c>
      <c r="R193" s="88" t="str">
        <f>IF(AND(O193&gt;0,Planning!$I196=1),V193&amp;Language!$E$90&amp;W193,"")</f>
        <v/>
      </c>
      <c r="S193" s="122" t="str">
        <f>IF(O193&gt;0,X193&amp;Language!$E$90&amp;Y193,"")</f>
        <v/>
      </c>
      <c r="T193" s="290">
        <f>IF($H193="",0,Results!$U198)</f>
        <v>0</v>
      </c>
      <c r="U193" s="291">
        <f>IF($I193="",0,Results!$V198)</f>
        <v>0</v>
      </c>
      <c r="V193" s="270" t="str">
        <f t="shared" si="4"/>
        <v/>
      </c>
      <c r="W193" s="291" t="str">
        <f t="shared" si="5"/>
        <v/>
      </c>
      <c r="X193" s="270">
        <f>IF($O193=0,0,IF(Results!$R198="",0,Results!$R198))</f>
        <v>0</v>
      </c>
      <c r="Y193" s="291">
        <f>IF($O193=0,0,IF(Results!$T198="",0,Results!$T198))</f>
        <v>0</v>
      </c>
      <c r="Z193" s="270" t="str">
        <f>IF($O193=0,"",IF($X193&gt;$Y193,Settings!$C$4,IF($X193=$Y193,1,0)))</f>
        <v/>
      </c>
      <c r="AA193" s="291" t="str">
        <f>IF($O193=0,"",IF($X193&lt;$Y193,Settings!$C$4,IF($X193=$Y193,1,0)))</f>
        <v/>
      </c>
    </row>
    <row r="194" spans="5:27" x14ac:dyDescent="0.2">
      <c r="E194" s="266">
        <v>191</v>
      </c>
      <c r="F194" s="171" t="str">
        <f>Planning!$Q197</f>
        <v>SV Werder Bremen</v>
      </c>
      <c r="G194" s="348" t="str">
        <f>Planning!$S197</f>
        <v>RB Leipzig</v>
      </c>
      <c r="H194" s="344" t="str">
        <f>IF(AND(Results!$I199&lt;&gt;"",Results!$K199&lt;&gt;"",Results!$F199&lt;&gt;Results!$H199,$F194&lt;&gt;"",$G194&lt;&gt;""),Results!$I199,"")</f>
        <v/>
      </c>
      <c r="I194" s="343" t="str">
        <f>IF(AND(Results!$I199&lt;&gt;"",Results!$K199&lt;&gt;"",Results!$F199&lt;&gt;Results!$H199,$F194&lt;&gt;"",$G194&lt;&gt;""),Results!$K199,"")</f>
        <v/>
      </c>
      <c r="J194" s="344" t="str">
        <f>IF(AND(Results!$L199&lt;&gt;"",Results!$N199&lt;&gt;"",Results!$F199&lt;&gt;Results!$H199,$F194&lt;&gt;"",$G194&lt;&gt;""),Results!$L199,"")</f>
        <v/>
      </c>
      <c r="K194" s="343" t="str">
        <f>IF(AND(Results!$L199&lt;&gt;"",Results!$N199&lt;&gt;"",Results!$F199&lt;&gt;Results!$H199,$F194&lt;&gt;"",$G194&lt;&gt;""),Results!$N199,"")</f>
        <v/>
      </c>
      <c r="L194" s="344" t="str">
        <f>IF(AND(Results!$O199&lt;&gt;"",Results!$Q199&lt;&gt;"",Results!$F199&lt;&gt;Results!$H199,$F194&lt;&gt;"",$G194&lt;&gt;""),Results!$O199,"")</f>
        <v/>
      </c>
      <c r="M194" s="122" t="str">
        <f>IF(AND(Results!$O199&lt;&gt;"",Results!$Q199&lt;&gt;"",Results!$F199&lt;&gt;Results!$H199,$F194&lt;&gt;"",$G194&lt;&gt;""),Results!$Q199,"")</f>
        <v/>
      </c>
      <c r="N194" s="16" t="str">
        <f>IF(Planning!$I197=0,F194&amp;G194,"")</f>
        <v/>
      </c>
      <c r="O194" s="122">
        <f>IF(AND(Results!$Z$6&gt;0,$E194-1&gt;=Results!$Z$6*Calc!$F$26),0,IF(AND(F194&lt;&gt;"",G194&lt;&gt;"",F194&lt;&gt;G194,Results!$R199&lt;&gt;"",Results!$T199&lt;&gt;""),1,0))</f>
        <v>0</v>
      </c>
      <c r="P194" s="122" t="str">
        <f>IF(AND(O194&gt;0,Planning!$I197=0),V194&amp;Language!$E$90&amp;W194,"")</f>
        <v/>
      </c>
      <c r="Q194" s="2" t="str">
        <f>IF(Planning!$I197=1,F194&amp;G194,"")</f>
        <v>SV Werder BremenRB Leipzig</v>
      </c>
      <c r="R194" s="88" t="str">
        <f>IF(AND(O194&gt;0,Planning!$I197=1),V194&amp;Language!$E$90&amp;W194,"")</f>
        <v/>
      </c>
      <c r="S194" s="122" t="str">
        <f>IF(O194&gt;0,X194&amp;Language!$E$90&amp;Y194,"")</f>
        <v/>
      </c>
      <c r="T194" s="290">
        <f>IF($H194="",0,Results!$U199)</f>
        <v>0</v>
      </c>
      <c r="U194" s="291">
        <f>IF($I194="",0,Results!$V199)</f>
        <v>0</v>
      </c>
      <c r="V194" s="270" t="str">
        <f t="shared" si="4"/>
        <v/>
      </c>
      <c r="W194" s="291" t="str">
        <f t="shared" si="5"/>
        <v/>
      </c>
      <c r="X194" s="270">
        <f>IF($O194=0,0,IF(Results!$R199="",0,Results!$R199))</f>
        <v>0</v>
      </c>
      <c r="Y194" s="291">
        <f>IF($O194=0,0,IF(Results!$T199="",0,Results!$T199))</f>
        <v>0</v>
      </c>
      <c r="Z194" s="270" t="str">
        <f>IF($O194=0,"",IF($X194&gt;$Y194,Settings!$C$4,IF($X194=$Y194,1,0)))</f>
        <v/>
      </c>
      <c r="AA194" s="291" t="str">
        <f>IF($O194=0,"",IF($X194&lt;$Y194,Settings!$C$4,IF($X194=$Y194,1,0)))</f>
        <v/>
      </c>
    </row>
    <row r="195" spans="5:27" x14ac:dyDescent="0.2">
      <c r="E195" s="266">
        <v>192</v>
      </c>
      <c r="F195" s="171" t="str">
        <f>Planning!$Q198</f>
        <v>Hamburger SV</v>
      </c>
      <c r="G195" s="348" t="str">
        <f>Planning!$S198</f>
        <v>TSG Hoffenheim</v>
      </c>
      <c r="H195" s="344" t="str">
        <f>IF(AND(Results!$I200&lt;&gt;"",Results!$K200&lt;&gt;"",Results!$F200&lt;&gt;Results!$H200,$F195&lt;&gt;"",$G195&lt;&gt;""),Results!$I200,"")</f>
        <v/>
      </c>
      <c r="I195" s="343" t="str">
        <f>IF(AND(Results!$I200&lt;&gt;"",Results!$K200&lt;&gt;"",Results!$F200&lt;&gt;Results!$H200,$F195&lt;&gt;"",$G195&lt;&gt;""),Results!$K200,"")</f>
        <v/>
      </c>
      <c r="J195" s="344" t="str">
        <f>IF(AND(Results!$L200&lt;&gt;"",Results!$N200&lt;&gt;"",Results!$F200&lt;&gt;Results!$H200,$F195&lt;&gt;"",$G195&lt;&gt;""),Results!$L200,"")</f>
        <v/>
      </c>
      <c r="K195" s="343" t="str">
        <f>IF(AND(Results!$L200&lt;&gt;"",Results!$N200&lt;&gt;"",Results!$F200&lt;&gt;Results!$H200,$F195&lt;&gt;"",$G195&lt;&gt;""),Results!$N200,"")</f>
        <v/>
      </c>
      <c r="L195" s="344" t="str">
        <f>IF(AND(Results!$O200&lt;&gt;"",Results!$Q200&lt;&gt;"",Results!$F200&lt;&gt;Results!$H200,$F195&lt;&gt;"",$G195&lt;&gt;""),Results!$O200,"")</f>
        <v/>
      </c>
      <c r="M195" s="122" t="str">
        <f>IF(AND(Results!$O200&lt;&gt;"",Results!$Q200&lt;&gt;"",Results!$F200&lt;&gt;Results!$H200,$F195&lt;&gt;"",$G195&lt;&gt;""),Results!$Q200,"")</f>
        <v/>
      </c>
      <c r="N195" s="16" t="str">
        <f>IF(Planning!$I198=0,F195&amp;G195,"")</f>
        <v/>
      </c>
      <c r="O195" s="122">
        <f>IF(AND(Results!$Z$6&gt;0,$E195-1&gt;=Results!$Z$6*Calc!$F$26),0,IF(AND(F195&lt;&gt;"",G195&lt;&gt;"",F195&lt;&gt;G195,Results!$R200&lt;&gt;"",Results!$T200&lt;&gt;""),1,0))</f>
        <v>0</v>
      </c>
      <c r="P195" s="122" t="str">
        <f>IF(AND(O195&gt;0,Planning!$I198=0),V195&amp;Language!$E$90&amp;W195,"")</f>
        <v/>
      </c>
      <c r="Q195" s="2" t="str">
        <f>IF(Planning!$I198=1,F195&amp;G195,"")</f>
        <v>Hamburger SVTSG Hoffenheim</v>
      </c>
      <c r="R195" s="88" t="str">
        <f>IF(AND(O195&gt;0,Planning!$I198=1),V195&amp;Language!$E$90&amp;W195,"")</f>
        <v/>
      </c>
      <c r="S195" s="122" t="str">
        <f>IF(O195&gt;0,X195&amp;Language!$E$90&amp;Y195,"")</f>
        <v/>
      </c>
      <c r="T195" s="290">
        <f>IF($H195="",0,Results!$U200)</f>
        <v>0</v>
      </c>
      <c r="U195" s="291">
        <f>IF($I195="",0,Results!$V200)</f>
        <v>0</v>
      </c>
      <c r="V195" s="270" t="str">
        <f t="shared" si="4"/>
        <v/>
      </c>
      <c r="W195" s="291" t="str">
        <f t="shared" si="5"/>
        <v/>
      </c>
      <c r="X195" s="270">
        <f>IF($O195=0,0,IF(Results!$R200="",0,Results!$R200))</f>
        <v>0</v>
      </c>
      <c r="Y195" s="291">
        <f>IF($O195=0,0,IF(Results!$T200="",0,Results!$T200))</f>
        <v>0</v>
      </c>
      <c r="Z195" s="270" t="str">
        <f>IF($O195=0,"",IF($X195&gt;$Y195,Settings!$C$4,IF($X195=$Y195,1,0)))</f>
        <v/>
      </c>
      <c r="AA195" s="291" t="str">
        <f>IF($O195=0,"",IF($X195&lt;$Y195,Settings!$C$4,IF($X195=$Y195,1,0)))</f>
        <v/>
      </c>
    </row>
    <row r="196" spans="5:27" x14ac:dyDescent="0.2">
      <c r="E196" s="266">
        <v>193</v>
      </c>
      <c r="F196" s="171" t="str">
        <f>Planning!$Q199</f>
        <v>VfB Stuttgart</v>
      </c>
      <c r="G196" s="348" t="str">
        <f>Planning!$S199</f>
        <v>FC St. Pauli</v>
      </c>
      <c r="H196" s="344" t="str">
        <f>IF(AND(Results!$I201&lt;&gt;"",Results!$K201&lt;&gt;"",Results!$F201&lt;&gt;Results!$H201,$F196&lt;&gt;"",$G196&lt;&gt;""),Results!$I201,"")</f>
        <v/>
      </c>
      <c r="I196" s="343" t="str">
        <f>IF(AND(Results!$I201&lt;&gt;"",Results!$K201&lt;&gt;"",Results!$F201&lt;&gt;Results!$H201,$F196&lt;&gt;"",$G196&lt;&gt;""),Results!$K201,"")</f>
        <v/>
      </c>
      <c r="J196" s="344" t="str">
        <f>IF(AND(Results!$L201&lt;&gt;"",Results!$N201&lt;&gt;"",Results!$F201&lt;&gt;Results!$H201,$F196&lt;&gt;"",$G196&lt;&gt;""),Results!$L201,"")</f>
        <v/>
      </c>
      <c r="K196" s="343" t="str">
        <f>IF(AND(Results!$L201&lt;&gt;"",Results!$N201&lt;&gt;"",Results!$F201&lt;&gt;Results!$H201,$F196&lt;&gt;"",$G196&lt;&gt;""),Results!$N201,"")</f>
        <v/>
      </c>
      <c r="L196" s="344" t="str">
        <f>IF(AND(Results!$O201&lt;&gt;"",Results!$Q201&lt;&gt;"",Results!$F201&lt;&gt;Results!$H201,$F196&lt;&gt;"",$G196&lt;&gt;""),Results!$O201,"")</f>
        <v/>
      </c>
      <c r="M196" s="122" t="str">
        <f>IF(AND(Results!$O201&lt;&gt;"",Results!$Q201&lt;&gt;"",Results!$F201&lt;&gt;Results!$H201,$F196&lt;&gt;"",$G196&lt;&gt;""),Results!$Q201,"")</f>
        <v/>
      </c>
      <c r="N196" s="16" t="str">
        <f>IF(Planning!$I199=0,F196&amp;G196,"")</f>
        <v/>
      </c>
      <c r="O196" s="122">
        <f>IF(AND(Results!$Z$6&gt;0,$E196-1&gt;=Results!$Z$6*Calc!$F$26),0,IF(AND(F196&lt;&gt;"",G196&lt;&gt;"",F196&lt;&gt;G196,Results!$R201&lt;&gt;"",Results!$T201&lt;&gt;""),1,0))</f>
        <v>0</v>
      </c>
      <c r="P196" s="122" t="str">
        <f>IF(AND(O196&gt;0,Planning!$I199=0),V196&amp;Language!$E$90&amp;W196,"")</f>
        <v/>
      </c>
      <c r="Q196" s="2" t="str">
        <f>IF(Planning!$I199=1,F196&amp;G196,"")</f>
        <v>VfB StuttgartFC St. Pauli</v>
      </c>
      <c r="R196" s="88" t="str">
        <f>IF(AND(O196&gt;0,Planning!$I199=1),V196&amp;Language!$E$90&amp;W196,"")</f>
        <v/>
      </c>
      <c r="S196" s="122" t="str">
        <f>IF(O196&gt;0,X196&amp;Language!$E$90&amp;Y196,"")</f>
        <v/>
      </c>
      <c r="T196" s="290">
        <f>IF($H196="",0,Results!$U201)</f>
        <v>0</v>
      </c>
      <c r="U196" s="291">
        <f>IF($I196="",0,Results!$V201)</f>
        <v>0</v>
      </c>
      <c r="V196" s="270" t="str">
        <f t="shared" si="4"/>
        <v/>
      </c>
      <c r="W196" s="291" t="str">
        <f t="shared" si="5"/>
        <v/>
      </c>
      <c r="X196" s="270">
        <f>IF($O196=0,0,IF(Results!$R201="",0,Results!$R201))</f>
        <v>0</v>
      </c>
      <c r="Y196" s="291">
        <f>IF($O196=0,0,IF(Results!$T201="",0,Results!$T201))</f>
        <v>0</v>
      </c>
      <c r="Z196" s="270" t="str">
        <f>IF($O196=0,"",IF($X196&gt;$Y196,Settings!$C$4,IF($X196=$Y196,1,0)))</f>
        <v/>
      </c>
      <c r="AA196" s="291" t="str">
        <f>IF($O196=0,"",IF($X196&lt;$Y196,Settings!$C$4,IF($X196=$Y196,1,0)))</f>
        <v/>
      </c>
    </row>
    <row r="197" spans="5:27" x14ac:dyDescent="0.2">
      <c r="E197" s="266">
        <v>194</v>
      </c>
      <c r="F197" s="171" t="str">
        <f>Planning!$Q200</f>
        <v>FC Bayern München</v>
      </c>
      <c r="G197" s="348" t="str">
        <f>Planning!$S200</f>
        <v>VfL Wolfsburg</v>
      </c>
      <c r="H197" s="344" t="str">
        <f>IF(AND(Results!$I202&lt;&gt;"",Results!$K202&lt;&gt;"",Results!$F202&lt;&gt;Results!$H202,$F197&lt;&gt;"",$G197&lt;&gt;""),Results!$I202,"")</f>
        <v/>
      </c>
      <c r="I197" s="343" t="str">
        <f>IF(AND(Results!$I202&lt;&gt;"",Results!$K202&lt;&gt;"",Results!$F202&lt;&gt;Results!$H202,$F197&lt;&gt;"",$G197&lt;&gt;""),Results!$K202,"")</f>
        <v/>
      </c>
      <c r="J197" s="344" t="str">
        <f>IF(AND(Results!$L202&lt;&gt;"",Results!$N202&lt;&gt;"",Results!$F202&lt;&gt;Results!$H202,$F197&lt;&gt;"",$G197&lt;&gt;""),Results!$L202,"")</f>
        <v/>
      </c>
      <c r="K197" s="343" t="str">
        <f>IF(AND(Results!$L202&lt;&gt;"",Results!$N202&lt;&gt;"",Results!$F202&lt;&gt;Results!$H202,$F197&lt;&gt;"",$G197&lt;&gt;""),Results!$N202,"")</f>
        <v/>
      </c>
      <c r="L197" s="344" t="str">
        <f>IF(AND(Results!$O202&lt;&gt;"",Results!$Q202&lt;&gt;"",Results!$F202&lt;&gt;Results!$H202,$F197&lt;&gt;"",$G197&lt;&gt;""),Results!$O202,"")</f>
        <v/>
      </c>
      <c r="M197" s="122" t="str">
        <f>IF(AND(Results!$O202&lt;&gt;"",Results!$Q202&lt;&gt;"",Results!$F202&lt;&gt;Results!$H202,$F197&lt;&gt;"",$G197&lt;&gt;""),Results!$Q202,"")</f>
        <v/>
      </c>
      <c r="N197" s="16" t="str">
        <f>IF(Planning!$I200=0,F197&amp;G197,"")</f>
        <v/>
      </c>
      <c r="O197" s="122">
        <f>IF(AND(Results!$Z$6&gt;0,$E197-1&gt;=Results!$Z$6*Calc!$F$26),0,IF(AND(F197&lt;&gt;"",G197&lt;&gt;"",F197&lt;&gt;G197,Results!$R202&lt;&gt;"",Results!$T202&lt;&gt;""),1,0))</f>
        <v>0</v>
      </c>
      <c r="P197" s="122" t="str">
        <f>IF(AND(O197&gt;0,Planning!$I200=0),V197&amp;Language!$E$90&amp;W197,"")</f>
        <v/>
      </c>
      <c r="Q197" s="2" t="str">
        <f>IF(Planning!$I200=1,F197&amp;G197,"")</f>
        <v>FC Bayern MünchenVfL Wolfsburg</v>
      </c>
      <c r="R197" s="88" t="str">
        <f>IF(AND(O197&gt;0,Planning!$I200=1),V197&amp;Language!$E$90&amp;W197,"")</f>
        <v/>
      </c>
      <c r="S197" s="122" t="str">
        <f>IF(O197&gt;0,X197&amp;Language!$E$90&amp;Y197,"")</f>
        <v/>
      </c>
      <c r="T197" s="290">
        <f>IF($H197="",0,Results!$U202)</f>
        <v>0</v>
      </c>
      <c r="U197" s="291">
        <f>IF($I197="",0,Results!$V202)</f>
        <v>0</v>
      </c>
      <c r="V197" s="270" t="str">
        <f t="shared" ref="V197:V260" si="6">IF(O197&gt;0,SUM(H197,J197,L197),"")</f>
        <v/>
      </c>
      <c r="W197" s="291" t="str">
        <f t="shared" ref="W197:W260" si="7">IF(O197&gt;0,SUM(I197,K197,M197),"")</f>
        <v/>
      </c>
      <c r="X197" s="270">
        <f>IF($O197=0,0,IF(Results!$R202="",0,Results!$R202))</f>
        <v>0</v>
      </c>
      <c r="Y197" s="291">
        <f>IF($O197=0,0,IF(Results!$T202="",0,Results!$T202))</f>
        <v>0</v>
      </c>
      <c r="Z197" s="270" t="str">
        <f>IF($O197=0,"",IF($X197&gt;$Y197,Settings!$C$4,IF($X197=$Y197,1,0)))</f>
        <v/>
      </c>
      <c r="AA197" s="291" t="str">
        <f>IF($O197=0,"",IF($X197&lt;$Y197,Settings!$C$4,IF($X197=$Y197,1,0)))</f>
        <v/>
      </c>
    </row>
    <row r="198" spans="5:27" x14ac:dyDescent="0.2">
      <c r="E198" s="266">
        <v>195</v>
      </c>
      <c r="F198" s="171" t="str">
        <f>Planning!$Q201</f>
        <v>1. FC Köln</v>
      </c>
      <c r="G198" s="348" t="str">
        <f>Planning!$S201</f>
        <v>FC Augsburg</v>
      </c>
      <c r="H198" s="344" t="str">
        <f>IF(AND(Results!$I203&lt;&gt;"",Results!$K203&lt;&gt;"",Results!$F203&lt;&gt;Results!$H203,$F198&lt;&gt;"",$G198&lt;&gt;""),Results!$I203,"")</f>
        <v/>
      </c>
      <c r="I198" s="343" t="str">
        <f>IF(AND(Results!$I203&lt;&gt;"",Results!$K203&lt;&gt;"",Results!$F203&lt;&gt;Results!$H203,$F198&lt;&gt;"",$G198&lt;&gt;""),Results!$K203,"")</f>
        <v/>
      </c>
      <c r="J198" s="344" t="str">
        <f>IF(AND(Results!$L203&lt;&gt;"",Results!$N203&lt;&gt;"",Results!$F203&lt;&gt;Results!$H203,$F198&lt;&gt;"",$G198&lt;&gt;""),Results!$L203,"")</f>
        <v/>
      </c>
      <c r="K198" s="343" t="str">
        <f>IF(AND(Results!$L203&lt;&gt;"",Results!$N203&lt;&gt;"",Results!$F203&lt;&gt;Results!$H203,$F198&lt;&gt;"",$G198&lt;&gt;""),Results!$N203,"")</f>
        <v/>
      </c>
      <c r="L198" s="344" t="str">
        <f>IF(AND(Results!$O203&lt;&gt;"",Results!$Q203&lt;&gt;"",Results!$F203&lt;&gt;Results!$H203,$F198&lt;&gt;"",$G198&lt;&gt;""),Results!$O203,"")</f>
        <v/>
      </c>
      <c r="M198" s="122" t="str">
        <f>IF(AND(Results!$O203&lt;&gt;"",Results!$Q203&lt;&gt;"",Results!$F203&lt;&gt;Results!$H203,$F198&lt;&gt;"",$G198&lt;&gt;""),Results!$Q203,"")</f>
        <v/>
      </c>
      <c r="N198" s="16" t="str">
        <f>IF(Planning!$I201=0,F198&amp;G198,"")</f>
        <v/>
      </c>
      <c r="O198" s="122">
        <f>IF(AND(Results!$Z$6&gt;0,$E198-1&gt;=Results!$Z$6*Calc!$F$26),0,IF(AND(F198&lt;&gt;"",G198&lt;&gt;"",F198&lt;&gt;G198,Results!$R203&lt;&gt;"",Results!$T203&lt;&gt;""),1,0))</f>
        <v>0</v>
      </c>
      <c r="P198" s="122" t="str">
        <f>IF(AND(O198&gt;0,Planning!$I201=0),V198&amp;Language!$E$90&amp;W198,"")</f>
        <v/>
      </c>
      <c r="Q198" s="2" t="str">
        <f>IF(Planning!$I201=1,F198&amp;G198,"")</f>
        <v>1. FC KölnFC Augsburg</v>
      </c>
      <c r="R198" s="88" t="str">
        <f>IF(AND(O198&gt;0,Planning!$I201=1),V198&amp;Language!$E$90&amp;W198,"")</f>
        <v/>
      </c>
      <c r="S198" s="122" t="str">
        <f>IF(O198&gt;0,X198&amp;Language!$E$90&amp;Y198,"")</f>
        <v/>
      </c>
      <c r="T198" s="290">
        <f>IF($H198="",0,Results!$U203)</f>
        <v>0</v>
      </c>
      <c r="U198" s="291">
        <f>IF($I198="",0,Results!$V203)</f>
        <v>0</v>
      </c>
      <c r="V198" s="270" t="str">
        <f t="shared" si="6"/>
        <v/>
      </c>
      <c r="W198" s="291" t="str">
        <f t="shared" si="7"/>
        <v/>
      </c>
      <c r="X198" s="270">
        <f>IF($O198=0,0,IF(Results!$R203="",0,Results!$R203))</f>
        <v>0</v>
      </c>
      <c r="Y198" s="291">
        <f>IF($O198=0,0,IF(Results!$T203="",0,Results!$T203))</f>
        <v>0</v>
      </c>
      <c r="Z198" s="270" t="str">
        <f>IF($O198=0,"",IF($X198&gt;$Y198,Settings!$C$4,IF($X198=$Y198,1,0)))</f>
        <v/>
      </c>
      <c r="AA198" s="291" t="str">
        <f>IF($O198=0,"",IF($X198&lt;$Y198,Settings!$C$4,IF($X198=$Y198,1,0)))</f>
        <v/>
      </c>
    </row>
    <row r="199" spans="5:27" x14ac:dyDescent="0.2">
      <c r="E199" s="266">
        <v>196</v>
      </c>
      <c r="F199" s="171" t="str">
        <f>Planning!$Q202</f>
        <v>Eintracht Frankfurt</v>
      </c>
      <c r="G199" s="348" t="str">
        <f>Planning!$S202</f>
        <v>1. FC Union Berlin</v>
      </c>
      <c r="H199" s="344" t="str">
        <f>IF(AND(Results!$I204&lt;&gt;"",Results!$K204&lt;&gt;"",Results!$F204&lt;&gt;Results!$H204,$F199&lt;&gt;"",$G199&lt;&gt;""),Results!$I204,"")</f>
        <v/>
      </c>
      <c r="I199" s="343" t="str">
        <f>IF(AND(Results!$I204&lt;&gt;"",Results!$K204&lt;&gt;"",Results!$F204&lt;&gt;Results!$H204,$F199&lt;&gt;"",$G199&lt;&gt;""),Results!$K204,"")</f>
        <v/>
      </c>
      <c r="J199" s="344" t="str">
        <f>IF(AND(Results!$L204&lt;&gt;"",Results!$N204&lt;&gt;"",Results!$F204&lt;&gt;Results!$H204,$F199&lt;&gt;"",$G199&lt;&gt;""),Results!$L204,"")</f>
        <v/>
      </c>
      <c r="K199" s="343" t="str">
        <f>IF(AND(Results!$L204&lt;&gt;"",Results!$N204&lt;&gt;"",Results!$F204&lt;&gt;Results!$H204,$F199&lt;&gt;"",$G199&lt;&gt;""),Results!$N204,"")</f>
        <v/>
      </c>
      <c r="L199" s="344" t="str">
        <f>IF(AND(Results!$O204&lt;&gt;"",Results!$Q204&lt;&gt;"",Results!$F204&lt;&gt;Results!$H204,$F199&lt;&gt;"",$G199&lt;&gt;""),Results!$O204,"")</f>
        <v/>
      </c>
      <c r="M199" s="122" t="str">
        <f>IF(AND(Results!$O204&lt;&gt;"",Results!$Q204&lt;&gt;"",Results!$F204&lt;&gt;Results!$H204,$F199&lt;&gt;"",$G199&lt;&gt;""),Results!$Q204,"")</f>
        <v/>
      </c>
      <c r="N199" s="16" t="str">
        <f>IF(Planning!$I202=0,F199&amp;G199,"")</f>
        <v/>
      </c>
      <c r="O199" s="122">
        <f>IF(AND(Results!$Z$6&gt;0,$E199-1&gt;=Results!$Z$6*Calc!$F$26),0,IF(AND(F199&lt;&gt;"",G199&lt;&gt;"",F199&lt;&gt;G199,Results!$R204&lt;&gt;"",Results!$T204&lt;&gt;""),1,0))</f>
        <v>0</v>
      </c>
      <c r="P199" s="122" t="str">
        <f>IF(AND(O199&gt;0,Planning!$I202=0),V199&amp;Language!$E$90&amp;W199,"")</f>
        <v/>
      </c>
      <c r="Q199" s="2" t="str">
        <f>IF(Planning!$I202=1,F199&amp;G199,"")</f>
        <v>Eintracht Frankfurt1. FC Union Berlin</v>
      </c>
      <c r="R199" s="88" t="str">
        <f>IF(AND(O199&gt;0,Planning!$I202=1),V199&amp;Language!$E$90&amp;W199,"")</f>
        <v/>
      </c>
      <c r="S199" s="122" t="str">
        <f>IF(O199&gt;0,X199&amp;Language!$E$90&amp;Y199,"")</f>
        <v/>
      </c>
      <c r="T199" s="290">
        <f>IF($H199="",0,Results!$U204)</f>
        <v>0</v>
      </c>
      <c r="U199" s="291">
        <f>IF($I199="",0,Results!$V204)</f>
        <v>0</v>
      </c>
      <c r="V199" s="270" t="str">
        <f t="shared" si="6"/>
        <v/>
      </c>
      <c r="W199" s="291" t="str">
        <f t="shared" si="7"/>
        <v/>
      </c>
      <c r="X199" s="270">
        <f>IF($O199=0,0,IF(Results!$R204="",0,Results!$R204))</f>
        <v>0</v>
      </c>
      <c r="Y199" s="291">
        <f>IF($O199=0,0,IF(Results!$T204="",0,Results!$T204))</f>
        <v>0</v>
      </c>
      <c r="Z199" s="270" t="str">
        <f>IF($O199=0,"",IF($X199&gt;$Y199,Settings!$C$4,IF($X199=$Y199,1,0)))</f>
        <v/>
      </c>
      <c r="AA199" s="291" t="str">
        <f>IF($O199=0,"",IF($X199&lt;$Y199,Settings!$C$4,IF($X199=$Y199,1,0)))</f>
        <v/>
      </c>
    </row>
    <row r="200" spans="5:27" x14ac:dyDescent="0.2">
      <c r="E200" s="266">
        <v>197</v>
      </c>
      <c r="F200" s="171" t="str">
        <f>Planning!$Q203</f>
        <v>1. FSV Mainz 05</v>
      </c>
      <c r="G200" s="348" t="str">
        <f>Planning!$S203</f>
        <v>Borussia Mönchengladbach</v>
      </c>
      <c r="H200" s="344" t="str">
        <f>IF(AND(Results!$I205&lt;&gt;"",Results!$K205&lt;&gt;"",Results!$F205&lt;&gt;Results!$H205,$F200&lt;&gt;"",$G200&lt;&gt;""),Results!$I205,"")</f>
        <v/>
      </c>
      <c r="I200" s="343" t="str">
        <f>IF(AND(Results!$I205&lt;&gt;"",Results!$K205&lt;&gt;"",Results!$F205&lt;&gt;Results!$H205,$F200&lt;&gt;"",$G200&lt;&gt;""),Results!$K205,"")</f>
        <v/>
      </c>
      <c r="J200" s="344" t="str">
        <f>IF(AND(Results!$L205&lt;&gt;"",Results!$N205&lt;&gt;"",Results!$F205&lt;&gt;Results!$H205,$F200&lt;&gt;"",$G200&lt;&gt;""),Results!$L205,"")</f>
        <v/>
      </c>
      <c r="K200" s="343" t="str">
        <f>IF(AND(Results!$L205&lt;&gt;"",Results!$N205&lt;&gt;"",Results!$F205&lt;&gt;Results!$H205,$F200&lt;&gt;"",$G200&lt;&gt;""),Results!$N205,"")</f>
        <v/>
      </c>
      <c r="L200" s="344" t="str">
        <f>IF(AND(Results!$O205&lt;&gt;"",Results!$Q205&lt;&gt;"",Results!$F205&lt;&gt;Results!$H205,$F200&lt;&gt;"",$G200&lt;&gt;""),Results!$O205,"")</f>
        <v/>
      </c>
      <c r="M200" s="122" t="str">
        <f>IF(AND(Results!$O205&lt;&gt;"",Results!$Q205&lt;&gt;"",Results!$F205&lt;&gt;Results!$H205,$F200&lt;&gt;"",$G200&lt;&gt;""),Results!$Q205,"")</f>
        <v/>
      </c>
      <c r="N200" s="16" t="str">
        <f>IF(Planning!$I203=0,F200&amp;G200,"")</f>
        <v/>
      </c>
      <c r="O200" s="122">
        <f>IF(AND(Results!$Z$6&gt;0,$E200-1&gt;=Results!$Z$6*Calc!$F$26),0,IF(AND(F200&lt;&gt;"",G200&lt;&gt;"",F200&lt;&gt;G200,Results!$R205&lt;&gt;"",Results!$T205&lt;&gt;""),1,0))</f>
        <v>0</v>
      </c>
      <c r="P200" s="122" t="str">
        <f>IF(AND(O200&gt;0,Planning!$I203=0),V200&amp;Language!$E$90&amp;W200,"")</f>
        <v/>
      </c>
      <c r="Q200" s="2" t="str">
        <f>IF(Planning!$I203=1,F200&amp;G200,"")</f>
        <v>1. FSV Mainz 05Borussia Mönchengladbach</v>
      </c>
      <c r="R200" s="88" t="str">
        <f>IF(AND(O200&gt;0,Planning!$I203=1),V200&amp;Language!$E$90&amp;W200,"")</f>
        <v/>
      </c>
      <c r="S200" s="122" t="str">
        <f>IF(O200&gt;0,X200&amp;Language!$E$90&amp;Y200,"")</f>
        <v/>
      </c>
      <c r="T200" s="290">
        <f>IF($H200="",0,Results!$U205)</f>
        <v>0</v>
      </c>
      <c r="U200" s="291">
        <f>IF($I200="",0,Results!$V205)</f>
        <v>0</v>
      </c>
      <c r="V200" s="270" t="str">
        <f t="shared" si="6"/>
        <v/>
      </c>
      <c r="W200" s="291" t="str">
        <f t="shared" si="7"/>
        <v/>
      </c>
      <c r="X200" s="270">
        <f>IF($O200=0,0,IF(Results!$R205="",0,Results!$R205))</f>
        <v>0</v>
      </c>
      <c r="Y200" s="291">
        <f>IF($O200=0,0,IF(Results!$T205="",0,Results!$T205))</f>
        <v>0</v>
      </c>
      <c r="Z200" s="270" t="str">
        <f>IF($O200=0,"",IF($X200&gt;$Y200,Settings!$C$4,IF($X200=$Y200,1,0)))</f>
        <v/>
      </c>
      <c r="AA200" s="291" t="str">
        <f>IF($O200=0,"",IF($X200&lt;$Y200,Settings!$C$4,IF($X200=$Y200,1,0)))</f>
        <v/>
      </c>
    </row>
    <row r="201" spans="5:27" x14ac:dyDescent="0.2">
      <c r="E201" s="266">
        <v>198</v>
      </c>
      <c r="F201" s="171" t="str">
        <f>Planning!$Q204</f>
        <v>Borussia Dortmund</v>
      </c>
      <c r="G201" s="348" t="str">
        <f>Planning!$S204</f>
        <v>Bayer 04 Leverkusen</v>
      </c>
      <c r="H201" s="344" t="str">
        <f>IF(AND(Results!$I206&lt;&gt;"",Results!$K206&lt;&gt;"",Results!$F206&lt;&gt;Results!$H206,$F201&lt;&gt;"",$G201&lt;&gt;""),Results!$I206,"")</f>
        <v/>
      </c>
      <c r="I201" s="343" t="str">
        <f>IF(AND(Results!$I206&lt;&gt;"",Results!$K206&lt;&gt;"",Results!$F206&lt;&gt;Results!$H206,$F201&lt;&gt;"",$G201&lt;&gt;""),Results!$K206,"")</f>
        <v/>
      </c>
      <c r="J201" s="344" t="str">
        <f>IF(AND(Results!$L206&lt;&gt;"",Results!$N206&lt;&gt;"",Results!$F206&lt;&gt;Results!$H206,$F201&lt;&gt;"",$G201&lt;&gt;""),Results!$L206,"")</f>
        <v/>
      </c>
      <c r="K201" s="343" t="str">
        <f>IF(AND(Results!$L206&lt;&gt;"",Results!$N206&lt;&gt;"",Results!$F206&lt;&gt;Results!$H206,$F201&lt;&gt;"",$G201&lt;&gt;""),Results!$N206,"")</f>
        <v/>
      </c>
      <c r="L201" s="344" t="str">
        <f>IF(AND(Results!$O206&lt;&gt;"",Results!$Q206&lt;&gt;"",Results!$F206&lt;&gt;Results!$H206,$F201&lt;&gt;"",$G201&lt;&gt;""),Results!$O206,"")</f>
        <v/>
      </c>
      <c r="M201" s="122" t="str">
        <f>IF(AND(Results!$O206&lt;&gt;"",Results!$Q206&lt;&gt;"",Results!$F206&lt;&gt;Results!$H206,$F201&lt;&gt;"",$G201&lt;&gt;""),Results!$Q206,"")</f>
        <v/>
      </c>
      <c r="N201" s="16" t="str">
        <f>IF(Planning!$I204=0,F201&amp;G201,"")</f>
        <v/>
      </c>
      <c r="O201" s="122">
        <f>IF(AND(Results!$Z$6&gt;0,$E201-1&gt;=Results!$Z$6*Calc!$F$26),0,IF(AND(F201&lt;&gt;"",G201&lt;&gt;"",F201&lt;&gt;G201,Results!$R206&lt;&gt;"",Results!$T206&lt;&gt;""),1,0))</f>
        <v>0</v>
      </c>
      <c r="P201" s="122" t="str">
        <f>IF(AND(O201&gt;0,Planning!$I204=0),V201&amp;Language!$E$90&amp;W201,"")</f>
        <v/>
      </c>
      <c r="Q201" s="2" t="str">
        <f>IF(Planning!$I204=1,F201&amp;G201,"")</f>
        <v>Borussia DortmundBayer 04 Leverkusen</v>
      </c>
      <c r="R201" s="88" t="str">
        <f>IF(AND(O201&gt;0,Planning!$I204=1),V201&amp;Language!$E$90&amp;W201,"")</f>
        <v/>
      </c>
      <c r="S201" s="122" t="str">
        <f>IF(O201&gt;0,X201&amp;Language!$E$90&amp;Y201,"")</f>
        <v/>
      </c>
      <c r="T201" s="290">
        <f>IF($H201="",0,Results!$U206)</f>
        <v>0</v>
      </c>
      <c r="U201" s="291">
        <f>IF($I201="",0,Results!$V206)</f>
        <v>0</v>
      </c>
      <c r="V201" s="270" t="str">
        <f t="shared" si="6"/>
        <v/>
      </c>
      <c r="W201" s="291" t="str">
        <f t="shared" si="7"/>
        <v/>
      </c>
      <c r="X201" s="270">
        <f>IF($O201=0,0,IF(Results!$R206="",0,Results!$R206))</f>
        <v>0</v>
      </c>
      <c r="Y201" s="291">
        <f>IF($O201=0,0,IF(Results!$T206="",0,Results!$T206))</f>
        <v>0</v>
      </c>
      <c r="Z201" s="270" t="str">
        <f>IF($O201=0,"",IF($X201&gt;$Y201,Settings!$C$4,IF($X201=$Y201,1,0)))</f>
        <v/>
      </c>
      <c r="AA201" s="291" t="str">
        <f>IF($O201=0,"",IF($X201&lt;$Y201,Settings!$C$4,IF($X201=$Y201,1,0)))</f>
        <v/>
      </c>
    </row>
    <row r="202" spans="5:27" x14ac:dyDescent="0.2">
      <c r="E202" s="266">
        <v>199</v>
      </c>
      <c r="F202" s="171" t="str">
        <f>Planning!$Q205</f>
        <v>1. FC Heidenheim 1846</v>
      </c>
      <c r="G202" s="348" t="str">
        <f>Planning!$S205</f>
        <v>RB Leipzig</v>
      </c>
      <c r="H202" s="344" t="str">
        <f>IF(AND(Results!$I207&lt;&gt;"",Results!$K207&lt;&gt;"",Results!$F207&lt;&gt;Results!$H207,$F202&lt;&gt;"",$G202&lt;&gt;""),Results!$I207,"")</f>
        <v/>
      </c>
      <c r="I202" s="343" t="str">
        <f>IF(AND(Results!$I207&lt;&gt;"",Results!$K207&lt;&gt;"",Results!$F207&lt;&gt;Results!$H207,$F202&lt;&gt;"",$G202&lt;&gt;""),Results!$K207,"")</f>
        <v/>
      </c>
      <c r="J202" s="344" t="str">
        <f>IF(AND(Results!$L207&lt;&gt;"",Results!$N207&lt;&gt;"",Results!$F207&lt;&gt;Results!$H207,$F202&lt;&gt;"",$G202&lt;&gt;""),Results!$L207,"")</f>
        <v/>
      </c>
      <c r="K202" s="343" t="str">
        <f>IF(AND(Results!$L207&lt;&gt;"",Results!$N207&lt;&gt;"",Results!$F207&lt;&gt;Results!$H207,$F202&lt;&gt;"",$G202&lt;&gt;""),Results!$N207,"")</f>
        <v/>
      </c>
      <c r="L202" s="344" t="str">
        <f>IF(AND(Results!$O207&lt;&gt;"",Results!$Q207&lt;&gt;"",Results!$F207&lt;&gt;Results!$H207,$F202&lt;&gt;"",$G202&lt;&gt;""),Results!$O207,"")</f>
        <v/>
      </c>
      <c r="M202" s="122" t="str">
        <f>IF(AND(Results!$O207&lt;&gt;"",Results!$Q207&lt;&gt;"",Results!$F207&lt;&gt;Results!$H207,$F202&lt;&gt;"",$G202&lt;&gt;""),Results!$Q207,"")</f>
        <v/>
      </c>
      <c r="N202" s="16" t="str">
        <f>IF(Planning!$I205=0,F202&amp;G202,"")</f>
        <v/>
      </c>
      <c r="O202" s="122">
        <f>IF(AND(Results!$Z$6&gt;0,$E202-1&gt;=Results!$Z$6*Calc!$F$26),0,IF(AND(F202&lt;&gt;"",G202&lt;&gt;"",F202&lt;&gt;G202,Results!$R207&lt;&gt;"",Results!$T207&lt;&gt;""),1,0))</f>
        <v>0</v>
      </c>
      <c r="P202" s="122" t="str">
        <f>IF(AND(O202&gt;0,Planning!$I205=0),V202&amp;Language!$E$90&amp;W202,"")</f>
        <v/>
      </c>
      <c r="Q202" s="2" t="str">
        <f>IF(Planning!$I205=1,F202&amp;G202,"")</f>
        <v>1. FC Heidenheim 1846RB Leipzig</v>
      </c>
      <c r="R202" s="88" t="str">
        <f>IF(AND(O202&gt;0,Planning!$I205=1),V202&amp;Language!$E$90&amp;W202,"")</f>
        <v/>
      </c>
      <c r="S202" s="122" t="str">
        <f>IF(O202&gt;0,X202&amp;Language!$E$90&amp;Y202,"")</f>
        <v/>
      </c>
      <c r="T202" s="290">
        <f>IF($H202="",0,Results!$U207)</f>
        <v>0</v>
      </c>
      <c r="U202" s="291">
        <f>IF($I202="",0,Results!$V207)</f>
        <v>0</v>
      </c>
      <c r="V202" s="270" t="str">
        <f t="shared" si="6"/>
        <v/>
      </c>
      <c r="W202" s="291" t="str">
        <f t="shared" si="7"/>
        <v/>
      </c>
      <c r="X202" s="270">
        <f>IF($O202=0,0,IF(Results!$R207="",0,Results!$R207))</f>
        <v>0</v>
      </c>
      <c r="Y202" s="291">
        <f>IF($O202=0,0,IF(Results!$T207="",0,Results!$T207))</f>
        <v>0</v>
      </c>
      <c r="Z202" s="270" t="str">
        <f>IF($O202=0,"",IF($X202&gt;$Y202,Settings!$C$4,IF($X202=$Y202,1,0)))</f>
        <v/>
      </c>
      <c r="AA202" s="291" t="str">
        <f>IF($O202=0,"",IF($X202&lt;$Y202,Settings!$C$4,IF($X202=$Y202,1,0)))</f>
        <v/>
      </c>
    </row>
    <row r="203" spans="5:27" x14ac:dyDescent="0.2">
      <c r="E203" s="266">
        <v>200</v>
      </c>
      <c r="F203" s="171" t="str">
        <f>Planning!$Q206</f>
        <v>SC Freiburg</v>
      </c>
      <c r="G203" s="348" t="str">
        <f>Planning!$S206</f>
        <v>Hamburger SV</v>
      </c>
      <c r="H203" s="344" t="str">
        <f>IF(AND(Results!$I208&lt;&gt;"",Results!$K208&lt;&gt;"",Results!$F208&lt;&gt;Results!$H208,$F203&lt;&gt;"",$G203&lt;&gt;""),Results!$I208,"")</f>
        <v/>
      </c>
      <c r="I203" s="343" t="str">
        <f>IF(AND(Results!$I208&lt;&gt;"",Results!$K208&lt;&gt;"",Results!$F208&lt;&gt;Results!$H208,$F203&lt;&gt;"",$G203&lt;&gt;""),Results!$K208,"")</f>
        <v/>
      </c>
      <c r="J203" s="344" t="str">
        <f>IF(AND(Results!$L208&lt;&gt;"",Results!$N208&lt;&gt;"",Results!$F208&lt;&gt;Results!$H208,$F203&lt;&gt;"",$G203&lt;&gt;""),Results!$L208,"")</f>
        <v/>
      </c>
      <c r="K203" s="343" t="str">
        <f>IF(AND(Results!$L208&lt;&gt;"",Results!$N208&lt;&gt;"",Results!$F208&lt;&gt;Results!$H208,$F203&lt;&gt;"",$G203&lt;&gt;""),Results!$N208,"")</f>
        <v/>
      </c>
      <c r="L203" s="344" t="str">
        <f>IF(AND(Results!$O208&lt;&gt;"",Results!$Q208&lt;&gt;"",Results!$F208&lt;&gt;Results!$H208,$F203&lt;&gt;"",$G203&lt;&gt;""),Results!$O208,"")</f>
        <v/>
      </c>
      <c r="M203" s="122" t="str">
        <f>IF(AND(Results!$O208&lt;&gt;"",Results!$Q208&lt;&gt;"",Results!$F208&lt;&gt;Results!$H208,$F203&lt;&gt;"",$G203&lt;&gt;""),Results!$Q208,"")</f>
        <v/>
      </c>
      <c r="N203" s="16" t="str">
        <f>IF(Planning!$I206=0,F203&amp;G203,"")</f>
        <v/>
      </c>
      <c r="O203" s="122">
        <f>IF(AND(Results!$Z$6&gt;0,$E203-1&gt;=Results!$Z$6*Calc!$F$26),0,IF(AND(F203&lt;&gt;"",G203&lt;&gt;"",F203&lt;&gt;G203,Results!$R208&lt;&gt;"",Results!$T208&lt;&gt;""),1,0))</f>
        <v>0</v>
      </c>
      <c r="P203" s="122" t="str">
        <f>IF(AND(O203&gt;0,Planning!$I206=0),V203&amp;Language!$E$90&amp;W203,"")</f>
        <v/>
      </c>
      <c r="Q203" s="2" t="str">
        <f>IF(Planning!$I206=1,F203&amp;G203,"")</f>
        <v>SC FreiburgHamburger SV</v>
      </c>
      <c r="R203" s="88" t="str">
        <f>IF(AND(O203&gt;0,Planning!$I206=1),V203&amp;Language!$E$90&amp;W203,"")</f>
        <v/>
      </c>
      <c r="S203" s="122" t="str">
        <f>IF(O203&gt;0,X203&amp;Language!$E$90&amp;Y203,"")</f>
        <v/>
      </c>
      <c r="T203" s="290">
        <f>IF($H203="",0,Results!$U208)</f>
        <v>0</v>
      </c>
      <c r="U203" s="291">
        <f>IF($I203="",0,Results!$V208)</f>
        <v>0</v>
      </c>
      <c r="V203" s="270" t="str">
        <f t="shared" si="6"/>
        <v/>
      </c>
      <c r="W203" s="291" t="str">
        <f t="shared" si="7"/>
        <v/>
      </c>
      <c r="X203" s="270">
        <f>IF($O203=0,0,IF(Results!$R208="",0,Results!$R208))</f>
        <v>0</v>
      </c>
      <c r="Y203" s="291">
        <f>IF($O203=0,0,IF(Results!$T208="",0,Results!$T208))</f>
        <v>0</v>
      </c>
      <c r="Z203" s="270" t="str">
        <f>IF($O203=0,"",IF($X203&gt;$Y203,Settings!$C$4,IF($X203=$Y203,1,0)))</f>
        <v/>
      </c>
      <c r="AA203" s="291" t="str">
        <f>IF($O203=0,"",IF($X203&lt;$Y203,Settings!$C$4,IF($X203=$Y203,1,0)))</f>
        <v/>
      </c>
    </row>
    <row r="204" spans="5:27" x14ac:dyDescent="0.2">
      <c r="E204" s="266">
        <v>201</v>
      </c>
      <c r="F204" s="171" t="str">
        <f>Planning!$Q207</f>
        <v>FC St. Pauli</v>
      </c>
      <c r="G204" s="348" t="str">
        <f>Planning!$S207</f>
        <v>SV Werder Bremen</v>
      </c>
      <c r="H204" s="344" t="str">
        <f>IF(AND(Results!$I209&lt;&gt;"",Results!$K209&lt;&gt;"",Results!$F209&lt;&gt;Results!$H209,$F204&lt;&gt;"",$G204&lt;&gt;""),Results!$I209,"")</f>
        <v/>
      </c>
      <c r="I204" s="343" t="str">
        <f>IF(AND(Results!$I209&lt;&gt;"",Results!$K209&lt;&gt;"",Results!$F209&lt;&gt;Results!$H209,$F204&lt;&gt;"",$G204&lt;&gt;""),Results!$K209,"")</f>
        <v/>
      </c>
      <c r="J204" s="344" t="str">
        <f>IF(AND(Results!$L209&lt;&gt;"",Results!$N209&lt;&gt;"",Results!$F209&lt;&gt;Results!$H209,$F204&lt;&gt;"",$G204&lt;&gt;""),Results!$L209,"")</f>
        <v/>
      </c>
      <c r="K204" s="343" t="str">
        <f>IF(AND(Results!$L209&lt;&gt;"",Results!$N209&lt;&gt;"",Results!$F209&lt;&gt;Results!$H209,$F204&lt;&gt;"",$G204&lt;&gt;""),Results!$N209,"")</f>
        <v/>
      </c>
      <c r="L204" s="344" t="str">
        <f>IF(AND(Results!$O209&lt;&gt;"",Results!$Q209&lt;&gt;"",Results!$F209&lt;&gt;Results!$H209,$F204&lt;&gt;"",$G204&lt;&gt;""),Results!$O209,"")</f>
        <v/>
      </c>
      <c r="M204" s="122" t="str">
        <f>IF(AND(Results!$O209&lt;&gt;"",Results!$Q209&lt;&gt;"",Results!$F209&lt;&gt;Results!$H209,$F204&lt;&gt;"",$G204&lt;&gt;""),Results!$Q209,"")</f>
        <v/>
      </c>
      <c r="N204" s="16" t="str">
        <f>IF(Planning!$I207=0,F204&amp;G204,"")</f>
        <v/>
      </c>
      <c r="O204" s="122">
        <f>IF(AND(Results!$Z$6&gt;0,$E204-1&gt;=Results!$Z$6*Calc!$F$26),0,IF(AND(F204&lt;&gt;"",G204&lt;&gt;"",F204&lt;&gt;G204,Results!$R209&lt;&gt;"",Results!$T209&lt;&gt;""),1,0))</f>
        <v>0</v>
      </c>
      <c r="P204" s="122" t="str">
        <f>IF(AND(O204&gt;0,Planning!$I207=0),V204&amp;Language!$E$90&amp;W204,"")</f>
        <v/>
      </c>
      <c r="Q204" s="2" t="str">
        <f>IF(Planning!$I207=1,F204&amp;G204,"")</f>
        <v>FC St. PauliSV Werder Bremen</v>
      </c>
      <c r="R204" s="88" t="str">
        <f>IF(AND(O204&gt;0,Planning!$I207=1),V204&amp;Language!$E$90&amp;W204,"")</f>
        <v/>
      </c>
      <c r="S204" s="122" t="str">
        <f>IF(O204&gt;0,X204&amp;Language!$E$90&amp;Y204,"")</f>
        <v/>
      </c>
      <c r="T204" s="290">
        <f>IF($H204="",0,Results!$U209)</f>
        <v>0</v>
      </c>
      <c r="U204" s="291">
        <f>IF($I204="",0,Results!$V209)</f>
        <v>0</v>
      </c>
      <c r="V204" s="270" t="str">
        <f t="shared" si="6"/>
        <v/>
      </c>
      <c r="W204" s="291" t="str">
        <f t="shared" si="7"/>
        <v/>
      </c>
      <c r="X204" s="270">
        <f>IF($O204=0,0,IF(Results!$R209="",0,Results!$R209))</f>
        <v>0</v>
      </c>
      <c r="Y204" s="291">
        <f>IF($O204=0,0,IF(Results!$T209="",0,Results!$T209))</f>
        <v>0</v>
      </c>
      <c r="Z204" s="270" t="str">
        <f>IF($O204=0,"",IF($X204&gt;$Y204,Settings!$C$4,IF($X204=$Y204,1,0)))</f>
        <v/>
      </c>
      <c r="AA204" s="291" t="str">
        <f>IF($O204=0,"",IF($X204&lt;$Y204,Settings!$C$4,IF($X204=$Y204,1,0)))</f>
        <v/>
      </c>
    </row>
    <row r="205" spans="5:27" x14ac:dyDescent="0.2">
      <c r="E205" s="266">
        <v>202</v>
      </c>
      <c r="F205" s="171" t="str">
        <f>Planning!$Q208</f>
        <v>TSG Hoffenheim</v>
      </c>
      <c r="G205" s="348" t="str">
        <f>Planning!$S208</f>
        <v>FC Bayern München</v>
      </c>
      <c r="H205" s="344" t="str">
        <f>IF(AND(Results!$I210&lt;&gt;"",Results!$K210&lt;&gt;"",Results!$F210&lt;&gt;Results!$H210,$F205&lt;&gt;"",$G205&lt;&gt;""),Results!$I210,"")</f>
        <v/>
      </c>
      <c r="I205" s="343" t="str">
        <f>IF(AND(Results!$I210&lt;&gt;"",Results!$K210&lt;&gt;"",Results!$F210&lt;&gt;Results!$H210,$F205&lt;&gt;"",$G205&lt;&gt;""),Results!$K210,"")</f>
        <v/>
      </c>
      <c r="J205" s="344" t="str">
        <f>IF(AND(Results!$L210&lt;&gt;"",Results!$N210&lt;&gt;"",Results!$F210&lt;&gt;Results!$H210,$F205&lt;&gt;"",$G205&lt;&gt;""),Results!$L210,"")</f>
        <v/>
      </c>
      <c r="K205" s="343" t="str">
        <f>IF(AND(Results!$L210&lt;&gt;"",Results!$N210&lt;&gt;"",Results!$F210&lt;&gt;Results!$H210,$F205&lt;&gt;"",$G205&lt;&gt;""),Results!$N210,"")</f>
        <v/>
      </c>
      <c r="L205" s="344" t="str">
        <f>IF(AND(Results!$O210&lt;&gt;"",Results!$Q210&lt;&gt;"",Results!$F210&lt;&gt;Results!$H210,$F205&lt;&gt;"",$G205&lt;&gt;""),Results!$O210,"")</f>
        <v/>
      </c>
      <c r="M205" s="122" t="str">
        <f>IF(AND(Results!$O210&lt;&gt;"",Results!$Q210&lt;&gt;"",Results!$F210&lt;&gt;Results!$H210,$F205&lt;&gt;"",$G205&lt;&gt;""),Results!$Q210,"")</f>
        <v/>
      </c>
      <c r="N205" s="16" t="str">
        <f>IF(Planning!$I208=0,F205&amp;G205,"")</f>
        <v/>
      </c>
      <c r="O205" s="122">
        <f>IF(AND(Results!$Z$6&gt;0,$E205-1&gt;=Results!$Z$6*Calc!$F$26),0,IF(AND(F205&lt;&gt;"",G205&lt;&gt;"",F205&lt;&gt;G205,Results!$R210&lt;&gt;"",Results!$T210&lt;&gt;""),1,0))</f>
        <v>0</v>
      </c>
      <c r="P205" s="122" t="str">
        <f>IF(AND(O205&gt;0,Planning!$I208=0),V205&amp;Language!$E$90&amp;W205,"")</f>
        <v/>
      </c>
      <c r="Q205" s="2" t="str">
        <f>IF(Planning!$I208=1,F205&amp;G205,"")</f>
        <v>TSG HoffenheimFC Bayern München</v>
      </c>
      <c r="R205" s="88" t="str">
        <f>IF(AND(O205&gt;0,Planning!$I208=1),V205&amp;Language!$E$90&amp;W205,"")</f>
        <v/>
      </c>
      <c r="S205" s="122" t="str">
        <f>IF(O205&gt;0,X205&amp;Language!$E$90&amp;Y205,"")</f>
        <v/>
      </c>
      <c r="T205" s="290">
        <f>IF($H205="",0,Results!$U210)</f>
        <v>0</v>
      </c>
      <c r="U205" s="291">
        <f>IF($I205="",0,Results!$V210)</f>
        <v>0</v>
      </c>
      <c r="V205" s="270" t="str">
        <f t="shared" si="6"/>
        <v/>
      </c>
      <c r="W205" s="291" t="str">
        <f t="shared" si="7"/>
        <v/>
      </c>
      <c r="X205" s="270">
        <f>IF($O205=0,0,IF(Results!$R210="",0,Results!$R210))</f>
        <v>0</v>
      </c>
      <c r="Y205" s="291">
        <f>IF($O205=0,0,IF(Results!$T210="",0,Results!$T210))</f>
        <v>0</v>
      </c>
      <c r="Z205" s="270" t="str">
        <f>IF($O205=0,"",IF($X205&gt;$Y205,Settings!$C$4,IF($X205=$Y205,1,0)))</f>
        <v/>
      </c>
      <c r="AA205" s="291" t="str">
        <f>IF($O205=0,"",IF($X205&lt;$Y205,Settings!$C$4,IF($X205=$Y205,1,0)))</f>
        <v/>
      </c>
    </row>
    <row r="206" spans="5:27" x14ac:dyDescent="0.2">
      <c r="E206" s="266">
        <v>203</v>
      </c>
      <c r="F206" s="171" t="str">
        <f>Planning!$Q209</f>
        <v>FC Augsburg</v>
      </c>
      <c r="G206" s="348" t="str">
        <f>Planning!$S209</f>
        <v>VfB Stuttgart</v>
      </c>
      <c r="H206" s="344" t="str">
        <f>IF(AND(Results!$I211&lt;&gt;"",Results!$K211&lt;&gt;"",Results!$F211&lt;&gt;Results!$H211,$F206&lt;&gt;"",$G206&lt;&gt;""),Results!$I211,"")</f>
        <v/>
      </c>
      <c r="I206" s="343" t="str">
        <f>IF(AND(Results!$I211&lt;&gt;"",Results!$K211&lt;&gt;"",Results!$F211&lt;&gt;Results!$H211,$F206&lt;&gt;"",$G206&lt;&gt;""),Results!$K211,"")</f>
        <v/>
      </c>
      <c r="J206" s="344" t="str">
        <f>IF(AND(Results!$L211&lt;&gt;"",Results!$N211&lt;&gt;"",Results!$F211&lt;&gt;Results!$H211,$F206&lt;&gt;"",$G206&lt;&gt;""),Results!$L211,"")</f>
        <v/>
      </c>
      <c r="K206" s="343" t="str">
        <f>IF(AND(Results!$L211&lt;&gt;"",Results!$N211&lt;&gt;"",Results!$F211&lt;&gt;Results!$H211,$F206&lt;&gt;"",$G206&lt;&gt;""),Results!$N211,"")</f>
        <v/>
      </c>
      <c r="L206" s="344" t="str">
        <f>IF(AND(Results!$O211&lt;&gt;"",Results!$Q211&lt;&gt;"",Results!$F211&lt;&gt;Results!$H211,$F206&lt;&gt;"",$G206&lt;&gt;""),Results!$O211,"")</f>
        <v/>
      </c>
      <c r="M206" s="122" t="str">
        <f>IF(AND(Results!$O211&lt;&gt;"",Results!$Q211&lt;&gt;"",Results!$F211&lt;&gt;Results!$H211,$F206&lt;&gt;"",$G206&lt;&gt;""),Results!$Q211,"")</f>
        <v/>
      </c>
      <c r="N206" s="16" t="str">
        <f>IF(Planning!$I209=0,F206&amp;G206,"")</f>
        <v/>
      </c>
      <c r="O206" s="122">
        <f>IF(AND(Results!$Z$6&gt;0,$E206-1&gt;=Results!$Z$6*Calc!$F$26),0,IF(AND(F206&lt;&gt;"",G206&lt;&gt;"",F206&lt;&gt;G206,Results!$R211&lt;&gt;"",Results!$T211&lt;&gt;""),1,0))</f>
        <v>0</v>
      </c>
      <c r="P206" s="122" t="str">
        <f>IF(AND(O206&gt;0,Planning!$I209=0),V206&amp;Language!$E$90&amp;W206,"")</f>
        <v/>
      </c>
      <c r="Q206" s="2" t="str">
        <f>IF(Planning!$I209=1,F206&amp;G206,"")</f>
        <v>FC AugsburgVfB Stuttgart</v>
      </c>
      <c r="R206" s="88" t="str">
        <f>IF(AND(O206&gt;0,Planning!$I209=1),V206&amp;Language!$E$90&amp;W206,"")</f>
        <v/>
      </c>
      <c r="S206" s="122" t="str">
        <f>IF(O206&gt;0,X206&amp;Language!$E$90&amp;Y206,"")</f>
        <v/>
      </c>
      <c r="T206" s="290">
        <f>IF($H206="",0,Results!$U211)</f>
        <v>0</v>
      </c>
      <c r="U206" s="291">
        <f>IF($I206="",0,Results!$V211)</f>
        <v>0</v>
      </c>
      <c r="V206" s="270" t="str">
        <f t="shared" si="6"/>
        <v/>
      </c>
      <c r="W206" s="291" t="str">
        <f t="shared" si="7"/>
        <v/>
      </c>
      <c r="X206" s="270">
        <f>IF($O206=0,0,IF(Results!$R211="",0,Results!$R211))</f>
        <v>0</v>
      </c>
      <c r="Y206" s="291">
        <f>IF($O206=0,0,IF(Results!$T211="",0,Results!$T211))</f>
        <v>0</v>
      </c>
      <c r="Z206" s="270" t="str">
        <f>IF($O206=0,"",IF($X206&gt;$Y206,Settings!$C$4,IF($X206=$Y206,1,0)))</f>
        <v/>
      </c>
      <c r="AA206" s="291" t="str">
        <f>IF($O206=0,"",IF($X206&lt;$Y206,Settings!$C$4,IF($X206=$Y206,1,0)))</f>
        <v/>
      </c>
    </row>
    <row r="207" spans="5:27" x14ac:dyDescent="0.2">
      <c r="E207" s="266">
        <v>204</v>
      </c>
      <c r="F207" s="171" t="str">
        <f>Planning!$Q210</f>
        <v>VfL Wolfsburg</v>
      </c>
      <c r="G207" s="348" t="str">
        <f>Planning!$S210</f>
        <v>Eintracht Frankfurt</v>
      </c>
      <c r="H207" s="344" t="str">
        <f>IF(AND(Results!$I212&lt;&gt;"",Results!$K212&lt;&gt;"",Results!$F212&lt;&gt;Results!$H212,$F207&lt;&gt;"",$G207&lt;&gt;""),Results!$I212,"")</f>
        <v/>
      </c>
      <c r="I207" s="343" t="str">
        <f>IF(AND(Results!$I212&lt;&gt;"",Results!$K212&lt;&gt;"",Results!$F212&lt;&gt;Results!$H212,$F207&lt;&gt;"",$G207&lt;&gt;""),Results!$K212,"")</f>
        <v/>
      </c>
      <c r="J207" s="344" t="str">
        <f>IF(AND(Results!$L212&lt;&gt;"",Results!$N212&lt;&gt;"",Results!$F212&lt;&gt;Results!$H212,$F207&lt;&gt;"",$G207&lt;&gt;""),Results!$L212,"")</f>
        <v/>
      </c>
      <c r="K207" s="343" t="str">
        <f>IF(AND(Results!$L212&lt;&gt;"",Results!$N212&lt;&gt;"",Results!$F212&lt;&gt;Results!$H212,$F207&lt;&gt;"",$G207&lt;&gt;""),Results!$N212,"")</f>
        <v/>
      </c>
      <c r="L207" s="344" t="str">
        <f>IF(AND(Results!$O212&lt;&gt;"",Results!$Q212&lt;&gt;"",Results!$F212&lt;&gt;Results!$H212,$F207&lt;&gt;"",$G207&lt;&gt;""),Results!$O212,"")</f>
        <v/>
      </c>
      <c r="M207" s="122" t="str">
        <f>IF(AND(Results!$O212&lt;&gt;"",Results!$Q212&lt;&gt;"",Results!$F212&lt;&gt;Results!$H212,$F207&lt;&gt;"",$G207&lt;&gt;""),Results!$Q212,"")</f>
        <v/>
      </c>
      <c r="N207" s="16" t="str">
        <f>IF(Planning!$I210=0,F207&amp;G207,"")</f>
        <v/>
      </c>
      <c r="O207" s="122">
        <f>IF(AND(Results!$Z$6&gt;0,$E207-1&gt;=Results!$Z$6*Calc!$F$26),0,IF(AND(F207&lt;&gt;"",G207&lt;&gt;"",F207&lt;&gt;G207,Results!$R212&lt;&gt;"",Results!$T212&lt;&gt;""),1,0))</f>
        <v>0</v>
      </c>
      <c r="P207" s="122" t="str">
        <f>IF(AND(O207&gt;0,Planning!$I210=0),V207&amp;Language!$E$90&amp;W207,"")</f>
        <v/>
      </c>
      <c r="Q207" s="2" t="str">
        <f>IF(Planning!$I210=1,F207&amp;G207,"")</f>
        <v>VfL WolfsburgEintracht Frankfurt</v>
      </c>
      <c r="R207" s="88" t="str">
        <f>IF(AND(O207&gt;0,Planning!$I210=1),V207&amp;Language!$E$90&amp;W207,"")</f>
        <v/>
      </c>
      <c r="S207" s="122" t="str">
        <f>IF(O207&gt;0,X207&amp;Language!$E$90&amp;Y207,"")</f>
        <v/>
      </c>
      <c r="T207" s="290">
        <f>IF($H207="",0,Results!$U212)</f>
        <v>0</v>
      </c>
      <c r="U207" s="291">
        <f>IF($I207="",0,Results!$V212)</f>
        <v>0</v>
      </c>
      <c r="V207" s="270" t="str">
        <f t="shared" si="6"/>
        <v/>
      </c>
      <c r="W207" s="291" t="str">
        <f t="shared" si="7"/>
        <v/>
      </c>
      <c r="X207" s="270">
        <f>IF($O207=0,0,IF(Results!$R212="",0,Results!$R212))</f>
        <v>0</v>
      </c>
      <c r="Y207" s="291">
        <f>IF($O207=0,0,IF(Results!$T212="",0,Results!$T212))</f>
        <v>0</v>
      </c>
      <c r="Z207" s="270" t="str">
        <f>IF($O207=0,"",IF($X207&gt;$Y207,Settings!$C$4,IF($X207=$Y207,1,0)))</f>
        <v/>
      </c>
      <c r="AA207" s="291" t="str">
        <f>IF($O207=0,"",IF($X207&lt;$Y207,Settings!$C$4,IF($X207=$Y207,1,0)))</f>
        <v/>
      </c>
    </row>
    <row r="208" spans="5:27" x14ac:dyDescent="0.2">
      <c r="E208" s="266">
        <v>205</v>
      </c>
      <c r="F208" s="171" t="str">
        <f>Planning!$Q211</f>
        <v>Borussia Mönchengladbach</v>
      </c>
      <c r="G208" s="348" t="str">
        <f>Planning!$S211</f>
        <v>1. FC Köln</v>
      </c>
      <c r="H208" s="344" t="str">
        <f>IF(AND(Results!$I213&lt;&gt;"",Results!$K213&lt;&gt;"",Results!$F213&lt;&gt;Results!$H213,$F208&lt;&gt;"",$G208&lt;&gt;""),Results!$I213,"")</f>
        <v/>
      </c>
      <c r="I208" s="343" t="str">
        <f>IF(AND(Results!$I213&lt;&gt;"",Results!$K213&lt;&gt;"",Results!$F213&lt;&gt;Results!$H213,$F208&lt;&gt;"",$G208&lt;&gt;""),Results!$K213,"")</f>
        <v/>
      </c>
      <c r="J208" s="344" t="str">
        <f>IF(AND(Results!$L213&lt;&gt;"",Results!$N213&lt;&gt;"",Results!$F213&lt;&gt;Results!$H213,$F208&lt;&gt;"",$G208&lt;&gt;""),Results!$L213,"")</f>
        <v/>
      </c>
      <c r="K208" s="343" t="str">
        <f>IF(AND(Results!$L213&lt;&gt;"",Results!$N213&lt;&gt;"",Results!$F213&lt;&gt;Results!$H213,$F208&lt;&gt;"",$G208&lt;&gt;""),Results!$N213,"")</f>
        <v/>
      </c>
      <c r="L208" s="344" t="str">
        <f>IF(AND(Results!$O213&lt;&gt;"",Results!$Q213&lt;&gt;"",Results!$F213&lt;&gt;Results!$H213,$F208&lt;&gt;"",$G208&lt;&gt;""),Results!$O213,"")</f>
        <v/>
      </c>
      <c r="M208" s="122" t="str">
        <f>IF(AND(Results!$O213&lt;&gt;"",Results!$Q213&lt;&gt;"",Results!$F213&lt;&gt;Results!$H213,$F208&lt;&gt;"",$G208&lt;&gt;""),Results!$Q213,"")</f>
        <v/>
      </c>
      <c r="N208" s="16" t="str">
        <f>IF(Planning!$I211=0,F208&amp;G208,"")</f>
        <v/>
      </c>
      <c r="O208" s="122">
        <f>IF(AND(Results!$Z$6&gt;0,$E208-1&gt;=Results!$Z$6*Calc!$F$26),0,IF(AND(F208&lt;&gt;"",G208&lt;&gt;"",F208&lt;&gt;G208,Results!$R213&lt;&gt;"",Results!$T213&lt;&gt;""),1,0))</f>
        <v>0</v>
      </c>
      <c r="P208" s="122" t="str">
        <f>IF(AND(O208&gt;0,Planning!$I211=0),V208&amp;Language!$E$90&amp;W208,"")</f>
        <v/>
      </c>
      <c r="Q208" s="2" t="str">
        <f>IF(Planning!$I211=1,F208&amp;G208,"")</f>
        <v>Borussia Mönchengladbach1. FC Köln</v>
      </c>
      <c r="R208" s="88" t="str">
        <f>IF(AND(O208&gt;0,Planning!$I211=1),V208&amp;Language!$E$90&amp;W208,"")</f>
        <v/>
      </c>
      <c r="S208" s="122" t="str">
        <f>IF(O208&gt;0,X208&amp;Language!$E$90&amp;Y208,"")</f>
        <v/>
      </c>
      <c r="T208" s="290">
        <f>IF($H208="",0,Results!$U213)</f>
        <v>0</v>
      </c>
      <c r="U208" s="291">
        <f>IF($I208="",0,Results!$V213)</f>
        <v>0</v>
      </c>
      <c r="V208" s="270" t="str">
        <f t="shared" si="6"/>
        <v/>
      </c>
      <c r="W208" s="291" t="str">
        <f t="shared" si="7"/>
        <v/>
      </c>
      <c r="X208" s="270">
        <f>IF($O208=0,0,IF(Results!$R213="",0,Results!$R213))</f>
        <v>0</v>
      </c>
      <c r="Y208" s="291">
        <f>IF($O208=0,0,IF(Results!$T213="",0,Results!$T213))</f>
        <v>0</v>
      </c>
      <c r="Z208" s="270" t="str">
        <f>IF($O208=0,"",IF($X208&gt;$Y208,Settings!$C$4,IF($X208=$Y208,1,0)))</f>
        <v/>
      </c>
      <c r="AA208" s="291" t="str">
        <f>IF($O208=0,"",IF($X208&lt;$Y208,Settings!$C$4,IF($X208=$Y208,1,0)))</f>
        <v/>
      </c>
    </row>
    <row r="209" spans="5:27" x14ac:dyDescent="0.2">
      <c r="E209" s="266">
        <v>206</v>
      </c>
      <c r="F209" s="171" t="str">
        <f>Planning!$Q212</f>
        <v>1. FC Union Berlin</v>
      </c>
      <c r="G209" s="348" t="str">
        <f>Planning!$S212</f>
        <v>Borussia Dortmund</v>
      </c>
      <c r="H209" s="344" t="str">
        <f>IF(AND(Results!$I214&lt;&gt;"",Results!$K214&lt;&gt;"",Results!$F214&lt;&gt;Results!$H214,$F209&lt;&gt;"",$G209&lt;&gt;""),Results!$I214,"")</f>
        <v/>
      </c>
      <c r="I209" s="343" t="str">
        <f>IF(AND(Results!$I214&lt;&gt;"",Results!$K214&lt;&gt;"",Results!$F214&lt;&gt;Results!$H214,$F209&lt;&gt;"",$G209&lt;&gt;""),Results!$K214,"")</f>
        <v/>
      </c>
      <c r="J209" s="344" t="str">
        <f>IF(AND(Results!$L214&lt;&gt;"",Results!$N214&lt;&gt;"",Results!$F214&lt;&gt;Results!$H214,$F209&lt;&gt;"",$G209&lt;&gt;""),Results!$L214,"")</f>
        <v/>
      </c>
      <c r="K209" s="343" t="str">
        <f>IF(AND(Results!$L214&lt;&gt;"",Results!$N214&lt;&gt;"",Results!$F214&lt;&gt;Results!$H214,$F209&lt;&gt;"",$G209&lt;&gt;""),Results!$N214,"")</f>
        <v/>
      </c>
      <c r="L209" s="344" t="str">
        <f>IF(AND(Results!$O214&lt;&gt;"",Results!$Q214&lt;&gt;"",Results!$F214&lt;&gt;Results!$H214,$F209&lt;&gt;"",$G209&lt;&gt;""),Results!$O214,"")</f>
        <v/>
      </c>
      <c r="M209" s="122" t="str">
        <f>IF(AND(Results!$O214&lt;&gt;"",Results!$Q214&lt;&gt;"",Results!$F214&lt;&gt;Results!$H214,$F209&lt;&gt;"",$G209&lt;&gt;""),Results!$Q214,"")</f>
        <v/>
      </c>
      <c r="N209" s="16" t="str">
        <f>IF(Planning!$I212=0,F209&amp;G209,"")</f>
        <v/>
      </c>
      <c r="O209" s="122">
        <f>IF(AND(Results!$Z$6&gt;0,$E209-1&gt;=Results!$Z$6*Calc!$F$26),0,IF(AND(F209&lt;&gt;"",G209&lt;&gt;"",F209&lt;&gt;G209,Results!$R214&lt;&gt;"",Results!$T214&lt;&gt;""),1,0))</f>
        <v>0</v>
      </c>
      <c r="P209" s="122" t="str">
        <f>IF(AND(O209&gt;0,Planning!$I212=0),V209&amp;Language!$E$90&amp;W209,"")</f>
        <v/>
      </c>
      <c r="Q209" s="2" t="str">
        <f>IF(Planning!$I212=1,F209&amp;G209,"")</f>
        <v>1. FC Union BerlinBorussia Dortmund</v>
      </c>
      <c r="R209" s="88" t="str">
        <f>IF(AND(O209&gt;0,Planning!$I212=1),V209&amp;Language!$E$90&amp;W209,"")</f>
        <v/>
      </c>
      <c r="S209" s="122" t="str">
        <f>IF(O209&gt;0,X209&amp;Language!$E$90&amp;Y209,"")</f>
        <v/>
      </c>
      <c r="T209" s="290">
        <f>IF($H209="",0,Results!$U214)</f>
        <v>0</v>
      </c>
      <c r="U209" s="291">
        <f>IF($I209="",0,Results!$V214)</f>
        <v>0</v>
      </c>
      <c r="V209" s="270" t="str">
        <f t="shared" si="6"/>
        <v/>
      </c>
      <c r="W209" s="291" t="str">
        <f t="shared" si="7"/>
        <v/>
      </c>
      <c r="X209" s="270">
        <f>IF($O209=0,0,IF(Results!$R214="",0,Results!$R214))</f>
        <v>0</v>
      </c>
      <c r="Y209" s="291">
        <f>IF($O209=0,0,IF(Results!$T214="",0,Results!$T214))</f>
        <v>0</v>
      </c>
      <c r="Z209" s="270" t="str">
        <f>IF($O209=0,"",IF($X209&gt;$Y209,Settings!$C$4,IF($X209=$Y209,1,0)))</f>
        <v/>
      </c>
      <c r="AA209" s="291" t="str">
        <f>IF($O209=0,"",IF($X209&lt;$Y209,Settings!$C$4,IF($X209=$Y209,1,0)))</f>
        <v/>
      </c>
    </row>
    <row r="210" spans="5:27" x14ac:dyDescent="0.2">
      <c r="E210" s="266">
        <v>207</v>
      </c>
      <c r="F210" s="171" t="str">
        <f>Planning!$Q213</f>
        <v>Bayer 04 Leverkusen</v>
      </c>
      <c r="G210" s="348" t="str">
        <f>Planning!$S213</f>
        <v>1. FSV Mainz 05</v>
      </c>
      <c r="H210" s="344" t="str">
        <f>IF(AND(Results!$I215&lt;&gt;"",Results!$K215&lt;&gt;"",Results!$F215&lt;&gt;Results!$H215,$F210&lt;&gt;"",$G210&lt;&gt;""),Results!$I215,"")</f>
        <v/>
      </c>
      <c r="I210" s="343" t="str">
        <f>IF(AND(Results!$I215&lt;&gt;"",Results!$K215&lt;&gt;"",Results!$F215&lt;&gt;Results!$H215,$F210&lt;&gt;"",$G210&lt;&gt;""),Results!$K215,"")</f>
        <v/>
      </c>
      <c r="J210" s="344" t="str">
        <f>IF(AND(Results!$L215&lt;&gt;"",Results!$N215&lt;&gt;"",Results!$F215&lt;&gt;Results!$H215,$F210&lt;&gt;"",$G210&lt;&gt;""),Results!$L215,"")</f>
        <v/>
      </c>
      <c r="K210" s="343" t="str">
        <f>IF(AND(Results!$L215&lt;&gt;"",Results!$N215&lt;&gt;"",Results!$F215&lt;&gt;Results!$H215,$F210&lt;&gt;"",$G210&lt;&gt;""),Results!$N215,"")</f>
        <v/>
      </c>
      <c r="L210" s="344" t="str">
        <f>IF(AND(Results!$O215&lt;&gt;"",Results!$Q215&lt;&gt;"",Results!$F215&lt;&gt;Results!$H215,$F210&lt;&gt;"",$G210&lt;&gt;""),Results!$O215,"")</f>
        <v/>
      </c>
      <c r="M210" s="122" t="str">
        <f>IF(AND(Results!$O215&lt;&gt;"",Results!$Q215&lt;&gt;"",Results!$F215&lt;&gt;Results!$H215,$F210&lt;&gt;"",$G210&lt;&gt;""),Results!$Q215,"")</f>
        <v/>
      </c>
      <c r="N210" s="16" t="str">
        <f>IF(Planning!$I213=0,F210&amp;G210,"")</f>
        <v/>
      </c>
      <c r="O210" s="122">
        <f>IF(AND(Results!$Z$6&gt;0,$E210-1&gt;=Results!$Z$6*Calc!$F$26),0,IF(AND(F210&lt;&gt;"",G210&lt;&gt;"",F210&lt;&gt;G210,Results!$R215&lt;&gt;"",Results!$T215&lt;&gt;""),1,0))</f>
        <v>0</v>
      </c>
      <c r="P210" s="122" t="str">
        <f>IF(AND(O210&gt;0,Planning!$I213=0),V210&amp;Language!$E$90&amp;W210,"")</f>
        <v/>
      </c>
      <c r="Q210" s="2" t="str">
        <f>IF(Planning!$I213=1,F210&amp;G210,"")</f>
        <v>Bayer 04 Leverkusen1. FSV Mainz 05</v>
      </c>
      <c r="R210" s="88" t="str">
        <f>IF(AND(O210&gt;0,Planning!$I213=1),V210&amp;Language!$E$90&amp;W210,"")</f>
        <v/>
      </c>
      <c r="S210" s="122" t="str">
        <f>IF(O210&gt;0,X210&amp;Language!$E$90&amp;Y210,"")</f>
        <v/>
      </c>
      <c r="T210" s="290">
        <f>IF($H210="",0,Results!$U215)</f>
        <v>0</v>
      </c>
      <c r="U210" s="291">
        <f>IF($I210="",0,Results!$V215)</f>
        <v>0</v>
      </c>
      <c r="V210" s="270" t="str">
        <f t="shared" si="6"/>
        <v/>
      </c>
      <c r="W210" s="291" t="str">
        <f t="shared" si="7"/>
        <v/>
      </c>
      <c r="X210" s="270">
        <f>IF($O210=0,0,IF(Results!$R215="",0,Results!$R215))</f>
        <v>0</v>
      </c>
      <c r="Y210" s="291">
        <f>IF($O210=0,0,IF(Results!$T215="",0,Results!$T215))</f>
        <v>0</v>
      </c>
      <c r="Z210" s="270" t="str">
        <f>IF($O210=0,"",IF($X210&gt;$Y210,Settings!$C$4,IF($X210=$Y210,1,0)))</f>
        <v/>
      </c>
      <c r="AA210" s="291" t="str">
        <f>IF($O210=0,"",IF($X210&lt;$Y210,Settings!$C$4,IF($X210=$Y210,1,0)))</f>
        <v/>
      </c>
    </row>
    <row r="211" spans="5:27" x14ac:dyDescent="0.2">
      <c r="E211" s="266">
        <v>208</v>
      </c>
      <c r="F211" s="171" t="str">
        <f>Planning!$Q214</f>
        <v>Hamburger SV</v>
      </c>
      <c r="G211" s="348" t="str">
        <f>Planning!$S214</f>
        <v>1. FC Heidenheim 1846</v>
      </c>
      <c r="H211" s="344" t="str">
        <f>IF(AND(Results!$I216&lt;&gt;"",Results!$K216&lt;&gt;"",Results!$F216&lt;&gt;Results!$H216,$F211&lt;&gt;"",$G211&lt;&gt;""),Results!$I216,"")</f>
        <v/>
      </c>
      <c r="I211" s="343" t="str">
        <f>IF(AND(Results!$I216&lt;&gt;"",Results!$K216&lt;&gt;"",Results!$F216&lt;&gt;Results!$H216,$F211&lt;&gt;"",$G211&lt;&gt;""),Results!$K216,"")</f>
        <v/>
      </c>
      <c r="J211" s="344" t="str">
        <f>IF(AND(Results!$L216&lt;&gt;"",Results!$N216&lt;&gt;"",Results!$F216&lt;&gt;Results!$H216,$F211&lt;&gt;"",$G211&lt;&gt;""),Results!$L216,"")</f>
        <v/>
      </c>
      <c r="K211" s="343" t="str">
        <f>IF(AND(Results!$L216&lt;&gt;"",Results!$N216&lt;&gt;"",Results!$F216&lt;&gt;Results!$H216,$F211&lt;&gt;"",$G211&lt;&gt;""),Results!$N216,"")</f>
        <v/>
      </c>
      <c r="L211" s="344" t="str">
        <f>IF(AND(Results!$O216&lt;&gt;"",Results!$Q216&lt;&gt;"",Results!$F216&lt;&gt;Results!$H216,$F211&lt;&gt;"",$G211&lt;&gt;""),Results!$O216,"")</f>
        <v/>
      </c>
      <c r="M211" s="122" t="str">
        <f>IF(AND(Results!$O216&lt;&gt;"",Results!$Q216&lt;&gt;"",Results!$F216&lt;&gt;Results!$H216,$F211&lt;&gt;"",$G211&lt;&gt;""),Results!$Q216,"")</f>
        <v/>
      </c>
      <c r="N211" s="16" t="str">
        <f>IF(Planning!$I214=0,F211&amp;G211,"")</f>
        <v/>
      </c>
      <c r="O211" s="122">
        <f>IF(AND(Results!$Z$6&gt;0,$E211-1&gt;=Results!$Z$6*Calc!$F$26),0,IF(AND(F211&lt;&gt;"",G211&lt;&gt;"",F211&lt;&gt;G211,Results!$R216&lt;&gt;"",Results!$T216&lt;&gt;""),1,0))</f>
        <v>0</v>
      </c>
      <c r="P211" s="122" t="str">
        <f>IF(AND(O211&gt;0,Planning!$I214=0),V211&amp;Language!$E$90&amp;W211,"")</f>
        <v/>
      </c>
      <c r="Q211" s="2" t="str">
        <f>IF(Planning!$I214=1,F211&amp;G211,"")</f>
        <v>Hamburger SV1. FC Heidenheim 1846</v>
      </c>
      <c r="R211" s="88" t="str">
        <f>IF(AND(O211&gt;0,Planning!$I214=1),V211&amp;Language!$E$90&amp;W211,"")</f>
        <v/>
      </c>
      <c r="S211" s="122" t="str">
        <f>IF(O211&gt;0,X211&amp;Language!$E$90&amp;Y211,"")</f>
        <v/>
      </c>
      <c r="T211" s="290">
        <f>IF($H211="",0,Results!$U216)</f>
        <v>0</v>
      </c>
      <c r="U211" s="291">
        <f>IF($I211="",0,Results!$V216)</f>
        <v>0</v>
      </c>
      <c r="V211" s="270" t="str">
        <f t="shared" si="6"/>
        <v/>
      </c>
      <c r="W211" s="291" t="str">
        <f t="shared" si="7"/>
        <v/>
      </c>
      <c r="X211" s="270">
        <f>IF($O211=0,0,IF(Results!$R216="",0,Results!$R216))</f>
        <v>0</v>
      </c>
      <c r="Y211" s="291">
        <f>IF($O211=0,0,IF(Results!$T216="",0,Results!$T216))</f>
        <v>0</v>
      </c>
      <c r="Z211" s="270" t="str">
        <f>IF($O211=0,"",IF($X211&gt;$Y211,Settings!$C$4,IF($X211=$Y211,1,0)))</f>
        <v/>
      </c>
      <c r="AA211" s="291" t="str">
        <f>IF($O211=0,"",IF($X211&lt;$Y211,Settings!$C$4,IF($X211=$Y211,1,0)))</f>
        <v/>
      </c>
    </row>
    <row r="212" spans="5:27" x14ac:dyDescent="0.2">
      <c r="E212" s="266">
        <v>209</v>
      </c>
      <c r="F212" s="171" t="str">
        <f>Planning!$Q215</f>
        <v>RB Leipzig</v>
      </c>
      <c r="G212" s="348" t="str">
        <f>Planning!$S215</f>
        <v>FC St. Pauli</v>
      </c>
      <c r="H212" s="344" t="str">
        <f>IF(AND(Results!$I217&lt;&gt;"",Results!$K217&lt;&gt;"",Results!$F217&lt;&gt;Results!$H217,$F212&lt;&gt;"",$G212&lt;&gt;""),Results!$I217,"")</f>
        <v/>
      </c>
      <c r="I212" s="343" t="str">
        <f>IF(AND(Results!$I217&lt;&gt;"",Results!$K217&lt;&gt;"",Results!$F217&lt;&gt;Results!$H217,$F212&lt;&gt;"",$G212&lt;&gt;""),Results!$K217,"")</f>
        <v/>
      </c>
      <c r="J212" s="344" t="str">
        <f>IF(AND(Results!$L217&lt;&gt;"",Results!$N217&lt;&gt;"",Results!$F217&lt;&gt;Results!$H217,$F212&lt;&gt;"",$G212&lt;&gt;""),Results!$L217,"")</f>
        <v/>
      </c>
      <c r="K212" s="343" t="str">
        <f>IF(AND(Results!$L217&lt;&gt;"",Results!$N217&lt;&gt;"",Results!$F217&lt;&gt;Results!$H217,$F212&lt;&gt;"",$G212&lt;&gt;""),Results!$N217,"")</f>
        <v/>
      </c>
      <c r="L212" s="344" t="str">
        <f>IF(AND(Results!$O217&lt;&gt;"",Results!$Q217&lt;&gt;"",Results!$F217&lt;&gt;Results!$H217,$F212&lt;&gt;"",$G212&lt;&gt;""),Results!$O217,"")</f>
        <v/>
      </c>
      <c r="M212" s="122" t="str">
        <f>IF(AND(Results!$O217&lt;&gt;"",Results!$Q217&lt;&gt;"",Results!$F217&lt;&gt;Results!$H217,$F212&lt;&gt;"",$G212&lt;&gt;""),Results!$Q217,"")</f>
        <v/>
      </c>
      <c r="N212" s="16" t="str">
        <f>IF(Planning!$I215=0,F212&amp;G212,"")</f>
        <v/>
      </c>
      <c r="O212" s="122">
        <f>IF(AND(Results!$Z$6&gt;0,$E212-1&gt;=Results!$Z$6*Calc!$F$26),0,IF(AND(F212&lt;&gt;"",G212&lt;&gt;"",F212&lt;&gt;G212,Results!$R217&lt;&gt;"",Results!$T217&lt;&gt;""),1,0))</f>
        <v>0</v>
      </c>
      <c r="P212" s="122" t="str">
        <f>IF(AND(O212&gt;0,Planning!$I215=0),V212&amp;Language!$E$90&amp;W212,"")</f>
        <v/>
      </c>
      <c r="Q212" s="2" t="str">
        <f>IF(Planning!$I215=1,F212&amp;G212,"")</f>
        <v>RB LeipzigFC St. Pauli</v>
      </c>
      <c r="R212" s="88" t="str">
        <f>IF(AND(O212&gt;0,Planning!$I215=1),V212&amp;Language!$E$90&amp;W212,"")</f>
        <v/>
      </c>
      <c r="S212" s="122" t="str">
        <f>IF(O212&gt;0,X212&amp;Language!$E$90&amp;Y212,"")</f>
        <v/>
      </c>
      <c r="T212" s="290">
        <f>IF($H212="",0,Results!$U217)</f>
        <v>0</v>
      </c>
      <c r="U212" s="291">
        <f>IF($I212="",0,Results!$V217)</f>
        <v>0</v>
      </c>
      <c r="V212" s="270" t="str">
        <f t="shared" si="6"/>
        <v/>
      </c>
      <c r="W212" s="291" t="str">
        <f t="shared" si="7"/>
        <v/>
      </c>
      <c r="X212" s="270">
        <f>IF($O212=0,0,IF(Results!$R217="",0,Results!$R217))</f>
        <v>0</v>
      </c>
      <c r="Y212" s="291">
        <f>IF($O212=0,0,IF(Results!$T217="",0,Results!$T217))</f>
        <v>0</v>
      </c>
      <c r="Z212" s="270" t="str">
        <f>IF($O212=0,"",IF($X212&gt;$Y212,Settings!$C$4,IF($X212=$Y212,1,0)))</f>
        <v/>
      </c>
      <c r="AA212" s="291" t="str">
        <f>IF($O212=0,"",IF($X212&lt;$Y212,Settings!$C$4,IF($X212=$Y212,1,0)))</f>
        <v/>
      </c>
    </row>
    <row r="213" spans="5:27" x14ac:dyDescent="0.2">
      <c r="E213" s="266">
        <v>210</v>
      </c>
      <c r="F213" s="171" t="str">
        <f>Planning!$Q216</f>
        <v>FC Bayern München</v>
      </c>
      <c r="G213" s="348" t="str">
        <f>Planning!$S216</f>
        <v>SC Freiburg</v>
      </c>
      <c r="H213" s="344" t="str">
        <f>IF(AND(Results!$I218&lt;&gt;"",Results!$K218&lt;&gt;"",Results!$F218&lt;&gt;Results!$H218,$F213&lt;&gt;"",$G213&lt;&gt;""),Results!$I218,"")</f>
        <v/>
      </c>
      <c r="I213" s="343" t="str">
        <f>IF(AND(Results!$I218&lt;&gt;"",Results!$K218&lt;&gt;"",Results!$F218&lt;&gt;Results!$H218,$F213&lt;&gt;"",$G213&lt;&gt;""),Results!$K218,"")</f>
        <v/>
      </c>
      <c r="J213" s="344" t="str">
        <f>IF(AND(Results!$L218&lt;&gt;"",Results!$N218&lt;&gt;"",Results!$F218&lt;&gt;Results!$H218,$F213&lt;&gt;"",$G213&lt;&gt;""),Results!$L218,"")</f>
        <v/>
      </c>
      <c r="K213" s="343" t="str">
        <f>IF(AND(Results!$L218&lt;&gt;"",Results!$N218&lt;&gt;"",Results!$F218&lt;&gt;Results!$H218,$F213&lt;&gt;"",$G213&lt;&gt;""),Results!$N218,"")</f>
        <v/>
      </c>
      <c r="L213" s="344" t="str">
        <f>IF(AND(Results!$O218&lt;&gt;"",Results!$Q218&lt;&gt;"",Results!$F218&lt;&gt;Results!$H218,$F213&lt;&gt;"",$G213&lt;&gt;""),Results!$O218,"")</f>
        <v/>
      </c>
      <c r="M213" s="122" t="str">
        <f>IF(AND(Results!$O218&lt;&gt;"",Results!$Q218&lt;&gt;"",Results!$F218&lt;&gt;Results!$H218,$F213&lt;&gt;"",$G213&lt;&gt;""),Results!$Q218,"")</f>
        <v/>
      </c>
      <c r="N213" s="16" t="str">
        <f>IF(Planning!$I216=0,F213&amp;G213,"")</f>
        <v/>
      </c>
      <c r="O213" s="122">
        <f>IF(AND(Results!$Z$6&gt;0,$E213-1&gt;=Results!$Z$6*Calc!$F$26),0,IF(AND(F213&lt;&gt;"",G213&lt;&gt;"",F213&lt;&gt;G213,Results!$R218&lt;&gt;"",Results!$T218&lt;&gt;""),1,0))</f>
        <v>0</v>
      </c>
      <c r="P213" s="122" t="str">
        <f>IF(AND(O213&gt;0,Planning!$I216=0),V213&amp;Language!$E$90&amp;W213,"")</f>
        <v/>
      </c>
      <c r="Q213" s="2" t="str">
        <f>IF(Planning!$I216=1,F213&amp;G213,"")</f>
        <v>FC Bayern MünchenSC Freiburg</v>
      </c>
      <c r="R213" s="88" t="str">
        <f>IF(AND(O213&gt;0,Planning!$I216=1),V213&amp;Language!$E$90&amp;W213,"")</f>
        <v/>
      </c>
      <c r="S213" s="122" t="str">
        <f>IF(O213&gt;0,X213&amp;Language!$E$90&amp;Y213,"")</f>
        <v/>
      </c>
      <c r="T213" s="290">
        <f>IF($H213="",0,Results!$U218)</f>
        <v>0</v>
      </c>
      <c r="U213" s="291">
        <f>IF($I213="",0,Results!$V218)</f>
        <v>0</v>
      </c>
      <c r="V213" s="270" t="str">
        <f t="shared" si="6"/>
        <v/>
      </c>
      <c r="W213" s="291" t="str">
        <f t="shared" si="7"/>
        <v/>
      </c>
      <c r="X213" s="270">
        <f>IF($O213=0,0,IF(Results!$R218="",0,Results!$R218))</f>
        <v>0</v>
      </c>
      <c r="Y213" s="291">
        <f>IF($O213=0,0,IF(Results!$T218="",0,Results!$T218))</f>
        <v>0</v>
      </c>
      <c r="Z213" s="270" t="str">
        <f>IF($O213=0,"",IF($X213&gt;$Y213,Settings!$C$4,IF($X213=$Y213,1,0)))</f>
        <v/>
      </c>
      <c r="AA213" s="291" t="str">
        <f>IF($O213=0,"",IF($X213&lt;$Y213,Settings!$C$4,IF($X213=$Y213,1,0)))</f>
        <v/>
      </c>
    </row>
    <row r="214" spans="5:27" x14ac:dyDescent="0.2">
      <c r="E214" s="266">
        <v>211</v>
      </c>
      <c r="F214" s="171" t="str">
        <f>Planning!$Q217</f>
        <v>SV Werder Bremen</v>
      </c>
      <c r="G214" s="348" t="str">
        <f>Planning!$S217</f>
        <v>FC Augsburg</v>
      </c>
      <c r="H214" s="344" t="str">
        <f>IF(AND(Results!$I219&lt;&gt;"",Results!$K219&lt;&gt;"",Results!$F219&lt;&gt;Results!$H219,$F214&lt;&gt;"",$G214&lt;&gt;""),Results!$I219,"")</f>
        <v/>
      </c>
      <c r="I214" s="343" t="str">
        <f>IF(AND(Results!$I219&lt;&gt;"",Results!$K219&lt;&gt;"",Results!$F219&lt;&gt;Results!$H219,$F214&lt;&gt;"",$G214&lt;&gt;""),Results!$K219,"")</f>
        <v/>
      </c>
      <c r="J214" s="344" t="str">
        <f>IF(AND(Results!$L219&lt;&gt;"",Results!$N219&lt;&gt;"",Results!$F219&lt;&gt;Results!$H219,$F214&lt;&gt;"",$G214&lt;&gt;""),Results!$L219,"")</f>
        <v/>
      </c>
      <c r="K214" s="343" t="str">
        <f>IF(AND(Results!$L219&lt;&gt;"",Results!$N219&lt;&gt;"",Results!$F219&lt;&gt;Results!$H219,$F214&lt;&gt;"",$G214&lt;&gt;""),Results!$N219,"")</f>
        <v/>
      </c>
      <c r="L214" s="344" t="str">
        <f>IF(AND(Results!$O219&lt;&gt;"",Results!$Q219&lt;&gt;"",Results!$F219&lt;&gt;Results!$H219,$F214&lt;&gt;"",$G214&lt;&gt;""),Results!$O219,"")</f>
        <v/>
      </c>
      <c r="M214" s="122" t="str">
        <f>IF(AND(Results!$O219&lt;&gt;"",Results!$Q219&lt;&gt;"",Results!$F219&lt;&gt;Results!$H219,$F214&lt;&gt;"",$G214&lt;&gt;""),Results!$Q219,"")</f>
        <v/>
      </c>
      <c r="N214" s="16" t="str">
        <f>IF(Planning!$I217=0,F214&amp;G214,"")</f>
        <v/>
      </c>
      <c r="O214" s="122">
        <f>IF(AND(Results!$Z$6&gt;0,$E214-1&gt;=Results!$Z$6*Calc!$F$26),0,IF(AND(F214&lt;&gt;"",G214&lt;&gt;"",F214&lt;&gt;G214,Results!$R219&lt;&gt;"",Results!$T219&lt;&gt;""),1,0))</f>
        <v>0</v>
      </c>
      <c r="P214" s="122" t="str">
        <f>IF(AND(O214&gt;0,Planning!$I217=0),V214&amp;Language!$E$90&amp;W214,"")</f>
        <v/>
      </c>
      <c r="Q214" s="2" t="str">
        <f>IF(Planning!$I217=1,F214&amp;G214,"")</f>
        <v>SV Werder BremenFC Augsburg</v>
      </c>
      <c r="R214" s="88" t="str">
        <f>IF(AND(O214&gt;0,Planning!$I217=1),V214&amp;Language!$E$90&amp;W214,"")</f>
        <v/>
      </c>
      <c r="S214" s="122" t="str">
        <f>IF(O214&gt;0,X214&amp;Language!$E$90&amp;Y214,"")</f>
        <v/>
      </c>
      <c r="T214" s="290">
        <f>IF($H214="",0,Results!$U219)</f>
        <v>0</v>
      </c>
      <c r="U214" s="291">
        <f>IF($I214="",0,Results!$V219)</f>
        <v>0</v>
      </c>
      <c r="V214" s="270" t="str">
        <f t="shared" si="6"/>
        <v/>
      </c>
      <c r="W214" s="291" t="str">
        <f t="shared" si="7"/>
        <v/>
      </c>
      <c r="X214" s="270">
        <f>IF($O214=0,0,IF(Results!$R219="",0,Results!$R219))</f>
        <v>0</v>
      </c>
      <c r="Y214" s="291">
        <f>IF($O214=0,0,IF(Results!$T219="",0,Results!$T219))</f>
        <v>0</v>
      </c>
      <c r="Z214" s="270" t="str">
        <f>IF($O214=0,"",IF($X214&gt;$Y214,Settings!$C$4,IF($X214=$Y214,1,0)))</f>
        <v/>
      </c>
      <c r="AA214" s="291" t="str">
        <f>IF($O214=0,"",IF($X214&lt;$Y214,Settings!$C$4,IF($X214=$Y214,1,0)))</f>
        <v/>
      </c>
    </row>
    <row r="215" spans="5:27" x14ac:dyDescent="0.2">
      <c r="E215" s="266">
        <v>212</v>
      </c>
      <c r="F215" s="171" t="str">
        <f>Planning!$Q218</f>
        <v>Eintracht Frankfurt</v>
      </c>
      <c r="G215" s="348" t="str">
        <f>Planning!$S218</f>
        <v>TSG Hoffenheim</v>
      </c>
      <c r="H215" s="344" t="str">
        <f>IF(AND(Results!$I220&lt;&gt;"",Results!$K220&lt;&gt;"",Results!$F220&lt;&gt;Results!$H220,$F215&lt;&gt;"",$G215&lt;&gt;""),Results!$I220,"")</f>
        <v/>
      </c>
      <c r="I215" s="343" t="str">
        <f>IF(AND(Results!$I220&lt;&gt;"",Results!$K220&lt;&gt;"",Results!$F220&lt;&gt;Results!$H220,$F215&lt;&gt;"",$G215&lt;&gt;""),Results!$K220,"")</f>
        <v/>
      </c>
      <c r="J215" s="344" t="str">
        <f>IF(AND(Results!$L220&lt;&gt;"",Results!$N220&lt;&gt;"",Results!$F220&lt;&gt;Results!$H220,$F215&lt;&gt;"",$G215&lt;&gt;""),Results!$L220,"")</f>
        <v/>
      </c>
      <c r="K215" s="343" t="str">
        <f>IF(AND(Results!$L220&lt;&gt;"",Results!$N220&lt;&gt;"",Results!$F220&lt;&gt;Results!$H220,$F215&lt;&gt;"",$G215&lt;&gt;""),Results!$N220,"")</f>
        <v/>
      </c>
      <c r="L215" s="344" t="str">
        <f>IF(AND(Results!$O220&lt;&gt;"",Results!$Q220&lt;&gt;"",Results!$F220&lt;&gt;Results!$H220,$F215&lt;&gt;"",$G215&lt;&gt;""),Results!$O220,"")</f>
        <v/>
      </c>
      <c r="M215" s="122" t="str">
        <f>IF(AND(Results!$O220&lt;&gt;"",Results!$Q220&lt;&gt;"",Results!$F220&lt;&gt;Results!$H220,$F215&lt;&gt;"",$G215&lt;&gt;""),Results!$Q220,"")</f>
        <v/>
      </c>
      <c r="N215" s="16" t="str">
        <f>IF(Planning!$I218=0,F215&amp;G215,"")</f>
        <v/>
      </c>
      <c r="O215" s="122">
        <f>IF(AND(Results!$Z$6&gt;0,$E215-1&gt;=Results!$Z$6*Calc!$F$26),0,IF(AND(F215&lt;&gt;"",G215&lt;&gt;"",F215&lt;&gt;G215,Results!$R220&lt;&gt;"",Results!$T220&lt;&gt;""),1,0))</f>
        <v>0</v>
      </c>
      <c r="P215" s="122" t="str">
        <f>IF(AND(O215&gt;0,Planning!$I218=0),V215&amp;Language!$E$90&amp;W215,"")</f>
        <v/>
      </c>
      <c r="Q215" s="2" t="str">
        <f>IF(Planning!$I218=1,F215&amp;G215,"")</f>
        <v>Eintracht FrankfurtTSG Hoffenheim</v>
      </c>
      <c r="R215" s="88" t="str">
        <f>IF(AND(O215&gt;0,Planning!$I218=1),V215&amp;Language!$E$90&amp;W215,"")</f>
        <v/>
      </c>
      <c r="S215" s="122" t="str">
        <f>IF(O215&gt;0,X215&amp;Language!$E$90&amp;Y215,"")</f>
        <v/>
      </c>
      <c r="T215" s="290">
        <f>IF($H215="",0,Results!$U220)</f>
        <v>0</v>
      </c>
      <c r="U215" s="291">
        <f>IF($I215="",0,Results!$V220)</f>
        <v>0</v>
      </c>
      <c r="V215" s="270" t="str">
        <f t="shared" si="6"/>
        <v/>
      </c>
      <c r="W215" s="291" t="str">
        <f t="shared" si="7"/>
        <v/>
      </c>
      <c r="X215" s="270">
        <f>IF($O215=0,0,IF(Results!$R220="",0,Results!$R220))</f>
        <v>0</v>
      </c>
      <c r="Y215" s="291">
        <f>IF($O215=0,0,IF(Results!$T220="",0,Results!$T220))</f>
        <v>0</v>
      </c>
      <c r="Z215" s="270" t="str">
        <f>IF($O215=0,"",IF($X215&gt;$Y215,Settings!$C$4,IF($X215=$Y215,1,0)))</f>
        <v/>
      </c>
      <c r="AA215" s="291" t="str">
        <f>IF($O215=0,"",IF($X215&lt;$Y215,Settings!$C$4,IF($X215=$Y215,1,0)))</f>
        <v/>
      </c>
    </row>
    <row r="216" spans="5:27" x14ac:dyDescent="0.2">
      <c r="E216" s="266">
        <v>213</v>
      </c>
      <c r="F216" s="171" t="str">
        <f>Planning!$Q219</f>
        <v>VfB Stuttgart</v>
      </c>
      <c r="G216" s="348" t="str">
        <f>Planning!$S219</f>
        <v>Borussia Mönchengladbach</v>
      </c>
      <c r="H216" s="344" t="str">
        <f>IF(AND(Results!$I221&lt;&gt;"",Results!$K221&lt;&gt;"",Results!$F221&lt;&gt;Results!$H221,$F216&lt;&gt;"",$G216&lt;&gt;""),Results!$I221,"")</f>
        <v/>
      </c>
      <c r="I216" s="343" t="str">
        <f>IF(AND(Results!$I221&lt;&gt;"",Results!$K221&lt;&gt;"",Results!$F221&lt;&gt;Results!$H221,$F216&lt;&gt;"",$G216&lt;&gt;""),Results!$K221,"")</f>
        <v/>
      </c>
      <c r="J216" s="344" t="str">
        <f>IF(AND(Results!$L221&lt;&gt;"",Results!$N221&lt;&gt;"",Results!$F221&lt;&gt;Results!$H221,$F216&lt;&gt;"",$G216&lt;&gt;""),Results!$L221,"")</f>
        <v/>
      </c>
      <c r="K216" s="343" t="str">
        <f>IF(AND(Results!$L221&lt;&gt;"",Results!$N221&lt;&gt;"",Results!$F221&lt;&gt;Results!$H221,$F216&lt;&gt;"",$G216&lt;&gt;""),Results!$N221,"")</f>
        <v/>
      </c>
      <c r="L216" s="344" t="str">
        <f>IF(AND(Results!$O221&lt;&gt;"",Results!$Q221&lt;&gt;"",Results!$F221&lt;&gt;Results!$H221,$F216&lt;&gt;"",$G216&lt;&gt;""),Results!$O221,"")</f>
        <v/>
      </c>
      <c r="M216" s="122" t="str">
        <f>IF(AND(Results!$O221&lt;&gt;"",Results!$Q221&lt;&gt;"",Results!$F221&lt;&gt;Results!$H221,$F216&lt;&gt;"",$G216&lt;&gt;""),Results!$Q221,"")</f>
        <v/>
      </c>
      <c r="N216" s="16" t="str">
        <f>IF(Planning!$I219=0,F216&amp;G216,"")</f>
        <v/>
      </c>
      <c r="O216" s="122">
        <f>IF(AND(Results!$Z$6&gt;0,$E216-1&gt;=Results!$Z$6*Calc!$F$26),0,IF(AND(F216&lt;&gt;"",G216&lt;&gt;"",F216&lt;&gt;G216,Results!$R221&lt;&gt;"",Results!$T221&lt;&gt;""),1,0))</f>
        <v>0</v>
      </c>
      <c r="P216" s="122" t="str">
        <f>IF(AND(O216&gt;0,Planning!$I219=0),V216&amp;Language!$E$90&amp;W216,"")</f>
        <v/>
      </c>
      <c r="Q216" s="2" t="str">
        <f>IF(Planning!$I219=1,F216&amp;G216,"")</f>
        <v>VfB StuttgartBorussia Mönchengladbach</v>
      </c>
      <c r="R216" s="88" t="str">
        <f>IF(AND(O216&gt;0,Planning!$I219=1),V216&amp;Language!$E$90&amp;W216,"")</f>
        <v/>
      </c>
      <c r="S216" s="122" t="str">
        <f>IF(O216&gt;0,X216&amp;Language!$E$90&amp;Y216,"")</f>
        <v/>
      </c>
      <c r="T216" s="290">
        <f>IF($H216="",0,Results!$U221)</f>
        <v>0</v>
      </c>
      <c r="U216" s="291">
        <f>IF($I216="",0,Results!$V221)</f>
        <v>0</v>
      </c>
      <c r="V216" s="270" t="str">
        <f t="shared" si="6"/>
        <v/>
      </c>
      <c r="W216" s="291" t="str">
        <f t="shared" si="7"/>
        <v/>
      </c>
      <c r="X216" s="270">
        <f>IF($O216=0,0,IF(Results!$R221="",0,Results!$R221))</f>
        <v>0</v>
      </c>
      <c r="Y216" s="291">
        <f>IF($O216=0,0,IF(Results!$T221="",0,Results!$T221))</f>
        <v>0</v>
      </c>
      <c r="Z216" s="270" t="str">
        <f>IF($O216=0,"",IF($X216&gt;$Y216,Settings!$C$4,IF($X216=$Y216,1,0)))</f>
        <v/>
      </c>
      <c r="AA216" s="291" t="str">
        <f>IF($O216=0,"",IF($X216&lt;$Y216,Settings!$C$4,IF($X216=$Y216,1,0)))</f>
        <v/>
      </c>
    </row>
    <row r="217" spans="5:27" x14ac:dyDescent="0.2">
      <c r="E217" s="266">
        <v>214</v>
      </c>
      <c r="F217" s="171" t="str">
        <f>Planning!$Q220</f>
        <v>Borussia Dortmund</v>
      </c>
      <c r="G217" s="348" t="str">
        <f>Planning!$S220</f>
        <v>VfL Wolfsburg</v>
      </c>
      <c r="H217" s="344" t="str">
        <f>IF(AND(Results!$I222&lt;&gt;"",Results!$K222&lt;&gt;"",Results!$F222&lt;&gt;Results!$H222,$F217&lt;&gt;"",$G217&lt;&gt;""),Results!$I222,"")</f>
        <v/>
      </c>
      <c r="I217" s="343" t="str">
        <f>IF(AND(Results!$I222&lt;&gt;"",Results!$K222&lt;&gt;"",Results!$F222&lt;&gt;Results!$H222,$F217&lt;&gt;"",$G217&lt;&gt;""),Results!$K222,"")</f>
        <v/>
      </c>
      <c r="J217" s="344" t="str">
        <f>IF(AND(Results!$L222&lt;&gt;"",Results!$N222&lt;&gt;"",Results!$F222&lt;&gt;Results!$H222,$F217&lt;&gt;"",$G217&lt;&gt;""),Results!$L222,"")</f>
        <v/>
      </c>
      <c r="K217" s="343" t="str">
        <f>IF(AND(Results!$L222&lt;&gt;"",Results!$N222&lt;&gt;"",Results!$F222&lt;&gt;Results!$H222,$F217&lt;&gt;"",$G217&lt;&gt;""),Results!$N222,"")</f>
        <v/>
      </c>
      <c r="L217" s="344" t="str">
        <f>IF(AND(Results!$O222&lt;&gt;"",Results!$Q222&lt;&gt;"",Results!$F222&lt;&gt;Results!$H222,$F217&lt;&gt;"",$G217&lt;&gt;""),Results!$O222,"")</f>
        <v/>
      </c>
      <c r="M217" s="122" t="str">
        <f>IF(AND(Results!$O222&lt;&gt;"",Results!$Q222&lt;&gt;"",Results!$F222&lt;&gt;Results!$H222,$F217&lt;&gt;"",$G217&lt;&gt;""),Results!$Q222,"")</f>
        <v/>
      </c>
      <c r="N217" s="16" t="str">
        <f>IF(Planning!$I220=0,F217&amp;G217,"")</f>
        <v/>
      </c>
      <c r="O217" s="122">
        <f>IF(AND(Results!$Z$6&gt;0,$E217-1&gt;=Results!$Z$6*Calc!$F$26),0,IF(AND(F217&lt;&gt;"",G217&lt;&gt;"",F217&lt;&gt;G217,Results!$R222&lt;&gt;"",Results!$T222&lt;&gt;""),1,0))</f>
        <v>0</v>
      </c>
      <c r="P217" s="122" t="str">
        <f>IF(AND(O217&gt;0,Planning!$I220=0),V217&amp;Language!$E$90&amp;W217,"")</f>
        <v/>
      </c>
      <c r="Q217" s="2" t="str">
        <f>IF(Planning!$I220=1,F217&amp;G217,"")</f>
        <v>Borussia DortmundVfL Wolfsburg</v>
      </c>
      <c r="R217" s="88" t="str">
        <f>IF(AND(O217&gt;0,Planning!$I220=1),V217&amp;Language!$E$90&amp;W217,"")</f>
        <v/>
      </c>
      <c r="S217" s="122" t="str">
        <f>IF(O217&gt;0,X217&amp;Language!$E$90&amp;Y217,"")</f>
        <v/>
      </c>
      <c r="T217" s="290">
        <f>IF($H217="",0,Results!$U222)</f>
        <v>0</v>
      </c>
      <c r="U217" s="291">
        <f>IF($I217="",0,Results!$V222)</f>
        <v>0</v>
      </c>
      <c r="V217" s="270" t="str">
        <f t="shared" si="6"/>
        <v/>
      </c>
      <c r="W217" s="291" t="str">
        <f t="shared" si="7"/>
        <v/>
      </c>
      <c r="X217" s="270">
        <f>IF($O217=0,0,IF(Results!$R222="",0,Results!$R222))</f>
        <v>0</v>
      </c>
      <c r="Y217" s="291">
        <f>IF($O217=0,0,IF(Results!$T222="",0,Results!$T222))</f>
        <v>0</v>
      </c>
      <c r="Z217" s="270" t="str">
        <f>IF($O217=0,"",IF($X217&gt;$Y217,Settings!$C$4,IF($X217=$Y217,1,0)))</f>
        <v/>
      </c>
      <c r="AA217" s="291" t="str">
        <f>IF($O217=0,"",IF($X217&lt;$Y217,Settings!$C$4,IF($X217=$Y217,1,0)))</f>
        <v/>
      </c>
    </row>
    <row r="218" spans="5:27" x14ac:dyDescent="0.2">
      <c r="E218" s="266">
        <v>215</v>
      </c>
      <c r="F218" s="171" t="str">
        <f>Planning!$Q221</f>
        <v>1. FC Köln</v>
      </c>
      <c r="G218" s="348" t="str">
        <f>Planning!$S221</f>
        <v>Bayer 04 Leverkusen</v>
      </c>
      <c r="H218" s="344" t="str">
        <f>IF(AND(Results!$I223&lt;&gt;"",Results!$K223&lt;&gt;"",Results!$F223&lt;&gt;Results!$H223,$F218&lt;&gt;"",$G218&lt;&gt;""),Results!$I223,"")</f>
        <v/>
      </c>
      <c r="I218" s="343" t="str">
        <f>IF(AND(Results!$I223&lt;&gt;"",Results!$K223&lt;&gt;"",Results!$F223&lt;&gt;Results!$H223,$F218&lt;&gt;"",$G218&lt;&gt;""),Results!$K223,"")</f>
        <v/>
      </c>
      <c r="J218" s="344" t="str">
        <f>IF(AND(Results!$L223&lt;&gt;"",Results!$N223&lt;&gt;"",Results!$F223&lt;&gt;Results!$H223,$F218&lt;&gt;"",$G218&lt;&gt;""),Results!$L223,"")</f>
        <v/>
      </c>
      <c r="K218" s="343" t="str">
        <f>IF(AND(Results!$L223&lt;&gt;"",Results!$N223&lt;&gt;"",Results!$F223&lt;&gt;Results!$H223,$F218&lt;&gt;"",$G218&lt;&gt;""),Results!$N223,"")</f>
        <v/>
      </c>
      <c r="L218" s="344" t="str">
        <f>IF(AND(Results!$O223&lt;&gt;"",Results!$Q223&lt;&gt;"",Results!$F223&lt;&gt;Results!$H223,$F218&lt;&gt;"",$G218&lt;&gt;""),Results!$O223,"")</f>
        <v/>
      </c>
      <c r="M218" s="122" t="str">
        <f>IF(AND(Results!$O223&lt;&gt;"",Results!$Q223&lt;&gt;"",Results!$F223&lt;&gt;Results!$H223,$F218&lt;&gt;"",$G218&lt;&gt;""),Results!$Q223,"")</f>
        <v/>
      </c>
      <c r="N218" s="16" t="str">
        <f>IF(Planning!$I221=0,F218&amp;G218,"")</f>
        <v/>
      </c>
      <c r="O218" s="122">
        <f>IF(AND(Results!$Z$6&gt;0,$E218-1&gt;=Results!$Z$6*Calc!$F$26),0,IF(AND(F218&lt;&gt;"",G218&lt;&gt;"",F218&lt;&gt;G218,Results!$R223&lt;&gt;"",Results!$T223&lt;&gt;""),1,0))</f>
        <v>0</v>
      </c>
      <c r="P218" s="122" t="str">
        <f>IF(AND(O218&gt;0,Planning!$I221=0),V218&amp;Language!$E$90&amp;W218,"")</f>
        <v/>
      </c>
      <c r="Q218" s="2" t="str">
        <f>IF(Planning!$I221=1,F218&amp;G218,"")</f>
        <v>1. FC KölnBayer 04 Leverkusen</v>
      </c>
      <c r="R218" s="88" t="str">
        <f>IF(AND(O218&gt;0,Planning!$I221=1),V218&amp;Language!$E$90&amp;W218,"")</f>
        <v/>
      </c>
      <c r="S218" s="122" t="str">
        <f>IF(O218&gt;0,X218&amp;Language!$E$90&amp;Y218,"")</f>
        <v/>
      </c>
      <c r="T218" s="290">
        <f>IF($H218="",0,Results!$U223)</f>
        <v>0</v>
      </c>
      <c r="U218" s="291">
        <f>IF($I218="",0,Results!$V223)</f>
        <v>0</v>
      </c>
      <c r="V218" s="270" t="str">
        <f t="shared" si="6"/>
        <v/>
      </c>
      <c r="W218" s="291" t="str">
        <f t="shared" si="7"/>
        <v/>
      </c>
      <c r="X218" s="270">
        <f>IF($O218=0,0,IF(Results!$R223="",0,Results!$R223))</f>
        <v>0</v>
      </c>
      <c r="Y218" s="291">
        <f>IF($O218=0,0,IF(Results!$T223="",0,Results!$T223))</f>
        <v>0</v>
      </c>
      <c r="Z218" s="270" t="str">
        <f>IF($O218=0,"",IF($X218&gt;$Y218,Settings!$C$4,IF($X218=$Y218,1,0)))</f>
        <v/>
      </c>
      <c r="AA218" s="291" t="str">
        <f>IF($O218=0,"",IF($X218&lt;$Y218,Settings!$C$4,IF($X218=$Y218,1,0)))</f>
        <v/>
      </c>
    </row>
    <row r="219" spans="5:27" x14ac:dyDescent="0.2">
      <c r="E219" s="266">
        <v>216</v>
      </c>
      <c r="F219" s="171" t="str">
        <f>Planning!$Q222</f>
        <v>1. FSV Mainz 05</v>
      </c>
      <c r="G219" s="348" t="str">
        <f>Planning!$S222</f>
        <v>1. FC Union Berlin</v>
      </c>
      <c r="H219" s="344" t="str">
        <f>IF(AND(Results!$I224&lt;&gt;"",Results!$K224&lt;&gt;"",Results!$F224&lt;&gt;Results!$H224,$F219&lt;&gt;"",$G219&lt;&gt;""),Results!$I224,"")</f>
        <v/>
      </c>
      <c r="I219" s="343" t="str">
        <f>IF(AND(Results!$I224&lt;&gt;"",Results!$K224&lt;&gt;"",Results!$F224&lt;&gt;Results!$H224,$F219&lt;&gt;"",$G219&lt;&gt;""),Results!$K224,"")</f>
        <v/>
      </c>
      <c r="J219" s="344" t="str">
        <f>IF(AND(Results!$L224&lt;&gt;"",Results!$N224&lt;&gt;"",Results!$F224&lt;&gt;Results!$H224,$F219&lt;&gt;"",$G219&lt;&gt;""),Results!$L224,"")</f>
        <v/>
      </c>
      <c r="K219" s="343" t="str">
        <f>IF(AND(Results!$L224&lt;&gt;"",Results!$N224&lt;&gt;"",Results!$F224&lt;&gt;Results!$H224,$F219&lt;&gt;"",$G219&lt;&gt;""),Results!$N224,"")</f>
        <v/>
      </c>
      <c r="L219" s="344" t="str">
        <f>IF(AND(Results!$O224&lt;&gt;"",Results!$Q224&lt;&gt;"",Results!$F224&lt;&gt;Results!$H224,$F219&lt;&gt;"",$G219&lt;&gt;""),Results!$O224,"")</f>
        <v/>
      </c>
      <c r="M219" s="122" t="str">
        <f>IF(AND(Results!$O224&lt;&gt;"",Results!$Q224&lt;&gt;"",Results!$F224&lt;&gt;Results!$H224,$F219&lt;&gt;"",$G219&lt;&gt;""),Results!$Q224,"")</f>
        <v/>
      </c>
      <c r="N219" s="16" t="str">
        <f>IF(Planning!$I222=0,F219&amp;G219,"")</f>
        <v/>
      </c>
      <c r="O219" s="122">
        <f>IF(AND(Results!$Z$6&gt;0,$E219-1&gt;=Results!$Z$6*Calc!$F$26),0,IF(AND(F219&lt;&gt;"",G219&lt;&gt;"",F219&lt;&gt;G219,Results!$R224&lt;&gt;"",Results!$T224&lt;&gt;""),1,0))</f>
        <v>0</v>
      </c>
      <c r="P219" s="122" t="str">
        <f>IF(AND(O219&gt;0,Planning!$I222=0),V219&amp;Language!$E$90&amp;W219,"")</f>
        <v/>
      </c>
      <c r="Q219" s="2" t="str">
        <f>IF(Planning!$I222=1,F219&amp;G219,"")</f>
        <v>1. FSV Mainz 051. FC Union Berlin</v>
      </c>
      <c r="R219" s="88" t="str">
        <f>IF(AND(O219&gt;0,Planning!$I222=1),V219&amp;Language!$E$90&amp;W219,"")</f>
        <v/>
      </c>
      <c r="S219" s="122" t="str">
        <f>IF(O219&gt;0,X219&amp;Language!$E$90&amp;Y219,"")</f>
        <v/>
      </c>
      <c r="T219" s="290">
        <f>IF($H219="",0,Results!$U224)</f>
        <v>0</v>
      </c>
      <c r="U219" s="291">
        <f>IF($I219="",0,Results!$V224)</f>
        <v>0</v>
      </c>
      <c r="V219" s="270" t="str">
        <f t="shared" si="6"/>
        <v/>
      </c>
      <c r="W219" s="291" t="str">
        <f t="shared" si="7"/>
        <v/>
      </c>
      <c r="X219" s="270">
        <f>IF($O219=0,0,IF(Results!$R224="",0,Results!$R224))</f>
        <v>0</v>
      </c>
      <c r="Y219" s="291">
        <f>IF($O219=0,0,IF(Results!$T224="",0,Results!$T224))</f>
        <v>0</v>
      </c>
      <c r="Z219" s="270" t="str">
        <f>IF($O219=0,"",IF($X219&gt;$Y219,Settings!$C$4,IF($X219=$Y219,1,0)))</f>
        <v/>
      </c>
      <c r="AA219" s="291" t="str">
        <f>IF($O219=0,"",IF($X219&lt;$Y219,Settings!$C$4,IF($X219=$Y219,1,0)))</f>
        <v/>
      </c>
    </row>
    <row r="220" spans="5:27" x14ac:dyDescent="0.2">
      <c r="E220" s="266">
        <v>217</v>
      </c>
      <c r="F220" s="171" t="str">
        <f>Planning!$Q223</f>
        <v>1. FC Heidenheim 1846</v>
      </c>
      <c r="G220" s="348" t="str">
        <f>Planning!$S223</f>
        <v>FC St. Pauli</v>
      </c>
      <c r="H220" s="344" t="str">
        <f>IF(AND(Results!$I225&lt;&gt;"",Results!$K225&lt;&gt;"",Results!$F225&lt;&gt;Results!$H225,$F220&lt;&gt;"",$G220&lt;&gt;""),Results!$I225,"")</f>
        <v/>
      </c>
      <c r="I220" s="343" t="str">
        <f>IF(AND(Results!$I225&lt;&gt;"",Results!$K225&lt;&gt;"",Results!$F225&lt;&gt;Results!$H225,$F220&lt;&gt;"",$G220&lt;&gt;""),Results!$K225,"")</f>
        <v/>
      </c>
      <c r="J220" s="344" t="str">
        <f>IF(AND(Results!$L225&lt;&gt;"",Results!$N225&lt;&gt;"",Results!$F225&lt;&gt;Results!$H225,$F220&lt;&gt;"",$G220&lt;&gt;""),Results!$L225,"")</f>
        <v/>
      </c>
      <c r="K220" s="343" t="str">
        <f>IF(AND(Results!$L225&lt;&gt;"",Results!$N225&lt;&gt;"",Results!$F225&lt;&gt;Results!$H225,$F220&lt;&gt;"",$G220&lt;&gt;""),Results!$N225,"")</f>
        <v/>
      </c>
      <c r="L220" s="344" t="str">
        <f>IF(AND(Results!$O225&lt;&gt;"",Results!$Q225&lt;&gt;"",Results!$F225&lt;&gt;Results!$H225,$F220&lt;&gt;"",$G220&lt;&gt;""),Results!$O225,"")</f>
        <v/>
      </c>
      <c r="M220" s="122" t="str">
        <f>IF(AND(Results!$O225&lt;&gt;"",Results!$Q225&lt;&gt;"",Results!$F225&lt;&gt;Results!$H225,$F220&lt;&gt;"",$G220&lt;&gt;""),Results!$Q225,"")</f>
        <v/>
      </c>
      <c r="N220" s="16" t="str">
        <f>IF(Planning!$I223=0,F220&amp;G220,"")</f>
        <v/>
      </c>
      <c r="O220" s="122">
        <f>IF(AND(Results!$Z$6&gt;0,$E220-1&gt;=Results!$Z$6*Calc!$F$26),0,IF(AND(F220&lt;&gt;"",G220&lt;&gt;"",F220&lt;&gt;G220,Results!$R225&lt;&gt;"",Results!$T225&lt;&gt;""),1,0))</f>
        <v>0</v>
      </c>
      <c r="P220" s="122" t="str">
        <f>IF(AND(O220&gt;0,Planning!$I223=0),V220&amp;Language!$E$90&amp;W220,"")</f>
        <v/>
      </c>
      <c r="Q220" s="2" t="str">
        <f>IF(Planning!$I223=1,F220&amp;G220,"")</f>
        <v>1. FC Heidenheim 1846FC St. Pauli</v>
      </c>
      <c r="R220" s="88" t="str">
        <f>IF(AND(O220&gt;0,Planning!$I223=1),V220&amp;Language!$E$90&amp;W220,"")</f>
        <v/>
      </c>
      <c r="S220" s="122" t="str">
        <f>IF(O220&gt;0,X220&amp;Language!$E$90&amp;Y220,"")</f>
        <v/>
      </c>
      <c r="T220" s="290">
        <f>IF($H220="",0,Results!$U225)</f>
        <v>0</v>
      </c>
      <c r="U220" s="291">
        <f>IF($I220="",0,Results!$V225)</f>
        <v>0</v>
      </c>
      <c r="V220" s="270" t="str">
        <f t="shared" si="6"/>
        <v/>
      </c>
      <c r="W220" s="291" t="str">
        <f t="shared" si="7"/>
        <v/>
      </c>
      <c r="X220" s="270">
        <f>IF($O220=0,0,IF(Results!$R225="",0,Results!$R225))</f>
        <v>0</v>
      </c>
      <c r="Y220" s="291">
        <f>IF($O220=0,0,IF(Results!$T225="",0,Results!$T225))</f>
        <v>0</v>
      </c>
      <c r="Z220" s="270" t="str">
        <f>IF($O220=0,"",IF($X220&gt;$Y220,Settings!$C$4,IF($X220=$Y220,1,0)))</f>
        <v/>
      </c>
      <c r="AA220" s="291" t="str">
        <f>IF($O220=0,"",IF($X220&lt;$Y220,Settings!$C$4,IF($X220=$Y220,1,0)))</f>
        <v/>
      </c>
    </row>
    <row r="221" spans="5:27" x14ac:dyDescent="0.2">
      <c r="E221" s="266">
        <v>218</v>
      </c>
      <c r="F221" s="171" t="str">
        <f>Planning!$Q224</f>
        <v>Hamburger SV</v>
      </c>
      <c r="G221" s="348" t="str">
        <f>Planning!$S224</f>
        <v>FC Bayern München</v>
      </c>
      <c r="H221" s="344" t="str">
        <f>IF(AND(Results!$I226&lt;&gt;"",Results!$K226&lt;&gt;"",Results!$F226&lt;&gt;Results!$H226,$F221&lt;&gt;"",$G221&lt;&gt;""),Results!$I226,"")</f>
        <v/>
      </c>
      <c r="I221" s="343" t="str">
        <f>IF(AND(Results!$I226&lt;&gt;"",Results!$K226&lt;&gt;"",Results!$F226&lt;&gt;Results!$H226,$F221&lt;&gt;"",$G221&lt;&gt;""),Results!$K226,"")</f>
        <v/>
      </c>
      <c r="J221" s="344" t="str">
        <f>IF(AND(Results!$L226&lt;&gt;"",Results!$N226&lt;&gt;"",Results!$F226&lt;&gt;Results!$H226,$F221&lt;&gt;"",$G221&lt;&gt;""),Results!$L226,"")</f>
        <v/>
      </c>
      <c r="K221" s="343" t="str">
        <f>IF(AND(Results!$L226&lt;&gt;"",Results!$N226&lt;&gt;"",Results!$F226&lt;&gt;Results!$H226,$F221&lt;&gt;"",$G221&lt;&gt;""),Results!$N226,"")</f>
        <v/>
      </c>
      <c r="L221" s="344" t="str">
        <f>IF(AND(Results!$O226&lt;&gt;"",Results!$Q226&lt;&gt;"",Results!$F226&lt;&gt;Results!$H226,$F221&lt;&gt;"",$G221&lt;&gt;""),Results!$O226,"")</f>
        <v/>
      </c>
      <c r="M221" s="122" t="str">
        <f>IF(AND(Results!$O226&lt;&gt;"",Results!$Q226&lt;&gt;"",Results!$F226&lt;&gt;Results!$H226,$F221&lt;&gt;"",$G221&lt;&gt;""),Results!$Q226,"")</f>
        <v/>
      </c>
      <c r="N221" s="16" t="str">
        <f>IF(Planning!$I224=0,F221&amp;G221,"")</f>
        <v/>
      </c>
      <c r="O221" s="122">
        <f>IF(AND(Results!$Z$6&gt;0,$E221-1&gt;=Results!$Z$6*Calc!$F$26),0,IF(AND(F221&lt;&gt;"",G221&lt;&gt;"",F221&lt;&gt;G221,Results!$R226&lt;&gt;"",Results!$T226&lt;&gt;""),1,0))</f>
        <v>0</v>
      </c>
      <c r="P221" s="122" t="str">
        <f>IF(AND(O221&gt;0,Planning!$I224=0),V221&amp;Language!$E$90&amp;W221,"")</f>
        <v/>
      </c>
      <c r="Q221" s="2" t="str">
        <f>IF(Planning!$I224=1,F221&amp;G221,"")</f>
        <v>Hamburger SVFC Bayern München</v>
      </c>
      <c r="R221" s="88" t="str">
        <f>IF(AND(O221&gt;0,Planning!$I224=1),V221&amp;Language!$E$90&amp;W221,"")</f>
        <v/>
      </c>
      <c r="S221" s="122" t="str">
        <f>IF(O221&gt;0,X221&amp;Language!$E$90&amp;Y221,"")</f>
        <v/>
      </c>
      <c r="T221" s="290">
        <f>IF($H221="",0,Results!$U226)</f>
        <v>0</v>
      </c>
      <c r="U221" s="291">
        <f>IF($I221="",0,Results!$V226)</f>
        <v>0</v>
      </c>
      <c r="V221" s="270" t="str">
        <f t="shared" si="6"/>
        <v/>
      </c>
      <c r="W221" s="291" t="str">
        <f t="shared" si="7"/>
        <v/>
      </c>
      <c r="X221" s="270">
        <f>IF($O221=0,0,IF(Results!$R226="",0,Results!$R226))</f>
        <v>0</v>
      </c>
      <c r="Y221" s="291">
        <f>IF($O221=0,0,IF(Results!$T226="",0,Results!$T226))</f>
        <v>0</v>
      </c>
      <c r="Z221" s="270" t="str">
        <f>IF($O221=0,"",IF($X221&gt;$Y221,Settings!$C$4,IF($X221=$Y221,1,0)))</f>
        <v/>
      </c>
      <c r="AA221" s="291" t="str">
        <f>IF($O221=0,"",IF($X221&lt;$Y221,Settings!$C$4,IF($X221=$Y221,1,0)))</f>
        <v/>
      </c>
    </row>
    <row r="222" spans="5:27" x14ac:dyDescent="0.2">
      <c r="E222" s="266">
        <v>219</v>
      </c>
      <c r="F222" s="171" t="str">
        <f>Planning!$Q225</f>
        <v>FC Augsburg</v>
      </c>
      <c r="G222" s="348" t="str">
        <f>Planning!$S225</f>
        <v>RB Leipzig</v>
      </c>
      <c r="H222" s="344" t="str">
        <f>IF(AND(Results!$I227&lt;&gt;"",Results!$K227&lt;&gt;"",Results!$F227&lt;&gt;Results!$H227,$F222&lt;&gt;"",$G222&lt;&gt;""),Results!$I227,"")</f>
        <v/>
      </c>
      <c r="I222" s="343" t="str">
        <f>IF(AND(Results!$I227&lt;&gt;"",Results!$K227&lt;&gt;"",Results!$F227&lt;&gt;Results!$H227,$F222&lt;&gt;"",$G222&lt;&gt;""),Results!$K227,"")</f>
        <v/>
      </c>
      <c r="J222" s="344" t="str">
        <f>IF(AND(Results!$L227&lt;&gt;"",Results!$N227&lt;&gt;"",Results!$F227&lt;&gt;Results!$H227,$F222&lt;&gt;"",$G222&lt;&gt;""),Results!$L227,"")</f>
        <v/>
      </c>
      <c r="K222" s="343" t="str">
        <f>IF(AND(Results!$L227&lt;&gt;"",Results!$N227&lt;&gt;"",Results!$F227&lt;&gt;Results!$H227,$F222&lt;&gt;"",$G222&lt;&gt;""),Results!$N227,"")</f>
        <v/>
      </c>
      <c r="L222" s="344" t="str">
        <f>IF(AND(Results!$O227&lt;&gt;"",Results!$Q227&lt;&gt;"",Results!$F227&lt;&gt;Results!$H227,$F222&lt;&gt;"",$G222&lt;&gt;""),Results!$O227,"")</f>
        <v/>
      </c>
      <c r="M222" s="122" t="str">
        <f>IF(AND(Results!$O227&lt;&gt;"",Results!$Q227&lt;&gt;"",Results!$F227&lt;&gt;Results!$H227,$F222&lt;&gt;"",$G222&lt;&gt;""),Results!$Q227,"")</f>
        <v/>
      </c>
      <c r="N222" s="16" t="str">
        <f>IF(Planning!$I225=0,F222&amp;G222,"")</f>
        <v/>
      </c>
      <c r="O222" s="122">
        <f>IF(AND(Results!$Z$6&gt;0,$E222-1&gt;=Results!$Z$6*Calc!$F$26),0,IF(AND(F222&lt;&gt;"",G222&lt;&gt;"",F222&lt;&gt;G222,Results!$R227&lt;&gt;"",Results!$T227&lt;&gt;""),1,0))</f>
        <v>0</v>
      </c>
      <c r="P222" s="122" t="str">
        <f>IF(AND(O222&gt;0,Planning!$I225=0),V222&amp;Language!$E$90&amp;W222,"")</f>
        <v/>
      </c>
      <c r="Q222" s="2" t="str">
        <f>IF(Planning!$I225=1,F222&amp;G222,"")</f>
        <v>FC AugsburgRB Leipzig</v>
      </c>
      <c r="R222" s="88" t="str">
        <f>IF(AND(O222&gt;0,Planning!$I225=1),V222&amp;Language!$E$90&amp;W222,"")</f>
        <v/>
      </c>
      <c r="S222" s="122" t="str">
        <f>IF(O222&gt;0,X222&amp;Language!$E$90&amp;Y222,"")</f>
        <v/>
      </c>
      <c r="T222" s="290">
        <f>IF($H222="",0,Results!$U227)</f>
        <v>0</v>
      </c>
      <c r="U222" s="291">
        <f>IF($I222="",0,Results!$V227)</f>
        <v>0</v>
      </c>
      <c r="V222" s="270" t="str">
        <f t="shared" si="6"/>
        <v/>
      </c>
      <c r="W222" s="291" t="str">
        <f t="shared" si="7"/>
        <v/>
      </c>
      <c r="X222" s="270">
        <f>IF($O222=0,0,IF(Results!$R227="",0,Results!$R227))</f>
        <v>0</v>
      </c>
      <c r="Y222" s="291">
        <f>IF($O222=0,0,IF(Results!$T227="",0,Results!$T227))</f>
        <v>0</v>
      </c>
      <c r="Z222" s="270" t="str">
        <f>IF($O222=0,"",IF($X222&gt;$Y222,Settings!$C$4,IF($X222=$Y222,1,0)))</f>
        <v/>
      </c>
      <c r="AA222" s="291" t="str">
        <f>IF($O222=0,"",IF($X222&lt;$Y222,Settings!$C$4,IF($X222=$Y222,1,0)))</f>
        <v/>
      </c>
    </row>
    <row r="223" spans="5:27" x14ac:dyDescent="0.2">
      <c r="E223" s="266">
        <v>220</v>
      </c>
      <c r="F223" s="171" t="str">
        <f>Planning!$Q226</f>
        <v>SC Freiburg</v>
      </c>
      <c r="G223" s="348" t="str">
        <f>Planning!$S226</f>
        <v>Eintracht Frankfurt</v>
      </c>
      <c r="H223" s="344" t="str">
        <f>IF(AND(Results!$I228&lt;&gt;"",Results!$K228&lt;&gt;"",Results!$F228&lt;&gt;Results!$H228,$F223&lt;&gt;"",$G223&lt;&gt;""),Results!$I228,"")</f>
        <v/>
      </c>
      <c r="I223" s="343" t="str">
        <f>IF(AND(Results!$I228&lt;&gt;"",Results!$K228&lt;&gt;"",Results!$F228&lt;&gt;Results!$H228,$F223&lt;&gt;"",$G223&lt;&gt;""),Results!$K228,"")</f>
        <v/>
      </c>
      <c r="J223" s="344" t="str">
        <f>IF(AND(Results!$L228&lt;&gt;"",Results!$N228&lt;&gt;"",Results!$F228&lt;&gt;Results!$H228,$F223&lt;&gt;"",$G223&lt;&gt;""),Results!$L228,"")</f>
        <v/>
      </c>
      <c r="K223" s="343" t="str">
        <f>IF(AND(Results!$L228&lt;&gt;"",Results!$N228&lt;&gt;"",Results!$F228&lt;&gt;Results!$H228,$F223&lt;&gt;"",$G223&lt;&gt;""),Results!$N228,"")</f>
        <v/>
      </c>
      <c r="L223" s="344" t="str">
        <f>IF(AND(Results!$O228&lt;&gt;"",Results!$Q228&lt;&gt;"",Results!$F228&lt;&gt;Results!$H228,$F223&lt;&gt;"",$G223&lt;&gt;""),Results!$O228,"")</f>
        <v/>
      </c>
      <c r="M223" s="122" t="str">
        <f>IF(AND(Results!$O228&lt;&gt;"",Results!$Q228&lt;&gt;"",Results!$F228&lt;&gt;Results!$H228,$F223&lt;&gt;"",$G223&lt;&gt;""),Results!$Q228,"")</f>
        <v/>
      </c>
      <c r="N223" s="16" t="str">
        <f>IF(Planning!$I226=0,F223&amp;G223,"")</f>
        <v/>
      </c>
      <c r="O223" s="122">
        <f>IF(AND(Results!$Z$6&gt;0,$E223-1&gt;=Results!$Z$6*Calc!$F$26),0,IF(AND(F223&lt;&gt;"",G223&lt;&gt;"",F223&lt;&gt;G223,Results!$R228&lt;&gt;"",Results!$T228&lt;&gt;""),1,0))</f>
        <v>0</v>
      </c>
      <c r="P223" s="122" t="str">
        <f>IF(AND(O223&gt;0,Planning!$I226=0),V223&amp;Language!$E$90&amp;W223,"")</f>
        <v/>
      </c>
      <c r="Q223" s="2" t="str">
        <f>IF(Planning!$I226=1,F223&amp;G223,"")</f>
        <v>SC FreiburgEintracht Frankfurt</v>
      </c>
      <c r="R223" s="88" t="str">
        <f>IF(AND(O223&gt;0,Planning!$I226=1),V223&amp;Language!$E$90&amp;W223,"")</f>
        <v/>
      </c>
      <c r="S223" s="122" t="str">
        <f>IF(O223&gt;0,X223&amp;Language!$E$90&amp;Y223,"")</f>
        <v/>
      </c>
      <c r="T223" s="290">
        <f>IF($H223="",0,Results!$U228)</f>
        <v>0</v>
      </c>
      <c r="U223" s="291">
        <f>IF($I223="",0,Results!$V228)</f>
        <v>0</v>
      </c>
      <c r="V223" s="270" t="str">
        <f t="shared" si="6"/>
        <v/>
      </c>
      <c r="W223" s="291" t="str">
        <f t="shared" si="7"/>
        <v/>
      </c>
      <c r="X223" s="270">
        <f>IF($O223=0,0,IF(Results!$R228="",0,Results!$R228))</f>
        <v>0</v>
      </c>
      <c r="Y223" s="291">
        <f>IF($O223=0,0,IF(Results!$T228="",0,Results!$T228))</f>
        <v>0</v>
      </c>
      <c r="Z223" s="270" t="str">
        <f>IF($O223=0,"",IF($X223&gt;$Y223,Settings!$C$4,IF($X223=$Y223,1,0)))</f>
        <v/>
      </c>
      <c r="AA223" s="291" t="str">
        <f>IF($O223=0,"",IF($X223&lt;$Y223,Settings!$C$4,IF($X223=$Y223,1,0)))</f>
        <v/>
      </c>
    </row>
    <row r="224" spans="5:27" x14ac:dyDescent="0.2">
      <c r="E224" s="266">
        <v>221</v>
      </c>
      <c r="F224" s="171" t="str">
        <f>Planning!$Q227</f>
        <v>Borussia Mönchengladbach</v>
      </c>
      <c r="G224" s="348" t="str">
        <f>Planning!$S227</f>
        <v>SV Werder Bremen</v>
      </c>
      <c r="H224" s="344" t="str">
        <f>IF(AND(Results!$I229&lt;&gt;"",Results!$K229&lt;&gt;"",Results!$F229&lt;&gt;Results!$H229,$F224&lt;&gt;"",$G224&lt;&gt;""),Results!$I229,"")</f>
        <v/>
      </c>
      <c r="I224" s="343" t="str">
        <f>IF(AND(Results!$I229&lt;&gt;"",Results!$K229&lt;&gt;"",Results!$F229&lt;&gt;Results!$H229,$F224&lt;&gt;"",$G224&lt;&gt;""),Results!$K229,"")</f>
        <v/>
      </c>
      <c r="J224" s="344" t="str">
        <f>IF(AND(Results!$L229&lt;&gt;"",Results!$N229&lt;&gt;"",Results!$F229&lt;&gt;Results!$H229,$F224&lt;&gt;"",$G224&lt;&gt;""),Results!$L229,"")</f>
        <v/>
      </c>
      <c r="K224" s="343" t="str">
        <f>IF(AND(Results!$L229&lt;&gt;"",Results!$N229&lt;&gt;"",Results!$F229&lt;&gt;Results!$H229,$F224&lt;&gt;"",$G224&lt;&gt;""),Results!$N229,"")</f>
        <v/>
      </c>
      <c r="L224" s="344" t="str">
        <f>IF(AND(Results!$O229&lt;&gt;"",Results!$Q229&lt;&gt;"",Results!$F229&lt;&gt;Results!$H229,$F224&lt;&gt;"",$G224&lt;&gt;""),Results!$O229,"")</f>
        <v/>
      </c>
      <c r="M224" s="122" t="str">
        <f>IF(AND(Results!$O229&lt;&gt;"",Results!$Q229&lt;&gt;"",Results!$F229&lt;&gt;Results!$H229,$F224&lt;&gt;"",$G224&lt;&gt;""),Results!$Q229,"")</f>
        <v/>
      </c>
      <c r="N224" s="16" t="str">
        <f>IF(Planning!$I227=0,F224&amp;G224,"")</f>
        <v/>
      </c>
      <c r="O224" s="122">
        <f>IF(AND(Results!$Z$6&gt;0,$E224-1&gt;=Results!$Z$6*Calc!$F$26),0,IF(AND(F224&lt;&gt;"",G224&lt;&gt;"",F224&lt;&gt;G224,Results!$R229&lt;&gt;"",Results!$T229&lt;&gt;""),1,0))</f>
        <v>0</v>
      </c>
      <c r="P224" s="122" t="str">
        <f>IF(AND(O224&gt;0,Planning!$I227=0),V224&amp;Language!$E$90&amp;W224,"")</f>
        <v/>
      </c>
      <c r="Q224" s="2" t="str">
        <f>IF(Planning!$I227=1,F224&amp;G224,"")</f>
        <v>Borussia MönchengladbachSV Werder Bremen</v>
      </c>
      <c r="R224" s="88" t="str">
        <f>IF(AND(O224&gt;0,Planning!$I227=1),V224&amp;Language!$E$90&amp;W224,"")</f>
        <v/>
      </c>
      <c r="S224" s="122" t="str">
        <f>IF(O224&gt;0,X224&amp;Language!$E$90&amp;Y224,"")</f>
        <v/>
      </c>
      <c r="T224" s="290">
        <f>IF($H224="",0,Results!$U229)</f>
        <v>0</v>
      </c>
      <c r="U224" s="291">
        <f>IF($I224="",0,Results!$V229)</f>
        <v>0</v>
      </c>
      <c r="V224" s="270" t="str">
        <f t="shared" si="6"/>
        <v/>
      </c>
      <c r="W224" s="291" t="str">
        <f t="shared" si="7"/>
        <v/>
      </c>
      <c r="X224" s="270">
        <f>IF($O224=0,0,IF(Results!$R229="",0,Results!$R229))</f>
        <v>0</v>
      </c>
      <c r="Y224" s="291">
        <f>IF($O224=0,0,IF(Results!$T229="",0,Results!$T229))</f>
        <v>0</v>
      </c>
      <c r="Z224" s="270" t="str">
        <f>IF($O224=0,"",IF($X224&gt;$Y224,Settings!$C$4,IF($X224=$Y224,1,0)))</f>
        <v/>
      </c>
      <c r="AA224" s="291" t="str">
        <f>IF($O224=0,"",IF($X224&lt;$Y224,Settings!$C$4,IF($X224=$Y224,1,0)))</f>
        <v/>
      </c>
    </row>
    <row r="225" spans="5:27" x14ac:dyDescent="0.2">
      <c r="E225" s="266">
        <v>222</v>
      </c>
      <c r="F225" s="171" t="str">
        <f>Planning!$Q228</f>
        <v>TSG Hoffenheim</v>
      </c>
      <c r="G225" s="348" t="str">
        <f>Planning!$S228</f>
        <v>Borussia Dortmund</v>
      </c>
      <c r="H225" s="344" t="str">
        <f>IF(AND(Results!$I230&lt;&gt;"",Results!$K230&lt;&gt;"",Results!$F230&lt;&gt;Results!$H230,$F225&lt;&gt;"",$G225&lt;&gt;""),Results!$I230,"")</f>
        <v/>
      </c>
      <c r="I225" s="343" t="str">
        <f>IF(AND(Results!$I230&lt;&gt;"",Results!$K230&lt;&gt;"",Results!$F230&lt;&gt;Results!$H230,$F225&lt;&gt;"",$G225&lt;&gt;""),Results!$K230,"")</f>
        <v/>
      </c>
      <c r="J225" s="344" t="str">
        <f>IF(AND(Results!$L230&lt;&gt;"",Results!$N230&lt;&gt;"",Results!$F230&lt;&gt;Results!$H230,$F225&lt;&gt;"",$G225&lt;&gt;""),Results!$L230,"")</f>
        <v/>
      </c>
      <c r="K225" s="343" t="str">
        <f>IF(AND(Results!$L230&lt;&gt;"",Results!$N230&lt;&gt;"",Results!$F230&lt;&gt;Results!$H230,$F225&lt;&gt;"",$G225&lt;&gt;""),Results!$N230,"")</f>
        <v/>
      </c>
      <c r="L225" s="344" t="str">
        <f>IF(AND(Results!$O230&lt;&gt;"",Results!$Q230&lt;&gt;"",Results!$F230&lt;&gt;Results!$H230,$F225&lt;&gt;"",$G225&lt;&gt;""),Results!$O230,"")</f>
        <v/>
      </c>
      <c r="M225" s="122" t="str">
        <f>IF(AND(Results!$O230&lt;&gt;"",Results!$Q230&lt;&gt;"",Results!$F230&lt;&gt;Results!$H230,$F225&lt;&gt;"",$G225&lt;&gt;""),Results!$Q230,"")</f>
        <v/>
      </c>
      <c r="N225" s="16" t="str">
        <f>IF(Planning!$I228=0,F225&amp;G225,"")</f>
        <v/>
      </c>
      <c r="O225" s="122">
        <f>IF(AND(Results!$Z$6&gt;0,$E225-1&gt;=Results!$Z$6*Calc!$F$26),0,IF(AND(F225&lt;&gt;"",G225&lt;&gt;"",F225&lt;&gt;G225,Results!$R230&lt;&gt;"",Results!$T230&lt;&gt;""),1,0))</f>
        <v>0</v>
      </c>
      <c r="P225" s="122" t="str">
        <f>IF(AND(O225&gt;0,Planning!$I228=0),V225&amp;Language!$E$90&amp;W225,"")</f>
        <v/>
      </c>
      <c r="Q225" s="2" t="str">
        <f>IF(Planning!$I228=1,F225&amp;G225,"")</f>
        <v>TSG HoffenheimBorussia Dortmund</v>
      </c>
      <c r="R225" s="88" t="str">
        <f>IF(AND(O225&gt;0,Planning!$I228=1),V225&amp;Language!$E$90&amp;W225,"")</f>
        <v/>
      </c>
      <c r="S225" s="122" t="str">
        <f>IF(O225&gt;0,X225&amp;Language!$E$90&amp;Y225,"")</f>
        <v/>
      </c>
      <c r="T225" s="290">
        <f>IF($H225="",0,Results!$U230)</f>
        <v>0</v>
      </c>
      <c r="U225" s="291">
        <f>IF($I225="",0,Results!$V230)</f>
        <v>0</v>
      </c>
      <c r="V225" s="270" t="str">
        <f t="shared" si="6"/>
        <v/>
      </c>
      <c r="W225" s="291" t="str">
        <f t="shared" si="7"/>
        <v/>
      </c>
      <c r="X225" s="270">
        <f>IF($O225=0,0,IF(Results!$R230="",0,Results!$R230))</f>
        <v>0</v>
      </c>
      <c r="Y225" s="291">
        <f>IF($O225=0,0,IF(Results!$T230="",0,Results!$T230))</f>
        <v>0</v>
      </c>
      <c r="Z225" s="270" t="str">
        <f>IF($O225=0,"",IF($X225&gt;$Y225,Settings!$C$4,IF($X225=$Y225,1,0)))</f>
        <v/>
      </c>
      <c r="AA225" s="291" t="str">
        <f>IF($O225=0,"",IF($X225&lt;$Y225,Settings!$C$4,IF($X225=$Y225,1,0)))</f>
        <v/>
      </c>
    </row>
    <row r="226" spans="5:27" x14ac:dyDescent="0.2">
      <c r="E226" s="266">
        <v>223</v>
      </c>
      <c r="F226" s="171" t="str">
        <f>Planning!$Q229</f>
        <v>Bayer 04 Leverkusen</v>
      </c>
      <c r="G226" s="348" t="str">
        <f>Planning!$S229</f>
        <v>VfB Stuttgart</v>
      </c>
      <c r="H226" s="344" t="str">
        <f>IF(AND(Results!$I231&lt;&gt;"",Results!$K231&lt;&gt;"",Results!$F231&lt;&gt;Results!$H231,$F226&lt;&gt;"",$G226&lt;&gt;""),Results!$I231,"")</f>
        <v/>
      </c>
      <c r="I226" s="343" t="str">
        <f>IF(AND(Results!$I231&lt;&gt;"",Results!$K231&lt;&gt;"",Results!$F231&lt;&gt;Results!$H231,$F226&lt;&gt;"",$G226&lt;&gt;""),Results!$K231,"")</f>
        <v/>
      </c>
      <c r="J226" s="344" t="str">
        <f>IF(AND(Results!$L231&lt;&gt;"",Results!$N231&lt;&gt;"",Results!$F231&lt;&gt;Results!$H231,$F226&lt;&gt;"",$G226&lt;&gt;""),Results!$L231,"")</f>
        <v/>
      </c>
      <c r="K226" s="343" t="str">
        <f>IF(AND(Results!$L231&lt;&gt;"",Results!$N231&lt;&gt;"",Results!$F231&lt;&gt;Results!$H231,$F226&lt;&gt;"",$G226&lt;&gt;""),Results!$N231,"")</f>
        <v/>
      </c>
      <c r="L226" s="344" t="str">
        <f>IF(AND(Results!$O231&lt;&gt;"",Results!$Q231&lt;&gt;"",Results!$F231&lt;&gt;Results!$H231,$F226&lt;&gt;"",$G226&lt;&gt;""),Results!$O231,"")</f>
        <v/>
      </c>
      <c r="M226" s="122" t="str">
        <f>IF(AND(Results!$O231&lt;&gt;"",Results!$Q231&lt;&gt;"",Results!$F231&lt;&gt;Results!$H231,$F226&lt;&gt;"",$G226&lt;&gt;""),Results!$Q231,"")</f>
        <v/>
      </c>
      <c r="N226" s="16" t="str">
        <f>IF(Planning!$I229=0,F226&amp;G226,"")</f>
        <v/>
      </c>
      <c r="O226" s="122">
        <f>IF(AND(Results!$Z$6&gt;0,$E226-1&gt;=Results!$Z$6*Calc!$F$26),0,IF(AND(F226&lt;&gt;"",G226&lt;&gt;"",F226&lt;&gt;G226,Results!$R231&lt;&gt;"",Results!$T231&lt;&gt;""),1,0))</f>
        <v>0</v>
      </c>
      <c r="P226" s="122" t="str">
        <f>IF(AND(O226&gt;0,Planning!$I229=0),V226&amp;Language!$E$90&amp;W226,"")</f>
        <v/>
      </c>
      <c r="Q226" s="2" t="str">
        <f>IF(Planning!$I229=1,F226&amp;G226,"")</f>
        <v>Bayer 04 LeverkusenVfB Stuttgart</v>
      </c>
      <c r="R226" s="88" t="str">
        <f>IF(AND(O226&gt;0,Planning!$I229=1),V226&amp;Language!$E$90&amp;W226,"")</f>
        <v/>
      </c>
      <c r="S226" s="122" t="str">
        <f>IF(O226&gt;0,X226&amp;Language!$E$90&amp;Y226,"")</f>
        <v/>
      </c>
      <c r="T226" s="290">
        <f>IF($H226="",0,Results!$U231)</f>
        <v>0</v>
      </c>
      <c r="U226" s="291">
        <f>IF($I226="",0,Results!$V231)</f>
        <v>0</v>
      </c>
      <c r="V226" s="270" t="str">
        <f t="shared" si="6"/>
        <v/>
      </c>
      <c r="W226" s="291" t="str">
        <f t="shared" si="7"/>
        <v/>
      </c>
      <c r="X226" s="270">
        <f>IF($O226=0,0,IF(Results!$R231="",0,Results!$R231))</f>
        <v>0</v>
      </c>
      <c r="Y226" s="291">
        <f>IF($O226=0,0,IF(Results!$T231="",0,Results!$T231))</f>
        <v>0</v>
      </c>
      <c r="Z226" s="270" t="str">
        <f>IF($O226=0,"",IF($X226&gt;$Y226,Settings!$C$4,IF($X226=$Y226,1,0)))</f>
        <v/>
      </c>
      <c r="AA226" s="291" t="str">
        <f>IF($O226=0,"",IF($X226&lt;$Y226,Settings!$C$4,IF($X226=$Y226,1,0)))</f>
        <v/>
      </c>
    </row>
    <row r="227" spans="5:27" x14ac:dyDescent="0.2">
      <c r="E227" s="266">
        <v>224</v>
      </c>
      <c r="F227" s="171" t="str">
        <f>Planning!$Q230</f>
        <v>VfL Wolfsburg</v>
      </c>
      <c r="G227" s="348" t="str">
        <f>Planning!$S230</f>
        <v>1. FSV Mainz 05</v>
      </c>
      <c r="H227" s="344" t="str">
        <f>IF(AND(Results!$I232&lt;&gt;"",Results!$K232&lt;&gt;"",Results!$F232&lt;&gt;Results!$H232,$F227&lt;&gt;"",$G227&lt;&gt;""),Results!$I232,"")</f>
        <v/>
      </c>
      <c r="I227" s="343" t="str">
        <f>IF(AND(Results!$I232&lt;&gt;"",Results!$K232&lt;&gt;"",Results!$F232&lt;&gt;Results!$H232,$F227&lt;&gt;"",$G227&lt;&gt;""),Results!$K232,"")</f>
        <v/>
      </c>
      <c r="J227" s="344" t="str">
        <f>IF(AND(Results!$L232&lt;&gt;"",Results!$N232&lt;&gt;"",Results!$F232&lt;&gt;Results!$H232,$F227&lt;&gt;"",$G227&lt;&gt;""),Results!$L232,"")</f>
        <v/>
      </c>
      <c r="K227" s="343" t="str">
        <f>IF(AND(Results!$L232&lt;&gt;"",Results!$N232&lt;&gt;"",Results!$F232&lt;&gt;Results!$H232,$F227&lt;&gt;"",$G227&lt;&gt;""),Results!$N232,"")</f>
        <v/>
      </c>
      <c r="L227" s="344" t="str">
        <f>IF(AND(Results!$O232&lt;&gt;"",Results!$Q232&lt;&gt;"",Results!$F232&lt;&gt;Results!$H232,$F227&lt;&gt;"",$G227&lt;&gt;""),Results!$O232,"")</f>
        <v/>
      </c>
      <c r="M227" s="122" t="str">
        <f>IF(AND(Results!$O232&lt;&gt;"",Results!$Q232&lt;&gt;"",Results!$F232&lt;&gt;Results!$H232,$F227&lt;&gt;"",$G227&lt;&gt;""),Results!$Q232,"")</f>
        <v/>
      </c>
      <c r="N227" s="16" t="str">
        <f>IF(Planning!$I230=0,F227&amp;G227,"")</f>
        <v/>
      </c>
      <c r="O227" s="122">
        <f>IF(AND(Results!$Z$6&gt;0,$E227-1&gt;=Results!$Z$6*Calc!$F$26),0,IF(AND(F227&lt;&gt;"",G227&lt;&gt;"",F227&lt;&gt;G227,Results!$R232&lt;&gt;"",Results!$T232&lt;&gt;""),1,0))</f>
        <v>0</v>
      </c>
      <c r="P227" s="122" t="str">
        <f>IF(AND(O227&gt;0,Planning!$I230=0),V227&amp;Language!$E$90&amp;W227,"")</f>
        <v/>
      </c>
      <c r="Q227" s="2" t="str">
        <f>IF(Planning!$I230=1,F227&amp;G227,"")</f>
        <v>VfL Wolfsburg1. FSV Mainz 05</v>
      </c>
      <c r="R227" s="88" t="str">
        <f>IF(AND(O227&gt;0,Planning!$I230=1),V227&amp;Language!$E$90&amp;W227,"")</f>
        <v/>
      </c>
      <c r="S227" s="122" t="str">
        <f>IF(O227&gt;0,X227&amp;Language!$E$90&amp;Y227,"")</f>
        <v/>
      </c>
      <c r="T227" s="290">
        <f>IF($H227="",0,Results!$U232)</f>
        <v>0</v>
      </c>
      <c r="U227" s="291">
        <f>IF($I227="",0,Results!$V232)</f>
        <v>0</v>
      </c>
      <c r="V227" s="270" t="str">
        <f t="shared" si="6"/>
        <v/>
      </c>
      <c r="W227" s="291" t="str">
        <f t="shared" si="7"/>
        <v/>
      </c>
      <c r="X227" s="270">
        <f>IF($O227=0,0,IF(Results!$R232="",0,Results!$R232))</f>
        <v>0</v>
      </c>
      <c r="Y227" s="291">
        <f>IF($O227=0,0,IF(Results!$T232="",0,Results!$T232))</f>
        <v>0</v>
      </c>
      <c r="Z227" s="270" t="str">
        <f>IF($O227=0,"",IF($X227&gt;$Y227,Settings!$C$4,IF($X227=$Y227,1,0)))</f>
        <v/>
      </c>
      <c r="AA227" s="291" t="str">
        <f>IF($O227=0,"",IF($X227&lt;$Y227,Settings!$C$4,IF($X227=$Y227,1,0)))</f>
        <v/>
      </c>
    </row>
    <row r="228" spans="5:27" x14ac:dyDescent="0.2">
      <c r="E228" s="266">
        <v>225</v>
      </c>
      <c r="F228" s="171" t="str">
        <f>Planning!$Q231</f>
        <v>1. FC Union Berlin</v>
      </c>
      <c r="G228" s="348" t="str">
        <f>Planning!$S231</f>
        <v>1. FC Köln</v>
      </c>
      <c r="H228" s="344" t="str">
        <f>IF(AND(Results!$I233&lt;&gt;"",Results!$K233&lt;&gt;"",Results!$F233&lt;&gt;Results!$H233,$F228&lt;&gt;"",$G228&lt;&gt;""),Results!$I233,"")</f>
        <v/>
      </c>
      <c r="I228" s="343" t="str">
        <f>IF(AND(Results!$I233&lt;&gt;"",Results!$K233&lt;&gt;"",Results!$F233&lt;&gt;Results!$H233,$F228&lt;&gt;"",$G228&lt;&gt;""),Results!$K233,"")</f>
        <v/>
      </c>
      <c r="J228" s="344" t="str">
        <f>IF(AND(Results!$L233&lt;&gt;"",Results!$N233&lt;&gt;"",Results!$F233&lt;&gt;Results!$H233,$F228&lt;&gt;"",$G228&lt;&gt;""),Results!$L233,"")</f>
        <v/>
      </c>
      <c r="K228" s="343" t="str">
        <f>IF(AND(Results!$L233&lt;&gt;"",Results!$N233&lt;&gt;"",Results!$F233&lt;&gt;Results!$H233,$F228&lt;&gt;"",$G228&lt;&gt;""),Results!$N233,"")</f>
        <v/>
      </c>
      <c r="L228" s="344" t="str">
        <f>IF(AND(Results!$O233&lt;&gt;"",Results!$Q233&lt;&gt;"",Results!$F233&lt;&gt;Results!$H233,$F228&lt;&gt;"",$G228&lt;&gt;""),Results!$O233,"")</f>
        <v/>
      </c>
      <c r="M228" s="122" t="str">
        <f>IF(AND(Results!$O233&lt;&gt;"",Results!$Q233&lt;&gt;"",Results!$F233&lt;&gt;Results!$H233,$F228&lt;&gt;"",$G228&lt;&gt;""),Results!$Q233,"")</f>
        <v/>
      </c>
      <c r="N228" s="16" t="str">
        <f>IF(Planning!$I231=0,F228&amp;G228,"")</f>
        <v/>
      </c>
      <c r="O228" s="122">
        <f>IF(AND(Results!$Z$6&gt;0,$E228-1&gt;=Results!$Z$6*Calc!$F$26),0,IF(AND(F228&lt;&gt;"",G228&lt;&gt;"",F228&lt;&gt;G228,Results!$R233&lt;&gt;"",Results!$T233&lt;&gt;""),1,0))</f>
        <v>0</v>
      </c>
      <c r="P228" s="122" t="str">
        <f>IF(AND(O228&gt;0,Planning!$I231=0),V228&amp;Language!$E$90&amp;W228,"")</f>
        <v/>
      </c>
      <c r="Q228" s="2" t="str">
        <f>IF(Planning!$I231=1,F228&amp;G228,"")</f>
        <v>1. FC Union Berlin1. FC Köln</v>
      </c>
      <c r="R228" s="88" t="str">
        <f>IF(AND(O228&gt;0,Planning!$I231=1),V228&amp;Language!$E$90&amp;W228,"")</f>
        <v/>
      </c>
      <c r="S228" s="122" t="str">
        <f>IF(O228&gt;0,X228&amp;Language!$E$90&amp;Y228,"")</f>
        <v/>
      </c>
      <c r="T228" s="290">
        <f>IF($H228="",0,Results!$U233)</f>
        <v>0</v>
      </c>
      <c r="U228" s="291">
        <f>IF($I228="",0,Results!$V233)</f>
        <v>0</v>
      </c>
      <c r="V228" s="270" t="str">
        <f t="shared" si="6"/>
        <v/>
      </c>
      <c r="W228" s="291" t="str">
        <f t="shared" si="7"/>
        <v/>
      </c>
      <c r="X228" s="270">
        <f>IF($O228=0,0,IF(Results!$R233="",0,Results!$R233))</f>
        <v>0</v>
      </c>
      <c r="Y228" s="291">
        <f>IF($O228=0,0,IF(Results!$T233="",0,Results!$T233))</f>
        <v>0</v>
      </c>
      <c r="Z228" s="270" t="str">
        <f>IF($O228=0,"",IF($X228&gt;$Y228,Settings!$C$4,IF($X228=$Y228,1,0)))</f>
        <v/>
      </c>
      <c r="AA228" s="291" t="str">
        <f>IF($O228=0,"",IF($X228&lt;$Y228,Settings!$C$4,IF($X228=$Y228,1,0)))</f>
        <v/>
      </c>
    </row>
    <row r="229" spans="5:27" x14ac:dyDescent="0.2">
      <c r="E229" s="266">
        <v>226</v>
      </c>
      <c r="F229" s="171" t="str">
        <f>Planning!$Q232</f>
        <v>FC Bayern München</v>
      </c>
      <c r="G229" s="348" t="str">
        <f>Planning!$S232</f>
        <v>1. FC Heidenheim 1846</v>
      </c>
      <c r="H229" s="344" t="str">
        <f>IF(AND(Results!$I234&lt;&gt;"",Results!$K234&lt;&gt;"",Results!$F234&lt;&gt;Results!$H234,$F229&lt;&gt;"",$G229&lt;&gt;""),Results!$I234,"")</f>
        <v/>
      </c>
      <c r="I229" s="343" t="str">
        <f>IF(AND(Results!$I234&lt;&gt;"",Results!$K234&lt;&gt;"",Results!$F234&lt;&gt;Results!$H234,$F229&lt;&gt;"",$G229&lt;&gt;""),Results!$K234,"")</f>
        <v/>
      </c>
      <c r="J229" s="344" t="str">
        <f>IF(AND(Results!$L234&lt;&gt;"",Results!$N234&lt;&gt;"",Results!$F234&lt;&gt;Results!$H234,$F229&lt;&gt;"",$G229&lt;&gt;""),Results!$L234,"")</f>
        <v/>
      </c>
      <c r="K229" s="343" t="str">
        <f>IF(AND(Results!$L234&lt;&gt;"",Results!$N234&lt;&gt;"",Results!$F234&lt;&gt;Results!$H234,$F229&lt;&gt;"",$G229&lt;&gt;""),Results!$N234,"")</f>
        <v/>
      </c>
      <c r="L229" s="344" t="str">
        <f>IF(AND(Results!$O234&lt;&gt;"",Results!$Q234&lt;&gt;"",Results!$F234&lt;&gt;Results!$H234,$F229&lt;&gt;"",$G229&lt;&gt;""),Results!$O234,"")</f>
        <v/>
      </c>
      <c r="M229" s="122" t="str">
        <f>IF(AND(Results!$O234&lt;&gt;"",Results!$Q234&lt;&gt;"",Results!$F234&lt;&gt;Results!$H234,$F229&lt;&gt;"",$G229&lt;&gt;""),Results!$Q234,"")</f>
        <v/>
      </c>
      <c r="N229" s="16" t="str">
        <f>IF(Planning!$I232=0,F229&amp;G229,"")</f>
        <v/>
      </c>
      <c r="O229" s="122">
        <f>IF(AND(Results!$Z$6&gt;0,$E229-1&gt;=Results!$Z$6*Calc!$F$26),0,IF(AND(F229&lt;&gt;"",G229&lt;&gt;"",F229&lt;&gt;G229,Results!$R234&lt;&gt;"",Results!$T234&lt;&gt;""),1,0))</f>
        <v>0</v>
      </c>
      <c r="P229" s="122" t="str">
        <f>IF(AND(O229&gt;0,Planning!$I232=0),V229&amp;Language!$E$90&amp;W229,"")</f>
        <v/>
      </c>
      <c r="Q229" s="2" t="str">
        <f>IF(Planning!$I232=1,F229&amp;G229,"")</f>
        <v>FC Bayern München1. FC Heidenheim 1846</v>
      </c>
      <c r="R229" s="88" t="str">
        <f>IF(AND(O229&gt;0,Planning!$I232=1),V229&amp;Language!$E$90&amp;W229,"")</f>
        <v/>
      </c>
      <c r="S229" s="122" t="str">
        <f>IF(O229&gt;0,X229&amp;Language!$E$90&amp;Y229,"")</f>
        <v/>
      </c>
      <c r="T229" s="290">
        <f>IF($H229="",0,Results!$U234)</f>
        <v>0</v>
      </c>
      <c r="U229" s="291">
        <f>IF($I229="",0,Results!$V234)</f>
        <v>0</v>
      </c>
      <c r="V229" s="270" t="str">
        <f t="shared" si="6"/>
        <v/>
      </c>
      <c r="W229" s="291" t="str">
        <f t="shared" si="7"/>
        <v/>
      </c>
      <c r="X229" s="270">
        <f>IF($O229=0,0,IF(Results!$R234="",0,Results!$R234))</f>
        <v>0</v>
      </c>
      <c r="Y229" s="291">
        <f>IF($O229=0,0,IF(Results!$T234="",0,Results!$T234))</f>
        <v>0</v>
      </c>
      <c r="Z229" s="270" t="str">
        <f>IF($O229=0,"",IF($X229&gt;$Y229,Settings!$C$4,IF($X229=$Y229,1,0)))</f>
        <v/>
      </c>
      <c r="AA229" s="291" t="str">
        <f>IF($O229=0,"",IF($X229&lt;$Y229,Settings!$C$4,IF($X229=$Y229,1,0)))</f>
        <v/>
      </c>
    </row>
    <row r="230" spans="5:27" x14ac:dyDescent="0.2">
      <c r="E230" s="266">
        <v>227</v>
      </c>
      <c r="F230" s="171" t="str">
        <f>Planning!$Q233</f>
        <v>FC St. Pauli</v>
      </c>
      <c r="G230" s="348" t="str">
        <f>Planning!$S233</f>
        <v>FC Augsburg</v>
      </c>
      <c r="H230" s="344" t="str">
        <f>IF(AND(Results!$I235&lt;&gt;"",Results!$K235&lt;&gt;"",Results!$F235&lt;&gt;Results!$H235,$F230&lt;&gt;"",$G230&lt;&gt;""),Results!$I235,"")</f>
        <v/>
      </c>
      <c r="I230" s="343" t="str">
        <f>IF(AND(Results!$I235&lt;&gt;"",Results!$K235&lt;&gt;"",Results!$F235&lt;&gt;Results!$H235,$F230&lt;&gt;"",$G230&lt;&gt;""),Results!$K235,"")</f>
        <v/>
      </c>
      <c r="J230" s="344" t="str">
        <f>IF(AND(Results!$L235&lt;&gt;"",Results!$N235&lt;&gt;"",Results!$F235&lt;&gt;Results!$H235,$F230&lt;&gt;"",$G230&lt;&gt;""),Results!$L235,"")</f>
        <v/>
      </c>
      <c r="K230" s="343" t="str">
        <f>IF(AND(Results!$L235&lt;&gt;"",Results!$N235&lt;&gt;"",Results!$F235&lt;&gt;Results!$H235,$F230&lt;&gt;"",$G230&lt;&gt;""),Results!$N235,"")</f>
        <v/>
      </c>
      <c r="L230" s="344" t="str">
        <f>IF(AND(Results!$O235&lt;&gt;"",Results!$Q235&lt;&gt;"",Results!$F235&lt;&gt;Results!$H235,$F230&lt;&gt;"",$G230&lt;&gt;""),Results!$O235,"")</f>
        <v/>
      </c>
      <c r="M230" s="122" t="str">
        <f>IF(AND(Results!$O235&lt;&gt;"",Results!$Q235&lt;&gt;"",Results!$F235&lt;&gt;Results!$H235,$F230&lt;&gt;"",$G230&lt;&gt;""),Results!$Q235,"")</f>
        <v/>
      </c>
      <c r="N230" s="16" t="str">
        <f>IF(Planning!$I233=0,F230&amp;G230,"")</f>
        <v/>
      </c>
      <c r="O230" s="122">
        <f>IF(AND(Results!$Z$6&gt;0,$E230-1&gt;=Results!$Z$6*Calc!$F$26),0,IF(AND(F230&lt;&gt;"",G230&lt;&gt;"",F230&lt;&gt;G230,Results!$R235&lt;&gt;"",Results!$T235&lt;&gt;""),1,0))</f>
        <v>0</v>
      </c>
      <c r="P230" s="122" t="str">
        <f>IF(AND(O230&gt;0,Planning!$I233=0),V230&amp;Language!$E$90&amp;W230,"")</f>
        <v/>
      </c>
      <c r="Q230" s="2" t="str">
        <f>IF(Planning!$I233=1,F230&amp;G230,"")</f>
        <v>FC St. PauliFC Augsburg</v>
      </c>
      <c r="R230" s="88" t="str">
        <f>IF(AND(O230&gt;0,Planning!$I233=1),V230&amp;Language!$E$90&amp;W230,"")</f>
        <v/>
      </c>
      <c r="S230" s="122" t="str">
        <f>IF(O230&gt;0,X230&amp;Language!$E$90&amp;Y230,"")</f>
        <v/>
      </c>
      <c r="T230" s="290">
        <f>IF($H230="",0,Results!$U235)</f>
        <v>0</v>
      </c>
      <c r="U230" s="291">
        <f>IF($I230="",0,Results!$V235)</f>
        <v>0</v>
      </c>
      <c r="V230" s="270" t="str">
        <f t="shared" si="6"/>
        <v/>
      </c>
      <c r="W230" s="291" t="str">
        <f t="shared" si="7"/>
        <v/>
      </c>
      <c r="X230" s="270">
        <f>IF($O230=0,0,IF(Results!$R235="",0,Results!$R235))</f>
        <v>0</v>
      </c>
      <c r="Y230" s="291">
        <f>IF($O230=0,0,IF(Results!$T235="",0,Results!$T235))</f>
        <v>0</v>
      </c>
      <c r="Z230" s="270" t="str">
        <f>IF($O230=0,"",IF($X230&gt;$Y230,Settings!$C$4,IF($X230=$Y230,1,0)))</f>
        <v/>
      </c>
      <c r="AA230" s="291" t="str">
        <f>IF($O230=0,"",IF($X230&lt;$Y230,Settings!$C$4,IF($X230=$Y230,1,0)))</f>
        <v/>
      </c>
    </row>
    <row r="231" spans="5:27" x14ac:dyDescent="0.2">
      <c r="E231" s="266">
        <v>228</v>
      </c>
      <c r="F231" s="171" t="str">
        <f>Planning!$Q234</f>
        <v>Eintracht Frankfurt</v>
      </c>
      <c r="G231" s="348" t="str">
        <f>Planning!$S234</f>
        <v>Hamburger SV</v>
      </c>
      <c r="H231" s="344" t="str">
        <f>IF(AND(Results!$I236&lt;&gt;"",Results!$K236&lt;&gt;"",Results!$F236&lt;&gt;Results!$H236,$F231&lt;&gt;"",$G231&lt;&gt;""),Results!$I236,"")</f>
        <v/>
      </c>
      <c r="I231" s="343" t="str">
        <f>IF(AND(Results!$I236&lt;&gt;"",Results!$K236&lt;&gt;"",Results!$F236&lt;&gt;Results!$H236,$F231&lt;&gt;"",$G231&lt;&gt;""),Results!$K236,"")</f>
        <v/>
      </c>
      <c r="J231" s="344" t="str">
        <f>IF(AND(Results!$L236&lt;&gt;"",Results!$N236&lt;&gt;"",Results!$F236&lt;&gt;Results!$H236,$F231&lt;&gt;"",$G231&lt;&gt;""),Results!$L236,"")</f>
        <v/>
      </c>
      <c r="K231" s="343" t="str">
        <f>IF(AND(Results!$L236&lt;&gt;"",Results!$N236&lt;&gt;"",Results!$F236&lt;&gt;Results!$H236,$F231&lt;&gt;"",$G231&lt;&gt;""),Results!$N236,"")</f>
        <v/>
      </c>
      <c r="L231" s="344" t="str">
        <f>IF(AND(Results!$O236&lt;&gt;"",Results!$Q236&lt;&gt;"",Results!$F236&lt;&gt;Results!$H236,$F231&lt;&gt;"",$G231&lt;&gt;""),Results!$O236,"")</f>
        <v/>
      </c>
      <c r="M231" s="122" t="str">
        <f>IF(AND(Results!$O236&lt;&gt;"",Results!$Q236&lt;&gt;"",Results!$F236&lt;&gt;Results!$H236,$F231&lt;&gt;"",$G231&lt;&gt;""),Results!$Q236,"")</f>
        <v/>
      </c>
      <c r="N231" s="16" t="str">
        <f>IF(Planning!$I234=0,F231&amp;G231,"")</f>
        <v/>
      </c>
      <c r="O231" s="122">
        <f>IF(AND(Results!$Z$6&gt;0,$E231-1&gt;=Results!$Z$6*Calc!$F$26),0,IF(AND(F231&lt;&gt;"",G231&lt;&gt;"",F231&lt;&gt;G231,Results!$R236&lt;&gt;"",Results!$T236&lt;&gt;""),1,0))</f>
        <v>0</v>
      </c>
      <c r="P231" s="122" t="str">
        <f>IF(AND(O231&gt;0,Planning!$I234=0),V231&amp;Language!$E$90&amp;W231,"")</f>
        <v/>
      </c>
      <c r="Q231" s="2" t="str">
        <f>IF(Planning!$I234=1,F231&amp;G231,"")</f>
        <v>Eintracht FrankfurtHamburger SV</v>
      </c>
      <c r="R231" s="88" t="str">
        <f>IF(AND(O231&gt;0,Planning!$I234=1),V231&amp;Language!$E$90&amp;W231,"")</f>
        <v/>
      </c>
      <c r="S231" s="122" t="str">
        <f>IF(O231&gt;0,X231&amp;Language!$E$90&amp;Y231,"")</f>
        <v/>
      </c>
      <c r="T231" s="290">
        <f>IF($H231="",0,Results!$U236)</f>
        <v>0</v>
      </c>
      <c r="U231" s="291">
        <f>IF($I231="",0,Results!$V236)</f>
        <v>0</v>
      </c>
      <c r="V231" s="270" t="str">
        <f t="shared" si="6"/>
        <v/>
      </c>
      <c r="W231" s="291" t="str">
        <f t="shared" si="7"/>
        <v/>
      </c>
      <c r="X231" s="270">
        <f>IF($O231=0,0,IF(Results!$R236="",0,Results!$R236))</f>
        <v>0</v>
      </c>
      <c r="Y231" s="291">
        <f>IF($O231=0,0,IF(Results!$T236="",0,Results!$T236))</f>
        <v>0</v>
      </c>
      <c r="Z231" s="270" t="str">
        <f>IF($O231=0,"",IF($X231&gt;$Y231,Settings!$C$4,IF($X231=$Y231,1,0)))</f>
        <v/>
      </c>
      <c r="AA231" s="291" t="str">
        <f>IF($O231=0,"",IF($X231&lt;$Y231,Settings!$C$4,IF($X231=$Y231,1,0)))</f>
        <v/>
      </c>
    </row>
    <row r="232" spans="5:27" x14ac:dyDescent="0.2">
      <c r="E232" s="266">
        <v>229</v>
      </c>
      <c r="F232" s="171" t="str">
        <f>Planning!$Q235</f>
        <v>RB Leipzig</v>
      </c>
      <c r="G232" s="348" t="str">
        <f>Planning!$S235</f>
        <v>Borussia Mönchengladbach</v>
      </c>
      <c r="H232" s="344" t="str">
        <f>IF(AND(Results!$I237&lt;&gt;"",Results!$K237&lt;&gt;"",Results!$F237&lt;&gt;Results!$H237,$F232&lt;&gt;"",$G232&lt;&gt;""),Results!$I237,"")</f>
        <v/>
      </c>
      <c r="I232" s="343" t="str">
        <f>IF(AND(Results!$I237&lt;&gt;"",Results!$K237&lt;&gt;"",Results!$F237&lt;&gt;Results!$H237,$F232&lt;&gt;"",$G232&lt;&gt;""),Results!$K237,"")</f>
        <v/>
      </c>
      <c r="J232" s="344" t="str">
        <f>IF(AND(Results!$L237&lt;&gt;"",Results!$N237&lt;&gt;"",Results!$F237&lt;&gt;Results!$H237,$F232&lt;&gt;"",$G232&lt;&gt;""),Results!$L237,"")</f>
        <v/>
      </c>
      <c r="K232" s="343" t="str">
        <f>IF(AND(Results!$L237&lt;&gt;"",Results!$N237&lt;&gt;"",Results!$F237&lt;&gt;Results!$H237,$F232&lt;&gt;"",$G232&lt;&gt;""),Results!$N237,"")</f>
        <v/>
      </c>
      <c r="L232" s="344" t="str">
        <f>IF(AND(Results!$O237&lt;&gt;"",Results!$Q237&lt;&gt;"",Results!$F237&lt;&gt;Results!$H237,$F232&lt;&gt;"",$G232&lt;&gt;""),Results!$O237,"")</f>
        <v/>
      </c>
      <c r="M232" s="122" t="str">
        <f>IF(AND(Results!$O237&lt;&gt;"",Results!$Q237&lt;&gt;"",Results!$F237&lt;&gt;Results!$H237,$F232&lt;&gt;"",$G232&lt;&gt;""),Results!$Q237,"")</f>
        <v/>
      </c>
      <c r="N232" s="16" t="str">
        <f>IF(Planning!$I235=0,F232&amp;G232,"")</f>
        <v/>
      </c>
      <c r="O232" s="122">
        <f>IF(AND(Results!$Z$6&gt;0,$E232-1&gt;=Results!$Z$6*Calc!$F$26),0,IF(AND(F232&lt;&gt;"",G232&lt;&gt;"",F232&lt;&gt;G232,Results!$R237&lt;&gt;"",Results!$T237&lt;&gt;""),1,0))</f>
        <v>0</v>
      </c>
      <c r="P232" s="122" t="str">
        <f>IF(AND(O232&gt;0,Planning!$I235=0),V232&amp;Language!$E$90&amp;W232,"")</f>
        <v/>
      </c>
      <c r="Q232" s="2" t="str">
        <f>IF(Planning!$I235=1,F232&amp;G232,"")</f>
        <v>RB LeipzigBorussia Mönchengladbach</v>
      </c>
      <c r="R232" s="88" t="str">
        <f>IF(AND(O232&gt;0,Planning!$I235=1),V232&amp;Language!$E$90&amp;W232,"")</f>
        <v/>
      </c>
      <c r="S232" s="122" t="str">
        <f>IF(O232&gt;0,X232&amp;Language!$E$90&amp;Y232,"")</f>
        <v/>
      </c>
      <c r="T232" s="290">
        <f>IF($H232="",0,Results!$U237)</f>
        <v>0</v>
      </c>
      <c r="U232" s="291">
        <f>IF($I232="",0,Results!$V237)</f>
        <v>0</v>
      </c>
      <c r="V232" s="270" t="str">
        <f t="shared" si="6"/>
        <v/>
      </c>
      <c r="W232" s="291" t="str">
        <f t="shared" si="7"/>
        <v/>
      </c>
      <c r="X232" s="270">
        <f>IF($O232=0,0,IF(Results!$R237="",0,Results!$R237))</f>
        <v>0</v>
      </c>
      <c r="Y232" s="291">
        <f>IF($O232=0,0,IF(Results!$T237="",0,Results!$T237))</f>
        <v>0</v>
      </c>
      <c r="Z232" s="270" t="str">
        <f>IF($O232=0,"",IF($X232&gt;$Y232,Settings!$C$4,IF($X232=$Y232,1,0)))</f>
        <v/>
      </c>
      <c r="AA232" s="291" t="str">
        <f>IF($O232=0,"",IF($X232&lt;$Y232,Settings!$C$4,IF($X232=$Y232,1,0)))</f>
        <v/>
      </c>
    </row>
    <row r="233" spans="5:27" x14ac:dyDescent="0.2">
      <c r="E233" s="266">
        <v>230</v>
      </c>
      <c r="F233" s="171" t="str">
        <f>Planning!$Q236</f>
        <v>Borussia Dortmund</v>
      </c>
      <c r="G233" s="348" t="str">
        <f>Planning!$S236</f>
        <v>SC Freiburg</v>
      </c>
      <c r="H233" s="344" t="str">
        <f>IF(AND(Results!$I238&lt;&gt;"",Results!$K238&lt;&gt;"",Results!$F238&lt;&gt;Results!$H238,$F233&lt;&gt;"",$G233&lt;&gt;""),Results!$I238,"")</f>
        <v/>
      </c>
      <c r="I233" s="343" t="str">
        <f>IF(AND(Results!$I238&lt;&gt;"",Results!$K238&lt;&gt;"",Results!$F238&lt;&gt;Results!$H238,$F233&lt;&gt;"",$G233&lt;&gt;""),Results!$K238,"")</f>
        <v/>
      </c>
      <c r="J233" s="344" t="str">
        <f>IF(AND(Results!$L238&lt;&gt;"",Results!$N238&lt;&gt;"",Results!$F238&lt;&gt;Results!$H238,$F233&lt;&gt;"",$G233&lt;&gt;""),Results!$L238,"")</f>
        <v/>
      </c>
      <c r="K233" s="343" t="str">
        <f>IF(AND(Results!$L238&lt;&gt;"",Results!$N238&lt;&gt;"",Results!$F238&lt;&gt;Results!$H238,$F233&lt;&gt;"",$G233&lt;&gt;""),Results!$N238,"")</f>
        <v/>
      </c>
      <c r="L233" s="344" t="str">
        <f>IF(AND(Results!$O238&lt;&gt;"",Results!$Q238&lt;&gt;"",Results!$F238&lt;&gt;Results!$H238,$F233&lt;&gt;"",$G233&lt;&gt;""),Results!$O238,"")</f>
        <v/>
      </c>
      <c r="M233" s="122" t="str">
        <f>IF(AND(Results!$O238&lt;&gt;"",Results!$Q238&lt;&gt;"",Results!$F238&lt;&gt;Results!$H238,$F233&lt;&gt;"",$G233&lt;&gt;""),Results!$Q238,"")</f>
        <v/>
      </c>
      <c r="N233" s="16" t="str">
        <f>IF(Planning!$I236=0,F233&amp;G233,"")</f>
        <v/>
      </c>
      <c r="O233" s="122">
        <f>IF(AND(Results!$Z$6&gt;0,$E233-1&gt;=Results!$Z$6*Calc!$F$26),0,IF(AND(F233&lt;&gt;"",G233&lt;&gt;"",F233&lt;&gt;G233,Results!$R238&lt;&gt;"",Results!$T238&lt;&gt;""),1,0))</f>
        <v>0</v>
      </c>
      <c r="P233" s="122" t="str">
        <f>IF(AND(O233&gt;0,Planning!$I236=0),V233&amp;Language!$E$90&amp;W233,"")</f>
        <v/>
      </c>
      <c r="Q233" s="2" t="str">
        <f>IF(Planning!$I236=1,F233&amp;G233,"")</f>
        <v>Borussia DortmundSC Freiburg</v>
      </c>
      <c r="R233" s="88" t="str">
        <f>IF(AND(O233&gt;0,Planning!$I236=1),V233&amp;Language!$E$90&amp;W233,"")</f>
        <v/>
      </c>
      <c r="S233" s="122" t="str">
        <f>IF(O233&gt;0,X233&amp;Language!$E$90&amp;Y233,"")</f>
        <v/>
      </c>
      <c r="T233" s="290">
        <f>IF($H233="",0,Results!$U238)</f>
        <v>0</v>
      </c>
      <c r="U233" s="291">
        <f>IF($I233="",0,Results!$V238)</f>
        <v>0</v>
      </c>
      <c r="V233" s="270" t="str">
        <f t="shared" si="6"/>
        <v/>
      </c>
      <c r="W233" s="291" t="str">
        <f t="shared" si="7"/>
        <v/>
      </c>
      <c r="X233" s="270">
        <f>IF($O233=0,0,IF(Results!$R238="",0,Results!$R238))</f>
        <v>0</v>
      </c>
      <c r="Y233" s="291">
        <f>IF($O233=0,0,IF(Results!$T238="",0,Results!$T238))</f>
        <v>0</v>
      </c>
      <c r="Z233" s="270" t="str">
        <f>IF($O233=0,"",IF($X233&gt;$Y233,Settings!$C$4,IF($X233=$Y233,1,0)))</f>
        <v/>
      </c>
      <c r="AA233" s="291" t="str">
        <f>IF($O233=0,"",IF($X233&lt;$Y233,Settings!$C$4,IF($X233=$Y233,1,0)))</f>
        <v/>
      </c>
    </row>
    <row r="234" spans="5:27" x14ac:dyDescent="0.2">
      <c r="E234" s="266">
        <v>231</v>
      </c>
      <c r="F234" s="171" t="str">
        <f>Planning!$Q237</f>
        <v>SV Werder Bremen</v>
      </c>
      <c r="G234" s="348" t="str">
        <f>Planning!$S237</f>
        <v>Bayer 04 Leverkusen</v>
      </c>
      <c r="H234" s="344" t="str">
        <f>IF(AND(Results!$I239&lt;&gt;"",Results!$K239&lt;&gt;"",Results!$F239&lt;&gt;Results!$H239,$F234&lt;&gt;"",$G234&lt;&gt;""),Results!$I239,"")</f>
        <v/>
      </c>
      <c r="I234" s="343" t="str">
        <f>IF(AND(Results!$I239&lt;&gt;"",Results!$K239&lt;&gt;"",Results!$F239&lt;&gt;Results!$H239,$F234&lt;&gt;"",$G234&lt;&gt;""),Results!$K239,"")</f>
        <v/>
      </c>
      <c r="J234" s="344" t="str">
        <f>IF(AND(Results!$L239&lt;&gt;"",Results!$N239&lt;&gt;"",Results!$F239&lt;&gt;Results!$H239,$F234&lt;&gt;"",$G234&lt;&gt;""),Results!$L239,"")</f>
        <v/>
      </c>
      <c r="K234" s="343" t="str">
        <f>IF(AND(Results!$L239&lt;&gt;"",Results!$N239&lt;&gt;"",Results!$F239&lt;&gt;Results!$H239,$F234&lt;&gt;"",$G234&lt;&gt;""),Results!$N239,"")</f>
        <v/>
      </c>
      <c r="L234" s="344" t="str">
        <f>IF(AND(Results!$O239&lt;&gt;"",Results!$Q239&lt;&gt;"",Results!$F239&lt;&gt;Results!$H239,$F234&lt;&gt;"",$G234&lt;&gt;""),Results!$O239,"")</f>
        <v/>
      </c>
      <c r="M234" s="122" t="str">
        <f>IF(AND(Results!$O239&lt;&gt;"",Results!$Q239&lt;&gt;"",Results!$F239&lt;&gt;Results!$H239,$F234&lt;&gt;"",$G234&lt;&gt;""),Results!$Q239,"")</f>
        <v/>
      </c>
      <c r="N234" s="16" t="str">
        <f>IF(Planning!$I237=0,F234&amp;G234,"")</f>
        <v/>
      </c>
      <c r="O234" s="122">
        <f>IF(AND(Results!$Z$6&gt;0,$E234-1&gt;=Results!$Z$6*Calc!$F$26),0,IF(AND(F234&lt;&gt;"",G234&lt;&gt;"",F234&lt;&gt;G234,Results!$R239&lt;&gt;"",Results!$T239&lt;&gt;""),1,0))</f>
        <v>0</v>
      </c>
      <c r="P234" s="122" t="str">
        <f>IF(AND(O234&gt;0,Planning!$I237=0),V234&amp;Language!$E$90&amp;W234,"")</f>
        <v/>
      </c>
      <c r="Q234" s="2" t="str">
        <f>IF(Planning!$I237=1,F234&amp;G234,"")</f>
        <v>SV Werder BremenBayer 04 Leverkusen</v>
      </c>
      <c r="R234" s="88" t="str">
        <f>IF(AND(O234&gt;0,Planning!$I237=1),V234&amp;Language!$E$90&amp;W234,"")</f>
        <v/>
      </c>
      <c r="S234" s="122" t="str">
        <f>IF(O234&gt;0,X234&amp;Language!$E$90&amp;Y234,"")</f>
        <v/>
      </c>
      <c r="T234" s="290">
        <f>IF($H234="",0,Results!$U239)</f>
        <v>0</v>
      </c>
      <c r="U234" s="291">
        <f>IF($I234="",0,Results!$V239)</f>
        <v>0</v>
      </c>
      <c r="V234" s="270" t="str">
        <f t="shared" si="6"/>
        <v/>
      </c>
      <c r="W234" s="291" t="str">
        <f t="shared" si="7"/>
        <v/>
      </c>
      <c r="X234" s="270">
        <f>IF($O234=0,0,IF(Results!$R239="",0,Results!$R239))</f>
        <v>0</v>
      </c>
      <c r="Y234" s="291">
        <f>IF($O234=0,0,IF(Results!$T239="",0,Results!$T239))</f>
        <v>0</v>
      </c>
      <c r="Z234" s="270" t="str">
        <f>IF($O234=0,"",IF($X234&gt;$Y234,Settings!$C$4,IF($X234=$Y234,1,0)))</f>
        <v/>
      </c>
      <c r="AA234" s="291" t="str">
        <f>IF($O234=0,"",IF($X234&lt;$Y234,Settings!$C$4,IF($X234=$Y234,1,0)))</f>
        <v/>
      </c>
    </row>
    <row r="235" spans="5:27" x14ac:dyDescent="0.2">
      <c r="E235" s="266">
        <v>232</v>
      </c>
      <c r="F235" s="171" t="str">
        <f>Planning!$Q238</f>
        <v>1. FSV Mainz 05</v>
      </c>
      <c r="G235" s="348" t="str">
        <f>Planning!$S238</f>
        <v>TSG Hoffenheim</v>
      </c>
      <c r="H235" s="344" t="str">
        <f>IF(AND(Results!$I240&lt;&gt;"",Results!$K240&lt;&gt;"",Results!$F240&lt;&gt;Results!$H240,$F235&lt;&gt;"",$G235&lt;&gt;""),Results!$I240,"")</f>
        <v/>
      </c>
      <c r="I235" s="343" t="str">
        <f>IF(AND(Results!$I240&lt;&gt;"",Results!$K240&lt;&gt;"",Results!$F240&lt;&gt;Results!$H240,$F235&lt;&gt;"",$G235&lt;&gt;""),Results!$K240,"")</f>
        <v/>
      </c>
      <c r="J235" s="344" t="str">
        <f>IF(AND(Results!$L240&lt;&gt;"",Results!$N240&lt;&gt;"",Results!$F240&lt;&gt;Results!$H240,$F235&lt;&gt;"",$G235&lt;&gt;""),Results!$L240,"")</f>
        <v/>
      </c>
      <c r="K235" s="343" t="str">
        <f>IF(AND(Results!$L240&lt;&gt;"",Results!$N240&lt;&gt;"",Results!$F240&lt;&gt;Results!$H240,$F235&lt;&gt;"",$G235&lt;&gt;""),Results!$N240,"")</f>
        <v/>
      </c>
      <c r="L235" s="344" t="str">
        <f>IF(AND(Results!$O240&lt;&gt;"",Results!$Q240&lt;&gt;"",Results!$F240&lt;&gt;Results!$H240,$F235&lt;&gt;"",$G235&lt;&gt;""),Results!$O240,"")</f>
        <v/>
      </c>
      <c r="M235" s="122" t="str">
        <f>IF(AND(Results!$O240&lt;&gt;"",Results!$Q240&lt;&gt;"",Results!$F240&lt;&gt;Results!$H240,$F235&lt;&gt;"",$G235&lt;&gt;""),Results!$Q240,"")</f>
        <v/>
      </c>
      <c r="N235" s="16" t="str">
        <f>IF(Planning!$I238=0,F235&amp;G235,"")</f>
        <v/>
      </c>
      <c r="O235" s="122">
        <f>IF(AND(Results!$Z$6&gt;0,$E235-1&gt;=Results!$Z$6*Calc!$F$26),0,IF(AND(F235&lt;&gt;"",G235&lt;&gt;"",F235&lt;&gt;G235,Results!$R240&lt;&gt;"",Results!$T240&lt;&gt;""),1,0))</f>
        <v>0</v>
      </c>
      <c r="P235" s="122" t="str">
        <f>IF(AND(O235&gt;0,Planning!$I238=0),V235&amp;Language!$E$90&amp;W235,"")</f>
        <v/>
      </c>
      <c r="Q235" s="2" t="str">
        <f>IF(Planning!$I238=1,F235&amp;G235,"")</f>
        <v>1. FSV Mainz 05TSG Hoffenheim</v>
      </c>
      <c r="R235" s="88" t="str">
        <f>IF(AND(O235&gt;0,Planning!$I238=1),V235&amp;Language!$E$90&amp;W235,"")</f>
        <v/>
      </c>
      <c r="S235" s="122" t="str">
        <f>IF(O235&gt;0,X235&amp;Language!$E$90&amp;Y235,"")</f>
        <v/>
      </c>
      <c r="T235" s="290">
        <f>IF($H235="",0,Results!$U240)</f>
        <v>0</v>
      </c>
      <c r="U235" s="291">
        <f>IF($I235="",0,Results!$V240)</f>
        <v>0</v>
      </c>
      <c r="V235" s="270" t="str">
        <f t="shared" si="6"/>
        <v/>
      </c>
      <c r="W235" s="291" t="str">
        <f t="shared" si="7"/>
        <v/>
      </c>
      <c r="X235" s="270">
        <f>IF($O235=0,0,IF(Results!$R240="",0,Results!$R240))</f>
        <v>0</v>
      </c>
      <c r="Y235" s="291">
        <f>IF($O235=0,0,IF(Results!$T240="",0,Results!$T240))</f>
        <v>0</v>
      </c>
      <c r="Z235" s="270" t="str">
        <f>IF($O235=0,"",IF($X235&gt;$Y235,Settings!$C$4,IF($X235=$Y235,1,0)))</f>
        <v/>
      </c>
      <c r="AA235" s="291" t="str">
        <f>IF($O235=0,"",IF($X235&lt;$Y235,Settings!$C$4,IF($X235=$Y235,1,0)))</f>
        <v/>
      </c>
    </row>
    <row r="236" spans="5:27" x14ac:dyDescent="0.2">
      <c r="E236" s="266">
        <v>233</v>
      </c>
      <c r="F236" s="171" t="str">
        <f>Planning!$Q239</f>
        <v>VfB Stuttgart</v>
      </c>
      <c r="G236" s="348" t="str">
        <f>Planning!$S239</f>
        <v>1. FC Union Berlin</v>
      </c>
      <c r="H236" s="344" t="str">
        <f>IF(AND(Results!$I241&lt;&gt;"",Results!$K241&lt;&gt;"",Results!$F241&lt;&gt;Results!$H241,$F236&lt;&gt;"",$G236&lt;&gt;""),Results!$I241,"")</f>
        <v/>
      </c>
      <c r="I236" s="343" t="str">
        <f>IF(AND(Results!$I241&lt;&gt;"",Results!$K241&lt;&gt;"",Results!$F241&lt;&gt;Results!$H241,$F236&lt;&gt;"",$G236&lt;&gt;""),Results!$K241,"")</f>
        <v/>
      </c>
      <c r="J236" s="344" t="str">
        <f>IF(AND(Results!$L241&lt;&gt;"",Results!$N241&lt;&gt;"",Results!$F241&lt;&gt;Results!$H241,$F236&lt;&gt;"",$G236&lt;&gt;""),Results!$L241,"")</f>
        <v/>
      </c>
      <c r="K236" s="343" t="str">
        <f>IF(AND(Results!$L241&lt;&gt;"",Results!$N241&lt;&gt;"",Results!$F241&lt;&gt;Results!$H241,$F236&lt;&gt;"",$G236&lt;&gt;""),Results!$N241,"")</f>
        <v/>
      </c>
      <c r="L236" s="344" t="str">
        <f>IF(AND(Results!$O241&lt;&gt;"",Results!$Q241&lt;&gt;"",Results!$F241&lt;&gt;Results!$H241,$F236&lt;&gt;"",$G236&lt;&gt;""),Results!$O241,"")</f>
        <v/>
      </c>
      <c r="M236" s="122" t="str">
        <f>IF(AND(Results!$O241&lt;&gt;"",Results!$Q241&lt;&gt;"",Results!$F241&lt;&gt;Results!$H241,$F236&lt;&gt;"",$G236&lt;&gt;""),Results!$Q241,"")</f>
        <v/>
      </c>
      <c r="N236" s="16" t="str">
        <f>IF(Planning!$I239=0,F236&amp;G236,"")</f>
        <v/>
      </c>
      <c r="O236" s="122">
        <f>IF(AND(Results!$Z$6&gt;0,$E236-1&gt;=Results!$Z$6*Calc!$F$26),0,IF(AND(F236&lt;&gt;"",G236&lt;&gt;"",F236&lt;&gt;G236,Results!$R241&lt;&gt;"",Results!$T241&lt;&gt;""),1,0))</f>
        <v>0</v>
      </c>
      <c r="P236" s="122" t="str">
        <f>IF(AND(O236&gt;0,Planning!$I239=0),V236&amp;Language!$E$90&amp;W236,"")</f>
        <v/>
      </c>
      <c r="Q236" s="2" t="str">
        <f>IF(Planning!$I239=1,F236&amp;G236,"")</f>
        <v>VfB Stuttgart1. FC Union Berlin</v>
      </c>
      <c r="R236" s="88" t="str">
        <f>IF(AND(O236&gt;0,Planning!$I239=1),V236&amp;Language!$E$90&amp;W236,"")</f>
        <v/>
      </c>
      <c r="S236" s="122" t="str">
        <f>IF(O236&gt;0,X236&amp;Language!$E$90&amp;Y236,"")</f>
        <v/>
      </c>
      <c r="T236" s="290">
        <f>IF($H236="",0,Results!$U241)</f>
        <v>0</v>
      </c>
      <c r="U236" s="291">
        <f>IF($I236="",0,Results!$V241)</f>
        <v>0</v>
      </c>
      <c r="V236" s="270" t="str">
        <f t="shared" si="6"/>
        <v/>
      </c>
      <c r="W236" s="291" t="str">
        <f t="shared" si="7"/>
        <v/>
      </c>
      <c r="X236" s="270">
        <f>IF($O236=0,0,IF(Results!$R241="",0,Results!$R241))</f>
        <v>0</v>
      </c>
      <c r="Y236" s="291">
        <f>IF($O236=0,0,IF(Results!$T241="",0,Results!$T241))</f>
        <v>0</v>
      </c>
      <c r="Z236" s="270" t="str">
        <f>IF($O236=0,"",IF($X236&gt;$Y236,Settings!$C$4,IF($X236=$Y236,1,0)))</f>
        <v/>
      </c>
      <c r="AA236" s="291" t="str">
        <f>IF($O236=0,"",IF($X236&lt;$Y236,Settings!$C$4,IF($X236=$Y236,1,0)))</f>
        <v/>
      </c>
    </row>
    <row r="237" spans="5:27" x14ac:dyDescent="0.2">
      <c r="E237" s="266">
        <v>234</v>
      </c>
      <c r="F237" s="171" t="str">
        <f>Planning!$Q240</f>
        <v>1. FC Köln</v>
      </c>
      <c r="G237" s="348" t="str">
        <f>Planning!$S240</f>
        <v>VfL Wolfsburg</v>
      </c>
      <c r="H237" s="344" t="str">
        <f>IF(AND(Results!$I242&lt;&gt;"",Results!$K242&lt;&gt;"",Results!$F242&lt;&gt;Results!$H242,$F237&lt;&gt;"",$G237&lt;&gt;""),Results!$I242,"")</f>
        <v/>
      </c>
      <c r="I237" s="343" t="str">
        <f>IF(AND(Results!$I242&lt;&gt;"",Results!$K242&lt;&gt;"",Results!$F242&lt;&gt;Results!$H242,$F237&lt;&gt;"",$G237&lt;&gt;""),Results!$K242,"")</f>
        <v/>
      </c>
      <c r="J237" s="344" t="str">
        <f>IF(AND(Results!$L242&lt;&gt;"",Results!$N242&lt;&gt;"",Results!$F242&lt;&gt;Results!$H242,$F237&lt;&gt;"",$G237&lt;&gt;""),Results!$L242,"")</f>
        <v/>
      </c>
      <c r="K237" s="343" t="str">
        <f>IF(AND(Results!$L242&lt;&gt;"",Results!$N242&lt;&gt;"",Results!$F242&lt;&gt;Results!$H242,$F237&lt;&gt;"",$G237&lt;&gt;""),Results!$N242,"")</f>
        <v/>
      </c>
      <c r="L237" s="344" t="str">
        <f>IF(AND(Results!$O242&lt;&gt;"",Results!$Q242&lt;&gt;"",Results!$F242&lt;&gt;Results!$H242,$F237&lt;&gt;"",$G237&lt;&gt;""),Results!$O242,"")</f>
        <v/>
      </c>
      <c r="M237" s="122" t="str">
        <f>IF(AND(Results!$O242&lt;&gt;"",Results!$Q242&lt;&gt;"",Results!$F242&lt;&gt;Results!$H242,$F237&lt;&gt;"",$G237&lt;&gt;""),Results!$Q242,"")</f>
        <v/>
      </c>
      <c r="N237" s="16" t="str">
        <f>IF(Planning!$I240=0,F237&amp;G237,"")</f>
        <v/>
      </c>
      <c r="O237" s="122">
        <f>IF(AND(Results!$Z$6&gt;0,$E237-1&gt;=Results!$Z$6*Calc!$F$26),0,IF(AND(F237&lt;&gt;"",G237&lt;&gt;"",F237&lt;&gt;G237,Results!$R242&lt;&gt;"",Results!$T242&lt;&gt;""),1,0))</f>
        <v>0</v>
      </c>
      <c r="P237" s="122" t="str">
        <f>IF(AND(O237&gt;0,Planning!$I240=0),V237&amp;Language!$E$90&amp;W237,"")</f>
        <v/>
      </c>
      <c r="Q237" s="2" t="str">
        <f>IF(Planning!$I240=1,F237&amp;G237,"")</f>
        <v>1. FC KölnVfL Wolfsburg</v>
      </c>
      <c r="R237" s="88" t="str">
        <f>IF(AND(O237&gt;0,Planning!$I240=1),V237&amp;Language!$E$90&amp;W237,"")</f>
        <v/>
      </c>
      <c r="S237" s="122" t="str">
        <f>IF(O237&gt;0,X237&amp;Language!$E$90&amp;Y237,"")</f>
        <v/>
      </c>
      <c r="T237" s="290">
        <f>IF($H237="",0,Results!$U242)</f>
        <v>0</v>
      </c>
      <c r="U237" s="291">
        <f>IF($I237="",0,Results!$V242)</f>
        <v>0</v>
      </c>
      <c r="V237" s="270" t="str">
        <f t="shared" si="6"/>
        <v/>
      </c>
      <c r="W237" s="291" t="str">
        <f t="shared" si="7"/>
        <v/>
      </c>
      <c r="X237" s="270">
        <f>IF($O237=0,0,IF(Results!$R242="",0,Results!$R242))</f>
        <v>0</v>
      </c>
      <c r="Y237" s="291">
        <f>IF($O237=0,0,IF(Results!$T242="",0,Results!$T242))</f>
        <v>0</v>
      </c>
      <c r="Z237" s="270" t="str">
        <f>IF($O237=0,"",IF($X237&gt;$Y237,Settings!$C$4,IF($X237=$Y237,1,0)))</f>
        <v/>
      </c>
      <c r="AA237" s="291" t="str">
        <f>IF($O237=0,"",IF($X237&lt;$Y237,Settings!$C$4,IF($X237=$Y237,1,0)))</f>
        <v/>
      </c>
    </row>
    <row r="238" spans="5:27" x14ac:dyDescent="0.2">
      <c r="E238" s="266">
        <v>235</v>
      </c>
      <c r="F238" s="171" t="str">
        <f>Planning!$Q241</f>
        <v>1. FC Heidenheim 1846</v>
      </c>
      <c r="G238" s="348" t="str">
        <f>Planning!$S241</f>
        <v>FC Augsburg</v>
      </c>
      <c r="H238" s="344" t="str">
        <f>IF(AND(Results!$I243&lt;&gt;"",Results!$K243&lt;&gt;"",Results!$F243&lt;&gt;Results!$H243,$F238&lt;&gt;"",$G238&lt;&gt;""),Results!$I243,"")</f>
        <v/>
      </c>
      <c r="I238" s="343" t="str">
        <f>IF(AND(Results!$I243&lt;&gt;"",Results!$K243&lt;&gt;"",Results!$F243&lt;&gt;Results!$H243,$F238&lt;&gt;"",$G238&lt;&gt;""),Results!$K243,"")</f>
        <v/>
      </c>
      <c r="J238" s="344" t="str">
        <f>IF(AND(Results!$L243&lt;&gt;"",Results!$N243&lt;&gt;"",Results!$F243&lt;&gt;Results!$H243,$F238&lt;&gt;"",$G238&lt;&gt;""),Results!$L243,"")</f>
        <v/>
      </c>
      <c r="K238" s="343" t="str">
        <f>IF(AND(Results!$L243&lt;&gt;"",Results!$N243&lt;&gt;"",Results!$F243&lt;&gt;Results!$H243,$F238&lt;&gt;"",$G238&lt;&gt;""),Results!$N243,"")</f>
        <v/>
      </c>
      <c r="L238" s="344" t="str">
        <f>IF(AND(Results!$O243&lt;&gt;"",Results!$Q243&lt;&gt;"",Results!$F243&lt;&gt;Results!$H243,$F238&lt;&gt;"",$G238&lt;&gt;""),Results!$O243,"")</f>
        <v/>
      </c>
      <c r="M238" s="122" t="str">
        <f>IF(AND(Results!$O243&lt;&gt;"",Results!$Q243&lt;&gt;"",Results!$F243&lt;&gt;Results!$H243,$F238&lt;&gt;"",$G238&lt;&gt;""),Results!$Q243,"")</f>
        <v/>
      </c>
      <c r="N238" s="16" t="str">
        <f>IF(Planning!$I241=0,F238&amp;G238,"")</f>
        <v/>
      </c>
      <c r="O238" s="122">
        <f>IF(AND(Results!$Z$6&gt;0,$E238-1&gt;=Results!$Z$6*Calc!$F$26),0,IF(AND(F238&lt;&gt;"",G238&lt;&gt;"",F238&lt;&gt;G238,Results!$R243&lt;&gt;"",Results!$T243&lt;&gt;""),1,0))</f>
        <v>0</v>
      </c>
      <c r="P238" s="122" t="str">
        <f>IF(AND(O238&gt;0,Planning!$I241=0),V238&amp;Language!$E$90&amp;W238,"")</f>
        <v/>
      </c>
      <c r="Q238" s="2" t="str">
        <f>IF(Planning!$I241=1,F238&amp;G238,"")</f>
        <v>1. FC Heidenheim 1846FC Augsburg</v>
      </c>
      <c r="R238" s="88" t="str">
        <f>IF(AND(O238&gt;0,Planning!$I241=1),V238&amp;Language!$E$90&amp;W238,"")</f>
        <v/>
      </c>
      <c r="S238" s="122" t="str">
        <f>IF(O238&gt;0,X238&amp;Language!$E$90&amp;Y238,"")</f>
        <v/>
      </c>
      <c r="T238" s="290">
        <f>IF($H238="",0,Results!$U243)</f>
        <v>0</v>
      </c>
      <c r="U238" s="291">
        <f>IF($I238="",0,Results!$V243)</f>
        <v>0</v>
      </c>
      <c r="V238" s="270" t="str">
        <f t="shared" si="6"/>
        <v/>
      </c>
      <c r="W238" s="291" t="str">
        <f t="shared" si="7"/>
        <v/>
      </c>
      <c r="X238" s="270">
        <f>IF($O238=0,0,IF(Results!$R243="",0,Results!$R243))</f>
        <v>0</v>
      </c>
      <c r="Y238" s="291">
        <f>IF($O238=0,0,IF(Results!$T243="",0,Results!$T243))</f>
        <v>0</v>
      </c>
      <c r="Z238" s="270" t="str">
        <f>IF($O238=0,"",IF($X238&gt;$Y238,Settings!$C$4,IF($X238=$Y238,1,0)))</f>
        <v/>
      </c>
      <c r="AA238" s="291" t="str">
        <f>IF($O238=0,"",IF($X238&lt;$Y238,Settings!$C$4,IF($X238=$Y238,1,0)))</f>
        <v/>
      </c>
    </row>
    <row r="239" spans="5:27" x14ac:dyDescent="0.2">
      <c r="E239" s="266">
        <v>236</v>
      </c>
      <c r="F239" s="171" t="str">
        <f>Planning!$Q242</f>
        <v>FC Bayern München</v>
      </c>
      <c r="G239" s="348" t="str">
        <f>Planning!$S242</f>
        <v>Eintracht Frankfurt</v>
      </c>
      <c r="H239" s="344" t="str">
        <f>IF(AND(Results!$I244&lt;&gt;"",Results!$K244&lt;&gt;"",Results!$F244&lt;&gt;Results!$H244,$F239&lt;&gt;"",$G239&lt;&gt;""),Results!$I244,"")</f>
        <v/>
      </c>
      <c r="I239" s="343" t="str">
        <f>IF(AND(Results!$I244&lt;&gt;"",Results!$K244&lt;&gt;"",Results!$F244&lt;&gt;Results!$H244,$F239&lt;&gt;"",$G239&lt;&gt;""),Results!$K244,"")</f>
        <v/>
      </c>
      <c r="J239" s="344" t="str">
        <f>IF(AND(Results!$L244&lt;&gt;"",Results!$N244&lt;&gt;"",Results!$F244&lt;&gt;Results!$H244,$F239&lt;&gt;"",$G239&lt;&gt;""),Results!$L244,"")</f>
        <v/>
      </c>
      <c r="K239" s="343" t="str">
        <f>IF(AND(Results!$L244&lt;&gt;"",Results!$N244&lt;&gt;"",Results!$F244&lt;&gt;Results!$H244,$F239&lt;&gt;"",$G239&lt;&gt;""),Results!$N244,"")</f>
        <v/>
      </c>
      <c r="L239" s="344" t="str">
        <f>IF(AND(Results!$O244&lt;&gt;"",Results!$Q244&lt;&gt;"",Results!$F244&lt;&gt;Results!$H244,$F239&lt;&gt;"",$G239&lt;&gt;""),Results!$O244,"")</f>
        <v/>
      </c>
      <c r="M239" s="122" t="str">
        <f>IF(AND(Results!$O244&lt;&gt;"",Results!$Q244&lt;&gt;"",Results!$F244&lt;&gt;Results!$H244,$F239&lt;&gt;"",$G239&lt;&gt;""),Results!$Q244,"")</f>
        <v/>
      </c>
      <c r="N239" s="16" t="str">
        <f>IF(Planning!$I242=0,F239&amp;G239,"")</f>
        <v/>
      </c>
      <c r="O239" s="122">
        <f>IF(AND(Results!$Z$6&gt;0,$E239-1&gt;=Results!$Z$6*Calc!$F$26),0,IF(AND(F239&lt;&gt;"",G239&lt;&gt;"",F239&lt;&gt;G239,Results!$R244&lt;&gt;"",Results!$T244&lt;&gt;""),1,0))</f>
        <v>0</v>
      </c>
      <c r="P239" s="122" t="str">
        <f>IF(AND(O239&gt;0,Planning!$I242=0),V239&amp;Language!$E$90&amp;W239,"")</f>
        <v/>
      </c>
      <c r="Q239" s="2" t="str">
        <f>IF(Planning!$I242=1,F239&amp;G239,"")</f>
        <v>FC Bayern MünchenEintracht Frankfurt</v>
      </c>
      <c r="R239" s="88" t="str">
        <f>IF(AND(O239&gt;0,Planning!$I242=1),V239&amp;Language!$E$90&amp;W239,"")</f>
        <v/>
      </c>
      <c r="S239" s="122" t="str">
        <f>IF(O239&gt;0,X239&amp;Language!$E$90&amp;Y239,"")</f>
        <v/>
      </c>
      <c r="T239" s="290">
        <f>IF($H239="",0,Results!$U244)</f>
        <v>0</v>
      </c>
      <c r="U239" s="291">
        <f>IF($I239="",0,Results!$V244)</f>
        <v>0</v>
      </c>
      <c r="V239" s="270" t="str">
        <f t="shared" si="6"/>
        <v/>
      </c>
      <c r="W239" s="291" t="str">
        <f t="shared" si="7"/>
        <v/>
      </c>
      <c r="X239" s="270">
        <f>IF($O239=0,0,IF(Results!$R244="",0,Results!$R244))</f>
        <v>0</v>
      </c>
      <c r="Y239" s="291">
        <f>IF($O239=0,0,IF(Results!$T244="",0,Results!$T244))</f>
        <v>0</v>
      </c>
      <c r="Z239" s="270" t="str">
        <f>IF($O239=0,"",IF($X239&gt;$Y239,Settings!$C$4,IF($X239=$Y239,1,0)))</f>
        <v/>
      </c>
      <c r="AA239" s="291" t="str">
        <f>IF($O239=0,"",IF($X239&lt;$Y239,Settings!$C$4,IF($X239=$Y239,1,0)))</f>
        <v/>
      </c>
    </row>
    <row r="240" spans="5:27" x14ac:dyDescent="0.2">
      <c r="E240" s="266">
        <v>237</v>
      </c>
      <c r="F240" s="171" t="str">
        <f>Planning!$Q243</f>
        <v>Borussia Mönchengladbach</v>
      </c>
      <c r="G240" s="348" t="str">
        <f>Planning!$S243</f>
        <v>FC St. Pauli</v>
      </c>
      <c r="H240" s="344" t="str">
        <f>IF(AND(Results!$I245&lt;&gt;"",Results!$K245&lt;&gt;"",Results!$F245&lt;&gt;Results!$H245,$F240&lt;&gt;"",$G240&lt;&gt;""),Results!$I245,"")</f>
        <v/>
      </c>
      <c r="I240" s="343" t="str">
        <f>IF(AND(Results!$I245&lt;&gt;"",Results!$K245&lt;&gt;"",Results!$F245&lt;&gt;Results!$H245,$F240&lt;&gt;"",$G240&lt;&gt;""),Results!$K245,"")</f>
        <v/>
      </c>
      <c r="J240" s="344" t="str">
        <f>IF(AND(Results!$L245&lt;&gt;"",Results!$N245&lt;&gt;"",Results!$F245&lt;&gt;Results!$H245,$F240&lt;&gt;"",$G240&lt;&gt;""),Results!$L245,"")</f>
        <v/>
      </c>
      <c r="K240" s="343" t="str">
        <f>IF(AND(Results!$L245&lt;&gt;"",Results!$N245&lt;&gt;"",Results!$F245&lt;&gt;Results!$H245,$F240&lt;&gt;"",$G240&lt;&gt;""),Results!$N245,"")</f>
        <v/>
      </c>
      <c r="L240" s="344" t="str">
        <f>IF(AND(Results!$O245&lt;&gt;"",Results!$Q245&lt;&gt;"",Results!$F245&lt;&gt;Results!$H245,$F240&lt;&gt;"",$G240&lt;&gt;""),Results!$O245,"")</f>
        <v/>
      </c>
      <c r="M240" s="122" t="str">
        <f>IF(AND(Results!$O245&lt;&gt;"",Results!$Q245&lt;&gt;"",Results!$F245&lt;&gt;Results!$H245,$F240&lt;&gt;"",$G240&lt;&gt;""),Results!$Q245,"")</f>
        <v/>
      </c>
      <c r="N240" s="16" t="str">
        <f>IF(Planning!$I243=0,F240&amp;G240,"")</f>
        <v/>
      </c>
      <c r="O240" s="122">
        <f>IF(AND(Results!$Z$6&gt;0,$E240-1&gt;=Results!$Z$6*Calc!$F$26),0,IF(AND(F240&lt;&gt;"",G240&lt;&gt;"",F240&lt;&gt;G240,Results!$R245&lt;&gt;"",Results!$T245&lt;&gt;""),1,0))</f>
        <v>0</v>
      </c>
      <c r="P240" s="122" t="str">
        <f>IF(AND(O240&gt;0,Planning!$I243=0),V240&amp;Language!$E$90&amp;W240,"")</f>
        <v/>
      </c>
      <c r="Q240" s="2" t="str">
        <f>IF(Planning!$I243=1,F240&amp;G240,"")</f>
        <v>Borussia MönchengladbachFC St. Pauli</v>
      </c>
      <c r="R240" s="88" t="str">
        <f>IF(AND(O240&gt;0,Planning!$I243=1),V240&amp;Language!$E$90&amp;W240,"")</f>
        <v/>
      </c>
      <c r="S240" s="122" t="str">
        <f>IF(O240&gt;0,X240&amp;Language!$E$90&amp;Y240,"")</f>
        <v/>
      </c>
      <c r="T240" s="290">
        <f>IF($H240="",0,Results!$U245)</f>
        <v>0</v>
      </c>
      <c r="U240" s="291">
        <f>IF($I240="",0,Results!$V245)</f>
        <v>0</v>
      </c>
      <c r="V240" s="270" t="str">
        <f t="shared" si="6"/>
        <v/>
      </c>
      <c r="W240" s="291" t="str">
        <f t="shared" si="7"/>
        <v/>
      </c>
      <c r="X240" s="270">
        <f>IF($O240=0,0,IF(Results!$R245="",0,Results!$R245))</f>
        <v>0</v>
      </c>
      <c r="Y240" s="291">
        <f>IF($O240=0,0,IF(Results!$T245="",0,Results!$T245))</f>
        <v>0</v>
      </c>
      <c r="Z240" s="270" t="str">
        <f>IF($O240=0,"",IF($X240&gt;$Y240,Settings!$C$4,IF($X240=$Y240,1,0)))</f>
        <v/>
      </c>
      <c r="AA240" s="291" t="str">
        <f>IF($O240=0,"",IF($X240&lt;$Y240,Settings!$C$4,IF($X240=$Y240,1,0)))</f>
        <v/>
      </c>
    </row>
    <row r="241" spans="5:27" x14ac:dyDescent="0.2">
      <c r="E241" s="266">
        <v>238</v>
      </c>
      <c r="F241" s="171" t="str">
        <f>Planning!$Q244</f>
        <v>Hamburger SV</v>
      </c>
      <c r="G241" s="348" t="str">
        <f>Planning!$S244</f>
        <v>Borussia Dortmund</v>
      </c>
      <c r="H241" s="344" t="str">
        <f>IF(AND(Results!$I246&lt;&gt;"",Results!$K246&lt;&gt;"",Results!$F246&lt;&gt;Results!$H246,$F241&lt;&gt;"",$G241&lt;&gt;""),Results!$I246,"")</f>
        <v/>
      </c>
      <c r="I241" s="343" t="str">
        <f>IF(AND(Results!$I246&lt;&gt;"",Results!$K246&lt;&gt;"",Results!$F246&lt;&gt;Results!$H246,$F241&lt;&gt;"",$G241&lt;&gt;""),Results!$K246,"")</f>
        <v/>
      </c>
      <c r="J241" s="344" t="str">
        <f>IF(AND(Results!$L246&lt;&gt;"",Results!$N246&lt;&gt;"",Results!$F246&lt;&gt;Results!$H246,$F241&lt;&gt;"",$G241&lt;&gt;""),Results!$L246,"")</f>
        <v/>
      </c>
      <c r="K241" s="343" t="str">
        <f>IF(AND(Results!$L246&lt;&gt;"",Results!$N246&lt;&gt;"",Results!$F246&lt;&gt;Results!$H246,$F241&lt;&gt;"",$G241&lt;&gt;""),Results!$N246,"")</f>
        <v/>
      </c>
      <c r="L241" s="344" t="str">
        <f>IF(AND(Results!$O246&lt;&gt;"",Results!$Q246&lt;&gt;"",Results!$F246&lt;&gt;Results!$H246,$F241&lt;&gt;"",$G241&lt;&gt;""),Results!$O246,"")</f>
        <v/>
      </c>
      <c r="M241" s="122" t="str">
        <f>IF(AND(Results!$O246&lt;&gt;"",Results!$Q246&lt;&gt;"",Results!$F246&lt;&gt;Results!$H246,$F241&lt;&gt;"",$G241&lt;&gt;""),Results!$Q246,"")</f>
        <v/>
      </c>
      <c r="N241" s="16" t="str">
        <f>IF(Planning!$I244=0,F241&amp;G241,"")</f>
        <v/>
      </c>
      <c r="O241" s="122">
        <f>IF(AND(Results!$Z$6&gt;0,$E241-1&gt;=Results!$Z$6*Calc!$F$26),0,IF(AND(F241&lt;&gt;"",G241&lt;&gt;"",F241&lt;&gt;G241,Results!$R246&lt;&gt;"",Results!$T246&lt;&gt;""),1,0))</f>
        <v>0</v>
      </c>
      <c r="P241" s="122" t="str">
        <f>IF(AND(O241&gt;0,Planning!$I244=0),V241&amp;Language!$E$90&amp;W241,"")</f>
        <v/>
      </c>
      <c r="Q241" s="2" t="str">
        <f>IF(Planning!$I244=1,F241&amp;G241,"")</f>
        <v>Hamburger SVBorussia Dortmund</v>
      </c>
      <c r="R241" s="88" t="str">
        <f>IF(AND(O241&gt;0,Planning!$I244=1),V241&amp;Language!$E$90&amp;W241,"")</f>
        <v/>
      </c>
      <c r="S241" s="122" t="str">
        <f>IF(O241&gt;0,X241&amp;Language!$E$90&amp;Y241,"")</f>
        <v/>
      </c>
      <c r="T241" s="290">
        <f>IF($H241="",0,Results!$U246)</f>
        <v>0</v>
      </c>
      <c r="U241" s="291">
        <f>IF($I241="",0,Results!$V246)</f>
        <v>0</v>
      </c>
      <c r="V241" s="270" t="str">
        <f t="shared" si="6"/>
        <v/>
      </c>
      <c r="W241" s="291" t="str">
        <f t="shared" si="7"/>
        <v/>
      </c>
      <c r="X241" s="270">
        <f>IF($O241=0,0,IF(Results!$R246="",0,Results!$R246))</f>
        <v>0</v>
      </c>
      <c r="Y241" s="291">
        <f>IF($O241=0,0,IF(Results!$T246="",0,Results!$T246))</f>
        <v>0</v>
      </c>
      <c r="Z241" s="270" t="str">
        <f>IF($O241=0,"",IF($X241&gt;$Y241,Settings!$C$4,IF($X241=$Y241,1,0)))</f>
        <v/>
      </c>
      <c r="AA241" s="291" t="str">
        <f>IF($O241=0,"",IF($X241&lt;$Y241,Settings!$C$4,IF($X241=$Y241,1,0)))</f>
        <v/>
      </c>
    </row>
    <row r="242" spans="5:27" x14ac:dyDescent="0.2">
      <c r="E242" s="266">
        <v>239</v>
      </c>
      <c r="F242" s="171" t="str">
        <f>Planning!$Q245</f>
        <v>Bayer 04 Leverkusen</v>
      </c>
      <c r="G242" s="348" t="str">
        <f>Planning!$S245</f>
        <v>RB Leipzig</v>
      </c>
      <c r="H242" s="344" t="str">
        <f>IF(AND(Results!$I247&lt;&gt;"",Results!$K247&lt;&gt;"",Results!$F247&lt;&gt;Results!$H247,$F242&lt;&gt;"",$G242&lt;&gt;""),Results!$I247,"")</f>
        <v/>
      </c>
      <c r="I242" s="343" t="str">
        <f>IF(AND(Results!$I247&lt;&gt;"",Results!$K247&lt;&gt;"",Results!$F247&lt;&gt;Results!$H247,$F242&lt;&gt;"",$G242&lt;&gt;""),Results!$K247,"")</f>
        <v/>
      </c>
      <c r="J242" s="344" t="str">
        <f>IF(AND(Results!$L247&lt;&gt;"",Results!$N247&lt;&gt;"",Results!$F247&lt;&gt;Results!$H247,$F242&lt;&gt;"",$G242&lt;&gt;""),Results!$L247,"")</f>
        <v/>
      </c>
      <c r="K242" s="343" t="str">
        <f>IF(AND(Results!$L247&lt;&gt;"",Results!$N247&lt;&gt;"",Results!$F247&lt;&gt;Results!$H247,$F242&lt;&gt;"",$G242&lt;&gt;""),Results!$N247,"")</f>
        <v/>
      </c>
      <c r="L242" s="344" t="str">
        <f>IF(AND(Results!$O247&lt;&gt;"",Results!$Q247&lt;&gt;"",Results!$F247&lt;&gt;Results!$H247,$F242&lt;&gt;"",$G242&lt;&gt;""),Results!$O247,"")</f>
        <v/>
      </c>
      <c r="M242" s="122" t="str">
        <f>IF(AND(Results!$O247&lt;&gt;"",Results!$Q247&lt;&gt;"",Results!$F247&lt;&gt;Results!$H247,$F242&lt;&gt;"",$G242&lt;&gt;""),Results!$Q247,"")</f>
        <v/>
      </c>
      <c r="N242" s="16" t="str">
        <f>IF(Planning!$I245=0,F242&amp;G242,"")</f>
        <v/>
      </c>
      <c r="O242" s="122">
        <f>IF(AND(Results!$Z$6&gt;0,$E242-1&gt;=Results!$Z$6*Calc!$F$26),0,IF(AND(F242&lt;&gt;"",G242&lt;&gt;"",F242&lt;&gt;G242,Results!$R247&lt;&gt;"",Results!$T247&lt;&gt;""),1,0))</f>
        <v>0</v>
      </c>
      <c r="P242" s="122" t="str">
        <f>IF(AND(O242&gt;0,Planning!$I245=0),V242&amp;Language!$E$90&amp;W242,"")</f>
        <v/>
      </c>
      <c r="Q242" s="2" t="str">
        <f>IF(Planning!$I245=1,F242&amp;G242,"")</f>
        <v>Bayer 04 LeverkusenRB Leipzig</v>
      </c>
      <c r="R242" s="88" t="str">
        <f>IF(AND(O242&gt;0,Planning!$I245=1),V242&amp;Language!$E$90&amp;W242,"")</f>
        <v/>
      </c>
      <c r="S242" s="122" t="str">
        <f>IF(O242&gt;0,X242&amp;Language!$E$90&amp;Y242,"")</f>
        <v/>
      </c>
      <c r="T242" s="290">
        <f>IF($H242="",0,Results!$U247)</f>
        <v>0</v>
      </c>
      <c r="U242" s="291">
        <f>IF($I242="",0,Results!$V247)</f>
        <v>0</v>
      </c>
      <c r="V242" s="270" t="str">
        <f t="shared" si="6"/>
        <v/>
      </c>
      <c r="W242" s="291" t="str">
        <f t="shared" si="7"/>
        <v/>
      </c>
      <c r="X242" s="270">
        <f>IF($O242=0,0,IF(Results!$R247="",0,Results!$R247))</f>
        <v>0</v>
      </c>
      <c r="Y242" s="291">
        <f>IF($O242=0,0,IF(Results!$T247="",0,Results!$T247))</f>
        <v>0</v>
      </c>
      <c r="Z242" s="270" t="str">
        <f>IF($O242=0,"",IF($X242&gt;$Y242,Settings!$C$4,IF($X242=$Y242,1,0)))</f>
        <v/>
      </c>
      <c r="AA242" s="291" t="str">
        <f>IF($O242=0,"",IF($X242&lt;$Y242,Settings!$C$4,IF($X242=$Y242,1,0)))</f>
        <v/>
      </c>
    </row>
    <row r="243" spans="5:27" x14ac:dyDescent="0.2">
      <c r="E243" s="266">
        <v>240</v>
      </c>
      <c r="F243" s="171" t="str">
        <f>Planning!$Q246</f>
        <v>SC Freiburg</v>
      </c>
      <c r="G243" s="348" t="str">
        <f>Planning!$S246</f>
        <v>1. FSV Mainz 05</v>
      </c>
      <c r="H243" s="344" t="str">
        <f>IF(AND(Results!$I248&lt;&gt;"",Results!$K248&lt;&gt;"",Results!$F248&lt;&gt;Results!$H248,$F243&lt;&gt;"",$G243&lt;&gt;""),Results!$I248,"")</f>
        <v/>
      </c>
      <c r="I243" s="343" t="str">
        <f>IF(AND(Results!$I248&lt;&gt;"",Results!$K248&lt;&gt;"",Results!$F248&lt;&gt;Results!$H248,$F243&lt;&gt;"",$G243&lt;&gt;""),Results!$K248,"")</f>
        <v/>
      </c>
      <c r="J243" s="344" t="str">
        <f>IF(AND(Results!$L248&lt;&gt;"",Results!$N248&lt;&gt;"",Results!$F248&lt;&gt;Results!$H248,$F243&lt;&gt;"",$G243&lt;&gt;""),Results!$L248,"")</f>
        <v/>
      </c>
      <c r="K243" s="343" t="str">
        <f>IF(AND(Results!$L248&lt;&gt;"",Results!$N248&lt;&gt;"",Results!$F248&lt;&gt;Results!$H248,$F243&lt;&gt;"",$G243&lt;&gt;""),Results!$N248,"")</f>
        <v/>
      </c>
      <c r="L243" s="344" t="str">
        <f>IF(AND(Results!$O248&lt;&gt;"",Results!$Q248&lt;&gt;"",Results!$F248&lt;&gt;Results!$H248,$F243&lt;&gt;"",$G243&lt;&gt;""),Results!$O248,"")</f>
        <v/>
      </c>
      <c r="M243" s="122" t="str">
        <f>IF(AND(Results!$O248&lt;&gt;"",Results!$Q248&lt;&gt;"",Results!$F248&lt;&gt;Results!$H248,$F243&lt;&gt;"",$G243&lt;&gt;""),Results!$Q248,"")</f>
        <v/>
      </c>
      <c r="N243" s="16" t="str">
        <f>IF(Planning!$I246=0,F243&amp;G243,"")</f>
        <v/>
      </c>
      <c r="O243" s="122">
        <f>IF(AND(Results!$Z$6&gt;0,$E243-1&gt;=Results!$Z$6*Calc!$F$26),0,IF(AND(F243&lt;&gt;"",G243&lt;&gt;"",F243&lt;&gt;G243,Results!$R248&lt;&gt;"",Results!$T248&lt;&gt;""),1,0))</f>
        <v>0</v>
      </c>
      <c r="P243" s="122" t="str">
        <f>IF(AND(O243&gt;0,Planning!$I246=0),V243&amp;Language!$E$90&amp;W243,"")</f>
        <v/>
      </c>
      <c r="Q243" s="2" t="str">
        <f>IF(Planning!$I246=1,F243&amp;G243,"")</f>
        <v>SC Freiburg1. FSV Mainz 05</v>
      </c>
      <c r="R243" s="88" t="str">
        <f>IF(AND(O243&gt;0,Planning!$I246=1),V243&amp;Language!$E$90&amp;W243,"")</f>
        <v/>
      </c>
      <c r="S243" s="122" t="str">
        <f>IF(O243&gt;0,X243&amp;Language!$E$90&amp;Y243,"")</f>
        <v/>
      </c>
      <c r="T243" s="290">
        <f>IF($H243="",0,Results!$U248)</f>
        <v>0</v>
      </c>
      <c r="U243" s="291">
        <f>IF($I243="",0,Results!$V248)</f>
        <v>0</v>
      </c>
      <c r="V243" s="270" t="str">
        <f t="shared" si="6"/>
        <v/>
      </c>
      <c r="W243" s="291" t="str">
        <f t="shared" si="7"/>
        <v/>
      </c>
      <c r="X243" s="270">
        <f>IF($O243=0,0,IF(Results!$R248="",0,Results!$R248))</f>
        <v>0</v>
      </c>
      <c r="Y243" s="291">
        <f>IF($O243=0,0,IF(Results!$T248="",0,Results!$T248))</f>
        <v>0</v>
      </c>
      <c r="Z243" s="270" t="str">
        <f>IF($O243=0,"",IF($X243&gt;$Y243,Settings!$C$4,IF($X243=$Y243,1,0)))</f>
        <v/>
      </c>
      <c r="AA243" s="291" t="str">
        <f>IF($O243=0,"",IF($X243&lt;$Y243,Settings!$C$4,IF($X243=$Y243,1,0)))</f>
        <v/>
      </c>
    </row>
    <row r="244" spans="5:27" x14ac:dyDescent="0.2">
      <c r="E244" s="266">
        <v>241</v>
      </c>
      <c r="F244" s="171" t="str">
        <f>Planning!$Q247</f>
        <v>1. FC Union Berlin</v>
      </c>
      <c r="G244" s="348" t="str">
        <f>Planning!$S247</f>
        <v>SV Werder Bremen</v>
      </c>
      <c r="H244" s="344" t="str">
        <f>IF(AND(Results!$I249&lt;&gt;"",Results!$K249&lt;&gt;"",Results!$F249&lt;&gt;Results!$H249,$F244&lt;&gt;"",$G244&lt;&gt;""),Results!$I249,"")</f>
        <v/>
      </c>
      <c r="I244" s="343" t="str">
        <f>IF(AND(Results!$I249&lt;&gt;"",Results!$K249&lt;&gt;"",Results!$F249&lt;&gt;Results!$H249,$F244&lt;&gt;"",$G244&lt;&gt;""),Results!$K249,"")</f>
        <v/>
      </c>
      <c r="J244" s="344" t="str">
        <f>IF(AND(Results!$L249&lt;&gt;"",Results!$N249&lt;&gt;"",Results!$F249&lt;&gt;Results!$H249,$F244&lt;&gt;"",$G244&lt;&gt;""),Results!$L249,"")</f>
        <v/>
      </c>
      <c r="K244" s="343" t="str">
        <f>IF(AND(Results!$L249&lt;&gt;"",Results!$N249&lt;&gt;"",Results!$F249&lt;&gt;Results!$H249,$F244&lt;&gt;"",$G244&lt;&gt;""),Results!$N249,"")</f>
        <v/>
      </c>
      <c r="L244" s="344" t="str">
        <f>IF(AND(Results!$O249&lt;&gt;"",Results!$Q249&lt;&gt;"",Results!$F249&lt;&gt;Results!$H249,$F244&lt;&gt;"",$G244&lt;&gt;""),Results!$O249,"")</f>
        <v/>
      </c>
      <c r="M244" s="122" t="str">
        <f>IF(AND(Results!$O249&lt;&gt;"",Results!$Q249&lt;&gt;"",Results!$F249&lt;&gt;Results!$H249,$F244&lt;&gt;"",$G244&lt;&gt;""),Results!$Q249,"")</f>
        <v/>
      </c>
      <c r="N244" s="16" t="str">
        <f>IF(Planning!$I247=0,F244&amp;G244,"")</f>
        <v/>
      </c>
      <c r="O244" s="122">
        <f>IF(AND(Results!$Z$6&gt;0,$E244-1&gt;=Results!$Z$6*Calc!$F$26),0,IF(AND(F244&lt;&gt;"",G244&lt;&gt;"",F244&lt;&gt;G244,Results!$R249&lt;&gt;"",Results!$T249&lt;&gt;""),1,0))</f>
        <v>0</v>
      </c>
      <c r="P244" s="122" t="str">
        <f>IF(AND(O244&gt;0,Planning!$I247=0),V244&amp;Language!$E$90&amp;W244,"")</f>
        <v/>
      </c>
      <c r="Q244" s="2" t="str">
        <f>IF(Planning!$I247=1,F244&amp;G244,"")</f>
        <v>1. FC Union BerlinSV Werder Bremen</v>
      </c>
      <c r="R244" s="88" t="str">
        <f>IF(AND(O244&gt;0,Planning!$I247=1),V244&amp;Language!$E$90&amp;W244,"")</f>
        <v/>
      </c>
      <c r="S244" s="122" t="str">
        <f>IF(O244&gt;0,X244&amp;Language!$E$90&amp;Y244,"")</f>
        <v/>
      </c>
      <c r="T244" s="290">
        <f>IF($H244="",0,Results!$U249)</f>
        <v>0</v>
      </c>
      <c r="U244" s="291">
        <f>IF($I244="",0,Results!$V249)</f>
        <v>0</v>
      </c>
      <c r="V244" s="270" t="str">
        <f t="shared" si="6"/>
        <v/>
      </c>
      <c r="W244" s="291" t="str">
        <f t="shared" si="7"/>
        <v/>
      </c>
      <c r="X244" s="270">
        <f>IF($O244=0,0,IF(Results!$R249="",0,Results!$R249))</f>
        <v>0</v>
      </c>
      <c r="Y244" s="291">
        <f>IF($O244=0,0,IF(Results!$T249="",0,Results!$T249))</f>
        <v>0</v>
      </c>
      <c r="Z244" s="270" t="str">
        <f>IF($O244=0,"",IF($X244&gt;$Y244,Settings!$C$4,IF($X244=$Y244,1,0)))</f>
        <v/>
      </c>
      <c r="AA244" s="291" t="str">
        <f>IF($O244=0,"",IF($X244&lt;$Y244,Settings!$C$4,IF($X244=$Y244,1,0)))</f>
        <v/>
      </c>
    </row>
    <row r="245" spans="5:27" x14ac:dyDescent="0.2">
      <c r="E245" s="266">
        <v>242</v>
      </c>
      <c r="F245" s="171" t="str">
        <f>Planning!$Q248</f>
        <v>TSG Hoffenheim</v>
      </c>
      <c r="G245" s="348" t="str">
        <f>Planning!$S248</f>
        <v>1. FC Köln</v>
      </c>
      <c r="H245" s="344" t="str">
        <f>IF(AND(Results!$I250&lt;&gt;"",Results!$K250&lt;&gt;"",Results!$F250&lt;&gt;Results!$H250,$F245&lt;&gt;"",$G245&lt;&gt;""),Results!$I250,"")</f>
        <v/>
      </c>
      <c r="I245" s="343" t="str">
        <f>IF(AND(Results!$I250&lt;&gt;"",Results!$K250&lt;&gt;"",Results!$F250&lt;&gt;Results!$H250,$F245&lt;&gt;"",$G245&lt;&gt;""),Results!$K250,"")</f>
        <v/>
      </c>
      <c r="J245" s="344" t="str">
        <f>IF(AND(Results!$L250&lt;&gt;"",Results!$N250&lt;&gt;"",Results!$F250&lt;&gt;Results!$H250,$F245&lt;&gt;"",$G245&lt;&gt;""),Results!$L250,"")</f>
        <v/>
      </c>
      <c r="K245" s="343" t="str">
        <f>IF(AND(Results!$L250&lt;&gt;"",Results!$N250&lt;&gt;"",Results!$F250&lt;&gt;Results!$H250,$F245&lt;&gt;"",$G245&lt;&gt;""),Results!$N250,"")</f>
        <v/>
      </c>
      <c r="L245" s="344" t="str">
        <f>IF(AND(Results!$O250&lt;&gt;"",Results!$Q250&lt;&gt;"",Results!$F250&lt;&gt;Results!$H250,$F245&lt;&gt;"",$G245&lt;&gt;""),Results!$O250,"")</f>
        <v/>
      </c>
      <c r="M245" s="122" t="str">
        <f>IF(AND(Results!$O250&lt;&gt;"",Results!$Q250&lt;&gt;"",Results!$F250&lt;&gt;Results!$H250,$F245&lt;&gt;"",$G245&lt;&gt;""),Results!$Q250,"")</f>
        <v/>
      </c>
      <c r="N245" s="16" t="str">
        <f>IF(Planning!$I248=0,F245&amp;G245,"")</f>
        <v/>
      </c>
      <c r="O245" s="122">
        <f>IF(AND(Results!$Z$6&gt;0,$E245-1&gt;=Results!$Z$6*Calc!$F$26),0,IF(AND(F245&lt;&gt;"",G245&lt;&gt;"",F245&lt;&gt;G245,Results!$R250&lt;&gt;"",Results!$T250&lt;&gt;""),1,0))</f>
        <v>0</v>
      </c>
      <c r="P245" s="122" t="str">
        <f>IF(AND(O245&gt;0,Planning!$I248=0),V245&amp;Language!$E$90&amp;W245,"")</f>
        <v/>
      </c>
      <c r="Q245" s="2" t="str">
        <f>IF(Planning!$I248=1,F245&amp;G245,"")</f>
        <v>TSG Hoffenheim1. FC Köln</v>
      </c>
      <c r="R245" s="88" t="str">
        <f>IF(AND(O245&gt;0,Planning!$I248=1),V245&amp;Language!$E$90&amp;W245,"")</f>
        <v/>
      </c>
      <c r="S245" s="122" t="str">
        <f>IF(O245&gt;0,X245&amp;Language!$E$90&amp;Y245,"")</f>
        <v/>
      </c>
      <c r="T245" s="290">
        <f>IF($H245="",0,Results!$U250)</f>
        <v>0</v>
      </c>
      <c r="U245" s="291">
        <f>IF($I245="",0,Results!$V250)</f>
        <v>0</v>
      </c>
      <c r="V245" s="270" t="str">
        <f t="shared" si="6"/>
        <v/>
      </c>
      <c r="W245" s="291" t="str">
        <f t="shared" si="7"/>
        <v/>
      </c>
      <c r="X245" s="270">
        <f>IF($O245=0,0,IF(Results!$R250="",0,Results!$R250))</f>
        <v>0</v>
      </c>
      <c r="Y245" s="291">
        <f>IF($O245=0,0,IF(Results!$T250="",0,Results!$T250))</f>
        <v>0</v>
      </c>
      <c r="Z245" s="270" t="str">
        <f>IF($O245=0,"",IF($X245&gt;$Y245,Settings!$C$4,IF($X245=$Y245,1,0)))</f>
        <v/>
      </c>
      <c r="AA245" s="291" t="str">
        <f>IF($O245=0,"",IF($X245&lt;$Y245,Settings!$C$4,IF($X245=$Y245,1,0)))</f>
        <v/>
      </c>
    </row>
    <row r="246" spans="5:27" x14ac:dyDescent="0.2">
      <c r="E246" s="266">
        <v>243</v>
      </c>
      <c r="F246" s="171" t="str">
        <f>Planning!$Q249</f>
        <v>VfL Wolfsburg</v>
      </c>
      <c r="G246" s="348" t="str">
        <f>Planning!$S249</f>
        <v>VfB Stuttgart</v>
      </c>
      <c r="H246" s="344" t="str">
        <f>IF(AND(Results!$I251&lt;&gt;"",Results!$K251&lt;&gt;"",Results!$F251&lt;&gt;Results!$H251,$F246&lt;&gt;"",$G246&lt;&gt;""),Results!$I251,"")</f>
        <v/>
      </c>
      <c r="I246" s="343" t="str">
        <f>IF(AND(Results!$I251&lt;&gt;"",Results!$K251&lt;&gt;"",Results!$F251&lt;&gt;Results!$H251,$F246&lt;&gt;"",$G246&lt;&gt;""),Results!$K251,"")</f>
        <v/>
      </c>
      <c r="J246" s="344" t="str">
        <f>IF(AND(Results!$L251&lt;&gt;"",Results!$N251&lt;&gt;"",Results!$F251&lt;&gt;Results!$H251,$F246&lt;&gt;"",$G246&lt;&gt;""),Results!$L251,"")</f>
        <v/>
      </c>
      <c r="K246" s="343" t="str">
        <f>IF(AND(Results!$L251&lt;&gt;"",Results!$N251&lt;&gt;"",Results!$F251&lt;&gt;Results!$H251,$F246&lt;&gt;"",$G246&lt;&gt;""),Results!$N251,"")</f>
        <v/>
      </c>
      <c r="L246" s="344" t="str">
        <f>IF(AND(Results!$O251&lt;&gt;"",Results!$Q251&lt;&gt;"",Results!$F251&lt;&gt;Results!$H251,$F246&lt;&gt;"",$G246&lt;&gt;""),Results!$O251,"")</f>
        <v/>
      </c>
      <c r="M246" s="122" t="str">
        <f>IF(AND(Results!$O251&lt;&gt;"",Results!$Q251&lt;&gt;"",Results!$F251&lt;&gt;Results!$H251,$F246&lt;&gt;"",$G246&lt;&gt;""),Results!$Q251,"")</f>
        <v/>
      </c>
      <c r="N246" s="16" t="str">
        <f>IF(Planning!$I249=0,F246&amp;G246,"")</f>
        <v/>
      </c>
      <c r="O246" s="122">
        <f>IF(AND(Results!$Z$6&gt;0,$E246-1&gt;=Results!$Z$6*Calc!$F$26),0,IF(AND(F246&lt;&gt;"",G246&lt;&gt;"",F246&lt;&gt;G246,Results!$R251&lt;&gt;"",Results!$T251&lt;&gt;""),1,0))</f>
        <v>0</v>
      </c>
      <c r="P246" s="122" t="str">
        <f>IF(AND(O246&gt;0,Planning!$I249=0),V246&amp;Language!$E$90&amp;W246,"")</f>
        <v/>
      </c>
      <c r="Q246" s="2" t="str">
        <f>IF(Planning!$I249=1,F246&amp;G246,"")</f>
        <v>VfL WolfsburgVfB Stuttgart</v>
      </c>
      <c r="R246" s="88" t="str">
        <f>IF(AND(O246&gt;0,Planning!$I249=1),V246&amp;Language!$E$90&amp;W246,"")</f>
        <v/>
      </c>
      <c r="S246" s="122" t="str">
        <f>IF(O246&gt;0,X246&amp;Language!$E$90&amp;Y246,"")</f>
        <v/>
      </c>
      <c r="T246" s="290">
        <f>IF($H246="",0,Results!$U251)</f>
        <v>0</v>
      </c>
      <c r="U246" s="291">
        <f>IF($I246="",0,Results!$V251)</f>
        <v>0</v>
      </c>
      <c r="V246" s="270" t="str">
        <f t="shared" si="6"/>
        <v/>
      </c>
      <c r="W246" s="291" t="str">
        <f t="shared" si="7"/>
        <v/>
      </c>
      <c r="X246" s="270">
        <f>IF($O246=0,0,IF(Results!$R251="",0,Results!$R251))</f>
        <v>0</v>
      </c>
      <c r="Y246" s="291">
        <f>IF($O246=0,0,IF(Results!$T251="",0,Results!$T251))</f>
        <v>0</v>
      </c>
      <c r="Z246" s="270" t="str">
        <f>IF($O246=0,"",IF($X246&gt;$Y246,Settings!$C$4,IF($X246=$Y246,1,0)))</f>
        <v/>
      </c>
      <c r="AA246" s="291" t="str">
        <f>IF($O246=0,"",IF($X246&lt;$Y246,Settings!$C$4,IF($X246=$Y246,1,0)))</f>
        <v/>
      </c>
    </row>
    <row r="247" spans="5:27" x14ac:dyDescent="0.2">
      <c r="E247" s="266">
        <v>244</v>
      </c>
      <c r="F247" s="171" t="str">
        <f>Planning!$Q250</f>
        <v>Eintracht Frankfurt</v>
      </c>
      <c r="G247" s="348" t="str">
        <f>Planning!$S250</f>
        <v>1. FC Heidenheim 1846</v>
      </c>
      <c r="H247" s="344" t="str">
        <f>IF(AND(Results!$I252&lt;&gt;"",Results!$K252&lt;&gt;"",Results!$F252&lt;&gt;Results!$H252,$F247&lt;&gt;"",$G247&lt;&gt;""),Results!$I252,"")</f>
        <v/>
      </c>
      <c r="I247" s="343" t="str">
        <f>IF(AND(Results!$I252&lt;&gt;"",Results!$K252&lt;&gt;"",Results!$F252&lt;&gt;Results!$H252,$F247&lt;&gt;"",$G247&lt;&gt;""),Results!$K252,"")</f>
        <v/>
      </c>
      <c r="J247" s="344" t="str">
        <f>IF(AND(Results!$L252&lt;&gt;"",Results!$N252&lt;&gt;"",Results!$F252&lt;&gt;Results!$H252,$F247&lt;&gt;"",$G247&lt;&gt;""),Results!$L252,"")</f>
        <v/>
      </c>
      <c r="K247" s="343" t="str">
        <f>IF(AND(Results!$L252&lt;&gt;"",Results!$N252&lt;&gt;"",Results!$F252&lt;&gt;Results!$H252,$F247&lt;&gt;"",$G247&lt;&gt;""),Results!$N252,"")</f>
        <v/>
      </c>
      <c r="L247" s="344" t="str">
        <f>IF(AND(Results!$O252&lt;&gt;"",Results!$Q252&lt;&gt;"",Results!$F252&lt;&gt;Results!$H252,$F247&lt;&gt;"",$G247&lt;&gt;""),Results!$O252,"")</f>
        <v/>
      </c>
      <c r="M247" s="122" t="str">
        <f>IF(AND(Results!$O252&lt;&gt;"",Results!$Q252&lt;&gt;"",Results!$F252&lt;&gt;Results!$H252,$F247&lt;&gt;"",$G247&lt;&gt;""),Results!$Q252,"")</f>
        <v/>
      </c>
      <c r="N247" s="16" t="str">
        <f>IF(Planning!$I250=0,F247&amp;G247,"")</f>
        <v/>
      </c>
      <c r="O247" s="122">
        <f>IF(AND(Results!$Z$6&gt;0,$E247-1&gt;=Results!$Z$6*Calc!$F$26),0,IF(AND(F247&lt;&gt;"",G247&lt;&gt;"",F247&lt;&gt;G247,Results!$R252&lt;&gt;"",Results!$T252&lt;&gt;""),1,0))</f>
        <v>0</v>
      </c>
      <c r="P247" s="122" t="str">
        <f>IF(AND(O247&gt;0,Planning!$I250=0),V247&amp;Language!$E$90&amp;W247,"")</f>
        <v/>
      </c>
      <c r="Q247" s="2" t="str">
        <f>IF(Planning!$I250=1,F247&amp;G247,"")</f>
        <v>Eintracht Frankfurt1. FC Heidenheim 1846</v>
      </c>
      <c r="R247" s="88" t="str">
        <f>IF(AND(O247&gt;0,Planning!$I250=1),V247&amp;Language!$E$90&amp;W247,"")</f>
        <v/>
      </c>
      <c r="S247" s="122" t="str">
        <f>IF(O247&gt;0,X247&amp;Language!$E$90&amp;Y247,"")</f>
        <v/>
      </c>
      <c r="T247" s="290">
        <f>IF($H247="",0,Results!$U252)</f>
        <v>0</v>
      </c>
      <c r="U247" s="291">
        <f>IF($I247="",0,Results!$V252)</f>
        <v>0</v>
      </c>
      <c r="V247" s="270" t="str">
        <f t="shared" si="6"/>
        <v/>
      </c>
      <c r="W247" s="291" t="str">
        <f t="shared" si="7"/>
        <v/>
      </c>
      <c r="X247" s="270">
        <f>IF($O247=0,0,IF(Results!$R252="",0,Results!$R252))</f>
        <v>0</v>
      </c>
      <c r="Y247" s="291">
        <f>IF($O247=0,0,IF(Results!$T252="",0,Results!$T252))</f>
        <v>0</v>
      </c>
      <c r="Z247" s="270" t="str">
        <f>IF($O247=0,"",IF($X247&gt;$Y247,Settings!$C$4,IF($X247=$Y247,1,0)))</f>
        <v/>
      </c>
      <c r="AA247" s="291" t="str">
        <f>IF($O247=0,"",IF($X247&lt;$Y247,Settings!$C$4,IF($X247=$Y247,1,0)))</f>
        <v/>
      </c>
    </row>
    <row r="248" spans="5:27" x14ac:dyDescent="0.2">
      <c r="E248" s="266">
        <v>245</v>
      </c>
      <c r="F248" s="171" t="str">
        <f>Planning!$Q251</f>
        <v>FC Augsburg</v>
      </c>
      <c r="G248" s="348" t="str">
        <f>Planning!$S251</f>
        <v>Borussia Mönchengladbach</v>
      </c>
      <c r="H248" s="344" t="str">
        <f>IF(AND(Results!$I253&lt;&gt;"",Results!$K253&lt;&gt;"",Results!$F253&lt;&gt;Results!$H253,$F248&lt;&gt;"",$G248&lt;&gt;""),Results!$I253,"")</f>
        <v/>
      </c>
      <c r="I248" s="343" t="str">
        <f>IF(AND(Results!$I253&lt;&gt;"",Results!$K253&lt;&gt;"",Results!$F253&lt;&gt;Results!$H253,$F248&lt;&gt;"",$G248&lt;&gt;""),Results!$K253,"")</f>
        <v/>
      </c>
      <c r="J248" s="344" t="str">
        <f>IF(AND(Results!$L253&lt;&gt;"",Results!$N253&lt;&gt;"",Results!$F253&lt;&gt;Results!$H253,$F248&lt;&gt;"",$G248&lt;&gt;""),Results!$L253,"")</f>
        <v/>
      </c>
      <c r="K248" s="343" t="str">
        <f>IF(AND(Results!$L253&lt;&gt;"",Results!$N253&lt;&gt;"",Results!$F253&lt;&gt;Results!$H253,$F248&lt;&gt;"",$G248&lt;&gt;""),Results!$N253,"")</f>
        <v/>
      </c>
      <c r="L248" s="344" t="str">
        <f>IF(AND(Results!$O253&lt;&gt;"",Results!$Q253&lt;&gt;"",Results!$F253&lt;&gt;Results!$H253,$F248&lt;&gt;"",$G248&lt;&gt;""),Results!$O253,"")</f>
        <v/>
      </c>
      <c r="M248" s="122" t="str">
        <f>IF(AND(Results!$O253&lt;&gt;"",Results!$Q253&lt;&gt;"",Results!$F253&lt;&gt;Results!$H253,$F248&lt;&gt;"",$G248&lt;&gt;""),Results!$Q253,"")</f>
        <v/>
      </c>
      <c r="N248" s="16" t="str">
        <f>IF(Planning!$I251=0,F248&amp;G248,"")</f>
        <v/>
      </c>
      <c r="O248" s="122">
        <f>IF(AND(Results!$Z$6&gt;0,$E248-1&gt;=Results!$Z$6*Calc!$F$26),0,IF(AND(F248&lt;&gt;"",G248&lt;&gt;"",F248&lt;&gt;G248,Results!$R253&lt;&gt;"",Results!$T253&lt;&gt;""),1,0))</f>
        <v>0</v>
      </c>
      <c r="P248" s="122" t="str">
        <f>IF(AND(O248&gt;0,Planning!$I251=0),V248&amp;Language!$E$90&amp;W248,"")</f>
        <v/>
      </c>
      <c r="Q248" s="2" t="str">
        <f>IF(Planning!$I251=1,F248&amp;G248,"")</f>
        <v>FC AugsburgBorussia Mönchengladbach</v>
      </c>
      <c r="R248" s="88" t="str">
        <f>IF(AND(O248&gt;0,Planning!$I251=1),V248&amp;Language!$E$90&amp;W248,"")</f>
        <v/>
      </c>
      <c r="S248" s="122" t="str">
        <f>IF(O248&gt;0,X248&amp;Language!$E$90&amp;Y248,"")</f>
        <v/>
      </c>
      <c r="T248" s="290">
        <f>IF($H248="",0,Results!$U253)</f>
        <v>0</v>
      </c>
      <c r="U248" s="291">
        <f>IF($I248="",0,Results!$V253)</f>
        <v>0</v>
      </c>
      <c r="V248" s="270" t="str">
        <f t="shared" si="6"/>
        <v/>
      </c>
      <c r="W248" s="291" t="str">
        <f t="shared" si="7"/>
        <v/>
      </c>
      <c r="X248" s="270">
        <f>IF($O248=0,0,IF(Results!$R253="",0,Results!$R253))</f>
        <v>0</v>
      </c>
      <c r="Y248" s="291">
        <f>IF($O248=0,0,IF(Results!$T253="",0,Results!$T253))</f>
        <v>0</v>
      </c>
      <c r="Z248" s="270" t="str">
        <f>IF($O248=0,"",IF($X248&gt;$Y248,Settings!$C$4,IF($X248=$Y248,1,0)))</f>
        <v/>
      </c>
      <c r="AA248" s="291" t="str">
        <f>IF($O248=0,"",IF($X248&lt;$Y248,Settings!$C$4,IF($X248=$Y248,1,0)))</f>
        <v/>
      </c>
    </row>
    <row r="249" spans="5:27" x14ac:dyDescent="0.2">
      <c r="E249" s="266">
        <v>246</v>
      </c>
      <c r="F249" s="171" t="str">
        <f>Planning!$Q252</f>
        <v>Borussia Dortmund</v>
      </c>
      <c r="G249" s="348" t="str">
        <f>Planning!$S252</f>
        <v>FC Bayern München</v>
      </c>
      <c r="H249" s="344" t="str">
        <f>IF(AND(Results!$I254&lt;&gt;"",Results!$K254&lt;&gt;"",Results!$F254&lt;&gt;Results!$H254,$F249&lt;&gt;"",$G249&lt;&gt;""),Results!$I254,"")</f>
        <v/>
      </c>
      <c r="I249" s="343" t="str">
        <f>IF(AND(Results!$I254&lt;&gt;"",Results!$K254&lt;&gt;"",Results!$F254&lt;&gt;Results!$H254,$F249&lt;&gt;"",$G249&lt;&gt;""),Results!$K254,"")</f>
        <v/>
      </c>
      <c r="J249" s="344" t="str">
        <f>IF(AND(Results!$L254&lt;&gt;"",Results!$N254&lt;&gt;"",Results!$F254&lt;&gt;Results!$H254,$F249&lt;&gt;"",$G249&lt;&gt;""),Results!$L254,"")</f>
        <v/>
      </c>
      <c r="K249" s="343" t="str">
        <f>IF(AND(Results!$L254&lt;&gt;"",Results!$N254&lt;&gt;"",Results!$F254&lt;&gt;Results!$H254,$F249&lt;&gt;"",$G249&lt;&gt;""),Results!$N254,"")</f>
        <v/>
      </c>
      <c r="L249" s="344" t="str">
        <f>IF(AND(Results!$O254&lt;&gt;"",Results!$Q254&lt;&gt;"",Results!$F254&lt;&gt;Results!$H254,$F249&lt;&gt;"",$G249&lt;&gt;""),Results!$O254,"")</f>
        <v/>
      </c>
      <c r="M249" s="122" t="str">
        <f>IF(AND(Results!$O254&lt;&gt;"",Results!$Q254&lt;&gt;"",Results!$F254&lt;&gt;Results!$H254,$F249&lt;&gt;"",$G249&lt;&gt;""),Results!$Q254,"")</f>
        <v/>
      </c>
      <c r="N249" s="16" t="str">
        <f>IF(Planning!$I252=0,F249&amp;G249,"")</f>
        <v/>
      </c>
      <c r="O249" s="122">
        <f>IF(AND(Results!$Z$6&gt;0,$E249-1&gt;=Results!$Z$6*Calc!$F$26),0,IF(AND(F249&lt;&gt;"",G249&lt;&gt;"",F249&lt;&gt;G249,Results!$R254&lt;&gt;"",Results!$T254&lt;&gt;""),1,0))</f>
        <v>0</v>
      </c>
      <c r="P249" s="122" t="str">
        <f>IF(AND(O249&gt;0,Planning!$I252=0),V249&amp;Language!$E$90&amp;W249,"")</f>
        <v/>
      </c>
      <c r="Q249" s="2" t="str">
        <f>IF(Planning!$I252=1,F249&amp;G249,"")</f>
        <v>Borussia DortmundFC Bayern München</v>
      </c>
      <c r="R249" s="88" t="str">
        <f>IF(AND(O249&gt;0,Planning!$I252=1),V249&amp;Language!$E$90&amp;W249,"")</f>
        <v/>
      </c>
      <c r="S249" s="122" t="str">
        <f>IF(O249&gt;0,X249&amp;Language!$E$90&amp;Y249,"")</f>
        <v/>
      </c>
      <c r="T249" s="290">
        <f>IF($H249="",0,Results!$U254)</f>
        <v>0</v>
      </c>
      <c r="U249" s="291">
        <f>IF($I249="",0,Results!$V254)</f>
        <v>0</v>
      </c>
      <c r="V249" s="270" t="str">
        <f t="shared" si="6"/>
        <v/>
      </c>
      <c r="W249" s="291" t="str">
        <f t="shared" si="7"/>
        <v/>
      </c>
      <c r="X249" s="270">
        <f>IF($O249=0,0,IF(Results!$R254="",0,Results!$R254))</f>
        <v>0</v>
      </c>
      <c r="Y249" s="291">
        <f>IF($O249=0,0,IF(Results!$T254="",0,Results!$T254))</f>
        <v>0</v>
      </c>
      <c r="Z249" s="270" t="str">
        <f>IF($O249=0,"",IF($X249&gt;$Y249,Settings!$C$4,IF($X249=$Y249,1,0)))</f>
        <v/>
      </c>
      <c r="AA249" s="291" t="str">
        <f>IF($O249=0,"",IF($X249&lt;$Y249,Settings!$C$4,IF($X249=$Y249,1,0)))</f>
        <v/>
      </c>
    </row>
    <row r="250" spans="5:27" x14ac:dyDescent="0.2">
      <c r="E250" s="266">
        <v>247</v>
      </c>
      <c r="F250" s="171" t="str">
        <f>Planning!$Q253</f>
        <v>FC St. Pauli</v>
      </c>
      <c r="G250" s="348" t="str">
        <f>Planning!$S253</f>
        <v>Bayer 04 Leverkusen</v>
      </c>
      <c r="H250" s="344" t="str">
        <f>IF(AND(Results!$I255&lt;&gt;"",Results!$K255&lt;&gt;"",Results!$F255&lt;&gt;Results!$H255,$F250&lt;&gt;"",$G250&lt;&gt;""),Results!$I255,"")</f>
        <v/>
      </c>
      <c r="I250" s="343" t="str">
        <f>IF(AND(Results!$I255&lt;&gt;"",Results!$K255&lt;&gt;"",Results!$F255&lt;&gt;Results!$H255,$F250&lt;&gt;"",$G250&lt;&gt;""),Results!$K255,"")</f>
        <v/>
      </c>
      <c r="J250" s="344" t="str">
        <f>IF(AND(Results!$L255&lt;&gt;"",Results!$N255&lt;&gt;"",Results!$F255&lt;&gt;Results!$H255,$F250&lt;&gt;"",$G250&lt;&gt;""),Results!$L255,"")</f>
        <v/>
      </c>
      <c r="K250" s="343" t="str">
        <f>IF(AND(Results!$L255&lt;&gt;"",Results!$N255&lt;&gt;"",Results!$F255&lt;&gt;Results!$H255,$F250&lt;&gt;"",$G250&lt;&gt;""),Results!$N255,"")</f>
        <v/>
      </c>
      <c r="L250" s="344" t="str">
        <f>IF(AND(Results!$O255&lt;&gt;"",Results!$Q255&lt;&gt;"",Results!$F255&lt;&gt;Results!$H255,$F250&lt;&gt;"",$G250&lt;&gt;""),Results!$O255,"")</f>
        <v/>
      </c>
      <c r="M250" s="122" t="str">
        <f>IF(AND(Results!$O255&lt;&gt;"",Results!$Q255&lt;&gt;"",Results!$F255&lt;&gt;Results!$H255,$F250&lt;&gt;"",$G250&lt;&gt;""),Results!$Q255,"")</f>
        <v/>
      </c>
      <c r="N250" s="16" t="str">
        <f>IF(Planning!$I253=0,F250&amp;G250,"")</f>
        <v/>
      </c>
      <c r="O250" s="122">
        <f>IF(AND(Results!$Z$6&gt;0,$E250-1&gt;=Results!$Z$6*Calc!$F$26),0,IF(AND(F250&lt;&gt;"",G250&lt;&gt;"",F250&lt;&gt;G250,Results!$R255&lt;&gt;"",Results!$T255&lt;&gt;""),1,0))</f>
        <v>0</v>
      </c>
      <c r="P250" s="122" t="str">
        <f>IF(AND(O250&gt;0,Planning!$I253=0),V250&amp;Language!$E$90&amp;W250,"")</f>
        <v/>
      </c>
      <c r="Q250" s="2" t="str">
        <f>IF(Planning!$I253=1,F250&amp;G250,"")</f>
        <v>FC St. PauliBayer 04 Leverkusen</v>
      </c>
      <c r="R250" s="88" t="str">
        <f>IF(AND(O250&gt;0,Planning!$I253=1),V250&amp;Language!$E$90&amp;W250,"")</f>
        <v/>
      </c>
      <c r="S250" s="122" t="str">
        <f>IF(O250&gt;0,X250&amp;Language!$E$90&amp;Y250,"")</f>
        <v/>
      </c>
      <c r="T250" s="290">
        <f>IF($H250="",0,Results!$U255)</f>
        <v>0</v>
      </c>
      <c r="U250" s="291">
        <f>IF($I250="",0,Results!$V255)</f>
        <v>0</v>
      </c>
      <c r="V250" s="270" t="str">
        <f t="shared" si="6"/>
        <v/>
      </c>
      <c r="W250" s="291" t="str">
        <f t="shared" si="7"/>
        <v/>
      </c>
      <c r="X250" s="270">
        <f>IF($O250=0,0,IF(Results!$R255="",0,Results!$R255))</f>
        <v>0</v>
      </c>
      <c r="Y250" s="291">
        <f>IF($O250=0,0,IF(Results!$T255="",0,Results!$T255))</f>
        <v>0</v>
      </c>
      <c r="Z250" s="270" t="str">
        <f>IF($O250=0,"",IF($X250&gt;$Y250,Settings!$C$4,IF($X250=$Y250,1,0)))</f>
        <v/>
      </c>
      <c r="AA250" s="291" t="str">
        <f>IF($O250=0,"",IF($X250&lt;$Y250,Settings!$C$4,IF($X250=$Y250,1,0)))</f>
        <v/>
      </c>
    </row>
    <row r="251" spans="5:27" x14ac:dyDescent="0.2">
      <c r="E251" s="266">
        <v>248</v>
      </c>
      <c r="F251" s="171" t="str">
        <f>Planning!$Q254</f>
        <v>1. FSV Mainz 05</v>
      </c>
      <c r="G251" s="348" t="str">
        <f>Planning!$S254</f>
        <v>Hamburger SV</v>
      </c>
      <c r="H251" s="344" t="str">
        <f>IF(AND(Results!$I256&lt;&gt;"",Results!$K256&lt;&gt;"",Results!$F256&lt;&gt;Results!$H256,$F251&lt;&gt;"",$G251&lt;&gt;""),Results!$I256,"")</f>
        <v/>
      </c>
      <c r="I251" s="343" t="str">
        <f>IF(AND(Results!$I256&lt;&gt;"",Results!$K256&lt;&gt;"",Results!$F256&lt;&gt;Results!$H256,$F251&lt;&gt;"",$G251&lt;&gt;""),Results!$K256,"")</f>
        <v/>
      </c>
      <c r="J251" s="344" t="str">
        <f>IF(AND(Results!$L256&lt;&gt;"",Results!$N256&lt;&gt;"",Results!$F256&lt;&gt;Results!$H256,$F251&lt;&gt;"",$G251&lt;&gt;""),Results!$L256,"")</f>
        <v/>
      </c>
      <c r="K251" s="343" t="str">
        <f>IF(AND(Results!$L256&lt;&gt;"",Results!$N256&lt;&gt;"",Results!$F256&lt;&gt;Results!$H256,$F251&lt;&gt;"",$G251&lt;&gt;""),Results!$N256,"")</f>
        <v/>
      </c>
      <c r="L251" s="344" t="str">
        <f>IF(AND(Results!$O256&lt;&gt;"",Results!$Q256&lt;&gt;"",Results!$F256&lt;&gt;Results!$H256,$F251&lt;&gt;"",$G251&lt;&gt;""),Results!$O256,"")</f>
        <v/>
      </c>
      <c r="M251" s="122" t="str">
        <f>IF(AND(Results!$O256&lt;&gt;"",Results!$Q256&lt;&gt;"",Results!$F256&lt;&gt;Results!$H256,$F251&lt;&gt;"",$G251&lt;&gt;""),Results!$Q256,"")</f>
        <v/>
      </c>
      <c r="N251" s="16" t="str">
        <f>IF(Planning!$I254=0,F251&amp;G251,"")</f>
        <v/>
      </c>
      <c r="O251" s="122">
        <f>IF(AND(Results!$Z$6&gt;0,$E251-1&gt;=Results!$Z$6*Calc!$F$26),0,IF(AND(F251&lt;&gt;"",G251&lt;&gt;"",F251&lt;&gt;G251,Results!$R256&lt;&gt;"",Results!$T256&lt;&gt;""),1,0))</f>
        <v>0</v>
      </c>
      <c r="P251" s="122" t="str">
        <f>IF(AND(O251&gt;0,Planning!$I254=0),V251&amp;Language!$E$90&amp;W251,"")</f>
        <v/>
      </c>
      <c r="Q251" s="2" t="str">
        <f>IF(Planning!$I254=1,F251&amp;G251,"")</f>
        <v>1. FSV Mainz 05Hamburger SV</v>
      </c>
      <c r="R251" s="88" t="str">
        <f>IF(AND(O251&gt;0,Planning!$I254=1),V251&amp;Language!$E$90&amp;W251,"")</f>
        <v/>
      </c>
      <c r="S251" s="122" t="str">
        <f>IF(O251&gt;0,X251&amp;Language!$E$90&amp;Y251,"")</f>
        <v/>
      </c>
      <c r="T251" s="290">
        <f>IF($H251="",0,Results!$U256)</f>
        <v>0</v>
      </c>
      <c r="U251" s="291">
        <f>IF($I251="",0,Results!$V256)</f>
        <v>0</v>
      </c>
      <c r="V251" s="270" t="str">
        <f t="shared" si="6"/>
        <v/>
      </c>
      <c r="W251" s="291" t="str">
        <f t="shared" si="7"/>
        <v/>
      </c>
      <c r="X251" s="270">
        <f>IF($O251=0,0,IF(Results!$R256="",0,Results!$R256))</f>
        <v>0</v>
      </c>
      <c r="Y251" s="291">
        <f>IF($O251=0,0,IF(Results!$T256="",0,Results!$T256))</f>
        <v>0</v>
      </c>
      <c r="Z251" s="270" t="str">
        <f>IF($O251=0,"",IF($X251&gt;$Y251,Settings!$C$4,IF($X251=$Y251,1,0)))</f>
        <v/>
      </c>
      <c r="AA251" s="291" t="str">
        <f>IF($O251=0,"",IF($X251&lt;$Y251,Settings!$C$4,IF($X251=$Y251,1,0)))</f>
        <v/>
      </c>
    </row>
    <row r="252" spans="5:27" x14ac:dyDescent="0.2">
      <c r="E252" s="266">
        <v>249</v>
      </c>
      <c r="F252" s="171" t="str">
        <f>Planning!$Q255</f>
        <v>RB Leipzig</v>
      </c>
      <c r="G252" s="348" t="str">
        <f>Planning!$S255</f>
        <v>1. FC Union Berlin</v>
      </c>
      <c r="H252" s="344" t="str">
        <f>IF(AND(Results!$I257&lt;&gt;"",Results!$K257&lt;&gt;"",Results!$F257&lt;&gt;Results!$H257,$F252&lt;&gt;"",$G252&lt;&gt;""),Results!$I257,"")</f>
        <v/>
      </c>
      <c r="I252" s="343" t="str">
        <f>IF(AND(Results!$I257&lt;&gt;"",Results!$K257&lt;&gt;"",Results!$F257&lt;&gt;Results!$H257,$F252&lt;&gt;"",$G252&lt;&gt;""),Results!$K257,"")</f>
        <v/>
      </c>
      <c r="J252" s="344" t="str">
        <f>IF(AND(Results!$L257&lt;&gt;"",Results!$N257&lt;&gt;"",Results!$F257&lt;&gt;Results!$H257,$F252&lt;&gt;"",$G252&lt;&gt;""),Results!$L257,"")</f>
        <v/>
      </c>
      <c r="K252" s="343" t="str">
        <f>IF(AND(Results!$L257&lt;&gt;"",Results!$N257&lt;&gt;"",Results!$F257&lt;&gt;Results!$H257,$F252&lt;&gt;"",$G252&lt;&gt;""),Results!$N257,"")</f>
        <v/>
      </c>
      <c r="L252" s="344" t="str">
        <f>IF(AND(Results!$O257&lt;&gt;"",Results!$Q257&lt;&gt;"",Results!$F257&lt;&gt;Results!$H257,$F252&lt;&gt;"",$G252&lt;&gt;""),Results!$O257,"")</f>
        <v/>
      </c>
      <c r="M252" s="122" t="str">
        <f>IF(AND(Results!$O257&lt;&gt;"",Results!$Q257&lt;&gt;"",Results!$F257&lt;&gt;Results!$H257,$F252&lt;&gt;"",$G252&lt;&gt;""),Results!$Q257,"")</f>
        <v/>
      </c>
      <c r="N252" s="16" t="str">
        <f>IF(Planning!$I255=0,F252&amp;G252,"")</f>
        <v/>
      </c>
      <c r="O252" s="122">
        <f>IF(AND(Results!$Z$6&gt;0,$E252-1&gt;=Results!$Z$6*Calc!$F$26),0,IF(AND(F252&lt;&gt;"",G252&lt;&gt;"",F252&lt;&gt;G252,Results!$R257&lt;&gt;"",Results!$T257&lt;&gt;""),1,0))</f>
        <v>0</v>
      </c>
      <c r="P252" s="122" t="str">
        <f>IF(AND(O252&gt;0,Planning!$I255=0),V252&amp;Language!$E$90&amp;W252,"")</f>
        <v/>
      </c>
      <c r="Q252" s="2" t="str">
        <f>IF(Planning!$I255=1,F252&amp;G252,"")</f>
        <v>RB Leipzig1. FC Union Berlin</v>
      </c>
      <c r="R252" s="88" t="str">
        <f>IF(AND(O252&gt;0,Planning!$I255=1),V252&amp;Language!$E$90&amp;W252,"")</f>
        <v/>
      </c>
      <c r="S252" s="122" t="str">
        <f>IF(O252&gt;0,X252&amp;Language!$E$90&amp;Y252,"")</f>
        <v/>
      </c>
      <c r="T252" s="290">
        <f>IF($H252="",0,Results!$U257)</f>
        <v>0</v>
      </c>
      <c r="U252" s="291">
        <f>IF($I252="",0,Results!$V257)</f>
        <v>0</v>
      </c>
      <c r="V252" s="270" t="str">
        <f t="shared" si="6"/>
        <v/>
      </c>
      <c r="W252" s="291" t="str">
        <f t="shared" si="7"/>
        <v/>
      </c>
      <c r="X252" s="270">
        <f>IF($O252=0,0,IF(Results!$R257="",0,Results!$R257))</f>
        <v>0</v>
      </c>
      <c r="Y252" s="291">
        <f>IF($O252=0,0,IF(Results!$T257="",0,Results!$T257))</f>
        <v>0</v>
      </c>
      <c r="Z252" s="270" t="str">
        <f>IF($O252=0,"",IF($X252&gt;$Y252,Settings!$C$4,IF($X252=$Y252,1,0)))</f>
        <v/>
      </c>
      <c r="AA252" s="291" t="str">
        <f>IF($O252=0,"",IF($X252&lt;$Y252,Settings!$C$4,IF($X252=$Y252,1,0)))</f>
        <v/>
      </c>
    </row>
    <row r="253" spans="5:27" x14ac:dyDescent="0.2">
      <c r="E253" s="266">
        <v>250</v>
      </c>
      <c r="F253" s="171" t="str">
        <f>Planning!$Q256</f>
        <v>1. FC Köln</v>
      </c>
      <c r="G253" s="348" t="str">
        <f>Planning!$S256</f>
        <v>SC Freiburg</v>
      </c>
      <c r="H253" s="344" t="str">
        <f>IF(AND(Results!$I258&lt;&gt;"",Results!$K258&lt;&gt;"",Results!$F258&lt;&gt;Results!$H258,$F253&lt;&gt;"",$G253&lt;&gt;""),Results!$I258,"")</f>
        <v/>
      </c>
      <c r="I253" s="343" t="str">
        <f>IF(AND(Results!$I258&lt;&gt;"",Results!$K258&lt;&gt;"",Results!$F258&lt;&gt;Results!$H258,$F253&lt;&gt;"",$G253&lt;&gt;""),Results!$K258,"")</f>
        <v/>
      </c>
      <c r="J253" s="344" t="str">
        <f>IF(AND(Results!$L258&lt;&gt;"",Results!$N258&lt;&gt;"",Results!$F258&lt;&gt;Results!$H258,$F253&lt;&gt;"",$G253&lt;&gt;""),Results!$L258,"")</f>
        <v/>
      </c>
      <c r="K253" s="343" t="str">
        <f>IF(AND(Results!$L258&lt;&gt;"",Results!$N258&lt;&gt;"",Results!$F258&lt;&gt;Results!$H258,$F253&lt;&gt;"",$G253&lt;&gt;""),Results!$N258,"")</f>
        <v/>
      </c>
      <c r="L253" s="344" t="str">
        <f>IF(AND(Results!$O258&lt;&gt;"",Results!$Q258&lt;&gt;"",Results!$F258&lt;&gt;Results!$H258,$F253&lt;&gt;"",$G253&lt;&gt;""),Results!$O258,"")</f>
        <v/>
      </c>
      <c r="M253" s="122" t="str">
        <f>IF(AND(Results!$O258&lt;&gt;"",Results!$Q258&lt;&gt;"",Results!$F258&lt;&gt;Results!$H258,$F253&lt;&gt;"",$G253&lt;&gt;""),Results!$Q258,"")</f>
        <v/>
      </c>
      <c r="N253" s="16" t="str">
        <f>IF(Planning!$I256=0,F253&amp;G253,"")</f>
        <v/>
      </c>
      <c r="O253" s="122">
        <f>IF(AND(Results!$Z$6&gt;0,$E253-1&gt;=Results!$Z$6*Calc!$F$26),0,IF(AND(F253&lt;&gt;"",G253&lt;&gt;"",F253&lt;&gt;G253,Results!$R258&lt;&gt;"",Results!$T258&lt;&gt;""),1,0))</f>
        <v>0</v>
      </c>
      <c r="P253" s="122" t="str">
        <f>IF(AND(O253&gt;0,Planning!$I256=0),V253&amp;Language!$E$90&amp;W253,"")</f>
        <v/>
      </c>
      <c r="Q253" s="2" t="str">
        <f>IF(Planning!$I256=1,F253&amp;G253,"")</f>
        <v>1. FC KölnSC Freiburg</v>
      </c>
      <c r="R253" s="88" t="str">
        <f>IF(AND(O253&gt;0,Planning!$I256=1),V253&amp;Language!$E$90&amp;W253,"")</f>
        <v/>
      </c>
      <c r="S253" s="122" t="str">
        <f>IF(O253&gt;0,X253&amp;Language!$E$90&amp;Y253,"")</f>
        <v/>
      </c>
      <c r="T253" s="290">
        <f>IF($H253="",0,Results!$U258)</f>
        <v>0</v>
      </c>
      <c r="U253" s="291">
        <f>IF($I253="",0,Results!$V258)</f>
        <v>0</v>
      </c>
      <c r="V253" s="270" t="str">
        <f t="shared" si="6"/>
        <v/>
      </c>
      <c r="W253" s="291" t="str">
        <f t="shared" si="7"/>
        <v/>
      </c>
      <c r="X253" s="270">
        <f>IF($O253=0,0,IF(Results!$R258="",0,Results!$R258))</f>
        <v>0</v>
      </c>
      <c r="Y253" s="291">
        <f>IF($O253=0,0,IF(Results!$T258="",0,Results!$T258))</f>
        <v>0</v>
      </c>
      <c r="Z253" s="270" t="str">
        <f>IF($O253=0,"",IF($X253&gt;$Y253,Settings!$C$4,IF($X253=$Y253,1,0)))</f>
        <v/>
      </c>
      <c r="AA253" s="291" t="str">
        <f>IF($O253=0,"",IF($X253&lt;$Y253,Settings!$C$4,IF($X253=$Y253,1,0)))</f>
        <v/>
      </c>
    </row>
    <row r="254" spans="5:27" x14ac:dyDescent="0.2">
      <c r="E254" s="266">
        <v>251</v>
      </c>
      <c r="F254" s="171" t="str">
        <f>Planning!$Q257</f>
        <v>SV Werder Bremen</v>
      </c>
      <c r="G254" s="348" t="str">
        <f>Planning!$S257</f>
        <v>VfL Wolfsburg</v>
      </c>
      <c r="H254" s="344" t="str">
        <f>IF(AND(Results!$I259&lt;&gt;"",Results!$K259&lt;&gt;"",Results!$F259&lt;&gt;Results!$H259,$F254&lt;&gt;"",$G254&lt;&gt;""),Results!$I259,"")</f>
        <v/>
      </c>
      <c r="I254" s="343" t="str">
        <f>IF(AND(Results!$I259&lt;&gt;"",Results!$K259&lt;&gt;"",Results!$F259&lt;&gt;Results!$H259,$F254&lt;&gt;"",$G254&lt;&gt;""),Results!$K259,"")</f>
        <v/>
      </c>
      <c r="J254" s="344" t="str">
        <f>IF(AND(Results!$L259&lt;&gt;"",Results!$N259&lt;&gt;"",Results!$F259&lt;&gt;Results!$H259,$F254&lt;&gt;"",$G254&lt;&gt;""),Results!$L259,"")</f>
        <v/>
      </c>
      <c r="K254" s="343" t="str">
        <f>IF(AND(Results!$L259&lt;&gt;"",Results!$N259&lt;&gt;"",Results!$F259&lt;&gt;Results!$H259,$F254&lt;&gt;"",$G254&lt;&gt;""),Results!$N259,"")</f>
        <v/>
      </c>
      <c r="L254" s="344" t="str">
        <f>IF(AND(Results!$O259&lt;&gt;"",Results!$Q259&lt;&gt;"",Results!$F259&lt;&gt;Results!$H259,$F254&lt;&gt;"",$G254&lt;&gt;""),Results!$O259,"")</f>
        <v/>
      </c>
      <c r="M254" s="122" t="str">
        <f>IF(AND(Results!$O259&lt;&gt;"",Results!$Q259&lt;&gt;"",Results!$F259&lt;&gt;Results!$H259,$F254&lt;&gt;"",$G254&lt;&gt;""),Results!$Q259,"")</f>
        <v/>
      </c>
      <c r="N254" s="16" t="str">
        <f>IF(Planning!$I257=0,F254&amp;G254,"")</f>
        <v/>
      </c>
      <c r="O254" s="122">
        <f>IF(AND(Results!$Z$6&gt;0,$E254-1&gt;=Results!$Z$6*Calc!$F$26),0,IF(AND(F254&lt;&gt;"",G254&lt;&gt;"",F254&lt;&gt;G254,Results!$R259&lt;&gt;"",Results!$T259&lt;&gt;""),1,0))</f>
        <v>0</v>
      </c>
      <c r="P254" s="122" t="str">
        <f>IF(AND(O254&gt;0,Planning!$I257=0),V254&amp;Language!$E$90&amp;W254,"")</f>
        <v/>
      </c>
      <c r="Q254" s="2" t="str">
        <f>IF(Planning!$I257=1,F254&amp;G254,"")</f>
        <v>SV Werder BremenVfL Wolfsburg</v>
      </c>
      <c r="R254" s="88" t="str">
        <f>IF(AND(O254&gt;0,Planning!$I257=1),V254&amp;Language!$E$90&amp;W254,"")</f>
        <v/>
      </c>
      <c r="S254" s="122" t="str">
        <f>IF(O254&gt;0,X254&amp;Language!$E$90&amp;Y254,"")</f>
        <v/>
      </c>
      <c r="T254" s="290">
        <f>IF($H254="",0,Results!$U259)</f>
        <v>0</v>
      </c>
      <c r="U254" s="291">
        <f>IF($I254="",0,Results!$V259)</f>
        <v>0</v>
      </c>
      <c r="V254" s="270" t="str">
        <f t="shared" si="6"/>
        <v/>
      </c>
      <c r="W254" s="291" t="str">
        <f t="shared" si="7"/>
        <v/>
      </c>
      <c r="X254" s="270">
        <f>IF($O254=0,0,IF(Results!$R259="",0,Results!$R259))</f>
        <v>0</v>
      </c>
      <c r="Y254" s="291">
        <f>IF($O254=0,0,IF(Results!$T259="",0,Results!$T259))</f>
        <v>0</v>
      </c>
      <c r="Z254" s="270" t="str">
        <f>IF($O254=0,"",IF($X254&gt;$Y254,Settings!$C$4,IF($X254=$Y254,1,0)))</f>
        <v/>
      </c>
      <c r="AA254" s="291" t="str">
        <f>IF($O254=0,"",IF($X254&lt;$Y254,Settings!$C$4,IF($X254=$Y254,1,0)))</f>
        <v/>
      </c>
    </row>
    <row r="255" spans="5:27" x14ac:dyDescent="0.2">
      <c r="E255" s="266">
        <v>252</v>
      </c>
      <c r="F255" s="171" t="str">
        <f>Planning!$Q258</f>
        <v>VfB Stuttgart</v>
      </c>
      <c r="G255" s="348" t="str">
        <f>Planning!$S258</f>
        <v>TSG Hoffenheim</v>
      </c>
      <c r="H255" s="344" t="str">
        <f>IF(AND(Results!$I260&lt;&gt;"",Results!$K260&lt;&gt;"",Results!$F260&lt;&gt;Results!$H260,$F255&lt;&gt;"",$G255&lt;&gt;""),Results!$I260,"")</f>
        <v/>
      </c>
      <c r="I255" s="343" t="str">
        <f>IF(AND(Results!$I260&lt;&gt;"",Results!$K260&lt;&gt;"",Results!$F260&lt;&gt;Results!$H260,$F255&lt;&gt;"",$G255&lt;&gt;""),Results!$K260,"")</f>
        <v/>
      </c>
      <c r="J255" s="344" t="str">
        <f>IF(AND(Results!$L260&lt;&gt;"",Results!$N260&lt;&gt;"",Results!$F260&lt;&gt;Results!$H260,$F255&lt;&gt;"",$G255&lt;&gt;""),Results!$L260,"")</f>
        <v/>
      </c>
      <c r="K255" s="343" t="str">
        <f>IF(AND(Results!$L260&lt;&gt;"",Results!$N260&lt;&gt;"",Results!$F260&lt;&gt;Results!$H260,$F255&lt;&gt;"",$G255&lt;&gt;""),Results!$N260,"")</f>
        <v/>
      </c>
      <c r="L255" s="344" t="str">
        <f>IF(AND(Results!$O260&lt;&gt;"",Results!$Q260&lt;&gt;"",Results!$F260&lt;&gt;Results!$H260,$F255&lt;&gt;"",$G255&lt;&gt;""),Results!$O260,"")</f>
        <v/>
      </c>
      <c r="M255" s="122" t="str">
        <f>IF(AND(Results!$O260&lt;&gt;"",Results!$Q260&lt;&gt;"",Results!$F260&lt;&gt;Results!$H260,$F255&lt;&gt;"",$G255&lt;&gt;""),Results!$Q260,"")</f>
        <v/>
      </c>
      <c r="N255" s="16" t="str">
        <f>IF(Planning!$I258=0,F255&amp;G255,"")</f>
        <v/>
      </c>
      <c r="O255" s="122">
        <f>IF(AND(Results!$Z$6&gt;0,$E255-1&gt;=Results!$Z$6*Calc!$F$26),0,IF(AND(F255&lt;&gt;"",G255&lt;&gt;"",F255&lt;&gt;G255,Results!$R260&lt;&gt;"",Results!$T260&lt;&gt;""),1,0))</f>
        <v>0</v>
      </c>
      <c r="P255" s="122" t="str">
        <f>IF(AND(O255&gt;0,Planning!$I258=0),V255&amp;Language!$E$90&amp;W255,"")</f>
        <v/>
      </c>
      <c r="Q255" s="2" t="str">
        <f>IF(Planning!$I258=1,F255&amp;G255,"")</f>
        <v>VfB StuttgartTSG Hoffenheim</v>
      </c>
      <c r="R255" s="88" t="str">
        <f>IF(AND(O255&gt;0,Planning!$I258=1),V255&amp;Language!$E$90&amp;W255,"")</f>
        <v/>
      </c>
      <c r="S255" s="122" t="str">
        <f>IF(O255&gt;0,X255&amp;Language!$E$90&amp;Y255,"")</f>
        <v/>
      </c>
      <c r="T255" s="290">
        <f>IF($H255="",0,Results!$U260)</f>
        <v>0</v>
      </c>
      <c r="U255" s="291">
        <f>IF($I255="",0,Results!$V260)</f>
        <v>0</v>
      </c>
      <c r="V255" s="270" t="str">
        <f t="shared" si="6"/>
        <v/>
      </c>
      <c r="W255" s="291" t="str">
        <f t="shared" si="7"/>
        <v/>
      </c>
      <c r="X255" s="270">
        <f>IF($O255=0,0,IF(Results!$R260="",0,Results!$R260))</f>
        <v>0</v>
      </c>
      <c r="Y255" s="291">
        <f>IF($O255=0,0,IF(Results!$T260="",0,Results!$T260))</f>
        <v>0</v>
      </c>
      <c r="Z255" s="270" t="str">
        <f>IF($O255=0,"",IF($X255&gt;$Y255,Settings!$C$4,IF($X255=$Y255,1,0)))</f>
        <v/>
      </c>
      <c r="AA255" s="291" t="str">
        <f>IF($O255=0,"",IF($X255&lt;$Y255,Settings!$C$4,IF($X255=$Y255,1,0)))</f>
        <v/>
      </c>
    </row>
    <row r="256" spans="5:27" x14ac:dyDescent="0.2">
      <c r="E256" s="266">
        <v>253</v>
      </c>
      <c r="F256" s="171" t="str">
        <f>Planning!$Q259</f>
        <v>1. FC Heidenheim 1846</v>
      </c>
      <c r="G256" s="348" t="str">
        <f>Planning!$S259</f>
        <v>Borussia Mönchengladbach</v>
      </c>
      <c r="H256" s="344" t="str">
        <f>IF(AND(Results!$I261&lt;&gt;"",Results!$K261&lt;&gt;"",Results!$F261&lt;&gt;Results!$H261,$F256&lt;&gt;"",$G256&lt;&gt;""),Results!$I261,"")</f>
        <v/>
      </c>
      <c r="I256" s="343" t="str">
        <f>IF(AND(Results!$I261&lt;&gt;"",Results!$K261&lt;&gt;"",Results!$F261&lt;&gt;Results!$H261,$F256&lt;&gt;"",$G256&lt;&gt;""),Results!$K261,"")</f>
        <v/>
      </c>
      <c r="J256" s="344" t="str">
        <f>IF(AND(Results!$L261&lt;&gt;"",Results!$N261&lt;&gt;"",Results!$F261&lt;&gt;Results!$H261,$F256&lt;&gt;"",$G256&lt;&gt;""),Results!$L261,"")</f>
        <v/>
      </c>
      <c r="K256" s="343" t="str">
        <f>IF(AND(Results!$L261&lt;&gt;"",Results!$N261&lt;&gt;"",Results!$F261&lt;&gt;Results!$H261,$F256&lt;&gt;"",$G256&lt;&gt;""),Results!$N261,"")</f>
        <v/>
      </c>
      <c r="L256" s="344" t="str">
        <f>IF(AND(Results!$O261&lt;&gt;"",Results!$Q261&lt;&gt;"",Results!$F261&lt;&gt;Results!$H261,$F256&lt;&gt;"",$G256&lt;&gt;""),Results!$O261,"")</f>
        <v/>
      </c>
      <c r="M256" s="122" t="str">
        <f>IF(AND(Results!$O261&lt;&gt;"",Results!$Q261&lt;&gt;"",Results!$F261&lt;&gt;Results!$H261,$F256&lt;&gt;"",$G256&lt;&gt;""),Results!$Q261,"")</f>
        <v/>
      </c>
      <c r="N256" s="16" t="str">
        <f>IF(Planning!$I259=0,F256&amp;G256,"")</f>
        <v/>
      </c>
      <c r="O256" s="122">
        <f>IF(AND(Results!$Z$6&gt;0,$E256-1&gt;=Results!$Z$6*Calc!$F$26),0,IF(AND(F256&lt;&gt;"",G256&lt;&gt;"",F256&lt;&gt;G256,Results!$R261&lt;&gt;"",Results!$T261&lt;&gt;""),1,0))</f>
        <v>0</v>
      </c>
      <c r="P256" s="122" t="str">
        <f>IF(AND(O256&gt;0,Planning!$I259=0),V256&amp;Language!$E$90&amp;W256,"")</f>
        <v/>
      </c>
      <c r="Q256" s="2" t="str">
        <f>IF(Planning!$I259=1,F256&amp;G256,"")</f>
        <v>1. FC Heidenheim 1846Borussia Mönchengladbach</v>
      </c>
      <c r="R256" s="88" t="str">
        <f>IF(AND(O256&gt;0,Planning!$I259=1),V256&amp;Language!$E$90&amp;W256,"")</f>
        <v/>
      </c>
      <c r="S256" s="122" t="str">
        <f>IF(O256&gt;0,X256&amp;Language!$E$90&amp;Y256,"")</f>
        <v/>
      </c>
      <c r="T256" s="290">
        <f>IF($H256="",0,Results!$U261)</f>
        <v>0</v>
      </c>
      <c r="U256" s="291">
        <f>IF($I256="",0,Results!$V261)</f>
        <v>0</v>
      </c>
      <c r="V256" s="270" t="str">
        <f t="shared" si="6"/>
        <v/>
      </c>
      <c r="W256" s="291" t="str">
        <f t="shared" si="7"/>
        <v/>
      </c>
      <c r="X256" s="270">
        <f>IF($O256=0,0,IF(Results!$R261="",0,Results!$R261))</f>
        <v>0</v>
      </c>
      <c r="Y256" s="291">
        <f>IF($O256=0,0,IF(Results!$T261="",0,Results!$T261))</f>
        <v>0</v>
      </c>
      <c r="Z256" s="270" t="str">
        <f>IF($O256=0,"",IF($X256&gt;$Y256,Settings!$C$4,IF($X256=$Y256,1,0)))</f>
        <v/>
      </c>
      <c r="AA256" s="291" t="str">
        <f>IF($O256=0,"",IF($X256&lt;$Y256,Settings!$C$4,IF($X256=$Y256,1,0)))</f>
        <v/>
      </c>
    </row>
    <row r="257" spans="5:27" x14ac:dyDescent="0.2">
      <c r="E257" s="266">
        <v>254</v>
      </c>
      <c r="F257" s="171" t="str">
        <f>Planning!$Q260</f>
        <v>Eintracht Frankfurt</v>
      </c>
      <c r="G257" s="348" t="str">
        <f>Planning!$S260</f>
        <v>Borussia Dortmund</v>
      </c>
      <c r="H257" s="344" t="str">
        <f>IF(AND(Results!$I262&lt;&gt;"",Results!$K262&lt;&gt;"",Results!$F262&lt;&gt;Results!$H262,$F257&lt;&gt;"",$G257&lt;&gt;""),Results!$I262,"")</f>
        <v/>
      </c>
      <c r="I257" s="343" t="str">
        <f>IF(AND(Results!$I262&lt;&gt;"",Results!$K262&lt;&gt;"",Results!$F262&lt;&gt;Results!$H262,$F257&lt;&gt;"",$G257&lt;&gt;""),Results!$K262,"")</f>
        <v/>
      </c>
      <c r="J257" s="344" t="str">
        <f>IF(AND(Results!$L262&lt;&gt;"",Results!$N262&lt;&gt;"",Results!$F262&lt;&gt;Results!$H262,$F257&lt;&gt;"",$G257&lt;&gt;""),Results!$L262,"")</f>
        <v/>
      </c>
      <c r="K257" s="343" t="str">
        <f>IF(AND(Results!$L262&lt;&gt;"",Results!$N262&lt;&gt;"",Results!$F262&lt;&gt;Results!$H262,$F257&lt;&gt;"",$G257&lt;&gt;""),Results!$N262,"")</f>
        <v/>
      </c>
      <c r="L257" s="344" t="str">
        <f>IF(AND(Results!$O262&lt;&gt;"",Results!$Q262&lt;&gt;"",Results!$F262&lt;&gt;Results!$H262,$F257&lt;&gt;"",$G257&lt;&gt;""),Results!$O262,"")</f>
        <v/>
      </c>
      <c r="M257" s="122" t="str">
        <f>IF(AND(Results!$O262&lt;&gt;"",Results!$Q262&lt;&gt;"",Results!$F262&lt;&gt;Results!$H262,$F257&lt;&gt;"",$G257&lt;&gt;""),Results!$Q262,"")</f>
        <v/>
      </c>
      <c r="N257" s="16" t="str">
        <f>IF(Planning!$I260=0,F257&amp;G257,"")</f>
        <v/>
      </c>
      <c r="O257" s="122">
        <f>IF(AND(Results!$Z$6&gt;0,$E257-1&gt;=Results!$Z$6*Calc!$F$26),0,IF(AND(F257&lt;&gt;"",G257&lt;&gt;"",F257&lt;&gt;G257,Results!$R262&lt;&gt;"",Results!$T262&lt;&gt;""),1,0))</f>
        <v>0</v>
      </c>
      <c r="P257" s="122" t="str">
        <f>IF(AND(O257&gt;0,Planning!$I260=0),V257&amp;Language!$E$90&amp;W257,"")</f>
        <v/>
      </c>
      <c r="Q257" s="2" t="str">
        <f>IF(Planning!$I260=1,F257&amp;G257,"")</f>
        <v>Eintracht FrankfurtBorussia Dortmund</v>
      </c>
      <c r="R257" s="88" t="str">
        <f>IF(AND(O257&gt;0,Planning!$I260=1),V257&amp;Language!$E$90&amp;W257,"")</f>
        <v/>
      </c>
      <c r="S257" s="122" t="str">
        <f>IF(O257&gt;0,X257&amp;Language!$E$90&amp;Y257,"")</f>
        <v/>
      </c>
      <c r="T257" s="290">
        <f>IF($H257="",0,Results!$U262)</f>
        <v>0</v>
      </c>
      <c r="U257" s="291">
        <f>IF($I257="",0,Results!$V262)</f>
        <v>0</v>
      </c>
      <c r="V257" s="270" t="str">
        <f t="shared" si="6"/>
        <v/>
      </c>
      <c r="W257" s="291" t="str">
        <f t="shared" si="7"/>
        <v/>
      </c>
      <c r="X257" s="270">
        <f>IF($O257=0,0,IF(Results!$R262="",0,Results!$R262))</f>
        <v>0</v>
      </c>
      <c r="Y257" s="291">
        <f>IF($O257=0,0,IF(Results!$T262="",0,Results!$T262))</f>
        <v>0</v>
      </c>
      <c r="Z257" s="270" t="str">
        <f>IF($O257=0,"",IF($X257&gt;$Y257,Settings!$C$4,IF($X257=$Y257,1,0)))</f>
        <v/>
      </c>
      <c r="AA257" s="291" t="str">
        <f>IF($O257=0,"",IF($X257&lt;$Y257,Settings!$C$4,IF($X257=$Y257,1,0)))</f>
        <v/>
      </c>
    </row>
    <row r="258" spans="5:27" x14ac:dyDescent="0.2">
      <c r="E258" s="266">
        <v>255</v>
      </c>
      <c r="F258" s="171" t="str">
        <f>Planning!$Q261</f>
        <v>Bayer 04 Leverkusen</v>
      </c>
      <c r="G258" s="348" t="str">
        <f>Planning!$S261</f>
        <v>FC Augsburg</v>
      </c>
      <c r="H258" s="344" t="str">
        <f>IF(AND(Results!$I263&lt;&gt;"",Results!$K263&lt;&gt;"",Results!$F263&lt;&gt;Results!$H263,$F258&lt;&gt;"",$G258&lt;&gt;""),Results!$I263,"")</f>
        <v/>
      </c>
      <c r="I258" s="343" t="str">
        <f>IF(AND(Results!$I263&lt;&gt;"",Results!$K263&lt;&gt;"",Results!$F263&lt;&gt;Results!$H263,$F258&lt;&gt;"",$G258&lt;&gt;""),Results!$K263,"")</f>
        <v/>
      </c>
      <c r="J258" s="344" t="str">
        <f>IF(AND(Results!$L263&lt;&gt;"",Results!$N263&lt;&gt;"",Results!$F263&lt;&gt;Results!$H263,$F258&lt;&gt;"",$G258&lt;&gt;""),Results!$L263,"")</f>
        <v/>
      </c>
      <c r="K258" s="343" t="str">
        <f>IF(AND(Results!$L263&lt;&gt;"",Results!$N263&lt;&gt;"",Results!$F263&lt;&gt;Results!$H263,$F258&lt;&gt;"",$G258&lt;&gt;""),Results!$N263,"")</f>
        <v/>
      </c>
      <c r="L258" s="344" t="str">
        <f>IF(AND(Results!$O263&lt;&gt;"",Results!$Q263&lt;&gt;"",Results!$F263&lt;&gt;Results!$H263,$F258&lt;&gt;"",$G258&lt;&gt;""),Results!$O263,"")</f>
        <v/>
      </c>
      <c r="M258" s="122" t="str">
        <f>IF(AND(Results!$O263&lt;&gt;"",Results!$Q263&lt;&gt;"",Results!$F263&lt;&gt;Results!$H263,$F258&lt;&gt;"",$G258&lt;&gt;""),Results!$Q263,"")</f>
        <v/>
      </c>
      <c r="N258" s="16" t="str">
        <f>IF(Planning!$I261=0,F258&amp;G258,"")</f>
        <v/>
      </c>
      <c r="O258" s="122">
        <f>IF(AND(Results!$Z$6&gt;0,$E258-1&gt;=Results!$Z$6*Calc!$F$26),0,IF(AND(F258&lt;&gt;"",G258&lt;&gt;"",F258&lt;&gt;G258,Results!$R263&lt;&gt;"",Results!$T263&lt;&gt;""),1,0))</f>
        <v>0</v>
      </c>
      <c r="P258" s="122" t="str">
        <f>IF(AND(O258&gt;0,Planning!$I261=0),V258&amp;Language!$E$90&amp;W258,"")</f>
        <v/>
      </c>
      <c r="Q258" s="2" t="str">
        <f>IF(Planning!$I261=1,F258&amp;G258,"")</f>
        <v>Bayer 04 LeverkusenFC Augsburg</v>
      </c>
      <c r="R258" s="88" t="str">
        <f>IF(AND(O258&gt;0,Planning!$I261=1),V258&amp;Language!$E$90&amp;W258,"")</f>
        <v/>
      </c>
      <c r="S258" s="122" t="str">
        <f>IF(O258&gt;0,X258&amp;Language!$E$90&amp;Y258,"")</f>
        <v/>
      </c>
      <c r="T258" s="290">
        <f>IF($H258="",0,Results!$U263)</f>
        <v>0</v>
      </c>
      <c r="U258" s="291">
        <f>IF($I258="",0,Results!$V263)</f>
        <v>0</v>
      </c>
      <c r="V258" s="270" t="str">
        <f t="shared" si="6"/>
        <v/>
      </c>
      <c r="W258" s="291" t="str">
        <f t="shared" si="7"/>
        <v/>
      </c>
      <c r="X258" s="270">
        <f>IF($O258=0,0,IF(Results!$R263="",0,Results!$R263))</f>
        <v>0</v>
      </c>
      <c r="Y258" s="291">
        <f>IF($O258=0,0,IF(Results!$T263="",0,Results!$T263))</f>
        <v>0</v>
      </c>
      <c r="Z258" s="270" t="str">
        <f>IF($O258=0,"",IF($X258&gt;$Y258,Settings!$C$4,IF($X258=$Y258,1,0)))</f>
        <v/>
      </c>
      <c r="AA258" s="291" t="str">
        <f>IF($O258=0,"",IF($X258&lt;$Y258,Settings!$C$4,IF($X258=$Y258,1,0)))</f>
        <v/>
      </c>
    </row>
    <row r="259" spans="5:27" x14ac:dyDescent="0.2">
      <c r="E259" s="266">
        <v>256</v>
      </c>
      <c r="F259" s="171" t="str">
        <f>Planning!$Q262</f>
        <v>FC Bayern München</v>
      </c>
      <c r="G259" s="348" t="str">
        <f>Planning!$S262</f>
        <v>1. FSV Mainz 05</v>
      </c>
      <c r="H259" s="344" t="str">
        <f>IF(AND(Results!$I264&lt;&gt;"",Results!$K264&lt;&gt;"",Results!$F264&lt;&gt;Results!$H264,$F259&lt;&gt;"",$G259&lt;&gt;""),Results!$I264,"")</f>
        <v/>
      </c>
      <c r="I259" s="343" t="str">
        <f>IF(AND(Results!$I264&lt;&gt;"",Results!$K264&lt;&gt;"",Results!$F264&lt;&gt;Results!$H264,$F259&lt;&gt;"",$G259&lt;&gt;""),Results!$K264,"")</f>
        <v/>
      </c>
      <c r="J259" s="344" t="str">
        <f>IF(AND(Results!$L264&lt;&gt;"",Results!$N264&lt;&gt;"",Results!$F264&lt;&gt;Results!$H264,$F259&lt;&gt;"",$G259&lt;&gt;""),Results!$L264,"")</f>
        <v/>
      </c>
      <c r="K259" s="343" t="str">
        <f>IF(AND(Results!$L264&lt;&gt;"",Results!$N264&lt;&gt;"",Results!$F264&lt;&gt;Results!$H264,$F259&lt;&gt;"",$G259&lt;&gt;""),Results!$N264,"")</f>
        <v/>
      </c>
      <c r="L259" s="344" t="str">
        <f>IF(AND(Results!$O264&lt;&gt;"",Results!$Q264&lt;&gt;"",Results!$F264&lt;&gt;Results!$H264,$F259&lt;&gt;"",$G259&lt;&gt;""),Results!$O264,"")</f>
        <v/>
      </c>
      <c r="M259" s="122" t="str">
        <f>IF(AND(Results!$O264&lt;&gt;"",Results!$Q264&lt;&gt;"",Results!$F264&lt;&gt;Results!$H264,$F259&lt;&gt;"",$G259&lt;&gt;""),Results!$Q264,"")</f>
        <v/>
      </c>
      <c r="N259" s="16" t="str">
        <f>IF(Planning!$I262=0,F259&amp;G259,"")</f>
        <v/>
      </c>
      <c r="O259" s="122">
        <f>IF(AND(Results!$Z$6&gt;0,$E259-1&gt;=Results!$Z$6*Calc!$F$26),0,IF(AND(F259&lt;&gt;"",G259&lt;&gt;"",F259&lt;&gt;G259,Results!$R264&lt;&gt;"",Results!$T264&lt;&gt;""),1,0))</f>
        <v>0</v>
      </c>
      <c r="P259" s="122" t="str">
        <f>IF(AND(O259&gt;0,Planning!$I262=0),V259&amp;Language!$E$90&amp;W259,"")</f>
        <v/>
      </c>
      <c r="Q259" s="2" t="str">
        <f>IF(Planning!$I262=1,F259&amp;G259,"")</f>
        <v>FC Bayern München1. FSV Mainz 05</v>
      </c>
      <c r="R259" s="88" t="str">
        <f>IF(AND(O259&gt;0,Planning!$I262=1),V259&amp;Language!$E$90&amp;W259,"")</f>
        <v/>
      </c>
      <c r="S259" s="122" t="str">
        <f>IF(O259&gt;0,X259&amp;Language!$E$90&amp;Y259,"")</f>
        <v/>
      </c>
      <c r="T259" s="290">
        <f>IF($H259="",0,Results!$U264)</f>
        <v>0</v>
      </c>
      <c r="U259" s="291">
        <f>IF($I259="",0,Results!$V264)</f>
        <v>0</v>
      </c>
      <c r="V259" s="270" t="str">
        <f t="shared" si="6"/>
        <v/>
      </c>
      <c r="W259" s="291" t="str">
        <f t="shared" si="7"/>
        <v/>
      </c>
      <c r="X259" s="270">
        <f>IF($O259=0,0,IF(Results!$R264="",0,Results!$R264))</f>
        <v>0</v>
      </c>
      <c r="Y259" s="291">
        <f>IF($O259=0,0,IF(Results!$T264="",0,Results!$T264))</f>
        <v>0</v>
      </c>
      <c r="Z259" s="270" t="str">
        <f>IF($O259=0,"",IF($X259&gt;$Y259,Settings!$C$4,IF($X259=$Y259,1,0)))</f>
        <v/>
      </c>
      <c r="AA259" s="291" t="str">
        <f>IF($O259=0,"",IF($X259&lt;$Y259,Settings!$C$4,IF($X259=$Y259,1,0)))</f>
        <v/>
      </c>
    </row>
    <row r="260" spans="5:27" x14ac:dyDescent="0.2">
      <c r="E260" s="266">
        <v>257</v>
      </c>
      <c r="F260" s="171" t="str">
        <f>Planning!$Q263</f>
        <v>1. FC Union Berlin</v>
      </c>
      <c r="G260" s="348" t="str">
        <f>Planning!$S263</f>
        <v>FC St. Pauli</v>
      </c>
      <c r="H260" s="344" t="str">
        <f>IF(AND(Results!$I265&lt;&gt;"",Results!$K265&lt;&gt;"",Results!$F265&lt;&gt;Results!$H265,$F260&lt;&gt;"",$G260&lt;&gt;""),Results!$I265,"")</f>
        <v/>
      </c>
      <c r="I260" s="343" t="str">
        <f>IF(AND(Results!$I265&lt;&gt;"",Results!$K265&lt;&gt;"",Results!$F265&lt;&gt;Results!$H265,$F260&lt;&gt;"",$G260&lt;&gt;""),Results!$K265,"")</f>
        <v/>
      </c>
      <c r="J260" s="344" t="str">
        <f>IF(AND(Results!$L265&lt;&gt;"",Results!$N265&lt;&gt;"",Results!$F265&lt;&gt;Results!$H265,$F260&lt;&gt;"",$G260&lt;&gt;""),Results!$L265,"")</f>
        <v/>
      </c>
      <c r="K260" s="343" t="str">
        <f>IF(AND(Results!$L265&lt;&gt;"",Results!$N265&lt;&gt;"",Results!$F265&lt;&gt;Results!$H265,$F260&lt;&gt;"",$G260&lt;&gt;""),Results!$N265,"")</f>
        <v/>
      </c>
      <c r="L260" s="344" t="str">
        <f>IF(AND(Results!$O265&lt;&gt;"",Results!$Q265&lt;&gt;"",Results!$F265&lt;&gt;Results!$H265,$F260&lt;&gt;"",$G260&lt;&gt;""),Results!$O265,"")</f>
        <v/>
      </c>
      <c r="M260" s="122" t="str">
        <f>IF(AND(Results!$O265&lt;&gt;"",Results!$Q265&lt;&gt;"",Results!$F265&lt;&gt;Results!$H265,$F260&lt;&gt;"",$G260&lt;&gt;""),Results!$Q265,"")</f>
        <v/>
      </c>
      <c r="N260" s="16" t="str">
        <f>IF(Planning!$I263=0,F260&amp;G260,"")</f>
        <v/>
      </c>
      <c r="O260" s="122">
        <f>IF(AND(Results!$Z$6&gt;0,$E260-1&gt;=Results!$Z$6*Calc!$F$26),0,IF(AND(F260&lt;&gt;"",G260&lt;&gt;"",F260&lt;&gt;G260,Results!$R265&lt;&gt;"",Results!$T265&lt;&gt;""),1,0))</f>
        <v>0</v>
      </c>
      <c r="P260" s="122" t="str">
        <f>IF(AND(O260&gt;0,Planning!$I263=0),V260&amp;Language!$E$90&amp;W260,"")</f>
        <v/>
      </c>
      <c r="Q260" s="2" t="str">
        <f>IF(Planning!$I263=1,F260&amp;G260,"")</f>
        <v>1. FC Union BerlinFC St. Pauli</v>
      </c>
      <c r="R260" s="88" t="str">
        <f>IF(AND(O260&gt;0,Planning!$I263=1),V260&amp;Language!$E$90&amp;W260,"")</f>
        <v/>
      </c>
      <c r="S260" s="122" t="str">
        <f>IF(O260&gt;0,X260&amp;Language!$E$90&amp;Y260,"")</f>
        <v/>
      </c>
      <c r="T260" s="290">
        <f>IF($H260="",0,Results!$U265)</f>
        <v>0</v>
      </c>
      <c r="U260" s="291">
        <f>IF($I260="",0,Results!$V265)</f>
        <v>0</v>
      </c>
      <c r="V260" s="270" t="str">
        <f t="shared" si="6"/>
        <v/>
      </c>
      <c r="W260" s="291" t="str">
        <f t="shared" si="7"/>
        <v/>
      </c>
      <c r="X260" s="270">
        <f>IF($O260=0,0,IF(Results!$R265="",0,Results!$R265))</f>
        <v>0</v>
      </c>
      <c r="Y260" s="291">
        <f>IF($O260=0,0,IF(Results!$T265="",0,Results!$T265))</f>
        <v>0</v>
      </c>
      <c r="Z260" s="270" t="str">
        <f>IF($O260=0,"",IF($X260&gt;$Y260,Settings!$C$4,IF($X260=$Y260,1,0)))</f>
        <v/>
      </c>
      <c r="AA260" s="291" t="str">
        <f>IF($O260=0,"",IF($X260&lt;$Y260,Settings!$C$4,IF($X260=$Y260,1,0)))</f>
        <v/>
      </c>
    </row>
    <row r="261" spans="5:27" x14ac:dyDescent="0.2">
      <c r="E261" s="266">
        <v>258</v>
      </c>
      <c r="F261" s="171" t="str">
        <f>Planning!$Q264</f>
        <v>Hamburger SV</v>
      </c>
      <c r="G261" s="348" t="str">
        <f>Planning!$S264</f>
        <v>1. FC Köln</v>
      </c>
      <c r="H261" s="344" t="str">
        <f>IF(AND(Results!$I266&lt;&gt;"",Results!$K266&lt;&gt;"",Results!$F266&lt;&gt;Results!$H266,$F261&lt;&gt;"",$G261&lt;&gt;""),Results!$I266,"")</f>
        <v/>
      </c>
      <c r="I261" s="343" t="str">
        <f>IF(AND(Results!$I266&lt;&gt;"",Results!$K266&lt;&gt;"",Results!$F266&lt;&gt;Results!$H266,$F261&lt;&gt;"",$G261&lt;&gt;""),Results!$K266,"")</f>
        <v/>
      </c>
      <c r="J261" s="344" t="str">
        <f>IF(AND(Results!$L266&lt;&gt;"",Results!$N266&lt;&gt;"",Results!$F266&lt;&gt;Results!$H266,$F261&lt;&gt;"",$G261&lt;&gt;""),Results!$L266,"")</f>
        <v/>
      </c>
      <c r="K261" s="343" t="str">
        <f>IF(AND(Results!$L266&lt;&gt;"",Results!$N266&lt;&gt;"",Results!$F266&lt;&gt;Results!$H266,$F261&lt;&gt;"",$G261&lt;&gt;""),Results!$N266,"")</f>
        <v/>
      </c>
      <c r="L261" s="344" t="str">
        <f>IF(AND(Results!$O266&lt;&gt;"",Results!$Q266&lt;&gt;"",Results!$F266&lt;&gt;Results!$H266,$F261&lt;&gt;"",$G261&lt;&gt;""),Results!$O266,"")</f>
        <v/>
      </c>
      <c r="M261" s="122" t="str">
        <f>IF(AND(Results!$O266&lt;&gt;"",Results!$Q266&lt;&gt;"",Results!$F266&lt;&gt;Results!$H266,$F261&lt;&gt;"",$G261&lt;&gt;""),Results!$Q266,"")</f>
        <v/>
      </c>
      <c r="N261" s="16" t="str">
        <f>IF(Planning!$I264=0,F261&amp;G261,"")</f>
        <v/>
      </c>
      <c r="O261" s="122">
        <f>IF(AND(Results!$Z$6&gt;0,$E261-1&gt;=Results!$Z$6*Calc!$F$26),0,IF(AND(F261&lt;&gt;"",G261&lt;&gt;"",F261&lt;&gt;G261,Results!$R266&lt;&gt;"",Results!$T266&lt;&gt;""),1,0))</f>
        <v>0</v>
      </c>
      <c r="P261" s="122" t="str">
        <f>IF(AND(O261&gt;0,Planning!$I264=0),V261&amp;Language!$E$90&amp;W261,"")</f>
        <v/>
      </c>
      <c r="Q261" s="2" t="str">
        <f>IF(Planning!$I264=1,F261&amp;G261,"")</f>
        <v>Hamburger SV1. FC Köln</v>
      </c>
      <c r="R261" s="88" t="str">
        <f>IF(AND(O261&gt;0,Planning!$I264=1),V261&amp;Language!$E$90&amp;W261,"")</f>
        <v/>
      </c>
      <c r="S261" s="122" t="str">
        <f>IF(O261&gt;0,X261&amp;Language!$E$90&amp;Y261,"")</f>
        <v/>
      </c>
      <c r="T261" s="290">
        <f>IF($H261="",0,Results!$U266)</f>
        <v>0</v>
      </c>
      <c r="U261" s="291">
        <f>IF($I261="",0,Results!$V266)</f>
        <v>0</v>
      </c>
      <c r="V261" s="270" t="str">
        <f t="shared" ref="V261:V324" si="8">IF(O261&gt;0,SUM(H261,J261,L261),"")</f>
        <v/>
      </c>
      <c r="W261" s="291" t="str">
        <f t="shared" ref="W261:W324" si="9">IF(O261&gt;0,SUM(I261,K261,M261),"")</f>
        <v/>
      </c>
      <c r="X261" s="270">
        <f>IF($O261=0,0,IF(Results!$R266="",0,Results!$R266))</f>
        <v>0</v>
      </c>
      <c r="Y261" s="291">
        <f>IF($O261=0,0,IF(Results!$T266="",0,Results!$T266))</f>
        <v>0</v>
      </c>
      <c r="Z261" s="270" t="str">
        <f>IF($O261=0,"",IF($X261&gt;$Y261,Settings!$C$4,IF($X261=$Y261,1,0)))</f>
        <v/>
      </c>
      <c r="AA261" s="291" t="str">
        <f>IF($O261=0,"",IF($X261&lt;$Y261,Settings!$C$4,IF($X261=$Y261,1,0)))</f>
        <v/>
      </c>
    </row>
    <row r="262" spans="5:27" x14ac:dyDescent="0.2">
      <c r="E262" s="266">
        <v>259</v>
      </c>
      <c r="F262" s="171" t="str">
        <f>Planning!$Q265</f>
        <v>VfL Wolfsburg</v>
      </c>
      <c r="G262" s="348" t="str">
        <f>Planning!$S265</f>
        <v>RB Leipzig</v>
      </c>
      <c r="H262" s="344" t="str">
        <f>IF(AND(Results!$I267&lt;&gt;"",Results!$K267&lt;&gt;"",Results!$F267&lt;&gt;Results!$H267,$F262&lt;&gt;"",$G262&lt;&gt;""),Results!$I267,"")</f>
        <v/>
      </c>
      <c r="I262" s="343" t="str">
        <f>IF(AND(Results!$I267&lt;&gt;"",Results!$K267&lt;&gt;"",Results!$F267&lt;&gt;Results!$H267,$F262&lt;&gt;"",$G262&lt;&gt;""),Results!$K267,"")</f>
        <v/>
      </c>
      <c r="J262" s="344" t="str">
        <f>IF(AND(Results!$L267&lt;&gt;"",Results!$N267&lt;&gt;"",Results!$F267&lt;&gt;Results!$H267,$F262&lt;&gt;"",$G262&lt;&gt;""),Results!$L267,"")</f>
        <v/>
      </c>
      <c r="K262" s="343" t="str">
        <f>IF(AND(Results!$L267&lt;&gt;"",Results!$N267&lt;&gt;"",Results!$F267&lt;&gt;Results!$H267,$F262&lt;&gt;"",$G262&lt;&gt;""),Results!$N267,"")</f>
        <v/>
      </c>
      <c r="L262" s="344" t="str">
        <f>IF(AND(Results!$O267&lt;&gt;"",Results!$Q267&lt;&gt;"",Results!$F267&lt;&gt;Results!$H267,$F262&lt;&gt;"",$G262&lt;&gt;""),Results!$O267,"")</f>
        <v/>
      </c>
      <c r="M262" s="122" t="str">
        <f>IF(AND(Results!$O267&lt;&gt;"",Results!$Q267&lt;&gt;"",Results!$F267&lt;&gt;Results!$H267,$F262&lt;&gt;"",$G262&lt;&gt;""),Results!$Q267,"")</f>
        <v/>
      </c>
      <c r="N262" s="16" t="str">
        <f>IF(Planning!$I265=0,F262&amp;G262,"")</f>
        <v/>
      </c>
      <c r="O262" s="122">
        <f>IF(AND(Results!$Z$6&gt;0,$E262-1&gt;=Results!$Z$6*Calc!$F$26),0,IF(AND(F262&lt;&gt;"",G262&lt;&gt;"",F262&lt;&gt;G262,Results!$R267&lt;&gt;"",Results!$T267&lt;&gt;""),1,0))</f>
        <v>0</v>
      </c>
      <c r="P262" s="122" t="str">
        <f>IF(AND(O262&gt;0,Planning!$I265=0),V262&amp;Language!$E$90&amp;W262,"")</f>
        <v/>
      </c>
      <c r="Q262" s="2" t="str">
        <f>IF(Planning!$I265=1,F262&amp;G262,"")</f>
        <v>VfL WolfsburgRB Leipzig</v>
      </c>
      <c r="R262" s="88" t="str">
        <f>IF(AND(O262&gt;0,Planning!$I265=1),V262&amp;Language!$E$90&amp;W262,"")</f>
        <v/>
      </c>
      <c r="S262" s="122" t="str">
        <f>IF(O262&gt;0,X262&amp;Language!$E$90&amp;Y262,"")</f>
        <v/>
      </c>
      <c r="T262" s="290">
        <f>IF($H262="",0,Results!$U267)</f>
        <v>0</v>
      </c>
      <c r="U262" s="291">
        <f>IF($I262="",0,Results!$V267)</f>
        <v>0</v>
      </c>
      <c r="V262" s="270" t="str">
        <f t="shared" si="8"/>
        <v/>
      </c>
      <c r="W262" s="291" t="str">
        <f t="shared" si="9"/>
        <v/>
      </c>
      <c r="X262" s="270">
        <f>IF($O262=0,0,IF(Results!$R267="",0,Results!$R267))</f>
        <v>0</v>
      </c>
      <c r="Y262" s="291">
        <f>IF($O262=0,0,IF(Results!$T267="",0,Results!$T267))</f>
        <v>0</v>
      </c>
      <c r="Z262" s="270" t="str">
        <f>IF($O262=0,"",IF($X262&gt;$Y262,Settings!$C$4,IF($X262=$Y262,1,0)))</f>
        <v/>
      </c>
      <c r="AA262" s="291" t="str">
        <f>IF($O262=0,"",IF($X262&lt;$Y262,Settings!$C$4,IF($X262=$Y262,1,0)))</f>
        <v/>
      </c>
    </row>
    <row r="263" spans="5:27" x14ac:dyDescent="0.2">
      <c r="E263" s="266">
        <v>260</v>
      </c>
      <c r="F263" s="171" t="str">
        <f>Planning!$Q266</f>
        <v>SC Freiburg</v>
      </c>
      <c r="G263" s="348" t="str">
        <f>Planning!$S266</f>
        <v>VfB Stuttgart</v>
      </c>
      <c r="H263" s="344" t="str">
        <f>IF(AND(Results!$I268&lt;&gt;"",Results!$K268&lt;&gt;"",Results!$F268&lt;&gt;Results!$H268,$F263&lt;&gt;"",$G263&lt;&gt;""),Results!$I268,"")</f>
        <v/>
      </c>
      <c r="I263" s="343" t="str">
        <f>IF(AND(Results!$I268&lt;&gt;"",Results!$K268&lt;&gt;"",Results!$F268&lt;&gt;Results!$H268,$F263&lt;&gt;"",$G263&lt;&gt;""),Results!$K268,"")</f>
        <v/>
      </c>
      <c r="J263" s="344" t="str">
        <f>IF(AND(Results!$L268&lt;&gt;"",Results!$N268&lt;&gt;"",Results!$F268&lt;&gt;Results!$H268,$F263&lt;&gt;"",$G263&lt;&gt;""),Results!$L268,"")</f>
        <v/>
      </c>
      <c r="K263" s="343" t="str">
        <f>IF(AND(Results!$L268&lt;&gt;"",Results!$N268&lt;&gt;"",Results!$F268&lt;&gt;Results!$H268,$F263&lt;&gt;"",$G263&lt;&gt;""),Results!$N268,"")</f>
        <v/>
      </c>
      <c r="L263" s="344" t="str">
        <f>IF(AND(Results!$O268&lt;&gt;"",Results!$Q268&lt;&gt;"",Results!$F268&lt;&gt;Results!$H268,$F263&lt;&gt;"",$G263&lt;&gt;""),Results!$O268,"")</f>
        <v/>
      </c>
      <c r="M263" s="122" t="str">
        <f>IF(AND(Results!$O268&lt;&gt;"",Results!$Q268&lt;&gt;"",Results!$F268&lt;&gt;Results!$H268,$F263&lt;&gt;"",$G263&lt;&gt;""),Results!$Q268,"")</f>
        <v/>
      </c>
      <c r="N263" s="16" t="str">
        <f>IF(Planning!$I266=0,F263&amp;G263,"")</f>
        <v/>
      </c>
      <c r="O263" s="122">
        <f>IF(AND(Results!$Z$6&gt;0,$E263-1&gt;=Results!$Z$6*Calc!$F$26),0,IF(AND(F263&lt;&gt;"",G263&lt;&gt;"",F263&lt;&gt;G263,Results!$R268&lt;&gt;"",Results!$T268&lt;&gt;""),1,0))</f>
        <v>0</v>
      </c>
      <c r="P263" s="122" t="str">
        <f>IF(AND(O263&gt;0,Planning!$I266=0),V263&amp;Language!$E$90&amp;W263,"")</f>
        <v/>
      </c>
      <c r="Q263" s="2" t="str">
        <f>IF(Planning!$I266=1,F263&amp;G263,"")</f>
        <v>SC FreiburgVfB Stuttgart</v>
      </c>
      <c r="R263" s="88" t="str">
        <f>IF(AND(O263&gt;0,Planning!$I266=1),V263&amp;Language!$E$90&amp;W263,"")</f>
        <v/>
      </c>
      <c r="S263" s="122" t="str">
        <f>IF(O263&gt;0,X263&amp;Language!$E$90&amp;Y263,"")</f>
        <v/>
      </c>
      <c r="T263" s="290">
        <f>IF($H263="",0,Results!$U268)</f>
        <v>0</v>
      </c>
      <c r="U263" s="291">
        <f>IF($I263="",0,Results!$V268)</f>
        <v>0</v>
      </c>
      <c r="V263" s="270" t="str">
        <f t="shared" si="8"/>
        <v/>
      </c>
      <c r="W263" s="291" t="str">
        <f t="shared" si="9"/>
        <v/>
      </c>
      <c r="X263" s="270">
        <f>IF($O263=0,0,IF(Results!$R268="",0,Results!$R268))</f>
        <v>0</v>
      </c>
      <c r="Y263" s="291">
        <f>IF($O263=0,0,IF(Results!$T268="",0,Results!$T268))</f>
        <v>0</v>
      </c>
      <c r="Z263" s="270" t="str">
        <f>IF($O263=0,"",IF($X263&gt;$Y263,Settings!$C$4,IF($X263=$Y263,1,0)))</f>
        <v/>
      </c>
      <c r="AA263" s="291" t="str">
        <f>IF($O263=0,"",IF($X263&lt;$Y263,Settings!$C$4,IF($X263=$Y263,1,0)))</f>
        <v/>
      </c>
    </row>
    <row r="264" spans="5:27" x14ac:dyDescent="0.2">
      <c r="E264" s="266">
        <v>261</v>
      </c>
      <c r="F264" s="171" t="str">
        <f>Planning!$Q267</f>
        <v>TSG Hoffenheim</v>
      </c>
      <c r="G264" s="348" t="str">
        <f>Planning!$S267</f>
        <v>SV Werder Bremen</v>
      </c>
      <c r="H264" s="344" t="str">
        <f>IF(AND(Results!$I269&lt;&gt;"",Results!$K269&lt;&gt;"",Results!$F269&lt;&gt;Results!$H269,$F264&lt;&gt;"",$G264&lt;&gt;""),Results!$I269,"")</f>
        <v/>
      </c>
      <c r="I264" s="343" t="str">
        <f>IF(AND(Results!$I269&lt;&gt;"",Results!$K269&lt;&gt;"",Results!$F269&lt;&gt;Results!$H269,$F264&lt;&gt;"",$G264&lt;&gt;""),Results!$K269,"")</f>
        <v/>
      </c>
      <c r="J264" s="344" t="str">
        <f>IF(AND(Results!$L269&lt;&gt;"",Results!$N269&lt;&gt;"",Results!$F269&lt;&gt;Results!$H269,$F264&lt;&gt;"",$G264&lt;&gt;""),Results!$L269,"")</f>
        <v/>
      </c>
      <c r="K264" s="343" t="str">
        <f>IF(AND(Results!$L269&lt;&gt;"",Results!$N269&lt;&gt;"",Results!$F269&lt;&gt;Results!$H269,$F264&lt;&gt;"",$G264&lt;&gt;""),Results!$N269,"")</f>
        <v/>
      </c>
      <c r="L264" s="344" t="str">
        <f>IF(AND(Results!$O269&lt;&gt;"",Results!$Q269&lt;&gt;"",Results!$F269&lt;&gt;Results!$H269,$F264&lt;&gt;"",$G264&lt;&gt;""),Results!$O269,"")</f>
        <v/>
      </c>
      <c r="M264" s="122" t="str">
        <f>IF(AND(Results!$O269&lt;&gt;"",Results!$Q269&lt;&gt;"",Results!$F269&lt;&gt;Results!$H269,$F264&lt;&gt;"",$G264&lt;&gt;""),Results!$Q269,"")</f>
        <v/>
      </c>
      <c r="N264" s="16" t="str">
        <f>IF(Planning!$I267=0,F264&amp;G264,"")</f>
        <v/>
      </c>
      <c r="O264" s="122">
        <f>IF(AND(Results!$Z$6&gt;0,$E264-1&gt;=Results!$Z$6*Calc!$F$26),0,IF(AND(F264&lt;&gt;"",G264&lt;&gt;"",F264&lt;&gt;G264,Results!$R269&lt;&gt;"",Results!$T269&lt;&gt;""),1,0))</f>
        <v>0</v>
      </c>
      <c r="P264" s="122" t="str">
        <f>IF(AND(O264&gt;0,Planning!$I267=0),V264&amp;Language!$E$90&amp;W264,"")</f>
        <v/>
      </c>
      <c r="Q264" s="2" t="str">
        <f>IF(Planning!$I267=1,F264&amp;G264,"")</f>
        <v>TSG HoffenheimSV Werder Bremen</v>
      </c>
      <c r="R264" s="88" t="str">
        <f>IF(AND(O264&gt;0,Planning!$I267=1),V264&amp;Language!$E$90&amp;W264,"")</f>
        <v/>
      </c>
      <c r="S264" s="122" t="str">
        <f>IF(O264&gt;0,X264&amp;Language!$E$90&amp;Y264,"")</f>
        <v/>
      </c>
      <c r="T264" s="290">
        <f>IF($H264="",0,Results!$U269)</f>
        <v>0</v>
      </c>
      <c r="U264" s="291">
        <f>IF($I264="",0,Results!$V269)</f>
        <v>0</v>
      </c>
      <c r="V264" s="270" t="str">
        <f t="shared" si="8"/>
        <v/>
      </c>
      <c r="W264" s="291" t="str">
        <f t="shared" si="9"/>
        <v/>
      </c>
      <c r="X264" s="270">
        <f>IF($O264=0,0,IF(Results!$R269="",0,Results!$R269))</f>
        <v>0</v>
      </c>
      <c r="Y264" s="291">
        <f>IF($O264=0,0,IF(Results!$T269="",0,Results!$T269))</f>
        <v>0</v>
      </c>
      <c r="Z264" s="270" t="str">
        <f>IF($O264=0,"",IF($X264&gt;$Y264,Settings!$C$4,IF($X264=$Y264,1,0)))</f>
        <v/>
      </c>
      <c r="AA264" s="291" t="str">
        <f>IF($O264=0,"",IF($X264&lt;$Y264,Settings!$C$4,IF($X264=$Y264,1,0)))</f>
        <v/>
      </c>
    </row>
    <row r="265" spans="5:27" x14ac:dyDescent="0.2">
      <c r="E265" s="266">
        <v>262</v>
      </c>
      <c r="F265" s="171" t="str">
        <f>Planning!$Q268</f>
        <v>Borussia Dortmund</v>
      </c>
      <c r="G265" s="348" t="str">
        <f>Planning!$S268</f>
        <v>1. FC Heidenheim 1846</v>
      </c>
      <c r="H265" s="344" t="str">
        <f>IF(AND(Results!$I270&lt;&gt;"",Results!$K270&lt;&gt;"",Results!$F270&lt;&gt;Results!$H270,$F265&lt;&gt;"",$G265&lt;&gt;""),Results!$I270,"")</f>
        <v/>
      </c>
      <c r="I265" s="343" t="str">
        <f>IF(AND(Results!$I270&lt;&gt;"",Results!$K270&lt;&gt;"",Results!$F270&lt;&gt;Results!$H270,$F265&lt;&gt;"",$G265&lt;&gt;""),Results!$K270,"")</f>
        <v/>
      </c>
      <c r="J265" s="344" t="str">
        <f>IF(AND(Results!$L270&lt;&gt;"",Results!$N270&lt;&gt;"",Results!$F270&lt;&gt;Results!$H270,$F265&lt;&gt;"",$G265&lt;&gt;""),Results!$L270,"")</f>
        <v/>
      </c>
      <c r="K265" s="343" t="str">
        <f>IF(AND(Results!$L270&lt;&gt;"",Results!$N270&lt;&gt;"",Results!$F270&lt;&gt;Results!$H270,$F265&lt;&gt;"",$G265&lt;&gt;""),Results!$N270,"")</f>
        <v/>
      </c>
      <c r="L265" s="344" t="str">
        <f>IF(AND(Results!$O270&lt;&gt;"",Results!$Q270&lt;&gt;"",Results!$F270&lt;&gt;Results!$H270,$F265&lt;&gt;"",$G265&lt;&gt;""),Results!$O270,"")</f>
        <v/>
      </c>
      <c r="M265" s="122" t="str">
        <f>IF(AND(Results!$O270&lt;&gt;"",Results!$Q270&lt;&gt;"",Results!$F270&lt;&gt;Results!$H270,$F265&lt;&gt;"",$G265&lt;&gt;""),Results!$Q270,"")</f>
        <v/>
      </c>
      <c r="N265" s="16" t="str">
        <f>IF(Planning!$I268=0,F265&amp;G265,"")</f>
        <v/>
      </c>
      <c r="O265" s="122">
        <f>IF(AND(Results!$Z$6&gt;0,$E265-1&gt;=Results!$Z$6*Calc!$F$26),0,IF(AND(F265&lt;&gt;"",G265&lt;&gt;"",F265&lt;&gt;G265,Results!$R270&lt;&gt;"",Results!$T270&lt;&gt;""),1,0))</f>
        <v>0</v>
      </c>
      <c r="P265" s="122" t="str">
        <f>IF(AND(O265&gt;0,Planning!$I268=0),V265&amp;Language!$E$90&amp;W265,"")</f>
        <v/>
      </c>
      <c r="Q265" s="2" t="str">
        <f>IF(Planning!$I268=1,F265&amp;G265,"")</f>
        <v>Borussia Dortmund1. FC Heidenheim 1846</v>
      </c>
      <c r="R265" s="88" t="str">
        <f>IF(AND(O265&gt;0,Planning!$I268=1),V265&amp;Language!$E$90&amp;W265,"")</f>
        <v/>
      </c>
      <c r="S265" s="122" t="str">
        <f>IF(O265&gt;0,X265&amp;Language!$E$90&amp;Y265,"")</f>
        <v/>
      </c>
      <c r="T265" s="290">
        <f>IF($H265="",0,Results!$U270)</f>
        <v>0</v>
      </c>
      <c r="U265" s="291">
        <f>IF($I265="",0,Results!$V270)</f>
        <v>0</v>
      </c>
      <c r="V265" s="270" t="str">
        <f t="shared" si="8"/>
        <v/>
      </c>
      <c r="W265" s="291" t="str">
        <f t="shared" si="9"/>
        <v/>
      </c>
      <c r="X265" s="270">
        <f>IF($O265=0,0,IF(Results!$R270="",0,Results!$R270))</f>
        <v>0</v>
      </c>
      <c r="Y265" s="291">
        <f>IF($O265=0,0,IF(Results!$T270="",0,Results!$T270))</f>
        <v>0</v>
      </c>
      <c r="Z265" s="270" t="str">
        <f>IF($O265=0,"",IF($X265&gt;$Y265,Settings!$C$4,IF($X265=$Y265,1,0)))</f>
        <v/>
      </c>
      <c r="AA265" s="291" t="str">
        <f>IF($O265=0,"",IF($X265&lt;$Y265,Settings!$C$4,IF($X265=$Y265,1,0)))</f>
        <v/>
      </c>
    </row>
    <row r="266" spans="5:27" x14ac:dyDescent="0.2">
      <c r="E266" s="266">
        <v>263</v>
      </c>
      <c r="F266" s="171" t="str">
        <f>Planning!$Q269</f>
        <v>Borussia Mönchengladbach</v>
      </c>
      <c r="G266" s="348" t="str">
        <f>Planning!$S269</f>
        <v>Bayer 04 Leverkusen</v>
      </c>
      <c r="H266" s="344" t="str">
        <f>IF(AND(Results!$I271&lt;&gt;"",Results!$K271&lt;&gt;"",Results!$F271&lt;&gt;Results!$H271,$F266&lt;&gt;"",$G266&lt;&gt;""),Results!$I271,"")</f>
        <v/>
      </c>
      <c r="I266" s="343" t="str">
        <f>IF(AND(Results!$I271&lt;&gt;"",Results!$K271&lt;&gt;"",Results!$F271&lt;&gt;Results!$H271,$F266&lt;&gt;"",$G266&lt;&gt;""),Results!$K271,"")</f>
        <v/>
      </c>
      <c r="J266" s="344" t="str">
        <f>IF(AND(Results!$L271&lt;&gt;"",Results!$N271&lt;&gt;"",Results!$F271&lt;&gt;Results!$H271,$F266&lt;&gt;"",$G266&lt;&gt;""),Results!$L271,"")</f>
        <v/>
      </c>
      <c r="K266" s="343" t="str">
        <f>IF(AND(Results!$L271&lt;&gt;"",Results!$N271&lt;&gt;"",Results!$F271&lt;&gt;Results!$H271,$F266&lt;&gt;"",$G266&lt;&gt;""),Results!$N271,"")</f>
        <v/>
      </c>
      <c r="L266" s="344" t="str">
        <f>IF(AND(Results!$O271&lt;&gt;"",Results!$Q271&lt;&gt;"",Results!$F271&lt;&gt;Results!$H271,$F266&lt;&gt;"",$G266&lt;&gt;""),Results!$O271,"")</f>
        <v/>
      </c>
      <c r="M266" s="122" t="str">
        <f>IF(AND(Results!$O271&lt;&gt;"",Results!$Q271&lt;&gt;"",Results!$F271&lt;&gt;Results!$H271,$F266&lt;&gt;"",$G266&lt;&gt;""),Results!$Q271,"")</f>
        <v/>
      </c>
      <c r="N266" s="16" t="str">
        <f>IF(Planning!$I269=0,F266&amp;G266,"")</f>
        <v/>
      </c>
      <c r="O266" s="122">
        <f>IF(AND(Results!$Z$6&gt;0,$E266-1&gt;=Results!$Z$6*Calc!$F$26),0,IF(AND(F266&lt;&gt;"",G266&lt;&gt;"",F266&lt;&gt;G266,Results!$R271&lt;&gt;"",Results!$T271&lt;&gt;""),1,0))</f>
        <v>0</v>
      </c>
      <c r="P266" s="122" t="str">
        <f>IF(AND(O266&gt;0,Planning!$I269=0),V266&amp;Language!$E$90&amp;W266,"")</f>
        <v/>
      </c>
      <c r="Q266" s="2" t="str">
        <f>IF(Planning!$I269=1,F266&amp;G266,"")</f>
        <v>Borussia MönchengladbachBayer 04 Leverkusen</v>
      </c>
      <c r="R266" s="88" t="str">
        <f>IF(AND(O266&gt;0,Planning!$I269=1),V266&amp;Language!$E$90&amp;W266,"")</f>
        <v/>
      </c>
      <c r="S266" s="122" t="str">
        <f>IF(O266&gt;0,X266&amp;Language!$E$90&amp;Y266,"")</f>
        <v/>
      </c>
      <c r="T266" s="290">
        <f>IF($H266="",0,Results!$U271)</f>
        <v>0</v>
      </c>
      <c r="U266" s="291">
        <f>IF($I266="",0,Results!$V271)</f>
        <v>0</v>
      </c>
      <c r="V266" s="270" t="str">
        <f t="shared" si="8"/>
        <v/>
      </c>
      <c r="W266" s="291" t="str">
        <f t="shared" si="9"/>
        <v/>
      </c>
      <c r="X266" s="270">
        <f>IF($O266=0,0,IF(Results!$R271="",0,Results!$R271))</f>
        <v>0</v>
      </c>
      <c r="Y266" s="291">
        <f>IF($O266=0,0,IF(Results!$T271="",0,Results!$T271))</f>
        <v>0</v>
      </c>
      <c r="Z266" s="270" t="str">
        <f>IF($O266=0,"",IF($X266&gt;$Y266,Settings!$C$4,IF($X266=$Y266,1,0)))</f>
        <v/>
      </c>
      <c r="AA266" s="291" t="str">
        <f>IF($O266=0,"",IF($X266&lt;$Y266,Settings!$C$4,IF($X266=$Y266,1,0)))</f>
        <v/>
      </c>
    </row>
    <row r="267" spans="5:27" x14ac:dyDescent="0.2">
      <c r="E267" s="266">
        <v>264</v>
      </c>
      <c r="F267" s="171" t="str">
        <f>Planning!$Q270</f>
        <v>1. FSV Mainz 05</v>
      </c>
      <c r="G267" s="348" t="str">
        <f>Planning!$S270</f>
        <v>Eintracht Frankfurt</v>
      </c>
      <c r="H267" s="344" t="str">
        <f>IF(AND(Results!$I272&lt;&gt;"",Results!$K272&lt;&gt;"",Results!$F272&lt;&gt;Results!$H272,$F267&lt;&gt;"",$G267&lt;&gt;""),Results!$I272,"")</f>
        <v/>
      </c>
      <c r="I267" s="343" t="str">
        <f>IF(AND(Results!$I272&lt;&gt;"",Results!$K272&lt;&gt;"",Results!$F272&lt;&gt;Results!$H272,$F267&lt;&gt;"",$G267&lt;&gt;""),Results!$K272,"")</f>
        <v/>
      </c>
      <c r="J267" s="344" t="str">
        <f>IF(AND(Results!$L272&lt;&gt;"",Results!$N272&lt;&gt;"",Results!$F272&lt;&gt;Results!$H272,$F267&lt;&gt;"",$G267&lt;&gt;""),Results!$L272,"")</f>
        <v/>
      </c>
      <c r="K267" s="343" t="str">
        <f>IF(AND(Results!$L272&lt;&gt;"",Results!$N272&lt;&gt;"",Results!$F272&lt;&gt;Results!$H272,$F267&lt;&gt;"",$G267&lt;&gt;""),Results!$N272,"")</f>
        <v/>
      </c>
      <c r="L267" s="344" t="str">
        <f>IF(AND(Results!$O272&lt;&gt;"",Results!$Q272&lt;&gt;"",Results!$F272&lt;&gt;Results!$H272,$F267&lt;&gt;"",$G267&lt;&gt;""),Results!$O272,"")</f>
        <v/>
      </c>
      <c r="M267" s="122" t="str">
        <f>IF(AND(Results!$O272&lt;&gt;"",Results!$Q272&lt;&gt;"",Results!$F272&lt;&gt;Results!$H272,$F267&lt;&gt;"",$G267&lt;&gt;""),Results!$Q272,"")</f>
        <v/>
      </c>
      <c r="N267" s="16" t="str">
        <f>IF(Planning!$I270=0,F267&amp;G267,"")</f>
        <v/>
      </c>
      <c r="O267" s="122">
        <f>IF(AND(Results!$Z$6&gt;0,$E267-1&gt;=Results!$Z$6*Calc!$F$26),0,IF(AND(F267&lt;&gt;"",G267&lt;&gt;"",F267&lt;&gt;G267,Results!$R272&lt;&gt;"",Results!$T272&lt;&gt;""),1,0))</f>
        <v>0</v>
      </c>
      <c r="P267" s="122" t="str">
        <f>IF(AND(O267&gt;0,Planning!$I270=0),V267&amp;Language!$E$90&amp;W267,"")</f>
        <v/>
      </c>
      <c r="Q267" s="2" t="str">
        <f>IF(Planning!$I270=1,F267&amp;G267,"")</f>
        <v>1. FSV Mainz 05Eintracht Frankfurt</v>
      </c>
      <c r="R267" s="88" t="str">
        <f>IF(AND(O267&gt;0,Planning!$I270=1),V267&amp;Language!$E$90&amp;W267,"")</f>
        <v/>
      </c>
      <c r="S267" s="122" t="str">
        <f>IF(O267&gt;0,X267&amp;Language!$E$90&amp;Y267,"")</f>
        <v/>
      </c>
      <c r="T267" s="290">
        <f>IF($H267="",0,Results!$U272)</f>
        <v>0</v>
      </c>
      <c r="U267" s="291">
        <f>IF($I267="",0,Results!$V272)</f>
        <v>0</v>
      </c>
      <c r="V267" s="270" t="str">
        <f t="shared" si="8"/>
        <v/>
      </c>
      <c r="W267" s="291" t="str">
        <f t="shared" si="9"/>
        <v/>
      </c>
      <c r="X267" s="270">
        <f>IF($O267=0,0,IF(Results!$R272="",0,Results!$R272))</f>
        <v>0</v>
      </c>
      <c r="Y267" s="291">
        <f>IF($O267=0,0,IF(Results!$T272="",0,Results!$T272))</f>
        <v>0</v>
      </c>
      <c r="Z267" s="270" t="str">
        <f>IF($O267=0,"",IF($X267&gt;$Y267,Settings!$C$4,IF($X267=$Y267,1,0)))</f>
        <v/>
      </c>
      <c r="AA267" s="291" t="str">
        <f>IF($O267=0,"",IF($X267&lt;$Y267,Settings!$C$4,IF($X267=$Y267,1,0)))</f>
        <v/>
      </c>
    </row>
    <row r="268" spans="5:27" x14ac:dyDescent="0.2">
      <c r="E268" s="266">
        <v>265</v>
      </c>
      <c r="F268" s="171" t="str">
        <f>Planning!$Q271</f>
        <v>FC Augsburg</v>
      </c>
      <c r="G268" s="348" t="str">
        <f>Planning!$S271</f>
        <v>1. FC Union Berlin</v>
      </c>
      <c r="H268" s="344" t="str">
        <f>IF(AND(Results!$I273&lt;&gt;"",Results!$K273&lt;&gt;"",Results!$F273&lt;&gt;Results!$H273,$F268&lt;&gt;"",$G268&lt;&gt;""),Results!$I273,"")</f>
        <v/>
      </c>
      <c r="I268" s="343" t="str">
        <f>IF(AND(Results!$I273&lt;&gt;"",Results!$K273&lt;&gt;"",Results!$F273&lt;&gt;Results!$H273,$F268&lt;&gt;"",$G268&lt;&gt;""),Results!$K273,"")</f>
        <v/>
      </c>
      <c r="J268" s="344" t="str">
        <f>IF(AND(Results!$L273&lt;&gt;"",Results!$N273&lt;&gt;"",Results!$F273&lt;&gt;Results!$H273,$F268&lt;&gt;"",$G268&lt;&gt;""),Results!$L273,"")</f>
        <v/>
      </c>
      <c r="K268" s="343" t="str">
        <f>IF(AND(Results!$L273&lt;&gt;"",Results!$N273&lt;&gt;"",Results!$F273&lt;&gt;Results!$H273,$F268&lt;&gt;"",$G268&lt;&gt;""),Results!$N273,"")</f>
        <v/>
      </c>
      <c r="L268" s="344" t="str">
        <f>IF(AND(Results!$O273&lt;&gt;"",Results!$Q273&lt;&gt;"",Results!$F273&lt;&gt;Results!$H273,$F268&lt;&gt;"",$G268&lt;&gt;""),Results!$O273,"")</f>
        <v/>
      </c>
      <c r="M268" s="122" t="str">
        <f>IF(AND(Results!$O273&lt;&gt;"",Results!$Q273&lt;&gt;"",Results!$F273&lt;&gt;Results!$H273,$F268&lt;&gt;"",$G268&lt;&gt;""),Results!$Q273,"")</f>
        <v/>
      </c>
      <c r="N268" s="16" t="str">
        <f>IF(Planning!$I271=0,F268&amp;G268,"")</f>
        <v/>
      </c>
      <c r="O268" s="122">
        <f>IF(AND(Results!$Z$6&gt;0,$E268-1&gt;=Results!$Z$6*Calc!$F$26),0,IF(AND(F268&lt;&gt;"",G268&lt;&gt;"",F268&lt;&gt;G268,Results!$R273&lt;&gt;"",Results!$T273&lt;&gt;""),1,0))</f>
        <v>0</v>
      </c>
      <c r="P268" s="122" t="str">
        <f>IF(AND(O268&gt;0,Planning!$I271=0),V268&amp;Language!$E$90&amp;W268,"")</f>
        <v/>
      </c>
      <c r="Q268" s="2" t="str">
        <f>IF(Planning!$I271=1,F268&amp;G268,"")</f>
        <v>FC Augsburg1. FC Union Berlin</v>
      </c>
      <c r="R268" s="88" t="str">
        <f>IF(AND(O268&gt;0,Planning!$I271=1),V268&amp;Language!$E$90&amp;W268,"")</f>
        <v/>
      </c>
      <c r="S268" s="122" t="str">
        <f>IF(O268&gt;0,X268&amp;Language!$E$90&amp;Y268,"")</f>
        <v/>
      </c>
      <c r="T268" s="290">
        <f>IF($H268="",0,Results!$U273)</f>
        <v>0</v>
      </c>
      <c r="U268" s="291">
        <f>IF($I268="",0,Results!$V273)</f>
        <v>0</v>
      </c>
      <c r="V268" s="270" t="str">
        <f t="shared" si="8"/>
        <v/>
      </c>
      <c r="W268" s="291" t="str">
        <f t="shared" si="9"/>
        <v/>
      </c>
      <c r="X268" s="270">
        <f>IF($O268=0,0,IF(Results!$R273="",0,Results!$R273))</f>
        <v>0</v>
      </c>
      <c r="Y268" s="291">
        <f>IF($O268=0,0,IF(Results!$T273="",0,Results!$T273))</f>
        <v>0</v>
      </c>
      <c r="Z268" s="270" t="str">
        <f>IF($O268=0,"",IF($X268&gt;$Y268,Settings!$C$4,IF($X268=$Y268,1,0)))</f>
        <v/>
      </c>
      <c r="AA268" s="291" t="str">
        <f>IF($O268=0,"",IF($X268&lt;$Y268,Settings!$C$4,IF($X268=$Y268,1,0)))</f>
        <v/>
      </c>
    </row>
    <row r="269" spans="5:27" x14ac:dyDescent="0.2">
      <c r="E269" s="266">
        <v>266</v>
      </c>
      <c r="F269" s="171" t="str">
        <f>Planning!$Q272</f>
        <v>1. FC Köln</v>
      </c>
      <c r="G269" s="348" t="str">
        <f>Planning!$S272</f>
        <v>FC Bayern München</v>
      </c>
      <c r="H269" s="344" t="str">
        <f>IF(AND(Results!$I274&lt;&gt;"",Results!$K274&lt;&gt;"",Results!$F274&lt;&gt;Results!$H274,$F269&lt;&gt;"",$G269&lt;&gt;""),Results!$I274,"")</f>
        <v/>
      </c>
      <c r="I269" s="343" t="str">
        <f>IF(AND(Results!$I274&lt;&gt;"",Results!$K274&lt;&gt;"",Results!$F274&lt;&gt;Results!$H274,$F269&lt;&gt;"",$G269&lt;&gt;""),Results!$K274,"")</f>
        <v/>
      </c>
      <c r="J269" s="344" t="str">
        <f>IF(AND(Results!$L274&lt;&gt;"",Results!$N274&lt;&gt;"",Results!$F274&lt;&gt;Results!$H274,$F269&lt;&gt;"",$G269&lt;&gt;""),Results!$L274,"")</f>
        <v/>
      </c>
      <c r="K269" s="343" t="str">
        <f>IF(AND(Results!$L274&lt;&gt;"",Results!$N274&lt;&gt;"",Results!$F274&lt;&gt;Results!$H274,$F269&lt;&gt;"",$G269&lt;&gt;""),Results!$N274,"")</f>
        <v/>
      </c>
      <c r="L269" s="344" t="str">
        <f>IF(AND(Results!$O274&lt;&gt;"",Results!$Q274&lt;&gt;"",Results!$F274&lt;&gt;Results!$H274,$F269&lt;&gt;"",$G269&lt;&gt;""),Results!$O274,"")</f>
        <v/>
      </c>
      <c r="M269" s="122" t="str">
        <f>IF(AND(Results!$O274&lt;&gt;"",Results!$Q274&lt;&gt;"",Results!$F274&lt;&gt;Results!$H274,$F269&lt;&gt;"",$G269&lt;&gt;""),Results!$Q274,"")</f>
        <v/>
      </c>
      <c r="N269" s="16" t="str">
        <f>IF(Planning!$I272=0,F269&amp;G269,"")</f>
        <v/>
      </c>
      <c r="O269" s="122">
        <f>IF(AND(Results!$Z$6&gt;0,$E269-1&gt;=Results!$Z$6*Calc!$F$26),0,IF(AND(F269&lt;&gt;"",G269&lt;&gt;"",F269&lt;&gt;G269,Results!$R274&lt;&gt;"",Results!$T274&lt;&gt;""),1,0))</f>
        <v>0</v>
      </c>
      <c r="P269" s="122" t="str">
        <f>IF(AND(O269&gt;0,Planning!$I272=0),V269&amp;Language!$E$90&amp;W269,"")</f>
        <v/>
      </c>
      <c r="Q269" s="2" t="str">
        <f>IF(Planning!$I272=1,F269&amp;G269,"")</f>
        <v>1. FC KölnFC Bayern München</v>
      </c>
      <c r="R269" s="88" t="str">
        <f>IF(AND(O269&gt;0,Planning!$I272=1),V269&amp;Language!$E$90&amp;W269,"")</f>
        <v/>
      </c>
      <c r="S269" s="122" t="str">
        <f>IF(O269&gt;0,X269&amp;Language!$E$90&amp;Y269,"")</f>
        <v/>
      </c>
      <c r="T269" s="290">
        <f>IF($H269="",0,Results!$U274)</f>
        <v>0</v>
      </c>
      <c r="U269" s="291">
        <f>IF($I269="",0,Results!$V274)</f>
        <v>0</v>
      </c>
      <c r="V269" s="270" t="str">
        <f t="shared" si="8"/>
        <v/>
      </c>
      <c r="W269" s="291" t="str">
        <f t="shared" si="9"/>
        <v/>
      </c>
      <c r="X269" s="270">
        <f>IF($O269=0,0,IF(Results!$R274="",0,Results!$R274))</f>
        <v>0</v>
      </c>
      <c r="Y269" s="291">
        <f>IF($O269=0,0,IF(Results!$T274="",0,Results!$T274))</f>
        <v>0</v>
      </c>
      <c r="Z269" s="270" t="str">
        <f>IF($O269=0,"",IF($X269&gt;$Y269,Settings!$C$4,IF($X269=$Y269,1,0)))</f>
        <v/>
      </c>
      <c r="AA269" s="291" t="str">
        <f>IF($O269=0,"",IF($X269&lt;$Y269,Settings!$C$4,IF($X269=$Y269,1,0)))</f>
        <v/>
      </c>
    </row>
    <row r="270" spans="5:27" x14ac:dyDescent="0.2">
      <c r="E270" s="266">
        <v>267</v>
      </c>
      <c r="F270" s="171" t="str">
        <f>Planning!$Q273</f>
        <v>FC St. Pauli</v>
      </c>
      <c r="G270" s="348" t="str">
        <f>Planning!$S273</f>
        <v>VfL Wolfsburg</v>
      </c>
      <c r="H270" s="344" t="str">
        <f>IF(AND(Results!$I275&lt;&gt;"",Results!$K275&lt;&gt;"",Results!$F275&lt;&gt;Results!$H275,$F270&lt;&gt;"",$G270&lt;&gt;""),Results!$I275,"")</f>
        <v/>
      </c>
      <c r="I270" s="343" t="str">
        <f>IF(AND(Results!$I275&lt;&gt;"",Results!$K275&lt;&gt;"",Results!$F275&lt;&gt;Results!$H275,$F270&lt;&gt;"",$G270&lt;&gt;""),Results!$K275,"")</f>
        <v/>
      </c>
      <c r="J270" s="344" t="str">
        <f>IF(AND(Results!$L275&lt;&gt;"",Results!$N275&lt;&gt;"",Results!$F275&lt;&gt;Results!$H275,$F270&lt;&gt;"",$G270&lt;&gt;""),Results!$L275,"")</f>
        <v/>
      </c>
      <c r="K270" s="343" t="str">
        <f>IF(AND(Results!$L275&lt;&gt;"",Results!$N275&lt;&gt;"",Results!$F275&lt;&gt;Results!$H275,$F270&lt;&gt;"",$G270&lt;&gt;""),Results!$N275,"")</f>
        <v/>
      </c>
      <c r="L270" s="344" t="str">
        <f>IF(AND(Results!$O275&lt;&gt;"",Results!$Q275&lt;&gt;"",Results!$F275&lt;&gt;Results!$H275,$F270&lt;&gt;"",$G270&lt;&gt;""),Results!$O275,"")</f>
        <v/>
      </c>
      <c r="M270" s="122" t="str">
        <f>IF(AND(Results!$O275&lt;&gt;"",Results!$Q275&lt;&gt;"",Results!$F275&lt;&gt;Results!$H275,$F270&lt;&gt;"",$G270&lt;&gt;""),Results!$Q275,"")</f>
        <v/>
      </c>
      <c r="N270" s="16" t="str">
        <f>IF(Planning!$I273=0,F270&amp;G270,"")</f>
        <v/>
      </c>
      <c r="O270" s="122">
        <f>IF(AND(Results!$Z$6&gt;0,$E270-1&gt;=Results!$Z$6*Calc!$F$26),0,IF(AND(F270&lt;&gt;"",G270&lt;&gt;"",F270&lt;&gt;G270,Results!$R275&lt;&gt;"",Results!$T275&lt;&gt;""),1,0))</f>
        <v>0</v>
      </c>
      <c r="P270" s="122" t="str">
        <f>IF(AND(O270&gt;0,Planning!$I273=0),V270&amp;Language!$E$90&amp;W270,"")</f>
        <v/>
      </c>
      <c r="Q270" s="2" t="str">
        <f>IF(Planning!$I273=1,F270&amp;G270,"")</f>
        <v>FC St. PauliVfL Wolfsburg</v>
      </c>
      <c r="R270" s="88" t="str">
        <f>IF(AND(O270&gt;0,Planning!$I273=1),V270&amp;Language!$E$90&amp;W270,"")</f>
        <v/>
      </c>
      <c r="S270" s="122" t="str">
        <f>IF(O270&gt;0,X270&amp;Language!$E$90&amp;Y270,"")</f>
        <v/>
      </c>
      <c r="T270" s="290">
        <f>IF($H270="",0,Results!$U275)</f>
        <v>0</v>
      </c>
      <c r="U270" s="291">
        <f>IF($I270="",0,Results!$V275)</f>
        <v>0</v>
      </c>
      <c r="V270" s="270" t="str">
        <f t="shared" si="8"/>
        <v/>
      </c>
      <c r="W270" s="291" t="str">
        <f t="shared" si="9"/>
        <v/>
      </c>
      <c r="X270" s="270">
        <f>IF($O270=0,0,IF(Results!$R275="",0,Results!$R275))</f>
        <v>0</v>
      </c>
      <c r="Y270" s="291">
        <f>IF($O270=0,0,IF(Results!$T275="",0,Results!$T275))</f>
        <v>0</v>
      </c>
      <c r="Z270" s="270" t="str">
        <f>IF($O270=0,"",IF($X270&gt;$Y270,Settings!$C$4,IF($X270=$Y270,1,0)))</f>
        <v/>
      </c>
      <c r="AA270" s="291" t="str">
        <f>IF($O270=0,"",IF($X270&lt;$Y270,Settings!$C$4,IF($X270=$Y270,1,0)))</f>
        <v/>
      </c>
    </row>
    <row r="271" spans="5:27" x14ac:dyDescent="0.2">
      <c r="E271" s="266">
        <v>268</v>
      </c>
      <c r="F271" s="171" t="str">
        <f>Planning!$Q274</f>
        <v>VfB Stuttgart</v>
      </c>
      <c r="G271" s="348" t="str">
        <f>Planning!$S274</f>
        <v>Hamburger SV</v>
      </c>
      <c r="H271" s="344" t="str">
        <f>IF(AND(Results!$I276&lt;&gt;"",Results!$K276&lt;&gt;"",Results!$F276&lt;&gt;Results!$H276,$F271&lt;&gt;"",$G271&lt;&gt;""),Results!$I276,"")</f>
        <v/>
      </c>
      <c r="I271" s="343" t="str">
        <f>IF(AND(Results!$I276&lt;&gt;"",Results!$K276&lt;&gt;"",Results!$F276&lt;&gt;Results!$H276,$F271&lt;&gt;"",$G271&lt;&gt;""),Results!$K276,"")</f>
        <v/>
      </c>
      <c r="J271" s="344" t="str">
        <f>IF(AND(Results!$L276&lt;&gt;"",Results!$N276&lt;&gt;"",Results!$F276&lt;&gt;Results!$H276,$F271&lt;&gt;"",$G271&lt;&gt;""),Results!$L276,"")</f>
        <v/>
      </c>
      <c r="K271" s="343" t="str">
        <f>IF(AND(Results!$L276&lt;&gt;"",Results!$N276&lt;&gt;"",Results!$F276&lt;&gt;Results!$H276,$F271&lt;&gt;"",$G271&lt;&gt;""),Results!$N276,"")</f>
        <v/>
      </c>
      <c r="L271" s="344" t="str">
        <f>IF(AND(Results!$O276&lt;&gt;"",Results!$Q276&lt;&gt;"",Results!$F276&lt;&gt;Results!$H276,$F271&lt;&gt;"",$G271&lt;&gt;""),Results!$O276,"")</f>
        <v/>
      </c>
      <c r="M271" s="122" t="str">
        <f>IF(AND(Results!$O276&lt;&gt;"",Results!$Q276&lt;&gt;"",Results!$F276&lt;&gt;Results!$H276,$F271&lt;&gt;"",$G271&lt;&gt;""),Results!$Q276,"")</f>
        <v/>
      </c>
      <c r="N271" s="16" t="str">
        <f>IF(Planning!$I274=0,F271&amp;G271,"")</f>
        <v/>
      </c>
      <c r="O271" s="122">
        <f>IF(AND(Results!$Z$6&gt;0,$E271-1&gt;=Results!$Z$6*Calc!$F$26),0,IF(AND(F271&lt;&gt;"",G271&lt;&gt;"",F271&lt;&gt;G271,Results!$R276&lt;&gt;"",Results!$T276&lt;&gt;""),1,0))</f>
        <v>0</v>
      </c>
      <c r="P271" s="122" t="str">
        <f>IF(AND(O271&gt;0,Planning!$I274=0),V271&amp;Language!$E$90&amp;W271,"")</f>
        <v/>
      </c>
      <c r="Q271" s="2" t="str">
        <f>IF(Planning!$I274=1,F271&amp;G271,"")</f>
        <v>VfB StuttgartHamburger SV</v>
      </c>
      <c r="R271" s="88" t="str">
        <f>IF(AND(O271&gt;0,Planning!$I274=1),V271&amp;Language!$E$90&amp;W271,"")</f>
        <v/>
      </c>
      <c r="S271" s="122" t="str">
        <f>IF(O271&gt;0,X271&amp;Language!$E$90&amp;Y271,"")</f>
        <v/>
      </c>
      <c r="T271" s="290">
        <f>IF($H271="",0,Results!$U276)</f>
        <v>0</v>
      </c>
      <c r="U271" s="291">
        <f>IF($I271="",0,Results!$V276)</f>
        <v>0</v>
      </c>
      <c r="V271" s="270" t="str">
        <f t="shared" si="8"/>
        <v/>
      </c>
      <c r="W271" s="291" t="str">
        <f t="shared" si="9"/>
        <v/>
      </c>
      <c r="X271" s="270">
        <f>IF($O271=0,0,IF(Results!$R276="",0,Results!$R276))</f>
        <v>0</v>
      </c>
      <c r="Y271" s="291">
        <f>IF($O271=0,0,IF(Results!$T276="",0,Results!$T276))</f>
        <v>0</v>
      </c>
      <c r="Z271" s="270" t="str">
        <f>IF($O271=0,"",IF($X271&gt;$Y271,Settings!$C$4,IF($X271=$Y271,1,0)))</f>
        <v/>
      </c>
      <c r="AA271" s="291" t="str">
        <f>IF($O271=0,"",IF($X271&lt;$Y271,Settings!$C$4,IF($X271=$Y271,1,0)))</f>
        <v/>
      </c>
    </row>
    <row r="272" spans="5:27" x14ac:dyDescent="0.2">
      <c r="E272" s="266">
        <v>269</v>
      </c>
      <c r="F272" s="171" t="str">
        <f>Planning!$Q275</f>
        <v>RB Leipzig</v>
      </c>
      <c r="G272" s="348" t="str">
        <f>Planning!$S275</f>
        <v>TSG Hoffenheim</v>
      </c>
      <c r="H272" s="344" t="str">
        <f>IF(AND(Results!$I277&lt;&gt;"",Results!$K277&lt;&gt;"",Results!$F277&lt;&gt;Results!$H277,$F272&lt;&gt;"",$G272&lt;&gt;""),Results!$I277,"")</f>
        <v/>
      </c>
      <c r="I272" s="343" t="str">
        <f>IF(AND(Results!$I277&lt;&gt;"",Results!$K277&lt;&gt;"",Results!$F277&lt;&gt;Results!$H277,$F272&lt;&gt;"",$G272&lt;&gt;""),Results!$K277,"")</f>
        <v/>
      </c>
      <c r="J272" s="344" t="str">
        <f>IF(AND(Results!$L277&lt;&gt;"",Results!$N277&lt;&gt;"",Results!$F277&lt;&gt;Results!$H277,$F272&lt;&gt;"",$G272&lt;&gt;""),Results!$L277,"")</f>
        <v/>
      </c>
      <c r="K272" s="343" t="str">
        <f>IF(AND(Results!$L277&lt;&gt;"",Results!$N277&lt;&gt;"",Results!$F277&lt;&gt;Results!$H277,$F272&lt;&gt;"",$G272&lt;&gt;""),Results!$N277,"")</f>
        <v/>
      </c>
      <c r="L272" s="344" t="str">
        <f>IF(AND(Results!$O277&lt;&gt;"",Results!$Q277&lt;&gt;"",Results!$F277&lt;&gt;Results!$H277,$F272&lt;&gt;"",$G272&lt;&gt;""),Results!$O277,"")</f>
        <v/>
      </c>
      <c r="M272" s="122" t="str">
        <f>IF(AND(Results!$O277&lt;&gt;"",Results!$Q277&lt;&gt;"",Results!$F277&lt;&gt;Results!$H277,$F272&lt;&gt;"",$G272&lt;&gt;""),Results!$Q277,"")</f>
        <v/>
      </c>
      <c r="N272" s="16" t="str">
        <f>IF(Planning!$I275=0,F272&amp;G272,"")</f>
        <v/>
      </c>
      <c r="O272" s="122">
        <f>IF(AND(Results!$Z$6&gt;0,$E272-1&gt;=Results!$Z$6*Calc!$F$26),0,IF(AND(F272&lt;&gt;"",G272&lt;&gt;"",F272&lt;&gt;G272,Results!$R277&lt;&gt;"",Results!$T277&lt;&gt;""),1,0))</f>
        <v>0</v>
      </c>
      <c r="P272" s="122" t="str">
        <f>IF(AND(O272&gt;0,Planning!$I275=0),V272&amp;Language!$E$90&amp;W272,"")</f>
        <v/>
      </c>
      <c r="Q272" s="2" t="str">
        <f>IF(Planning!$I275=1,F272&amp;G272,"")</f>
        <v>RB LeipzigTSG Hoffenheim</v>
      </c>
      <c r="R272" s="88" t="str">
        <f>IF(AND(O272&gt;0,Planning!$I275=1),V272&amp;Language!$E$90&amp;W272,"")</f>
        <v/>
      </c>
      <c r="S272" s="122" t="str">
        <f>IF(O272&gt;0,X272&amp;Language!$E$90&amp;Y272,"")</f>
        <v/>
      </c>
      <c r="T272" s="290">
        <f>IF($H272="",0,Results!$U277)</f>
        <v>0</v>
      </c>
      <c r="U272" s="291">
        <f>IF($I272="",0,Results!$V277)</f>
        <v>0</v>
      </c>
      <c r="V272" s="270" t="str">
        <f t="shared" si="8"/>
        <v/>
      </c>
      <c r="W272" s="291" t="str">
        <f t="shared" si="9"/>
        <v/>
      </c>
      <c r="X272" s="270">
        <f>IF($O272=0,0,IF(Results!$R277="",0,Results!$R277))</f>
        <v>0</v>
      </c>
      <c r="Y272" s="291">
        <f>IF($O272=0,0,IF(Results!$T277="",0,Results!$T277))</f>
        <v>0</v>
      </c>
      <c r="Z272" s="270" t="str">
        <f>IF($O272=0,"",IF($X272&gt;$Y272,Settings!$C$4,IF($X272=$Y272,1,0)))</f>
        <v/>
      </c>
      <c r="AA272" s="291" t="str">
        <f>IF($O272=0,"",IF($X272&lt;$Y272,Settings!$C$4,IF($X272=$Y272,1,0)))</f>
        <v/>
      </c>
    </row>
    <row r="273" spans="5:27" x14ac:dyDescent="0.2">
      <c r="E273" s="266">
        <v>270</v>
      </c>
      <c r="F273" s="171" t="str">
        <f>Planning!$Q276</f>
        <v>SV Werder Bremen</v>
      </c>
      <c r="G273" s="348" t="str">
        <f>Planning!$S276</f>
        <v>SC Freiburg</v>
      </c>
      <c r="H273" s="344" t="str">
        <f>IF(AND(Results!$I278&lt;&gt;"",Results!$K278&lt;&gt;"",Results!$F278&lt;&gt;Results!$H278,$F273&lt;&gt;"",$G273&lt;&gt;""),Results!$I278,"")</f>
        <v/>
      </c>
      <c r="I273" s="343" t="str">
        <f>IF(AND(Results!$I278&lt;&gt;"",Results!$K278&lt;&gt;"",Results!$F278&lt;&gt;Results!$H278,$F273&lt;&gt;"",$G273&lt;&gt;""),Results!$K278,"")</f>
        <v/>
      </c>
      <c r="J273" s="344" t="str">
        <f>IF(AND(Results!$L278&lt;&gt;"",Results!$N278&lt;&gt;"",Results!$F278&lt;&gt;Results!$H278,$F273&lt;&gt;"",$G273&lt;&gt;""),Results!$L278,"")</f>
        <v/>
      </c>
      <c r="K273" s="343" t="str">
        <f>IF(AND(Results!$L278&lt;&gt;"",Results!$N278&lt;&gt;"",Results!$F278&lt;&gt;Results!$H278,$F273&lt;&gt;"",$G273&lt;&gt;""),Results!$N278,"")</f>
        <v/>
      </c>
      <c r="L273" s="344" t="str">
        <f>IF(AND(Results!$O278&lt;&gt;"",Results!$Q278&lt;&gt;"",Results!$F278&lt;&gt;Results!$H278,$F273&lt;&gt;"",$G273&lt;&gt;""),Results!$O278,"")</f>
        <v/>
      </c>
      <c r="M273" s="122" t="str">
        <f>IF(AND(Results!$O278&lt;&gt;"",Results!$Q278&lt;&gt;"",Results!$F278&lt;&gt;Results!$H278,$F273&lt;&gt;"",$G273&lt;&gt;""),Results!$Q278,"")</f>
        <v/>
      </c>
      <c r="N273" s="16" t="str">
        <f>IF(Planning!$I276=0,F273&amp;G273,"")</f>
        <v/>
      </c>
      <c r="O273" s="122">
        <f>IF(AND(Results!$Z$6&gt;0,$E273-1&gt;=Results!$Z$6*Calc!$F$26),0,IF(AND(F273&lt;&gt;"",G273&lt;&gt;"",F273&lt;&gt;G273,Results!$R278&lt;&gt;"",Results!$T278&lt;&gt;""),1,0))</f>
        <v>0</v>
      </c>
      <c r="P273" s="122" t="str">
        <f>IF(AND(O273&gt;0,Planning!$I276=0),V273&amp;Language!$E$90&amp;W273,"")</f>
        <v/>
      </c>
      <c r="Q273" s="2" t="str">
        <f>IF(Planning!$I276=1,F273&amp;G273,"")</f>
        <v>SV Werder BremenSC Freiburg</v>
      </c>
      <c r="R273" s="88" t="str">
        <f>IF(AND(O273&gt;0,Planning!$I276=1),V273&amp;Language!$E$90&amp;W273,"")</f>
        <v/>
      </c>
      <c r="S273" s="122" t="str">
        <f>IF(O273&gt;0,X273&amp;Language!$E$90&amp;Y273,"")</f>
        <v/>
      </c>
      <c r="T273" s="290">
        <f>IF($H273="",0,Results!$U278)</f>
        <v>0</v>
      </c>
      <c r="U273" s="291">
        <f>IF($I273="",0,Results!$V278)</f>
        <v>0</v>
      </c>
      <c r="V273" s="270" t="str">
        <f t="shared" si="8"/>
        <v/>
      </c>
      <c r="W273" s="291" t="str">
        <f t="shared" si="9"/>
        <v/>
      </c>
      <c r="X273" s="270">
        <f>IF($O273=0,0,IF(Results!$R278="",0,Results!$R278))</f>
        <v>0</v>
      </c>
      <c r="Y273" s="291">
        <f>IF($O273=0,0,IF(Results!$T278="",0,Results!$T278))</f>
        <v>0</v>
      </c>
      <c r="Z273" s="270" t="str">
        <f>IF($O273=0,"",IF($X273&gt;$Y273,Settings!$C$4,IF($X273=$Y273,1,0)))</f>
        <v/>
      </c>
      <c r="AA273" s="291" t="str">
        <f>IF($O273=0,"",IF($X273&lt;$Y273,Settings!$C$4,IF($X273=$Y273,1,0)))</f>
        <v/>
      </c>
    </row>
    <row r="274" spans="5:27" x14ac:dyDescent="0.2">
      <c r="E274" s="266">
        <v>271</v>
      </c>
      <c r="F274" s="171" t="str">
        <f>Planning!$Q277</f>
        <v>1. FC Heidenheim 1846</v>
      </c>
      <c r="G274" s="348" t="str">
        <f>Planning!$S277</f>
        <v>Bayer 04 Leverkusen</v>
      </c>
      <c r="H274" s="344" t="str">
        <f>IF(AND(Results!$I279&lt;&gt;"",Results!$K279&lt;&gt;"",Results!$F279&lt;&gt;Results!$H279,$F274&lt;&gt;"",$G274&lt;&gt;""),Results!$I279,"")</f>
        <v/>
      </c>
      <c r="I274" s="343" t="str">
        <f>IF(AND(Results!$I279&lt;&gt;"",Results!$K279&lt;&gt;"",Results!$F279&lt;&gt;Results!$H279,$F274&lt;&gt;"",$G274&lt;&gt;""),Results!$K279,"")</f>
        <v/>
      </c>
      <c r="J274" s="344" t="str">
        <f>IF(AND(Results!$L279&lt;&gt;"",Results!$N279&lt;&gt;"",Results!$F279&lt;&gt;Results!$H279,$F274&lt;&gt;"",$G274&lt;&gt;""),Results!$L279,"")</f>
        <v/>
      </c>
      <c r="K274" s="343" t="str">
        <f>IF(AND(Results!$L279&lt;&gt;"",Results!$N279&lt;&gt;"",Results!$F279&lt;&gt;Results!$H279,$F274&lt;&gt;"",$G274&lt;&gt;""),Results!$N279,"")</f>
        <v/>
      </c>
      <c r="L274" s="344" t="str">
        <f>IF(AND(Results!$O279&lt;&gt;"",Results!$Q279&lt;&gt;"",Results!$F279&lt;&gt;Results!$H279,$F274&lt;&gt;"",$G274&lt;&gt;""),Results!$O279,"")</f>
        <v/>
      </c>
      <c r="M274" s="122" t="str">
        <f>IF(AND(Results!$O279&lt;&gt;"",Results!$Q279&lt;&gt;"",Results!$F279&lt;&gt;Results!$H279,$F274&lt;&gt;"",$G274&lt;&gt;""),Results!$Q279,"")</f>
        <v/>
      </c>
      <c r="N274" s="16" t="str">
        <f>IF(Planning!$I277=0,F274&amp;G274,"")</f>
        <v/>
      </c>
      <c r="O274" s="122">
        <f>IF(AND(Results!$Z$6&gt;0,$E274-1&gt;=Results!$Z$6*Calc!$F$26),0,IF(AND(F274&lt;&gt;"",G274&lt;&gt;"",F274&lt;&gt;G274,Results!$R279&lt;&gt;"",Results!$T279&lt;&gt;""),1,0))</f>
        <v>0</v>
      </c>
      <c r="P274" s="122" t="str">
        <f>IF(AND(O274&gt;0,Planning!$I277=0),V274&amp;Language!$E$90&amp;W274,"")</f>
        <v/>
      </c>
      <c r="Q274" s="2" t="str">
        <f>IF(Planning!$I277=1,F274&amp;G274,"")</f>
        <v>1. FC Heidenheim 1846Bayer 04 Leverkusen</v>
      </c>
      <c r="R274" s="88" t="str">
        <f>IF(AND(O274&gt;0,Planning!$I277=1),V274&amp;Language!$E$90&amp;W274,"")</f>
        <v/>
      </c>
      <c r="S274" s="122" t="str">
        <f>IF(O274&gt;0,X274&amp;Language!$E$90&amp;Y274,"")</f>
        <v/>
      </c>
      <c r="T274" s="290">
        <f>IF($H274="",0,Results!$U279)</f>
        <v>0</v>
      </c>
      <c r="U274" s="291">
        <f>IF($I274="",0,Results!$V279)</f>
        <v>0</v>
      </c>
      <c r="V274" s="270" t="str">
        <f t="shared" si="8"/>
        <v/>
      </c>
      <c r="W274" s="291" t="str">
        <f t="shared" si="9"/>
        <v/>
      </c>
      <c r="X274" s="270">
        <f>IF($O274=0,0,IF(Results!$R279="",0,Results!$R279))</f>
        <v>0</v>
      </c>
      <c r="Y274" s="291">
        <f>IF($O274=0,0,IF(Results!$T279="",0,Results!$T279))</f>
        <v>0</v>
      </c>
      <c r="Z274" s="270" t="str">
        <f>IF($O274=0,"",IF($X274&gt;$Y274,Settings!$C$4,IF($X274=$Y274,1,0)))</f>
        <v/>
      </c>
      <c r="AA274" s="291" t="str">
        <f>IF($O274=0,"",IF($X274&lt;$Y274,Settings!$C$4,IF($X274=$Y274,1,0)))</f>
        <v/>
      </c>
    </row>
    <row r="275" spans="5:27" x14ac:dyDescent="0.2">
      <c r="E275" s="266">
        <v>272</v>
      </c>
      <c r="F275" s="171" t="str">
        <f>Planning!$Q278</f>
        <v>Borussia Dortmund</v>
      </c>
      <c r="G275" s="348" t="str">
        <f>Planning!$S278</f>
        <v>1. FSV Mainz 05</v>
      </c>
      <c r="H275" s="344" t="str">
        <f>IF(AND(Results!$I280&lt;&gt;"",Results!$K280&lt;&gt;"",Results!$F280&lt;&gt;Results!$H280,$F275&lt;&gt;"",$G275&lt;&gt;""),Results!$I280,"")</f>
        <v/>
      </c>
      <c r="I275" s="343" t="str">
        <f>IF(AND(Results!$I280&lt;&gt;"",Results!$K280&lt;&gt;"",Results!$F280&lt;&gt;Results!$H280,$F275&lt;&gt;"",$G275&lt;&gt;""),Results!$K280,"")</f>
        <v/>
      </c>
      <c r="J275" s="344" t="str">
        <f>IF(AND(Results!$L280&lt;&gt;"",Results!$N280&lt;&gt;"",Results!$F280&lt;&gt;Results!$H280,$F275&lt;&gt;"",$G275&lt;&gt;""),Results!$L280,"")</f>
        <v/>
      </c>
      <c r="K275" s="343" t="str">
        <f>IF(AND(Results!$L280&lt;&gt;"",Results!$N280&lt;&gt;"",Results!$F280&lt;&gt;Results!$H280,$F275&lt;&gt;"",$G275&lt;&gt;""),Results!$N280,"")</f>
        <v/>
      </c>
      <c r="L275" s="344" t="str">
        <f>IF(AND(Results!$O280&lt;&gt;"",Results!$Q280&lt;&gt;"",Results!$F280&lt;&gt;Results!$H280,$F275&lt;&gt;"",$G275&lt;&gt;""),Results!$O280,"")</f>
        <v/>
      </c>
      <c r="M275" s="122" t="str">
        <f>IF(AND(Results!$O280&lt;&gt;"",Results!$Q280&lt;&gt;"",Results!$F280&lt;&gt;Results!$H280,$F275&lt;&gt;"",$G275&lt;&gt;""),Results!$Q280,"")</f>
        <v/>
      </c>
      <c r="N275" s="16" t="str">
        <f>IF(Planning!$I278=0,F275&amp;G275,"")</f>
        <v/>
      </c>
      <c r="O275" s="122">
        <f>IF(AND(Results!$Z$6&gt;0,$E275-1&gt;=Results!$Z$6*Calc!$F$26),0,IF(AND(F275&lt;&gt;"",G275&lt;&gt;"",F275&lt;&gt;G275,Results!$R280&lt;&gt;"",Results!$T280&lt;&gt;""),1,0))</f>
        <v>0</v>
      </c>
      <c r="P275" s="122" t="str">
        <f>IF(AND(O275&gt;0,Planning!$I278=0),V275&amp;Language!$E$90&amp;W275,"")</f>
        <v/>
      </c>
      <c r="Q275" s="2" t="str">
        <f>IF(Planning!$I278=1,F275&amp;G275,"")</f>
        <v>Borussia Dortmund1. FSV Mainz 05</v>
      </c>
      <c r="R275" s="88" t="str">
        <f>IF(AND(O275&gt;0,Planning!$I278=1),V275&amp;Language!$E$90&amp;W275,"")</f>
        <v/>
      </c>
      <c r="S275" s="122" t="str">
        <f>IF(O275&gt;0,X275&amp;Language!$E$90&amp;Y275,"")</f>
        <v/>
      </c>
      <c r="T275" s="290">
        <f>IF($H275="",0,Results!$U280)</f>
        <v>0</v>
      </c>
      <c r="U275" s="291">
        <f>IF($I275="",0,Results!$V280)</f>
        <v>0</v>
      </c>
      <c r="V275" s="270" t="str">
        <f t="shared" si="8"/>
        <v/>
      </c>
      <c r="W275" s="291" t="str">
        <f t="shared" si="9"/>
        <v/>
      </c>
      <c r="X275" s="270">
        <f>IF($O275=0,0,IF(Results!$R280="",0,Results!$R280))</f>
        <v>0</v>
      </c>
      <c r="Y275" s="291">
        <f>IF($O275=0,0,IF(Results!$T280="",0,Results!$T280))</f>
        <v>0</v>
      </c>
      <c r="Z275" s="270" t="str">
        <f>IF($O275=0,"",IF($X275&gt;$Y275,Settings!$C$4,IF($X275=$Y275,1,0)))</f>
        <v/>
      </c>
      <c r="AA275" s="291" t="str">
        <f>IF($O275=0,"",IF($X275&lt;$Y275,Settings!$C$4,IF($X275=$Y275,1,0)))</f>
        <v/>
      </c>
    </row>
    <row r="276" spans="5:27" x14ac:dyDescent="0.2">
      <c r="E276" s="266">
        <v>273</v>
      </c>
      <c r="F276" s="171" t="str">
        <f>Planning!$Q279</f>
        <v>1. FC Union Berlin</v>
      </c>
      <c r="G276" s="348" t="str">
        <f>Planning!$S279</f>
        <v>Borussia Mönchengladbach</v>
      </c>
      <c r="H276" s="344" t="str">
        <f>IF(AND(Results!$I281&lt;&gt;"",Results!$K281&lt;&gt;"",Results!$F281&lt;&gt;Results!$H281,$F276&lt;&gt;"",$G276&lt;&gt;""),Results!$I281,"")</f>
        <v/>
      </c>
      <c r="I276" s="343" t="str">
        <f>IF(AND(Results!$I281&lt;&gt;"",Results!$K281&lt;&gt;"",Results!$F281&lt;&gt;Results!$H281,$F276&lt;&gt;"",$G276&lt;&gt;""),Results!$K281,"")</f>
        <v/>
      </c>
      <c r="J276" s="344" t="str">
        <f>IF(AND(Results!$L281&lt;&gt;"",Results!$N281&lt;&gt;"",Results!$F281&lt;&gt;Results!$H281,$F276&lt;&gt;"",$G276&lt;&gt;""),Results!$L281,"")</f>
        <v/>
      </c>
      <c r="K276" s="343" t="str">
        <f>IF(AND(Results!$L281&lt;&gt;"",Results!$N281&lt;&gt;"",Results!$F281&lt;&gt;Results!$H281,$F276&lt;&gt;"",$G276&lt;&gt;""),Results!$N281,"")</f>
        <v/>
      </c>
      <c r="L276" s="344" t="str">
        <f>IF(AND(Results!$O281&lt;&gt;"",Results!$Q281&lt;&gt;"",Results!$F281&lt;&gt;Results!$H281,$F276&lt;&gt;"",$G276&lt;&gt;""),Results!$O281,"")</f>
        <v/>
      </c>
      <c r="M276" s="122" t="str">
        <f>IF(AND(Results!$O281&lt;&gt;"",Results!$Q281&lt;&gt;"",Results!$F281&lt;&gt;Results!$H281,$F276&lt;&gt;"",$G276&lt;&gt;""),Results!$Q281,"")</f>
        <v/>
      </c>
      <c r="N276" s="16" t="str">
        <f>IF(Planning!$I279=0,F276&amp;G276,"")</f>
        <v/>
      </c>
      <c r="O276" s="122">
        <f>IF(AND(Results!$Z$6&gt;0,$E276-1&gt;=Results!$Z$6*Calc!$F$26),0,IF(AND(F276&lt;&gt;"",G276&lt;&gt;"",F276&lt;&gt;G276,Results!$R281&lt;&gt;"",Results!$T281&lt;&gt;""),1,0))</f>
        <v>0</v>
      </c>
      <c r="P276" s="122" t="str">
        <f>IF(AND(O276&gt;0,Planning!$I279=0),V276&amp;Language!$E$90&amp;W276,"")</f>
        <v/>
      </c>
      <c r="Q276" s="2" t="str">
        <f>IF(Planning!$I279=1,F276&amp;G276,"")</f>
        <v>1. FC Union BerlinBorussia Mönchengladbach</v>
      </c>
      <c r="R276" s="88" t="str">
        <f>IF(AND(O276&gt;0,Planning!$I279=1),V276&amp;Language!$E$90&amp;W276,"")</f>
        <v/>
      </c>
      <c r="S276" s="122" t="str">
        <f>IF(O276&gt;0,X276&amp;Language!$E$90&amp;Y276,"")</f>
        <v/>
      </c>
      <c r="T276" s="290">
        <f>IF($H276="",0,Results!$U281)</f>
        <v>0</v>
      </c>
      <c r="U276" s="291">
        <f>IF($I276="",0,Results!$V281)</f>
        <v>0</v>
      </c>
      <c r="V276" s="270" t="str">
        <f t="shared" si="8"/>
        <v/>
      </c>
      <c r="W276" s="291" t="str">
        <f t="shared" si="9"/>
        <v/>
      </c>
      <c r="X276" s="270">
        <f>IF($O276=0,0,IF(Results!$R281="",0,Results!$R281))</f>
        <v>0</v>
      </c>
      <c r="Y276" s="291">
        <f>IF($O276=0,0,IF(Results!$T281="",0,Results!$T281))</f>
        <v>0</v>
      </c>
      <c r="Z276" s="270" t="str">
        <f>IF($O276=0,"",IF($X276&gt;$Y276,Settings!$C$4,IF($X276=$Y276,1,0)))</f>
        <v/>
      </c>
      <c r="AA276" s="291" t="str">
        <f>IF($O276=0,"",IF($X276&lt;$Y276,Settings!$C$4,IF($X276=$Y276,1,0)))</f>
        <v/>
      </c>
    </row>
    <row r="277" spans="5:27" x14ac:dyDescent="0.2">
      <c r="E277" s="266">
        <v>274</v>
      </c>
      <c r="F277" s="171" t="str">
        <f>Planning!$Q280</f>
        <v>Eintracht Frankfurt</v>
      </c>
      <c r="G277" s="348" t="str">
        <f>Planning!$S280</f>
        <v>1. FC Köln</v>
      </c>
      <c r="H277" s="344" t="str">
        <f>IF(AND(Results!$I282&lt;&gt;"",Results!$K282&lt;&gt;"",Results!$F282&lt;&gt;Results!$H282,$F277&lt;&gt;"",$G277&lt;&gt;""),Results!$I282,"")</f>
        <v/>
      </c>
      <c r="I277" s="343" t="str">
        <f>IF(AND(Results!$I282&lt;&gt;"",Results!$K282&lt;&gt;"",Results!$F282&lt;&gt;Results!$H282,$F277&lt;&gt;"",$G277&lt;&gt;""),Results!$K282,"")</f>
        <v/>
      </c>
      <c r="J277" s="344" t="str">
        <f>IF(AND(Results!$L282&lt;&gt;"",Results!$N282&lt;&gt;"",Results!$F282&lt;&gt;Results!$H282,$F277&lt;&gt;"",$G277&lt;&gt;""),Results!$L282,"")</f>
        <v/>
      </c>
      <c r="K277" s="343" t="str">
        <f>IF(AND(Results!$L282&lt;&gt;"",Results!$N282&lt;&gt;"",Results!$F282&lt;&gt;Results!$H282,$F277&lt;&gt;"",$G277&lt;&gt;""),Results!$N282,"")</f>
        <v/>
      </c>
      <c r="L277" s="344" t="str">
        <f>IF(AND(Results!$O282&lt;&gt;"",Results!$Q282&lt;&gt;"",Results!$F282&lt;&gt;Results!$H282,$F277&lt;&gt;"",$G277&lt;&gt;""),Results!$O282,"")</f>
        <v/>
      </c>
      <c r="M277" s="122" t="str">
        <f>IF(AND(Results!$O282&lt;&gt;"",Results!$Q282&lt;&gt;"",Results!$F282&lt;&gt;Results!$H282,$F277&lt;&gt;"",$G277&lt;&gt;""),Results!$Q282,"")</f>
        <v/>
      </c>
      <c r="N277" s="16" t="str">
        <f>IF(Planning!$I280=0,F277&amp;G277,"")</f>
        <v/>
      </c>
      <c r="O277" s="122">
        <f>IF(AND(Results!$Z$6&gt;0,$E277-1&gt;=Results!$Z$6*Calc!$F$26),0,IF(AND(F277&lt;&gt;"",G277&lt;&gt;"",F277&lt;&gt;G277,Results!$R282&lt;&gt;"",Results!$T282&lt;&gt;""),1,0))</f>
        <v>0</v>
      </c>
      <c r="P277" s="122" t="str">
        <f>IF(AND(O277&gt;0,Planning!$I280=0),V277&amp;Language!$E$90&amp;W277,"")</f>
        <v/>
      </c>
      <c r="Q277" s="2" t="str">
        <f>IF(Planning!$I280=1,F277&amp;G277,"")</f>
        <v>Eintracht Frankfurt1. FC Köln</v>
      </c>
      <c r="R277" s="88" t="str">
        <f>IF(AND(O277&gt;0,Planning!$I280=1),V277&amp;Language!$E$90&amp;W277,"")</f>
        <v/>
      </c>
      <c r="S277" s="122" t="str">
        <f>IF(O277&gt;0,X277&amp;Language!$E$90&amp;Y277,"")</f>
        <v/>
      </c>
      <c r="T277" s="290">
        <f>IF($H277="",0,Results!$U282)</f>
        <v>0</v>
      </c>
      <c r="U277" s="291">
        <f>IF($I277="",0,Results!$V282)</f>
        <v>0</v>
      </c>
      <c r="V277" s="270" t="str">
        <f t="shared" si="8"/>
        <v/>
      </c>
      <c r="W277" s="291" t="str">
        <f t="shared" si="9"/>
        <v/>
      </c>
      <c r="X277" s="270">
        <f>IF($O277=0,0,IF(Results!$R282="",0,Results!$R282))</f>
        <v>0</v>
      </c>
      <c r="Y277" s="291">
        <f>IF($O277=0,0,IF(Results!$T282="",0,Results!$T282))</f>
        <v>0</v>
      </c>
      <c r="Z277" s="270" t="str">
        <f>IF($O277=0,"",IF($X277&gt;$Y277,Settings!$C$4,IF($X277=$Y277,1,0)))</f>
        <v/>
      </c>
      <c r="AA277" s="291" t="str">
        <f>IF($O277=0,"",IF($X277&lt;$Y277,Settings!$C$4,IF($X277=$Y277,1,0)))</f>
        <v/>
      </c>
    </row>
    <row r="278" spans="5:27" x14ac:dyDescent="0.2">
      <c r="E278" s="266">
        <v>275</v>
      </c>
      <c r="F278" s="171" t="str">
        <f>Planning!$Q281</f>
        <v>VfL Wolfsburg</v>
      </c>
      <c r="G278" s="348" t="str">
        <f>Planning!$S281</f>
        <v>FC Augsburg</v>
      </c>
      <c r="H278" s="344" t="str">
        <f>IF(AND(Results!$I283&lt;&gt;"",Results!$K283&lt;&gt;"",Results!$F283&lt;&gt;Results!$H283,$F278&lt;&gt;"",$G278&lt;&gt;""),Results!$I283,"")</f>
        <v/>
      </c>
      <c r="I278" s="343" t="str">
        <f>IF(AND(Results!$I283&lt;&gt;"",Results!$K283&lt;&gt;"",Results!$F283&lt;&gt;Results!$H283,$F278&lt;&gt;"",$G278&lt;&gt;""),Results!$K283,"")</f>
        <v/>
      </c>
      <c r="J278" s="344" t="str">
        <f>IF(AND(Results!$L283&lt;&gt;"",Results!$N283&lt;&gt;"",Results!$F283&lt;&gt;Results!$H283,$F278&lt;&gt;"",$G278&lt;&gt;""),Results!$L283,"")</f>
        <v/>
      </c>
      <c r="K278" s="343" t="str">
        <f>IF(AND(Results!$L283&lt;&gt;"",Results!$N283&lt;&gt;"",Results!$F283&lt;&gt;Results!$H283,$F278&lt;&gt;"",$G278&lt;&gt;""),Results!$N283,"")</f>
        <v/>
      </c>
      <c r="L278" s="344" t="str">
        <f>IF(AND(Results!$O283&lt;&gt;"",Results!$Q283&lt;&gt;"",Results!$F283&lt;&gt;Results!$H283,$F278&lt;&gt;"",$G278&lt;&gt;""),Results!$O283,"")</f>
        <v/>
      </c>
      <c r="M278" s="122" t="str">
        <f>IF(AND(Results!$O283&lt;&gt;"",Results!$Q283&lt;&gt;"",Results!$F283&lt;&gt;Results!$H283,$F278&lt;&gt;"",$G278&lt;&gt;""),Results!$Q283,"")</f>
        <v/>
      </c>
      <c r="N278" s="16" t="str">
        <f>IF(Planning!$I281=0,F278&amp;G278,"")</f>
        <v/>
      </c>
      <c r="O278" s="122">
        <f>IF(AND(Results!$Z$6&gt;0,$E278-1&gt;=Results!$Z$6*Calc!$F$26),0,IF(AND(F278&lt;&gt;"",G278&lt;&gt;"",F278&lt;&gt;G278,Results!$R283&lt;&gt;"",Results!$T283&lt;&gt;""),1,0))</f>
        <v>0</v>
      </c>
      <c r="P278" s="122" t="str">
        <f>IF(AND(O278&gt;0,Planning!$I281=0),V278&amp;Language!$E$90&amp;W278,"")</f>
        <v/>
      </c>
      <c r="Q278" s="2" t="str">
        <f>IF(Planning!$I281=1,F278&amp;G278,"")</f>
        <v>VfL WolfsburgFC Augsburg</v>
      </c>
      <c r="R278" s="88" t="str">
        <f>IF(AND(O278&gt;0,Planning!$I281=1),V278&amp;Language!$E$90&amp;W278,"")</f>
        <v/>
      </c>
      <c r="S278" s="122" t="str">
        <f>IF(O278&gt;0,X278&amp;Language!$E$90&amp;Y278,"")</f>
        <v/>
      </c>
      <c r="T278" s="290">
        <f>IF($H278="",0,Results!$U283)</f>
        <v>0</v>
      </c>
      <c r="U278" s="291">
        <f>IF($I278="",0,Results!$V283)</f>
        <v>0</v>
      </c>
      <c r="V278" s="270" t="str">
        <f t="shared" si="8"/>
        <v/>
      </c>
      <c r="W278" s="291" t="str">
        <f t="shared" si="9"/>
        <v/>
      </c>
      <c r="X278" s="270">
        <f>IF($O278=0,0,IF(Results!$R283="",0,Results!$R283))</f>
        <v>0</v>
      </c>
      <c r="Y278" s="291">
        <f>IF($O278=0,0,IF(Results!$T283="",0,Results!$T283))</f>
        <v>0</v>
      </c>
      <c r="Z278" s="270" t="str">
        <f>IF($O278=0,"",IF($X278&gt;$Y278,Settings!$C$4,IF($X278=$Y278,1,0)))</f>
        <v/>
      </c>
      <c r="AA278" s="291" t="str">
        <f>IF($O278=0,"",IF($X278&lt;$Y278,Settings!$C$4,IF($X278=$Y278,1,0)))</f>
        <v/>
      </c>
    </row>
    <row r="279" spans="5:27" x14ac:dyDescent="0.2">
      <c r="E279" s="266">
        <v>276</v>
      </c>
      <c r="F279" s="171" t="str">
        <f>Planning!$Q282</f>
        <v>FC Bayern München</v>
      </c>
      <c r="G279" s="348" t="str">
        <f>Planning!$S282</f>
        <v>VfB Stuttgart</v>
      </c>
      <c r="H279" s="344" t="str">
        <f>IF(AND(Results!$I284&lt;&gt;"",Results!$K284&lt;&gt;"",Results!$F284&lt;&gt;Results!$H284,$F279&lt;&gt;"",$G279&lt;&gt;""),Results!$I284,"")</f>
        <v/>
      </c>
      <c r="I279" s="343" t="str">
        <f>IF(AND(Results!$I284&lt;&gt;"",Results!$K284&lt;&gt;"",Results!$F284&lt;&gt;Results!$H284,$F279&lt;&gt;"",$G279&lt;&gt;""),Results!$K284,"")</f>
        <v/>
      </c>
      <c r="J279" s="344" t="str">
        <f>IF(AND(Results!$L284&lt;&gt;"",Results!$N284&lt;&gt;"",Results!$F284&lt;&gt;Results!$H284,$F279&lt;&gt;"",$G279&lt;&gt;""),Results!$L284,"")</f>
        <v/>
      </c>
      <c r="K279" s="343" t="str">
        <f>IF(AND(Results!$L284&lt;&gt;"",Results!$N284&lt;&gt;"",Results!$F284&lt;&gt;Results!$H284,$F279&lt;&gt;"",$G279&lt;&gt;""),Results!$N284,"")</f>
        <v/>
      </c>
      <c r="L279" s="344" t="str">
        <f>IF(AND(Results!$O284&lt;&gt;"",Results!$Q284&lt;&gt;"",Results!$F284&lt;&gt;Results!$H284,$F279&lt;&gt;"",$G279&lt;&gt;""),Results!$O284,"")</f>
        <v/>
      </c>
      <c r="M279" s="122" t="str">
        <f>IF(AND(Results!$O284&lt;&gt;"",Results!$Q284&lt;&gt;"",Results!$F284&lt;&gt;Results!$H284,$F279&lt;&gt;"",$G279&lt;&gt;""),Results!$Q284,"")</f>
        <v/>
      </c>
      <c r="N279" s="16" t="str">
        <f>IF(Planning!$I282=0,F279&amp;G279,"")</f>
        <v/>
      </c>
      <c r="O279" s="122">
        <f>IF(AND(Results!$Z$6&gt;0,$E279-1&gt;=Results!$Z$6*Calc!$F$26),0,IF(AND(F279&lt;&gt;"",G279&lt;&gt;"",F279&lt;&gt;G279,Results!$R284&lt;&gt;"",Results!$T284&lt;&gt;""),1,0))</f>
        <v>0</v>
      </c>
      <c r="P279" s="122" t="str">
        <f>IF(AND(O279&gt;0,Planning!$I282=0),V279&amp;Language!$E$90&amp;W279,"")</f>
        <v/>
      </c>
      <c r="Q279" s="2" t="str">
        <f>IF(Planning!$I282=1,F279&amp;G279,"")</f>
        <v>FC Bayern MünchenVfB Stuttgart</v>
      </c>
      <c r="R279" s="88" t="str">
        <f>IF(AND(O279&gt;0,Planning!$I282=1),V279&amp;Language!$E$90&amp;W279,"")</f>
        <v/>
      </c>
      <c r="S279" s="122" t="str">
        <f>IF(O279&gt;0,X279&amp;Language!$E$90&amp;Y279,"")</f>
        <v/>
      </c>
      <c r="T279" s="290">
        <f>IF($H279="",0,Results!$U284)</f>
        <v>0</v>
      </c>
      <c r="U279" s="291">
        <f>IF($I279="",0,Results!$V284)</f>
        <v>0</v>
      </c>
      <c r="V279" s="270" t="str">
        <f t="shared" si="8"/>
        <v/>
      </c>
      <c r="W279" s="291" t="str">
        <f t="shared" si="9"/>
        <v/>
      </c>
      <c r="X279" s="270">
        <f>IF($O279=0,0,IF(Results!$R284="",0,Results!$R284))</f>
        <v>0</v>
      </c>
      <c r="Y279" s="291">
        <f>IF($O279=0,0,IF(Results!$T284="",0,Results!$T284))</f>
        <v>0</v>
      </c>
      <c r="Z279" s="270" t="str">
        <f>IF($O279=0,"",IF($X279&gt;$Y279,Settings!$C$4,IF($X279=$Y279,1,0)))</f>
        <v/>
      </c>
      <c r="AA279" s="291" t="str">
        <f>IF($O279=0,"",IF($X279&lt;$Y279,Settings!$C$4,IF($X279=$Y279,1,0)))</f>
        <v/>
      </c>
    </row>
    <row r="280" spans="5:27" x14ac:dyDescent="0.2">
      <c r="E280" s="266">
        <v>277</v>
      </c>
      <c r="F280" s="171" t="str">
        <f>Planning!$Q283</f>
        <v>TSG Hoffenheim</v>
      </c>
      <c r="G280" s="348" t="str">
        <f>Planning!$S283</f>
        <v>FC St. Pauli</v>
      </c>
      <c r="H280" s="344" t="str">
        <f>IF(AND(Results!$I285&lt;&gt;"",Results!$K285&lt;&gt;"",Results!$F285&lt;&gt;Results!$H285,$F280&lt;&gt;"",$G280&lt;&gt;""),Results!$I285,"")</f>
        <v/>
      </c>
      <c r="I280" s="343" t="str">
        <f>IF(AND(Results!$I285&lt;&gt;"",Results!$K285&lt;&gt;"",Results!$F285&lt;&gt;Results!$H285,$F280&lt;&gt;"",$G280&lt;&gt;""),Results!$K285,"")</f>
        <v/>
      </c>
      <c r="J280" s="344" t="str">
        <f>IF(AND(Results!$L285&lt;&gt;"",Results!$N285&lt;&gt;"",Results!$F285&lt;&gt;Results!$H285,$F280&lt;&gt;"",$G280&lt;&gt;""),Results!$L285,"")</f>
        <v/>
      </c>
      <c r="K280" s="343" t="str">
        <f>IF(AND(Results!$L285&lt;&gt;"",Results!$N285&lt;&gt;"",Results!$F285&lt;&gt;Results!$H285,$F280&lt;&gt;"",$G280&lt;&gt;""),Results!$N285,"")</f>
        <v/>
      </c>
      <c r="L280" s="344" t="str">
        <f>IF(AND(Results!$O285&lt;&gt;"",Results!$Q285&lt;&gt;"",Results!$F285&lt;&gt;Results!$H285,$F280&lt;&gt;"",$G280&lt;&gt;""),Results!$O285,"")</f>
        <v/>
      </c>
      <c r="M280" s="122" t="str">
        <f>IF(AND(Results!$O285&lt;&gt;"",Results!$Q285&lt;&gt;"",Results!$F285&lt;&gt;Results!$H285,$F280&lt;&gt;"",$G280&lt;&gt;""),Results!$Q285,"")</f>
        <v/>
      </c>
      <c r="N280" s="16" t="str">
        <f>IF(Planning!$I283=0,F280&amp;G280,"")</f>
        <v/>
      </c>
      <c r="O280" s="122">
        <f>IF(AND(Results!$Z$6&gt;0,$E280-1&gt;=Results!$Z$6*Calc!$F$26),0,IF(AND(F280&lt;&gt;"",G280&lt;&gt;"",F280&lt;&gt;G280,Results!$R285&lt;&gt;"",Results!$T285&lt;&gt;""),1,0))</f>
        <v>0</v>
      </c>
      <c r="P280" s="122" t="str">
        <f>IF(AND(O280&gt;0,Planning!$I283=0),V280&amp;Language!$E$90&amp;W280,"")</f>
        <v/>
      </c>
      <c r="Q280" s="2" t="str">
        <f>IF(Planning!$I283=1,F280&amp;G280,"")</f>
        <v>TSG HoffenheimFC St. Pauli</v>
      </c>
      <c r="R280" s="88" t="str">
        <f>IF(AND(O280&gt;0,Planning!$I283=1),V280&amp;Language!$E$90&amp;W280,"")</f>
        <v/>
      </c>
      <c r="S280" s="122" t="str">
        <f>IF(O280&gt;0,X280&amp;Language!$E$90&amp;Y280,"")</f>
        <v/>
      </c>
      <c r="T280" s="290">
        <f>IF($H280="",0,Results!$U285)</f>
        <v>0</v>
      </c>
      <c r="U280" s="291">
        <f>IF($I280="",0,Results!$V285)</f>
        <v>0</v>
      </c>
      <c r="V280" s="270" t="str">
        <f t="shared" si="8"/>
        <v/>
      </c>
      <c r="W280" s="291" t="str">
        <f t="shared" si="9"/>
        <v/>
      </c>
      <c r="X280" s="270">
        <f>IF($O280=0,0,IF(Results!$R285="",0,Results!$R285))</f>
        <v>0</v>
      </c>
      <c r="Y280" s="291">
        <f>IF($O280=0,0,IF(Results!$T285="",0,Results!$T285))</f>
        <v>0</v>
      </c>
      <c r="Z280" s="270" t="str">
        <f>IF($O280=0,"",IF($X280&gt;$Y280,Settings!$C$4,IF($X280=$Y280,1,0)))</f>
        <v/>
      </c>
      <c r="AA280" s="291" t="str">
        <f>IF($O280=0,"",IF($X280&lt;$Y280,Settings!$C$4,IF($X280=$Y280,1,0)))</f>
        <v/>
      </c>
    </row>
    <row r="281" spans="5:27" x14ac:dyDescent="0.2">
      <c r="E281" s="266">
        <v>278</v>
      </c>
      <c r="F281" s="171" t="str">
        <f>Planning!$Q284</f>
        <v>Hamburger SV</v>
      </c>
      <c r="G281" s="348" t="str">
        <f>Planning!$S284</f>
        <v>SV Werder Bremen</v>
      </c>
      <c r="H281" s="344" t="str">
        <f>IF(AND(Results!$I286&lt;&gt;"",Results!$K286&lt;&gt;"",Results!$F286&lt;&gt;Results!$H286,$F281&lt;&gt;"",$G281&lt;&gt;""),Results!$I286,"")</f>
        <v/>
      </c>
      <c r="I281" s="343" t="str">
        <f>IF(AND(Results!$I286&lt;&gt;"",Results!$K286&lt;&gt;"",Results!$F286&lt;&gt;Results!$H286,$F281&lt;&gt;"",$G281&lt;&gt;""),Results!$K286,"")</f>
        <v/>
      </c>
      <c r="J281" s="344" t="str">
        <f>IF(AND(Results!$L286&lt;&gt;"",Results!$N286&lt;&gt;"",Results!$F286&lt;&gt;Results!$H286,$F281&lt;&gt;"",$G281&lt;&gt;""),Results!$L286,"")</f>
        <v/>
      </c>
      <c r="K281" s="343" t="str">
        <f>IF(AND(Results!$L286&lt;&gt;"",Results!$N286&lt;&gt;"",Results!$F286&lt;&gt;Results!$H286,$F281&lt;&gt;"",$G281&lt;&gt;""),Results!$N286,"")</f>
        <v/>
      </c>
      <c r="L281" s="344" t="str">
        <f>IF(AND(Results!$O286&lt;&gt;"",Results!$Q286&lt;&gt;"",Results!$F286&lt;&gt;Results!$H286,$F281&lt;&gt;"",$G281&lt;&gt;""),Results!$O286,"")</f>
        <v/>
      </c>
      <c r="M281" s="122" t="str">
        <f>IF(AND(Results!$O286&lt;&gt;"",Results!$Q286&lt;&gt;"",Results!$F286&lt;&gt;Results!$H286,$F281&lt;&gt;"",$G281&lt;&gt;""),Results!$Q286,"")</f>
        <v/>
      </c>
      <c r="N281" s="16" t="str">
        <f>IF(Planning!$I284=0,F281&amp;G281,"")</f>
        <v/>
      </c>
      <c r="O281" s="122">
        <f>IF(AND(Results!$Z$6&gt;0,$E281-1&gt;=Results!$Z$6*Calc!$F$26),0,IF(AND(F281&lt;&gt;"",G281&lt;&gt;"",F281&lt;&gt;G281,Results!$R286&lt;&gt;"",Results!$T286&lt;&gt;""),1,0))</f>
        <v>0</v>
      </c>
      <c r="P281" s="122" t="str">
        <f>IF(AND(O281&gt;0,Planning!$I284=0),V281&amp;Language!$E$90&amp;W281,"")</f>
        <v/>
      </c>
      <c r="Q281" s="2" t="str">
        <f>IF(Planning!$I284=1,F281&amp;G281,"")</f>
        <v>Hamburger SVSV Werder Bremen</v>
      </c>
      <c r="R281" s="88" t="str">
        <f>IF(AND(O281&gt;0,Planning!$I284=1),V281&amp;Language!$E$90&amp;W281,"")</f>
        <v/>
      </c>
      <c r="S281" s="122" t="str">
        <f>IF(O281&gt;0,X281&amp;Language!$E$90&amp;Y281,"")</f>
        <v/>
      </c>
      <c r="T281" s="290">
        <f>IF($H281="",0,Results!$U286)</f>
        <v>0</v>
      </c>
      <c r="U281" s="291">
        <f>IF($I281="",0,Results!$V286)</f>
        <v>0</v>
      </c>
      <c r="V281" s="270" t="str">
        <f t="shared" si="8"/>
        <v/>
      </c>
      <c r="W281" s="291" t="str">
        <f t="shared" si="9"/>
        <v/>
      </c>
      <c r="X281" s="270">
        <f>IF($O281=0,0,IF(Results!$R286="",0,Results!$R286))</f>
        <v>0</v>
      </c>
      <c r="Y281" s="291">
        <f>IF($O281=0,0,IF(Results!$T286="",0,Results!$T286))</f>
        <v>0</v>
      </c>
      <c r="Z281" s="270" t="str">
        <f>IF($O281=0,"",IF($X281&gt;$Y281,Settings!$C$4,IF($X281=$Y281,1,0)))</f>
        <v/>
      </c>
      <c r="AA281" s="291" t="str">
        <f>IF($O281=0,"",IF($X281&lt;$Y281,Settings!$C$4,IF($X281=$Y281,1,0)))</f>
        <v/>
      </c>
    </row>
    <row r="282" spans="5:27" x14ac:dyDescent="0.2">
      <c r="E282" s="266">
        <v>279</v>
      </c>
      <c r="F282" s="171" t="str">
        <f>Planning!$Q285</f>
        <v>SC Freiburg</v>
      </c>
      <c r="G282" s="348" t="str">
        <f>Planning!$S285</f>
        <v>RB Leipzig</v>
      </c>
      <c r="H282" s="344" t="str">
        <f>IF(AND(Results!$I287&lt;&gt;"",Results!$K287&lt;&gt;"",Results!$F287&lt;&gt;Results!$H287,$F282&lt;&gt;"",$G282&lt;&gt;""),Results!$I287,"")</f>
        <v/>
      </c>
      <c r="I282" s="343" t="str">
        <f>IF(AND(Results!$I287&lt;&gt;"",Results!$K287&lt;&gt;"",Results!$F287&lt;&gt;Results!$H287,$F282&lt;&gt;"",$G282&lt;&gt;""),Results!$K287,"")</f>
        <v/>
      </c>
      <c r="J282" s="344" t="str">
        <f>IF(AND(Results!$L287&lt;&gt;"",Results!$N287&lt;&gt;"",Results!$F287&lt;&gt;Results!$H287,$F282&lt;&gt;"",$G282&lt;&gt;""),Results!$L287,"")</f>
        <v/>
      </c>
      <c r="K282" s="343" t="str">
        <f>IF(AND(Results!$L287&lt;&gt;"",Results!$N287&lt;&gt;"",Results!$F287&lt;&gt;Results!$H287,$F282&lt;&gt;"",$G282&lt;&gt;""),Results!$N287,"")</f>
        <v/>
      </c>
      <c r="L282" s="344" t="str">
        <f>IF(AND(Results!$O287&lt;&gt;"",Results!$Q287&lt;&gt;"",Results!$F287&lt;&gt;Results!$H287,$F282&lt;&gt;"",$G282&lt;&gt;""),Results!$O287,"")</f>
        <v/>
      </c>
      <c r="M282" s="122" t="str">
        <f>IF(AND(Results!$O287&lt;&gt;"",Results!$Q287&lt;&gt;"",Results!$F287&lt;&gt;Results!$H287,$F282&lt;&gt;"",$G282&lt;&gt;""),Results!$Q287,"")</f>
        <v/>
      </c>
      <c r="N282" s="16" t="str">
        <f>IF(Planning!$I285=0,F282&amp;G282,"")</f>
        <v/>
      </c>
      <c r="O282" s="122">
        <f>IF(AND(Results!$Z$6&gt;0,$E282-1&gt;=Results!$Z$6*Calc!$F$26),0,IF(AND(F282&lt;&gt;"",G282&lt;&gt;"",F282&lt;&gt;G282,Results!$R287&lt;&gt;"",Results!$T287&lt;&gt;""),1,0))</f>
        <v>0</v>
      </c>
      <c r="P282" s="122" t="str">
        <f>IF(AND(O282&gt;0,Planning!$I285=0),V282&amp;Language!$E$90&amp;W282,"")</f>
        <v/>
      </c>
      <c r="Q282" s="2" t="str">
        <f>IF(Planning!$I285=1,F282&amp;G282,"")</f>
        <v>SC FreiburgRB Leipzig</v>
      </c>
      <c r="R282" s="88" t="str">
        <f>IF(AND(O282&gt;0,Planning!$I285=1),V282&amp;Language!$E$90&amp;W282,"")</f>
        <v/>
      </c>
      <c r="S282" s="122" t="str">
        <f>IF(O282&gt;0,X282&amp;Language!$E$90&amp;Y282,"")</f>
        <v/>
      </c>
      <c r="T282" s="290">
        <f>IF($H282="",0,Results!$U287)</f>
        <v>0</v>
      </c>
      <c r="U282" s="291">
        <f>IF($I282="",0,Results!$V287)</f>
        <v>0</v>
      </c>
      <c r="V282" s="270" t="str">
        <f t="shared" si="8"/>
        <v/>
      </c>
      <c r="W282" s="291" t="str">
        <f t="shared" si="9"/>
        <v/>
      </c>
      <c r="X282" s="270">
        <f>IF($O282=0,0,IF(Results!$R287="",0,Results!$R287))</f>
        <v>0</v>
      </c>
      <c r="Y282" s="291">
        <f>IF($O282=0,0,IF(Results!$T287="",0,Results!$T287))</f>
        <v>0</v>
      </c>
      <c r="Z282" s="270" t="str">
        <f>IF($O282=0,"",IF($X282&gt;$Y282,Settings!$C$4,IF($X282=$Y282,1,0)))</f>
        <v/>
      </c>
      <c r="AA282" s="291" t="str">
        <f>IF($O282=0,"",IF($X282&lt;$Y282,Settings!$C$4,IF($X282=$Y282,1,0)))</f>
        <v/>
      </c>
    </row>
    <row r="283" spans="5:27" x14ac:dyDescent="0.2">
      <c r="E283" s="266">
        <v>280</v>
      </c>
      <c r="F283" s="171" t="str">
        <f>Planning!$Q286</f>
        <v>1. FSV Mainz 05</v>
      </c>
      <c r="G283" s="348" t="str">
        <f>Planning!$S286</f>
        <v>1. FC Heidenheim 1846</v>
      </c>
      <c r="H283" s="344" t="str">
        <f>IF(AND(Results!$I288&lt;&gt;"",Results!$K288&lt;&gt;"",Results!$F288&lt;&gt;Results!$H288,$F283&lt;&gt;"",$G283&lt;&gt;""),Results!$I288,"")</f>
        <v/>
      </c>
      <c r="I283" s="343" t="str">
        <f>IF(AND(Results!$I288&lt;&gt;"",Results!$K288&lt;&gt;"",Results!$F288&lt;&gt;Results!$H288,$F283&lt;&gt;"",$G283&lt;&gt;""),Results!$K288,"")</f>
        <v/>
      </c>
      <c r="J283" s="344" t="str">
        <f>IF(AND(Results!$L288&lt;&gt;"",Results!$N288&lt;&gt;"",Results!$F288&lt;&gt;Results!$H288,$F283&lt;&gt;"",$G283&lt;&gt;""),Results!$L288,"")</f>
        <v/>
      </c>
      <c r="K283" s="343" t="str">
        <f>IF(AND(Results!$L288&lt;&gt;"",Results!$N288&lt;&gt;"",Results!$F288&lt;&gt;Results!$H288,$F283&lt;&gt;"",$G283&lt;&gt;""),Results!$N288,"")</f>
        <v/>
      </c>
      <c r="L283" s="344" t="str">
        <f>IF(AND(Results!$O288&lt;&gt;"",Results!$Q288&lt;&gt;"",Results!$F288&lt;&gt;Results!$H288,$F283&lt;&gt;"",$G283&lt;&gt;""),Results!$O288,"")</f>
        <v/>
      </c>
      <c r="M283" s="122" t="str">
        <f>IF(AND(Results!$O288&lt;&gt;"",Results!$Q288&lt;&gt;"",Results!$F288&lt;&gt;Results!$H288,$F283&lt;&gt;"",$G283&lt;&gt;""),Results!$Q288,"")</f>
        <v/>
      </c>
      <c r="N283" s="16" t="str">
        <f>IF(Planning!$I286=0,F283&amp;G283,"")</f>
        <v/>
      </c>
      <c r="O283" s="122">
        <f>IF(AND(Results!$Z$6&gt;0,$E283-1&gt;=Results!$Z$6*Calc!$F$26),0,IF(AND(F283&lt;&gt;"",G283&lt;&gt;"",F283&lt;&gt;G283,Results!$R288&lt;&gt;"",Results!$T288&lt;&gt;""),1,0))</f>
        <v>0</v>
      </c>
      <c r="P283" s="122" t="str">
        <f>IF(AND(O283&gt;0,Planning!$I286=0),V283&amp;Language!$E$90&amp;W283,"")</f>
        <v/>
      </c>
      <c r="Q283" s="2" t="str">
        <f>IF(Planning!$I286=1,F283&amp;G283,"")</f>
        <v>1. FSV Mainz 051. FC Heidenheim 1846</v>
      </c>
      <c r="R283" s="88" t="str">
        <f>IF(AND(O283&gt;0,Planning!$I286=1),V283&amp;Language!$E$90&amp;W283,"")</f>
        <v/>
      </c>
      <c r="S283" s="122" t="str">
        <f>IF(O283&gt;0,X283&amp;Language!$E$90&amp;Y283,"")</f>
        <v/>
      </c>
      <c r="T283" s="290">
        <f>IF($H283="",0,Results!$U288)</f>
        <v>0</v>
      </c>
      <c r="U283" s="291">
        <f>IF($I283="",0,Results!$V288)</f>
        <v>0</v>
      </c>
      <c r="V283" s="270" t="str">
        <f t="shared" si="8"/>
        <v/>
      </c>
      <c r="W283" s="291" t="str">
        <f t="shared" si="9"/>
        <v/>
      </c>
      <c r="X283" s="270">
        <f>IF($O283=0,0,IF(Results!$R288="",0,Results!$R288))</f>
        <v>0</v>
      </c>
      <c r="Y283" s="291">
        <f>IF($O283=0,0,IF(Results!$T288="",0,Results!$T288))</f>
        <v>0</v>
      </c>
      <c r="Z283" s="270" t="str">
        <f>IF($O283=0,"",IF($X283&gt;$Y283,Settings!$C$4,IF($X283=$Y283,1,0)))</f>
        <v/>
      </c>
      <c r="AA283" s="291" t="str">
        <f>IF($O283=0,"",IF($X283&lt;$Y283,Settings!$C$4,IF($X283=$Y283,1,0)))</f>
        <v/>
      </c>
    </row>
    <row r="284" spans="5:27" x14ac:dyDescent="0.2">
      <c r="E284" s="266">
        <v>281</v>
      </c>
      <c r="F284" s="171" t="str">
        <f>Planning!$Q287</f>
        <v>Bayer 04 Leverkusen</v>
      </c>
      <c r="G284" s="348" t="str">
        <f>Planning!$S287</f>
        <v>1. FC Union Berlin</v>
      </c>
      <c r="H284" s="344" t="str">
        <f>IF(AND(Results!$I289&lt;&gt;"",Results!$K289&lt;&gt;"",Results!$F289&lt;&gt;Results!$H289,$F284&lt;&gt;"",$G284&lt;&gt;""),Results!$I289,"")</f>
        <v/>
      </c>
      <c r="I284" s="343" t="str">
        <f>IF(AND(Results!$I289&lt;&gt;"",Results!$K289&lt;&gt;"",Results!$F289&lt;&gt;Results!$H289,$F284&lt;&gt;"",$G284&lt;&gt;""),Results!$K289,"")</f>
        <v/>
      </c>
      <c r="J284" s="344" t="str">
        <f>IF(AND(Results!$L289&lt;&gt;"",Results!$N289&lt;&gt;"",Results!$F289&lt;&gt;Results!$H289,$F284&lt;&gt;"",$G284&lt;&gt;""),Results!$L289,"")</f>
        <v/>
      </c>
      <c r="K284" s="343" t="str">
        <f>IF(AND(Results!$L289&lt;&gt;"",Results!$N289&lt;&gt;"",Results!$F289&lt;&gt;Results!$H289,$F284&lt;&gt;"",$G284&lt;&gt;""),Results!$N289,"")</f>
        <v/>
      </c>
      <c r="L284" s="344" t="str">
        <f>IF(AND(Results!$O289&lt;&gt;"",Results!$Q289&lt;&gt;"",Results!$F289&lt;&gt;Results!$H289,$F284&lt;&gt;"",$G284&lt;&gt;""),Results!$O289,"")</f>
        <v/>
      </c>
      <c r="M284" s="122" t="str">
        <f>IF(AND(Results!$O289&lt;&gt;"",Results!$Q289&lt;&gt;"",Results!$F289&lt;&gt;Results!$H289,$F284&lt;&gt;"",$G284&lt;&gt;""),Results!$Q289,"")</f>
        <v/>
      </c>
      <c r="N284" s="16" t="str">
        <f>IF(Planning!$I287=0,F284&amp;G284,"")</f>
        <v/>
      </c>
      <c r="O284" s="122">
        <f>IF(AND(Results!$Z$6&gt;0,$E284-1&gt;=Results!$Z$6*Calc!$F$26),0,IF(AND(F284&lt;&gt;"",G284&lt;&gt;"",F284&lt;&gt;G284,Results!$R289&lt;&gt;"",Results!$T289&lt;&gt;""),1,0))</f>
        <v>0</v>
      </c>
      <c r="P284" s="122" t="str">
        <f>IF(AND(O284&gt;0,Planning!$I287=0),V284&amp;Language!$E$90&amp;W284,"")</f>
        <v/>
      </c>
      <c r="Q284" s="2" t="str">
        <f>IF(Planning!$I287=1,F284&amp;G284,"")</f>
        <v>Bayer 04 Leverkusen1. FC Union Berlin</v>
      </c>
      <c r="R284" s="88" t="str">
        <f>IF(AND(O284&gt;0,Planning!$I287=1),V284&amp;Language!$E$90&amp;W284,"")</f>
        <v/>
      </c>
      <c r="S284" s="122" t="str">
        <f>IF(O284&gt;0,X284&amp;Language!$E$90&amp;Y284,"")</f>
        <v/>
      </c>
      <c r="T284" s="290">
        <f>IF($H284="",0,Results!$U289)</f>
        <v>0</v>
      </c>
      <c r="U284" s="291">
        <f>IF($I284="",0,Results!$V289)</f>
        <v>0</v>
      </c>
      <c r="V284" s="270" t="str">
        <f t="shared" si="8"/>
        <v/>
      </c>
      <c r="W284" s="291" t="str">
        <f t="shared" si="9"/>
        <v/>
      </c>
      <c r="X284" s="270">
        <f>IF($O284=0,0,IF(Results!$R289="",0,Results!$R289))</f>
        <v>0</v>
      </c>
      <c r="Y284" s="291">
        <f>IF($O284=0,0,IF(Results!$T289="",0,Results!$T289))</f>
        <v>0</v>
      </c>
      <c r="Z284" s="270" t="str">
        <f>IF($O284=0,"",IF($X284&gt;$Y284,Settings!$C$4,IF($X284=$Y284,1,0)))</f>
        <v/>
      </c>
      <c r="AA284" s="291" t="str">
        <f>IF($O284=0,"",IF($X284&lt;$Y284,Settings!$C$4,IF($X284=$Y284,1,0)))</f>
        <v/>
      </c>
    </row>
    <row r="285" spans="5:27" x14ac:dyDescent="0.2">
      <c r="E285" s="266">
        <v>282</v>
      </c>
      <c r="F285" s="171" t="str">
        <f>Planning!$Q288</f>
        <v>1. FC Köln</v>
      </c>
      <c r="G285" s="348" t="str">
        <f>Planning!$S288</f>
        <v>Borussia Dortmund</v>
      </c>
      <c r="H285" s="344" t="str">
        <f>IF(AND(Results!$I290&lt;&gt;"",Results!$K290&lt;&gt;"",Results!$F290&lt;&gt;Results!$H290,$F285&lt;&gt;"",$G285&lt;&gt;""),Results!$I290,"")</f>
        <v/>
      </c>
      <c r="I285" s="343" t="str">
        <f>IF(AND(Results!$I290&lt;&gt;"",Results!$K290&lt;&gt;"",Results!$F290&lt;&gt;Results!$H290,$F285&lt;&gt;"",$G285&lt;&gt;""),Results!$K290,"")</f>
        <v/>
      </c>
      <c r="J285" s="344" t="str">
        <f>IF(AND(Results!$L290&lt;&gt;"",Results!$N290&lt;&gt;"",Results!$F290&lt;&gt;Results!$H290,$F285&lt;&gt;"",$G285&lt;&gt;""),Results!$L290,"")</f>
        <v/>
      </c>
      <c r="K285" s="343" t="str">
        <f>IF(AND(Results!$L290&lt;&gt;"",Results!$N290&lt;&gt;"",Results!$F290&lt;&gt;Results!$H290,$F285&lt;&gt;"",$G285&lt;&gt;""),Results!$N290,"")</f>
        <v/>
      </c>
      <c r="L285" s="344" t="str">
        <f>IF(AND(Results!$O290&lt;&gt;"",Results!$Q290&lt;&gt;"",Results!$F290&lt;&gt;Results!$H290,$F285&lt;&gt;"",$G285&lt;&gt;""),Results!$O290,"")</f>
        <v/>
      </c>
      <c r="M285" s="122" t="str">
        <f>IF(AND(Results!$O290&lt;&gt;"",Results!$Q290&lt;&gt;"",Results!$F290&lt;&gt;Results!$H290,$F285&lt;&gt;"",$G285&lt;&gt;""),Results!$Q290,"")</f>
        <v/>
      </c>
      <c r="N285" s="16" t="str">
        <f>IF(Planning!$I288=0,F285&amp;G285,"")</f>
        <v/>
      </c>
      <c r="O285" s="122">
        <f>IF(AND(Results!$Z$6&gt;0,$E285-1&gt;=Results!$Z$6*Calc!$F$26),0,IF(AND(F285&lt;&gt;"",G285&lt;&gt;"",F285&lt;&gt;G285,Results!$R290&lt;&gt;"",Results!$T290&lt;&gt;""),1,0))</f>
        <v>0</v>
      </c>
      <c r="P285" s="122" t="str">
        <f>IF(AND(O285&gt;0,Planning!$I288=0),V285&amp;Language!$E$90&amp;W285,"")</f>
        <v/>
      </c>
      <c r="Q285" s="2" t="str">
        <f>IF(Planning!$I288=1,F285&amp;G285,"")</f>
        <v>1. FC KölnBorussia Dortmund</v>
      </c>
      <c r="R285" s="88" t="str">
        <f>IF(AND(O285&gt;0,Planning!$I288=1),V285&amp;Language!$E$90&amp;W285,"")</f>
        <v/>
      </c>
      <c r="S285" s="122" t="str">
        <f>IF(O285&gt;0,X285&amp;Language!$E$90&amp;Y285,"")</f>
        <v/>
      </c>
      <c r="T285" s="290">
        <f>IF($H285="",0,Results!$U290)</f>
        <v>0</v>
      </c>
      <c r="U285" s="291">
        <f>IF($I285="",0,Results!$V290)</f>
        <v>0</v>
      </c>
      <c r="V285" s="270" t="str">
        <f t="shared" si="8"/>
        <v/>
      </c>
      <c r="W285" s="291" t="str">
        <f t="shared" si="9"/>
        <v/>
      </c>
      <c r="X285" s="270">
        <f>IF($O285=0,0,IF(Results!$R290="",0,Results!$R290))</f>
        <v>0</v>
      </c>
      <c r="Y285" s="291">
        <f>IF($O285=0,0,IF(Results!$T290="",0,Results!$T290))</f>
        <v>0</v>
      </c>
      <c r="Z285" s="270" t="str">
        <f>IF($O285=0,"",IF($X285&gt;$Y285,Settings!$C$4,IF($X285=$Y285,1,0)))</f>
        <v/>
      </c>
      <c r="AA285" s="291" t="str">
        <f>IF($O285=0,"",IF($X285&lt;$Y285,Settings!$C$4,IF($X285=$Y285,1,0)))</f>
        <v/>
      </c>
    </row>
    <row r="286" spans="5:27" x14ac:dyDescent="0.2">
      <c r="E286" s="266">
        <v>283</v>
      </c>
      <c r="F286" s="171" t="str">
        <f>Planning!$Q289</f>
        <v>Borussia Mönchengladbach</v>
      </c>
      <c r="G286" s="348" t="str">
        <f>Planning!$S289</f>
        <v>VfL Wolfsburg</v>
      </c>
      <c r="H286" s="344" t="str">
        <f>IF(AND(Results!$I291&lt;&gt;"",Results!$K291&lt;&gt;"",Results!$F291&lt;&gt;Results!$H291,$F286&lt;&gt;"",$G286&lt;&gt;""),Results!$I291,"")</f>
        <v/>
      </c>
      <c r="I286" s="343" t="str">
        <f>IF(AND(Results!$I291&lt;&gt;"",Results!$K291&lt;&gt;"",Results!$F291&lt;&gt;Results!$H291,$F286&lt;&gt;"",$G286&lt;&gt;""),Results!$K291,"")</f>
        <v/>
      </c>
      <c r="J286" s="344" t="str">
        <f>IF(AND(Results!$L291&lt;&gt;"",Results!$N291&lt;&gt;"",Results!$F291&lt;&gt;Results!$H291,$F286&lt;&gt;"",$G286&lt;&gt;""),Results!$L291,"")</f>
        <v/>
      </c>
      <c r="K286" s="343" t="str">
        <f>IF(AND(Results!$L291&lt;&gt;"",Results!$N291&lt;&gt;"",Results!$F291&lt;&gt;Results!$H291,$F286&lt;&gt;"",$G286&lt;&gt;""),Results!$N291,"")</f>
        <v/>
      </c>
      <c r="L286" s="344" t="str">
        <f>IF(AND(Results!$O291&lt;&gt;"",Results!$Q291&lt;&gt;"",Results!$F291&lt;&gt;Results!$H291,$F286&lt;&gt;"",$G286&lt;&gt;""),Results!$O291,"")</f>
        <v/>
      </c>
      <c r="M286" s="122" t="str">
        <f>IF(AND(Results!$O291&lt;&gt;"",Results!$Q291&lt;&gt;"",Results!$F291&lt;&gt;Results!$H291,$F286&lt;&gt;"",$G286&lt;&gt;""),Results!$Q291,"")</f>
        <v/>
      </c>
      <c r="N286" s="16" t="str">
        <f>IF(Planning!$I289=0,F286&amp;G286,"")</f>
        <v/>
      </c>
      <c r="O286" s="122">
        <f>IF(AND(Results!$Z$6&gt;0,$E286-1&gt;=Results!$Z$6*Calc!$F$26),0,IF(AND(F286&lt;&gt;"",G286&lt;&gt;"",F286&lt;&gt;G286,Results!$R291&lt;&gt;"",Results!$T291&lt;&gt;""),1,0))</f>
        <v>0</v>
      </c>
      <c r="P286" s="122" t="str">
        <f>IF(AND(O286&gt;0,Planning!$I289=0),V286&amp;Language!$E$90&amp;W286,"")</f>
        <v/>
      </c>
      <c r="Q286" s="2" t="str">
        <f>IF(Planning!$I289=1,F286&amp;G286,"")</f>
        <v>Borussia MönchengladbachVfL Wolfsburg</v>
      </c>
      <c r="R286" s="88" t="str">
        <f>IF(AND(O286&gt;0,Planning!$I289=1),V286&amp;Language!$E$90&amp;W286,"")</f>
        <v/>
      </c>
      <c r="S286" s="122" t="str">
        <f>IF(O286&gt;0,X286&amp;Language!$E$90&amp;Y286,"")</f>
        <v/>
      </c>
      <c r="T286" s="290">
        <f>IF($H286="",0,Results!$U291)</f>
        <v>0</v>
      </c>
      <c r="U286" s="291">
        <f>IF($I286="",0,Results!$V291)</f>
        <v>0</v>
      </c>
      <c r="V286" s="270" t="str">
        <f t="shared" si="8"/>
        <v/>
      </c>
      <c r="W286" s="291" t="str">
        <f t="shared" si="9"/>
        <v/>
      </c>
      <c r="X286" s="270">
        <f>IF($O286=0,0,IF(Results!$R291="",0,Results!$R291))</f>
        <v>0</v>
      </c>
      <c r="Y286" s="291">
        <f>IF($O286=0,0,IF(Results!$T291="",0,Results!$T291))</f>
        <v>0</v>
      </c>
      <c r="Z286" s="270" t="str">
        <f>IF($O286=0,"",IF($X286&gt;$Y286,Settings!$C$4,IF($X286=$Y286,1,0)))</f>
        <v/>
      </c>
      <c r="AA286" s="291" t="str">
        <f>IF($O286=0,"",IF($X286&lt;$Y286,Settings!$C$4,IF($X286=$Y286,1,0)))</f>
        <v/>
      </c>
    </row>
    <row r="287" spans="5:27" x14ac:dyDescent="0.2">
      <c r="E287" s="266">
        <v>284</v>
      </c>
      <c r="F287" s="171" t="str">
        <f>Planning!$Q290</f>
        <v>VfB Stuttgart</v>
      </c>
      <c r="G287" s="348" t="str">
        <f>Planning!$S290</f>
        <v>Eintracht Frankfurt</v>
      </c>
      <c r="H287" s="344" t="str">
        <f>IF(AND(Results!$I292&lt;&gt;"",Results!$K292&lt;&gt;"",Results!$F292&lt;&gt;Results!$H292,$F287&lt;&gt;"",$G287&lt;&gt;""),Results!$I292,"")</f>
        <v/>
      </c>
      <c r="I287" s="343" t="str">
        <f>IF(AND(Results!$I292&lt;&gt;"",Results!$K292&lt;&gt;"",Results!$F292&lt;&gt;Results!$H292,$F287&lt;&gt;"",$G287&lt;&gt;""),Results!$K292,"")</f>
        <v/>
      </c>
      <c r="J287" s="344" t="str">
        <f>IF(AND(Results!$L292&lt;&gt;"",Results!$N292&lt;&gt;"",Results!$F292&lt;&gt;Results!$H292,$F287&lt;&gt;"",$G287&lt;&gt;""),Results!$L292,"")</f>
        <v/>
      </c>
      <c r="K287" s="343" t="str">
        <f>IF(AND(Results!$L292&lt;&gt;"",Results!$N292&lt;&gt;"",Results!$F292&lt;&gt;Results!$H292,$F287&lt;&gt;"",$G287&lt;&gt;""),Results!$N292,"")</f>
        <v/>
      </c>
      <c r="L287" s="344" t="str">
        <f>IF(AND(Results!$O292&lt;&gt;"",Results!$Q292&lt;&gt;"",Results!$F292&lt;&gt;Results!$H292,$F287&lt;&gt;"",$G287&lt;&gt;""),Results!$O292,"")</f>
        <v/>
      </c>
      <c r="M287" s="122" t="str">
        <f>IF(AND(Results!$O292&lt;&gt;"",Results!$Q292&lt;&gt;"",Results!$F292&lt;&gt;Results!$H292,$F287&lt;&gt;"",$G287&lt;&gt;""),Results!$Q292,"")</f>
        <v/>
      </c>
      <c r="N287" s="16" t="str">
        <f>IF(Planning!$I290=0,F287&amp;G287,"")</f>
        <v/>
      </c>
      <c r="O287" s="122">
        <f>IF(AND(Results!$Z$6&gt;0,$E287-1&gt;=Results!$Z$6*Calc!$F$26),0,IF(AND(F287&lt;&gt;"",G287&lt;&gt;"",F287&lt;&gt;G287,Results!$R292&lt;&gt;"",Results!$T292&lt;&gt;""),1,0))</f>
        <v>0</v>
      </c>
      <c r="P287" s="122" t="str">
        <f>IF(AND(O287&gt;0,Planning!$I290=0),V287&amp;Language!$E$90&amp;W287,"")</f>
        <v/>
      </c>
      <c r="Q287" s="2" t="str">
        <f>IF(Planning!$I290=1,F287&amp;G287,"")</f>
        <v>VfB StuttgartEintracht Frankfurt</v>
      </c>
      <c r="R287" s="88" t="str">
        <f>IF(AND(O287&gt;0,Planning!$I290=1),V287&amp;Language!$E$90&amp;W287,"")</f>
        <v/>
      </c>
      <c r="S287" s="122" t="str">
        <f>IF(O287&gt;0,X287&amp;Language!$E$90&amp;Y287,"")</f>
        <v/>
      </c>
      <c r="T287" s="290">
        <f>IF($H287="",0,Results!$U292)</f>
        <v>0</v>
      </c>
      <c r="U287" s="291">
        <f>IF($I287="",0,Results!$V292)</f>
        <v>0</v>
      </c>
      <c r="V287" s="270" t="str">
        <f t="shared" si="8"/>
        <v/>
      </c>
      <c r="W287" s="291" t="str">
        <f t="shared" si="9"/>
        <v/>
      </c>
      <c r="X287" s="270">
        <f>IF($O287=0,0,IF(Results!$R292="",0,Results!$R292))</f>
        <v>0</v>
      </c>
      <c r="Y287" s="291">
        <f>IF($O287=0,0,IF(Results!$T292="",0,Results!$T292))</f>
        <v>0</v>
      </c>
      <c r="Z287" s="270" t="str">
        <f>IF($O287=0,"",IF($X287&gt;$Y287,Settings!$C$4,IF($X287=$Y287,1,0)))</f>
        <v/>
      </c>
      <c r="AA287" s="291" t="str">
        <f>IF($O287=0,"",IF($X287&lt;$Y287,Settings!$C$4,IF($X287=$Y287,1,0)))</f>
        <v/>
      </c>
    </row>
    <row r="288" spans="5:27" x14ac:dyDescent="0.2">
      <c r="E288" s="266">
        <v>285</v>
      </c>
      <c r="F288" s="171" t="str">
        <f>Planning!$Q291</f>
        <v>FC Augsburg</v>
      </c>
      <c r="G288" s="348" t="str">
        <f>Planning!$S291</f>
        <v>TSG Hoffenheim</v>
      </c>
      <c r="H288" s="344" t="str">
        <f>IF(AND(Results!$I293&lt;&gt;"",Results!$K293&lt;&gt;"",Results!$F293&lt;&gt;Results!$H293,$F288&lt;&gt;"",$G288&lt;&gt;""),Results!$I293,"")</f>
        <v/>
      </c>
      <c r="I288" s="343" t="str">
        <f>IF(AND(Results!$I293&lt;&gt;"",Results!$K293&lt;&gt;"",Results!$F293&lt;&gt;Results!$H293,$F288&lt;&gt;"",$G288&lt;&gt;""),Results!$K293,"")</f>
        <v/>
      </c>
      <c r="J288" s="344" t="str">
        <f>IF(AND(Results!$L293&lt;&gt;"",Results!$N293&lt;&gt;"",Results!$F293&lt;&gt;Results!$H293,$F288&lt;&gt;"",$G288&lt;&gt;""),Results!$L293,"")</f>
        <v/>
      </c>
      <c r="K288" s="343" t="str">
        <f>IF(AND(Results!$L293&lt;&gt;"",Results!$N293&lt;&gt;"",Results!$F293&lt;&gt;Results!$H293,$F288&lt;&gt;"",$G288&lt;&gt;""),Results!$N293,"")</f>
        <v/>
      </c>
      <c r="L288" s="344" t="str">
        <f>IF(AND(Results!$O293&lt;&gt;"",Results!$Q293&lt;&gt;"",Results!$F293&lt;&gt;Results!$H293,$F288&lt;&gt;"",$G288&lt;&gt;""),Results!$O293,"")</f>
        <v/>
      </c>
      <c r="M288" s="122" t="str">
        <f>IF(AND(Results!$O293&lt;&gt;"",Results!$Q293&lt;&gt;"",Results!$F293&lt;&gt;Results!$H293,$F288&lt;&gt;"",$G288&lt;&gt;""),Results!$Q293,"")</f>
        <v/>
      </c>
      <c r="N288" s="16" t="str">
        <f>IF(Planning!$I291=0,F288&amp;G288,"")</f>
        <v/>
      </c>
      <c r="O288" s="122">
        <f>IF(AND(Results!$Z$6&gt;0,$E288-1&gt;=Results!$Z$6*Calc!$F$26),0,IF(AND(F288&lt;&gt;"",G288&lt;&gt;"",F288&lt;&gt;G288,Results!$R293&lt;&gt;"",Results!$T293&lt;&gt;""),1,0))</f>
        <v>0</v>
      </c>
      <c r="P288" s="122" t="str">
        <f>IF(AND(O288&gt;0,Planning!$I291=0),V288&amp;Language!$E$90&amp;W288,"")</f>
        <v/>
      </c>
      <c r="Q288" s="2" t="str">
        <f>IF(Planning!$I291=1,F288&amp;G288,"")</f>
        <v>FC AugsburgTSG Hoffenheim</v>
      </c>
      <c r="R288" s="88" t="str">
        <f>IF(AND(O288&gt;0,Planning!$I291=1),V288&amp;Language!$E$90&amp;W288,"")</f>
        <v/>
      </c>
      <c r="S288" s="122" t="str">
        <f>IF(O288&gt;0,X288&amp;Language!$E$90&amp;Y288,"")</f>
        <v/>
      </c>
      <c r="T288" s="290">
        <f>IF($H288="",0,Results!$U293)</f>
        <v>0</v>
      </c>
      <c r="U288" s="291">
        <f>IF($I288="",0,Results!$V293)</f>
        <v>0</v>
      </c>
      <c r="V288" s="270" t="str">
        <f t="shared" si="8"/>
        <v/>
      </c>
      <c r="W288" s="291" t="str">
        <f t="shared" si="9"/>
        <v/>
      </c>
      <c r="X288" s="270">
        <f>IF($O288=0,0,IF(Results!$R293="",0,Results!$R293))</f>
        <v>0</v>
      </c>
      <c r="Y288" s="291">
        <f>IF($O288=0,0,IF(Results!$T293="",0,Results!$T293))</f>
        <v>0</v>
      </c>
      <c r="Z288" s="270" t="str">
        <f>IF($O288=0,"",IF($X288&gt;$Y288,Settings!$C$4,IF($X288=$Y288,1,0)))</f>
        <v/>
      </c>
      <c r="AA288" s="291" t="str">
        <f>IF($O288=0,"",IF($X288&lt;$Y288,Settings!$C$4,IF($X288=$Y288,1,0)))</f>
        <v/>
      </c>
    </row>
    <row r="289" spans="5:27" x14ac:dyDescent="0.2">
      <c r="E289" s="266">
        <v>286</v>
      </c>
      <c r="F289" s="171" t="str">
        <f>Planning!$Q292</f>
        <v>SV Werder Bremen</v>
      </c>
      <c r="G289" s="348" t="str">
        <f>Planning!$S292</f>
        <v>FC Bayern München</v>
      </c>
      <c r="H289" s="344" t="str">
        <f>IF(AND(Results!$I294&lt;&gt;"",Results!$K294&lt;&gt;"",Results!$F294&lt;&gt;Results!$H294,$F289&lt;&gt;"",$G289&lt;&gt;""),Results!$I294,"")</f>
        <v/>
      </c>
      <c r="I289" s="343" t="str">
        <f>IF(AND(Results!$I294&lt;&gt;"",Results!$K294&lt;&gt;"",Results!$F294&lt;&gt;Results!$H294,$F289&lt;&gt;"",$G289&lt;&gt;""),Results!$K294,"")</f>
        <v/>
      </c>
      <c r="J289" s="344" t="str">
        <f>IF(AND(Results!$L294&lt;&gt;"",Results!$N294&lt;&gt;"",Results!$F294&lt;&gt;Results!$H294,$F289&lt;&gt;"",$G289&lt;&gt;""),Results!$L294,"")</f>
        <v/>
      </c>
      <c r="K289" s="343" t="str">
        <f>IF(AND(Results!$L294&lt;&gt;"",Results!$N294&lt;&gt;"",Results!$F294&lt;&gt;Results!$H294,$F289&lt;&gt;"",$G289&lt;&gt;""),Results!$N294,"")</f>
        <v/>
      </c>
      <c r="L289" s="344" t="str">
        <f>IF(AND(Results!$O294&lt;&gt;"",Results!$Q294&lt;&gt;"",Results!$F294&lt;&gt;Results!$H294,$F289&lt;&gt;"",$G289&lt;&gt;""),Results!$O294,"")</f>
        <v/>
      </c>
      <c r="M289" s="122" t="str">
        <f>IF(AND(Results!$O294&lt;&gt;"",Results!$Q294&lt;&gt;"",Results!$F294&lt;&gt;Results!$H294,$F289&lt;&gt;"",$G289&lt;&gt;""),Results!$Q294,"")</f>
        <v/>
      </c>
      <c r="N289" s="16" t="str">
        <f>IF(Planning!$I292=0,F289&amp;G289,"")</f>
        <v/>
      </c>
      <c r="O289" s="122">
        <f>IF(AND(Results!$Z$6&gt;0,$E289-1&gt;=Results!$Z$6*Calc!$F$26),0,IF(AND(F289&lt;&gt;"",G289&lt;&gt;"",F289&lt;&gt;G289,Results!$R294&lt;&gt;"",Results!$T294&lt;&gt;""),1,0))</f>
        <v>0</v>
      </c>
      <c r="P289" s="122" t="str">
        <f>IF(AND(O289&gt;0,Planning!$I292=0),V289&amp;Language!$E$90&amp;W289,"")</f>
        <v/>
      </c>
      <c r="Q289" s="2" t="str">
        <f>IF(Planning!$I292=1,F289&amp;G289,"")</f>
        <v>SV Werder BremenFC Bayern München</v>
      </c>
      <c r="R289" s="88" t="str">
        <f>IF(AND(O289&gt;0,Planning!$I292=1),V289&amp;Language!$E$90&amp;W289,"")</f>
        <v/>
      </c>
      <c r="S289" s="122" t="str">
        <f>IF(O289&gt;0,X289&amp;Language!$E$90&amp;Y289,"")</f>
        <v/>
      </c>
      <c r="T289" s="290">
        <f>IF($H289="",0,Results!$U294)</f>
        <v>0</v>
      </c>
      <c r="U289" s="291">
        <f>IF($I289="",0,Results!$V294)</f>
        <v>0</v>
      </c>
      <c r="V289" s="270" t="str">
        <f t="shared" si="8"/>
        <v/>
      </c>
      <c r="W289" s="291" t="str">
        <f t="shared" si="9"/>
        <v/>
      </c>
      <c r="X289" s="270">
        <f>IF($O289=0,0,IF(Results!$R294="",0,Results!$R294))</f>
        <v>0</v>
      </c>
      <c r="Y289" s="291">
        <f>IF($O289=0,0,IF(Results!$T294="",0,Results!$T294))</f>
        <v>0</v>
      </c>
      <c r="Z289" s="270" t="str">
        <f>IF($O289=0,"",IF($X289&gt;$Y289,Settings!$C$4,IF($X289=$Y289,1,0)))</f>
        <v/>
      </c>
      <c r="AA289" s="291" t="str">
        <f>IF($O289=0,"",IF($X289&lt;$Y289,Settings!$C$4,IF($X289=$Y289,1,0)))</f>
        <v/>
      </c>
    </row>
    <row r="290" spans="5:27" x14ac:dyDescent="0.2">
      <c r="E290" s="266">
        <v>287</v>
      </c>
      <c r="F290" s="171" t="str">
        <f>Planning!$Q293</f>
        <v>FC St. Pauli</v>
      </c>
      <c r="G290" s="348" t="str">
        <f>Planning!$S293</f>
        <v>SC Freiburg</v>
      </c>
      <c r="H290" s="344" t="str">
        <f>IF(AND(Results!$I295&lt;&gt;"",Results!$K295&lt;&gt;"",Results!$F295&lt;&gt;Results!$H295,$F290&lt;&gt;"",$G290&lt;&gt;""),Results!$I295,"")</f>
        <v/>
      </c>
      <c r="I290" s="343" t="str">
        <f>IF(AND(Results!$I295&lt;&gt;"",Results!$K295&lt;&gt;"",Results!$F295&lt;&gt;Results!$H295,$F290&lt;&gt;"",$G290&lt;&gt;""),Results!$K295,"")</f>
        <v/>
      </c>
      <c r="J290" s="344" t="str">
        <f>IF(AND(Results!$L295&lt;&gt;"",Results!$N295&lt;&gt;"",Results!$F295&lt;&gt;Results!$H295,$F290&lt;&gt;"",$G290&lt;&gt;""),Results!$L295,"")</f>
        <v/>
      </c>
      <c r="K290" s="343" t="str">
        <f>IF(AND(Results!$L295&lt;&gt;"",Results!$N295&lt;&gt;"",Results!$F295&lt;&gt;Results!$H295,$F290&lt;&gt;"",$G290&lt;&gt;""),Results!$N295,"")</f>
        <v/>
      </c>
      <c r="L290" s="344" t="str">
        <f>IF(AND(Results!$O295&lt;&gt;"",Results!$Q295&lt;&gt;"",Results!$F295&lt;&gt;Results!$H295,$F290&lt;&gt;"",$G290&lt;&gt;""),Results!$O295,"")</f>
        <v/>
      </c>
      <c r="M290" s="122" t="str">
        <f>IF(AND(Results!$O295&lt;&gt;"",Results!$Q295&lt;&gt;"",Results!$F295&lt;&gt;Results!$H295,$F290&lt;&gt;"",$G290&lt;&gt;""),Results!$Q295,"")</f>
        <v/>
      </c>
      <c r="N290" s="16" t="str">
        <f>IF(Planning!$I293=0,F290&amp;G290,"")</f>
        <v/>
      </c>
      <c r="O290" s="122">
        <f>IF(AND(Results!$Z$6&gt;0,$E290-1&gt;=Results!$Z$6*Calc!$F$26),0,IF(AND(F290&lt;&gt;"",G290&lt;&gt;"",F290&lt;&gt;G290,Results!$R295&lt;&gt;"",Results!$T295&lt;&gt;""),1,0))</f>
        <v>0</v>
      </c>
      <c r="P290" s="122" t="str">
        <f>IF(AND(O290&gt;0,Planning!$I293=0),V290&amp;Language!$E$90&amp;W290,"")</f>
        <v/>
      </c>
      <c r="Q290" s="2" t="str">
        <f>IF(Planning!$I293=1,F290&amp;G290,"")</f>
        <v>FC St. PauliSC Freiburg</v>
      </c>
      <c r="R290" s="88" t="str">
        <f>IF(AND(O290&gt;0,Planning!$I293=1),V290&amp;Language!$E$90&amp;W290,"")</f>
        <v/>
      </c>
      <c r="S290" s="122" t="str">
        <f>IF(O290&gt;0,X290&amp;Language!$E$90&amp;Y290,"")</f>
        <v/>
      </c>
      <c r="T290" s="290">
        <f>IF($H290="",0,Results!$U295)</f>
        <v>0</v>
      </c>
      <c r="U290" s="291">
        <f>IF($I290="",0,Results!$V295)</f>
        <v>0</v>
      </c>
      <c r="V290" s="270" t="str">
        <f t="shared" si="8"/>
        <v/>
      </c>
      <c r="W290" s="291" t="str">
        <f t="shared" si="9"/>
        <v/>
      </c>
      <c r="X290" s="270">
        <f>IF($O290=0,0,IF(Results!$R295="",0,Results!$R295))</f>
        <v>0</v>
      </c>
      <c r="Y290" s="291">
        <f>IF($O290=0,0,IF(Results!$T295="",0,Results!$T295))</f>
        <v>0</v>
      </c>
      <c r="Z290" s="270" t="str">
        <f>IF($O290=0,"",IF($X290&gt;$Y290,Settings!$C$4,IF($X290=$Y290,1,0)))</f>
        <v/>
      </c>
      <c r="AA290" s="291" t="str">
        <f>IF($O290=0,"",IF($X290&lt;$Y290,Settings!$C$4,IF($X290=$Y290,1,0)))</f>
        <v/>
      </c>
    </row>
    <row r="291" spans="5:27" x14ac:dyDescent="0.2">
      <c r="E291" s="266">
        <v>288</v>
      </c>
      <c r="F291" s="171" t="str">
        <f>Planning!$Q294</f>
        <v>RB Leipzig</v>
      </c>
      <c r="G291" s="348" t="str">
        <f>Planning!$S294</f>
        <v>Hamburger SV</v>
      </c>
      <c r="H291" s="344" t="str">
        <f>IF(AND(Results!$I296&lt;&gt;"",Results!$K296&lt;&gt;"",Results!$F296&lt;&gt;Results!$H296,$F291&lt;&gt;"",$G291&lt;&gt;""),Results!$I296,"")</f>
        <v/>
      </c>
      <c r="I291" s="343" t="str">
        <f>IF(AND(Results!$I296&lt;&gt;"",Results!$K296&lt;&gt;"",Results!$F296&lt;&gt;Results!$H296,$F291&lt;&gt;"",$G291&lt;&gt;""),Results!$K296,"")</f>
        <v/>
      </c>
      <c r="J291" s="344" t="str">
        <f>IF(AND(Results!$L296&lt;&gt;"",Results!$N296&lt;&gt;"",Results!$F296&lt;&gt;Results!$H296,$F291&lt;&gt;"",$G291&lt;&gt;""),Results!$L296,"")</f>
        <v/>
      </c>
      <c r="K291" s="343" t="str">
        <f>IF(AND(Results!$L296&lt;&gt;"",Results!$N296&lt;&gt;"",Results!$F296&lt;&gt;Results!$H296,$F291&lt;&gt;"",$G291&lt;&gt;""),Results!$N296,"")</f>
        <v/>
      </c>
      <c r="L291" s="344" t="str">
        <f>IF(AND(Results!$O296&lt;&gt;"",Results!$Q296&lt;&gt;"",Results!$F296&lt;&gt;Results!$H296,$F291&lt;&gt;"",$G291&lt;&gt;""),Results!$O296,"")</f>
        <v/>
      </c>
      <c r="M291" s="122" t="str">
        <f>IF(AND(Results!$O296&lt;&gt;"",Results!$Q296&lt;&gt;"",Results!$F296&lt;&gt;Results!$H296,$F291&lt;&gt;"",$G291&lt;&gt;""),Results!$Q296,"")</f>
        <v/>
      </c>
      <c r="N291" s="16" t="str">
        <f>IF(Planning!$I294=0,F291&amp;G291,"")</f>
        <v/>
      </c>
      <c r="O291" s="122">
        <f>IF(AND(Results!$Z$6&gt;0,$E291-1&gt;=Results!$Z$6*Calc!$F$26),0,IF(AND(F291&lt;&gt;"",G291&lt;&gt;"",F291&lt;&gt;G291,Results!$R296&lt;&gt;"",Results!$T296&lt;&gt;""),1,0))</f>
        <v>0</v>
      </c>
      <c r="P291" s="122" t="str">
        <f>IF(AND(O291&gt;0,Planning!$I294=0),V291&amp;Language!$E$90&amp;W291,"")</f>
        <v/>
      </c>
      <c r="Q291" s="2" t="str">
        <f>IF(Planning!$I294=1,F291&amp;G291,"")</f>
        <v>RB LeipzigHamburger SV</v>
      </c>
      <c r="R291" s="88" t="str">
        <f>IF(AND(O291&gt;0,Planning!$I294=1),V291&amp;Language!$E$90&amp;W291,"")</f>
        <v/>
      </c>
      <c r="S291" s="122" t="str">
        <f>IF(O291&gt;0,X291&amp;Language!$E$90&amp;Y291,"")</f>
        <v/>
      </c>
      <c r="T291" s="290">
        <f>IF($H291="",0,Results!$U296)</f>
        <v>0</v>
      </c>
      <c r="U291" s="291">
        <f>IF($I291="",0,Results!$V296)</f>
        <v>0</v>
      </c>
      <c r="V291" s="270" t="str">
        <f t="shared" si="8"/>
        <v/>
      </c>
      <c r="W291" s="291" t="str">
        <f t="shared" si="9"/>
        <v/>
      </c>
      <c r="X291" s="270">
        <f>IF($O291=0,0,IF(Results!$R296="",0,Results!$R296))</f>
        <v>0</v>
      </c>
      <c r="Y291" s="291">
        <f>IF($O291=0,0,IF(Results!$T296="",0,Results!$T296))</f>
        <v>0</v>
      </c>
      <c r="Z291" s="270" t="str">
        <f>IF($O291=0,"",IF($X291&gt;$Y291,Settings!$C$4,IF($X291=$Y291,1,0)))</f>
        <v/>
      </c>
      <c r="AA291" s="291" t="str">
        <f>IF($O291=0,"",IF($X291&lt;$Y291,Settings!$C$4,IF($X291=$Y291,1,0)))</f>
        <v/>
      </c>
    </row>
    <row r="292" spans="5:27" x14ac:dyDescent="0.2">
      <c r="E292" s="266">
        <v>289</v>
      </c>
      <c r="F292" s="171" t="str">
        <f>Planning!$Q295</f>
        <v>1. FC Heidenheim 1846</v>
      </c>
      <c r="G292" s="348" t="str">
        <f>Planning!$S295</f>
        <v>1. FC Union Berlin</v>
      </c>
      <c r="H292" s="344" t="str">
        <f>IF(AND(Results!$I297&lt;&gt;"",Results!$K297&lt;&gt;"",Results!$F297&lt;&gt;Results!$H297,$F292&lt;&gt;"",$G292&lt;&gt;""),Results!$I297,"")</f>
        <v/>
      </c>
      <c r="I292" s="343" t="str">
        <f>IF(AND(Results!$I297&lt;&gt;"",Results!$K297&lt;&gt;"",Results!$F297&lt;&gt;Results!$H297,$F292&lt;&gt;"",$G292&lt;&gt;""),Results!$K297,"")</f>
        <v/>
      </c>
      <c r="J292" s="344" t="str">
        <f>IF(AND(Results!$L297&lt;&gt;"",Results!$N297&lt;&gt;"",Results!$F297&lt;&gt;Results!$H297,$F292&lt;&gt;"",$G292&lt;&gt;""),Results!$L297,"")</f>
        <v/>
      </c>
      <c r="K292" s="343" t="str">
        <f>IF(AND(Results!$L297&lt;&gt;"",Results!$N297&lt;&gt;"",Results!$F297&lt;&gt;Results!$H297,$F292&lt;&gt;"",$G292&lt;&gt;""),Results!$N297,"")</f>
        <v/>
      </c>
      <c r="L292" s="344" t="str">
        <f>IF(AND(Results!$O297&lt;&gt;"",Results!$Q297&lt;&gt;"",Results!$F297&lt;&gt;Results!$H297,$F292&lt;&gt;"",$G292&lt;&gt;""),Results!$O297,"")</f>
        <v/>
      </c>
      <c r="M292" s="122" t="str">
        <f>IF(AND(Results!$O297&lt;&gt;"",Results!$Q297&lt;&gt;"",Results!$F297&lt;&gt;Results!$H297,$F292&lt;&gt;"",$G292&lt;&gt;""),Results!$Q297,"")</f>
        <v/>
      </c>
      <c r="N292" s="16" t="str">
        <f>IF(Planning!$I295=0,F292&amp;G292,"")</f>
        <v/>
      </c>
      <c r="O292" s="122">
        <f>IF(AND(Results!$Z$6&gt;0,$E292-1&gt;=Results!$Z$6*Calc!$F$26),0,IF(AND(F292&lt;&gt;"",G292&lt;&gt;"",F292&lt;&gt;G292,Results!$R297&lt;&gt;"",Results!$T297&lt;&gt;""),1,0))</f>
        <v>0</v>
      </c>
      <c r="P292" s="122" t="str">
        <f>IF(AND(O292&gt;0,Planning!$I295=0),V292&amp;Language!$E$90&amp;W292,"")</f>
        <v/>
      </c>
      <c r="Q292" s="2" t="str">
        <f>IF(Planning!$I295=1,F292&amp;G292,"")</f>
        <v>1. FC Heidenheim 18461. FC Union Berlin</v>
      </c>
      <c r="R292" s="88" t="str">
        <f>IF(AND(O292&gt;0,Planning!$I295=1),V292&amp;Language!$E$90&amp;W292,"")</f>
        <v/>
      </c>
      <c r="S292" s="122" t="str">
        <f>IF(O292&gt;0,X292&amp;Language!$E$90&amp;Y292,"")</f>
        <v/>
      </c>
      <c r="T292" s="290">
        <f>IF($H292="",0,Results!$U297)</f>
        <v>0</v>
      </c>
      <c r="U292" s="291">
        <f>IF($I292="",0,Results!$V297)</f>
        <v>0</v>
      </c>
      <c r="V292" s="270" t="str">
        <f t="shared" si="8"/>
        <v/>
      </c>
      <c r="W292" s="291" t="str">
        <f t="shared" si="9"/>
        <v/>
      </c>
      <c r="X292" s="270">
        <f>IF($O292=0,0,IF(Results!$R297="",0,Results!$R297))</f>
        <v>0</v>
      </c>
      <c r="Y292" s="291">
        <f>IF($O292=0,0,IF(Results!$T297="",0,Results!$T297))</f>
        <v>0</v>
      </c>
      <c r="Z292" s="270" t="str">
        <f>IF($O292=0,"",IF($X292&gt;$Y292,Settings!$C$4,IF($X292=$Y292,1,0)))</f>
        <v/>
      </c>
      <c r="AA292" s="291" t="str">
        <f>IF($O292=0,"",IF($X292&lt;$Y292,Settings!$C$4,IF($X292=$Y292,1,0)))</f>
        <v/>
      </c>
    </row>
    <row r="293" spans="5:27" x14ac:dyDescent="0.2">
      <c r="E293" s="266">
        <v>290</v>
      </c>
      <c r="F293" s="171" t="str">
        <f>Planning!$Q296</f>
        <v>1. FSV Mainz 05</v>
      </c>
      <c r="G293" s="348" t="str">
        <f>Planning!$S296</f>
        <v>1. FC Köln</v>
      </c>
      <c r="H293" s="344" t="str">
        <f>IF(AND(Results!$I298&lt;&gt;"",Results!$K298&lt;&gt;"",Results!$F298&lt;&gt;Results!$H298,$F293&lt;&gt;"",$G293&lt;&gt;""),Results!$I298,"")</f>
        <v/>
      </c>
      <c r="I293" s="343" t="str">
        <f>IF(AND(Results!$I298&lt;&gt;"",Results!$K298&lt;&gt;"",Results!$F298&lt;&gt;Results!$H298,$F293&lt;&gt;"",$G293&lt;&gt;""),Results!$K298,"")</f>
        <v/>
      </c>
      <c r="J293" s="344" t="str">
        <f>IF(AND(Results!$L298&lt;&gt;"",Results!$N298&lt;&gt;"",Results!$F298&lt;&gt;Results!$H298,$F293&lt;&gt;"",$G293&lt;&gt;""),Results!$L298,"")</f>
        <v/>
      </c>
      <c r="K293" s="343" t="str">
        <f>IF(AND(Results!$L298&lt;&gt;"",Results!$N298&lt;&gt;"",Results!$F298&lt;&gt;Results!$H298,$F293&lt;&gt;"",$G293&lt;&gt;""),Results!$N298,"")</f>
        <v/>
      </c>
      <c r="L293" s="344" t="str">
        <f>IF(AND(Results!$O298&lt;&gt;"",Results!$Q298&lt;&gt;"",Results!$F298&lt;&gt;Results!$H298,$F293&lt;&gt;"",$G293&lt;&gt;""),Results!$O298,"")</f>
        <v/>
      </c>
      <c r="M293" s="122" t="str">
        <f>IF(AND(Results!$O298&lt;&gt;"",Results!$Q298&lt;&gt;"",Results!$F298&lt;&gt;Results!$H298,$F293&lt;&gt;"",$G293&lt;&gt;""),Results!$Q298,"")</f>
        <v/>
      </c>
      <c r="N293" s="16" t="str">
        <f>IF(Planning!$I296=0,F293&amp;G293,"")</f>
        <v/>
      </c>
      <c r="O293" s="122">
        <f>IF(AND(Results!$Z$6&gt;0,$E293-1&gt;=Results!$Z$6*Calc!$F$26),0,IF(AND(F293&lt;&gt;"",G293&lt;&gt;"",F293&lt;&gt;G293,Results!$R298&lt;&gt;"",Results!$T298&lt;&gt;""),1,0))</f>
        <v>0</v>
      </c>
      <c r="P293" s="122" t="str">
        <f>IF(AND(O293&gt;0,Planning!$I296=0),V293&amp;Language!$E$90&amp;W293,"")</f>
        <v/>
      </c>
      <c r="Q293" s="2" t="str">
        <f>IF(Planning!$I296=1,F293&amp;G293,"")</f>
        <v>1. FSV Mainz 051. FC Köln</v>
      </c>
      <c r="R293" s="88" t="str">
        <f>IF(AND(O293&gt;0,Planning!$I296=1),V293&amp;Language!$E$90&amp;W293,"")</f>
        <v/>
      </c>
      <c r="S293" s="122" t="str">
        <f>IF(O293&gt;0,X293&amp;Language!$E$90&amp;Y293,"")</f>
        <v/>
      </c>
      <c r="T293" s="290">
        <f>IF($H293="",0,Results!$U298)</f>
        <v>0</v>
      </c>
      <c r="U293" s="291">
        <f>IF($I293="",0,Results!$V298)</f>
        <v>0</v>
      </c>
      <c r="V293" s="270" t="str">
        <f t="shared" si="8"/>
        <v/>
      </c>
      <c r="W293" s="291" t="str">
        <f t="shared" si="9"/>
        <v/>
      </c>
      <c r="X293" s="270">
        <f>IF($O293=0,0,IF(Results!$R298="",0,Results!$R298))</f>
        <v>0</v>
      </c>
      <c r="Y293" s="291">
        <f>IF($O293=0,0,IF(Results!$T298="",0,Results!$T298))</f>
        <v>0</v>
      </c>
      <c r="Z293" s="270" t="str">
        <f>IF($O293=0,"",IF($X293&gt;$Y293,Settings!$C$4,IF($X293=$Y293,1,0)))</f>
        <v/>
      </c>
      <c r="AA293" s="291" t="str">
        <f>IF($O293=0,"",IF($X293&lt;$Y293,Settings!$C$4,IF($X293=$Y293,1,0)))</f>
        <v/>
      </c>
    </row>
    <row r="294" spans="5:27" x14ac:dyDescent="0.2">
      <c r="E294" s="266">
        <v>291</v>
      </c>
      <c r="F294" s="171" t="str">
        <f>Planning!$Q297</f>
        <v>VfL Wolfsburg</v>
      </c>
      <c r="G294" s="348" t="str">
        <f>Planning!$S297</f>
        <v>Bayer 04 Leverkusen</v>
      </c>
      <c r="H294" s="344" t="str">
        <f>IF(AND(Results!$I299&lt;&gt;"",Results!$K299&lt;&gt;"",Results!$F299&lt;&gt;Results!$H299,$F294&lt;&gt;"",$G294&lt;&gt;""),Results!$I299,"")</f>
        <v/>
      </c>
      <c r="I294" s="343" t="str">
        <f>IF(AND(Results!$I299&lt;&gt;"",Results!$K299&lt;&gt;"",Results!$F299&lt;&gt;Results!$H299,$F294&lt;&gt;"",$G294&lt;&gt;""),Results!$K299,"")</f>
        <v/>
      </c>
      <c r="J294" s="344" t="str">
        <f>IF(AND(Results!$L299&lt;&gt;"",Results!$N299&lt;&gt;"",Results!$F299&lt;&gt;Results!$H299,$F294&lt;&gt;"",$G294&lt;&gt;""),Results!$L299,"")</f>
        <v/>
      </c>
      <c r="K294" s="343" t="str">
        <f>IF(AND(Results!$L299&lt;&gt;"",Results!$N299&lt;&gt;"",Results!$F299&lt;&gt;Results!$H299,$F294&lt;&gt;"",$G294&lt;&gt;""),Results!$N299,"")</f>
        <v/>
      </c>
      <c r="L294" s="344" t="str">
        <f>IF(AND(Results!$O299&lt;&gt;"",Results!$Q299&lt;&gt;"",Results!$F299&lt;&gt;Results!$H299,$F294&lt;&gt;"",$G294&lt;&gt;""),Results!$O299,"")</f>
        <v/>
      </c>
      <c r="M294" s="122" t="str">
        <f>IF(AND(Results!$O299&lt;&gt;"",Results!$Q299&lt;&gt;"",Results!$F299&lt;&gt;Results!$H299,$F294&lt;&gt;"",$G294&lt;&gt;""),Results!$Q299,"")</f>
        <v/>
      </c>
      <c r="N294" s="16" t="str">
        <f>IF(Planning!$I297=0,F294&amp;G294,"")</f>
        <v/>
      </c>
      <c r="O294" s="122">
        <f>IF(AND(Results!$Z$6&gt;0,$E294-1&gt;=Results!$Z$6*Calc!$F$26),0,IF(AND(F294&lt;&gt;"",G294&lt;&gt;"",F294&lt;&gt;G294,Results!$R299&lt;&gt;"",Results!$T299&lt;&gt;""),1,0))</f>
        <v>0</v>
      </c>
      <c r="P294" s="122" t="str">
        <f>IF(AND(O294&gt;0,Planning!$I297=0),V294&amp;Language!$E$90&amp;W294,"")</f>
        <v/>
      </c>
      <c r="Q294" s="2" t="str">
        <f>IF(Planning!$I297=1,F294&amp;G294,"")</f>
        <v>VfL WolfsburgBayer 04 Leverkusen</v>
      </c>
      <c r="R294" s="88" t="str">
        <f>IF(AND(O294&gt;0,Planning!$I297=1),V294&amp;Language!$E$90&amp;W294,"")</f>
        <v/>
      </c>
      <c r="S294" s="122" t="str">
        <f>IF(O294&gt;0,X294&amp;Language!$E$90&amp;Y294,"")</f>
        <v/>
      </c>
      <c r="T294" s="290">
        <f>IF($H294="",0,Results!$U299)</f>
        <v>0</v>
      </c>
      <c r="U294" s="291">
        <f>IF($I294="",0,Results!$V299)</f>
        <v>0</v>
      </c>
      <c r="V294" s="270" t="str">
        <f t="shared" si="8"/>
        <v/>
      </c>
      <c r="W294" s="291" t="str">
        <f t="shared" si="9"/>
        <v/>
      </c>
      <c r="X294" s="270">
        <f>IF($O294=0,0,IF(Results!$R299="",0,Results!$R299))</f>
        <v>0</v>
      </c>
      <c r="Y294" s="291">
        <f>IF($O294=0,0,IF(Results!$T299="",0,Results!$T299))</f>
        <v>0</v>
      </c>
      <c r="Z294" s="270" t="str">
        <f>IF($O294=0,"",IF($X294&gt;$Y294,Settings!$C$4,IF($X294=$Y294,1,0)))</f>
        <v/>
      </c>
      <c r="AA294" s="291" t="str">
        <f>IF($O294=0,"",IF($X294&lt;$Y294,Settings!$C$4,IF($X294=$Y294,1,0)))</f>
        <v/>
      </c>
    </row>
    <row r="295" spans="5:27" x14ac:dyDescent="0.2">
      <c r="E295" s="266">
        <v>292</v>
      </c>
      <c r="F295" s="171" t="str">
        <f>Planning!$Q298</f>
        <v>Borussia Dortmund</v>
      </c>
      <c r="G295" s="348" t="str">
        <f>Planning!$S298</f>
        <v>VfB Stuttgart</v>
      </c>
      <c r="H295" s="344" t="str">
        <f>IF(AND(Results!$I300&lt;&gt;"",Results!$K300&lt;&gt;"",Results!$F300&lt;&gt;Results!$H300,$F295&lt;&gt;"",$G295&lt;&gt;""),Results!$I300,"")</f>
        <v/>
      </c>
      <c r="I295" s="343" t="str">
        <f>IF(AND(Results!$I300&lt;&gt;"",Results!$K300&lt;&gt;"",Results!$F300&lt;&gt;Results!$H300,$F295&lt;&gt;"",$G295&lt;&gt;""),Results!$K300,"")</f>
        <v/>
      </c>
      <c r="J295" s="344" t="str">
        <f>IF(AND(Results!$L300&lt;&gt;"",Results!$N300&lt;&gt;"",Results!$F300&lt;&gt;Results!$H300,$F295&lt;&gt;"",$G295&lt;&gt;""),Results!$L300,"")</f>
        <v/>
      </c>
      <c r="K295" s="343" t="str">
        <f>IF(AND(Results!$L300&lt;&gt;"",Results!$N300&lt;&gt;"",Results!$F300&lt;&gt;Results!$H300,$F295&lt;&gt;"",$G295&lt;&gt;""),Results!$N300,"")</f>
        <v/>
      </c>
      <c r="L295" s="344" t="str">
        <f>IF(AND(Results!$O300&lt;&gt;"",Results!$Q300&lt;&gt;"",Results!$F300&lt;&gt;Results!$H300,$F295&lt;&gt;"",$G295&lt;&gt;""),Results!$O300,"")</f>
        <v/>
      </c>
      <c r="M295" s="122" t="str">
        <f>IF(AND(Results!$O300&lt;&gt;"",Results!$Q300&lt;&gt;"",Results!$F300&lt;&gt;Results!$H300,$F295&lt;&gt;"",$G295&lt;&gt;""),Results!$Q300,"")</f>
        <v/>
      </c>
      <c r="N295" s="16" t="str">
        <f>IF(Planning!$I298=0,F295&amp;G295,"")</f>
        <v/>
      </c>
      <c r="O295" s="122">
        <f>IF(AND(Results!$Z$6&gt;0,$E295-1&gt;=Results!$Z$6*Calc!$F$26),0,IF(AND(F295&lt;&gt;"",G295&lt;&gt;"",F295&lt;&gt;G295,Results!$R300&lt;&gt;"",Results!$T300&lt;&gt;""),1,0))</f>
        <v>0</v>
      </c>
      <c r="P295" s="122" t="str">
        <f>IF(AND(O295&gt;0,Planning!$I298=0),V295&amp;Language!$E$90&amp;W295,"")</f>
        <v/>
      </c>
      <c r="Q295" s="2" t="str">
        <f>IF(Planning!$I298=1,F295&amp;G295,"")</f>
        <v>Borussia DortmundVfB Stuttgart</v>
      </c>
      <c r="R295" s="88" t="str">
        <f>IF(AND(O295&gt;0,Planning!$I298=1),V295&amp;Language!$E$90&amp;W295,"")</f>
        <v/>
      </c>
      <c r="S295" s="122" t="str">
        <f>IF(O295&gt;0,X295&amp;Language!$E$90&amp;Y295,"")</f>
        <v/>
      </c>
      <c r="T295" s="290">
        <f>IF($H295="",0,Results!$U300)</f>
        <v>0</v>
      </c>
      <c r="U295" s="291">
        <f>IF($I295="",0,Results!$V300)</f>
        <v>0</v>
      </c>
      <c r="V295" s="270" t="str">
        <f t="shared" si="8"/>
        <v/>
      </c>
      <c r="W295" s="291" t="str">
        <f t="shared" si="9"/>
        <v/>
      </c>
      <c r="X295" s="270">
        <f>IF($O295=0,0,IF(Results!$R300="",0,Results!$R300))</f>
        <v>0</v>
      </c>
      <c r="Y295" s="291">
        <f>IF($O295=0,0,IF(Results!$T300="",0,Results!$T300))</f>
        <v>0</v>
      </c>
      <c r="Z295" s="270" t="str">
        <f>IF($O295=0,"",IF($X295&gt;$Y295,Settings!$C$4,IF($X295=$Y295,1,0)))</f>
        <v/>
      </c>
      <c r="AA295" s="291" t="str">
        <f>IF($O295=0,"",IF($X295&lt;$Y295,Settings!$C$4,IF($X295=$Y295,1,0)))</f>
        <v/>
      </c>
    </row>
    <row r="296" spans="5:27" x14ac:dyDescent="0.2">
      <c r="E296" s="266">
        <v>293</v>
      </c>
      <c r="F296" s="171" t="str">
        <f>Planning!$Q299</f>
        <v>TSG Hoffenheim</v>
      </c>
      <c r="G296" s="348" t="str">
        <f>Planning!$S299</f>
        <v>Borussia Mönchengladbach</v>
      </c>
      <c r="H296" s="344" t="str">
        <f>IF(AND(Results!$I301&lt;&gt;"",Results!$K301&lt;&gt;"",Results!$F301&lt;&gt;Results!$H301,$F296&lt;&gt;"",$G296&lt;&gt;""),Results!$I301,"")</f>
        <v/>
      </c>
      <c r="I296" s="343" t="str">
        <f>IF(AND(Results!$I301&lt;&gt;"",Results!$K301&lt;&gt;"",Results!$F301&lt;&gt;Results!$H301,$F296&lt;&gt;"",$G296&lt;&gt;""),Results!$K301,"")</f>
        <v/>
      </c>
      <c r="J296" s="344" t="str">
        <f>IF(AND(Results!$L301&lt;&gt;"",Results!$N301&lt;&gt;"",Results!$F301&lt;&gt;Results!$H301,$F296&lt;&gt;"",$G296&lt;&gt;""),Results!$L301,"")</f>
        <v/>
      </c>
      <c r="K296" s="343" t="str">
        <f>IF(AND(Results!$L301&lt;&gt;"",Results!$N301&lt;&gt;"",Results!$F301&lt;&gt;Results!$H301,$F296&lt;&gt;"",$G296&lt;&gt;""),Results!$N301,"")</f>
        <v/>
      </c>
      <c r="L296" s="344" t="str">
        <f>IF(AND(Results!$O301&lt;&gt;"",Results!$Q301&lt;&gt;"",Results!$F301&lt;&gt;Results!$H301,$F296&lt;&gt;"",$G296&lt;&gt;""),Results!$O301,"")</f>
        <v/>
      </c>
      <c r="M296" s="122" t="str">
        <f>IF(AND(Results!$O301&lt;&gt;"",Results!$Q301&lt;&gt;"",Results!$F301&lt;&gt;Results!$H301,$F296&lt;&gt;"",$G296&lt;&gt;""),Results!$Q301,"")</f>
        <v/>
      </c>
      <c r="N296" s="16" t="str">
        <f>IF(Planning!$I299=0,F296&amp;G296,"")</f>
        <v/>
      </c>
      <c r="O296" s="122">
        <f>IF(AND(Results!$Z$6&gt;0,$E296-1&gt;=Results!$Z$6*Calc!$F$26),0,IF(AND(F296&lt;&gt;"",G296&lt;&gt;"",F296&lt;&gt;G296,Results!$R301&lt;&gt;"",Results!$T301&lt;&gt;""),1,0))</f>
        <v>0</v>
      </c>
      <c r="P296" s="122" t="str">
        <f>IF(AND(O296&gt;0,Planning!$I299=0),V296&amp;Language!$E$90&amp;W296,"")</f>
        <v/>
      </c>
      <c r="Q296" s="2" t="str">
        <f>IF(Planning!$I299=1,F296&amp;G296,"")</f>
        <v>TSG HoffenheimBorussia Mönchengladbach</v>
      </c>
      <c r="R296" s="88" t="str">
        <f>IF(AND(O296&gt;0,Planning!$I299=1),V296&amp;Language!$E$90&amp;W296,"")</f>
        <v/>
      </c>
      <c r="S296" s="122" t="str">
        <f>IF(O296&gt;0,X296&amp;Language!$E$90&amp;Y296,"")</f>
        <v/>
      </c>
      <c r="T296" s="290">
        <f>IF($H296="",0,Results!$U301)</f>
        <v>0</v>
      </c>
      <c r="U296" s="291">
        <f>IF($I296="",0,Results!$V301)</f>
        <v>0</v>
      </c>
      <c r="V296" s="270" t="str">
        <f t="shared" si="8"/>
        <v/>
      </c>
      <c r="W296" s="291" t="str">
        <f t="shared" si="9"/>
        <v/>
      </c>
      <c r="X296" s="270">
        <f>IF($O296=0,0,IF(Results!$R301="",0,Results!$R301))</f>
        <v>0</v>
      </c>
      <c r="Y296" s="291">
        <f>IF($O296=0,0,IF(Results!$T301="",0,Results!$T301))</f>
        <v>0</v>
      </c>
      <c r="Z296" s="270" t="str">
        <f>IF($O296=0,"",IF($X296&gt;$Y296,Settings!$C$4,IF($X296=$Y296,1,0)))</f>
        <v/>
      </c>
      <c r="AA296" s="291" t="str">
        <f>IF($O296=0,"",IF($X296&lt;$Y296,Settings!$C$4,IF($X296=$Y296,1,0)))</f>
        <v/>
      </c>
    </row>
    <row r="297" spans="5:27" x14ac:dyDescent="0.2">
      <c r="E297" s="266">
        <v>294</v>
      </c>
      <c r="F297" s="171" t="str">
        <f>Planning!$Q300</f>
        <v>Eintracht Frankfurt</v>
      </c>
      <c r="G297" s="348" t="str">
        <f>Planning!$S300</f>
        <v>SV Werder Bremen</v>
      </c>
      <c r="H297" s="344" t="str">
        <f>IF(AND(Results!$I302&lt;&gt;"",Results!$K302&lt;&gt;"",Results!$F302&lt;&gt;Results!$H302,$F297&lt;&gt;"",$G297&lt;&gt;""),Results!$I302,"")</f>
        <v/>
      </c>
      <c r="I297" s="343" t="str">
        <f>IF(AND(Results!$I302&lt;&gt;"",Results!$K302&lt;&gt;"",Results!$F302&lt;&gt;Results!$H302,$F297&lt;&gt;"",$G297&lt;&gt;""),Results!$K302,"")</f>
        <v/>
      </c>
      <c r="J297" s="344" t="str">
        <f>IF(AND(Results!$L302&lt;&gt;"",Results!$N302&lt;&gt;"",Results!$F302&lt;&gt;Results!$H302,$F297&lt;&gt;"",$G297&lt;&gt;""),Results!$L302,"")</f>
        <v/>
      </c>
      <c r="K297" s="343" t="str">
        <f>IF(AND(Results!$L302&lt;&gt;"",Results!$N302&lt;&gt;"",Results!$F302&lt;&gt;Results!$H302,$F297&lt;&gt;"",$G297&lt;&gt;""),Results!$N302,"")</f>
        <v/>
      </c>
      <c r="L297" s="344" t="str">
        <f>IF(AND(Results!$O302&lt;&gt;"",Results!$Q302&lt;&gt;"",Results!$F302&lt;&gt;Results!$H302,$F297&lt;&gt;"",$G297&lt;&gt;""),Results!$O302,"")</f>
        <v/>
      </c>
      <c r="M297" s="122" t="str">
        <f>IF(AND(Results!$O302&lt;&gt;"",Results!$Q302&lt;&gt;"",Results!$F302&lt;&gt;Results!$H302,$F297&lt;&gt;"",$G297&lt;&gt;""),Results!$Q302,"")</f>
        <v/>
      </c>
      <c r="N297" s="16" t="str">
        <f>IF(Planning!$I300=0,F297&amp;G297,"")</f>
        <v/>
      </c>
      <c r="O297" s="122">
        <f>IF(AND(Results!$Z$6&gt;0,$E297-1&gt;=Results!$Z$6*Calc!$F$26),0,IF(AND(F297&lt;&gt;"",G297&lt;&gt;"",F297&lt;&gt;G297,Results!$R302&lt;&gt;"",Results!$T302&lt;&gt;""),1,0))</f>
        <v>0</v>
      </c>
      <c r="P297" s="122" t="str">
        <f>IF(AND(O297&gt;0,Planning!$I300=0),V297&amp;Language!$E$90&amp;W297,"")</f>
        <v/>
      </c>
      <c r="Q297" s="2" t="str">
        <f>IF(Planning!$I300=1,F297&amp;G297,"")</f>
        <v>Eintracht FrankfurtSV Werder Bremen</v>
      </c>
      <c r="R297" s="88" t="str">
        <f>IF(AND(O297&gt;0,Planning!$I300=1),V297&amp;Language!$E$90&amp;W297,"")</f>
        <v/>
      </c>
      <c r="S297" s="122" t="str">
        <f>IF(O297&gt;0,X297&amp;Language!$E$90&amp;Y297,"")</f>
        <v/>
      </c>
      <c r="T297" s="290">
        <f>IF($H297="",0,Results!$U302)</f>
        <v>0</v>
      </c>
      <c r="U297" s="291">
        <f>IF($I297="",0,Results!$V302)</f>
        <v>0</v>
      </c>
      <c r="V297" s="270" t="str">
        <f t="shared" si="8"/>
        <v/>
      </c>
      <c r="W297" s="291" t="str">
        <f t="shared" si="9"/>
        <v/>
      </c>
      <c r="X297" s="270">
        <f>IF($O297=0,0,IF(Results!$R302="",0,Results!$R302))</f>
        <v>0</v>
      </c>
      <c r="Y297" s="291">
        <f>IF($O297=0,0,IF(Results!$T302="",0,Results!$T302))</f>
        <v>0</v>
      </c>
      <c r="Z297" s="270" t="str">
        <f>IF($O297=0,"",IF($X297&gt;$Y297,Settings!$C$4,IF($X297=$Y297,1,0)))</f>
        <v/>
      </c>
      <c r="AA297" s="291" t="str">
        <f>IF($O297=0,"",IF($X297&lt;$Y297,Settings!$C$4,IF($X297=$Y297,1,0)))</f>
        <v/>
      </c>
    </row>
    <row r="298" spans="5:27" x14ac:dyDescent="0.2">
      <c r="E298" s="266">
        <v>295</v>
      </c>
      <c r="F298" s="171" t="str">
        <f>Planning!$Q301</f>
        <v>SC Freiburg</v>
      </c>
      <c r="G298" s="348" t="str">
        <f>Planning!$S301</f>
        <v>FC Augsburg</v>
      </c>
      <c r="H298" s="344" t="str">
        <f>IF(AND(Results!$I303&lt;&gt;"",Results!$K303&lt;&gt;"",Results!$F303&lt;&gt;Results!$H303,$F298&lt;&gt;"",$G298&lt;&gt;""),Results!$I303,"")</f>
        <v/>
      </c>
      <c r="I298" s="343" t="str">
        <f>IF(AND(Results!$I303&lt;&gt;"",Results!$K303&lt;&gt;"",Results!$F303&lt;&gt;Results!$H303,$F298&lt;&gt;"",$G298&lt;&gt;""),Results!$K303,"")</f>
        <v/>
      </c>
      <c r="J298" s="344" t="str">
        <f>IF(AND(Results!$L303&lt;&gt;"",Results!$N303&lt;&gt;"",Results!$F303&lt;&gt;Results!$H303,$F298&lt;&gt;"",$G298&lt;&gt;""),Results!$L303,"")</f>
        <v/>
      </c>
      <c r="K298" s="343" t="str">
        <f>IF(AND(Results!$L303&lt;&gt;"",Results!$N303&lt;&gt;"",Results!$F303&lt;&gt;Results!$H303,$F298&lt;&gt;"",$G298&lt;&gt;""),Results!$N303,"")</f>
        <v/>
      </c>
      <c r="L298" s="344" t="str">
        <f>IF(AND(Results!$O303&lt;&gt;"",Results!$Q303&lt;&gt;"",Results!$F303&lt;&gt;Results!$H303,$F298&lt;&gt;"",$G298&lt;&gt;""),Results!$O303,"")</f>
        <v/>
      </c>
      <c r="M298" s="122" t="str">
        <f>IF(AND(Results!$O303&lt;&gt;"",Results!$Q303&lt;&gt;"",Results!$F303&lt;&gt;Results!$H303,$F298&lt;&gt;"",$G298&lt;&gt;""),Results!$Q303,"")</f>
        <v/>
      </c>
      <c r="N298" s="16" t="str">
        <f>IF(Planning!$I301=0,F298&amp;G298,"")</f>
        <v/>
      </c>
      <c r="O298" s="122">
        <f>IF(AND(Results!$Z$6&gt;0,$E298-1&gt;=Results!$Z$6*Calc!$F$26),0,IF(AND(F298&lt;&gt;"",G298&lt;&gt;"",F298&lt;&gt;G298,Results!$R303&lt;&gt;"",Results!$T303&lt;&gt;""),1,0))</f>
        <v>0</v>
      </c>
      <c r="P298" s="122" t="str">
        <f>IF(AND(O298&gt;0,Planning!$I301=0),V298&amp;Language!$E$90&amp;W298,"")</f>
        <v/>
      </c>
      <c r="Q298" s="2" t="str">
        <f>IF(Planning!$I301=1,F298&amp;G298,"")</f>
        <v>SC FreiburgFC Augsburg</v>
      </c>
      <c r="R298" s="88" t="str">
        <f>IF(AND(O298&gt;0,Planning!$I301=1),V298&amp;Language!$E$90&amp;W298,"")</f>
        <v/>
      </c>
      <c r="S298" s="122" t="str">
        <f>IF(O298&gt;0,X298&amp;Language!$E$90&amp;Y298,"")</f>
        <v/>
      </c>
      <c r="T298" s="290">
        <f>IF($H298="",0,Results!$U303)</f>
        <v>0</v>
      </c>
      <c r="U298" s="291">
        <f>IF($I298="",0,Results!$V303)</f>
        <v>0</v>
      </c>
      <c r="V298" s="270" t="str">
        <f t="shared" si="8"/>
        <v/>
      </c>
      <c r="W298" s="291" t="str">
        <f t="shared" si="9"/>
        <v/>
      </c>
      <c r="X298" s="270">
        <f>IF($O298=0,0,IF(Results!$R303="",0,Results!$R303))</f>
        <v>0</v>
      </c>
      <c r="Y298" s="291">
        <f>IF($O298=0,0,IF(Results!$T303="",0,Results!$T303))</f>
        <v>0</v>
      </c>
      <c r="Z298" s="270" t="str">
        <f>IF($O298=0,"",IF($X298&gt;$Y298,Settings!$C$4,IF($X298=$Y298,1,0)))</f>
        <v/>
      </c>
      <c r="AA298" s="291" t="str">
        <f>IF($O298=0,"",IF($X298&lt;$Y298,Settings!$C$4,IF($X298=$Y298,1,0)))</f>
        <v/>
      </c>
    </row>
    <row r="299" spans="5:27" x14ac:dyDescent="0.2">
      <c r="E299" s="266">
        <v>296</v>
      </c>
      <c r="F299" s="171" t="str">
        <f>Planning!$Q302</f>
        <v>FC Bayern München</v>
      </c>
      <c r="G299" s="348" t="str">
        <f>Planning!$S302</f>
        <v>RB Leipzig</v>
      </c>
      <c r="H299" s="344" t="str">
        <f>IF(AND(Results!$I304&lt;&gt;"",Results!$K304&lt;&gt;"",Results!$F304&lt;&gt;Results!$H304,$F299&lt;&gt;"",$G299&lt;&gt;""),Results!$I304,"")</f>
        <v/>
      </c>
      <c r="I299" s="343" t="str">
        <f>IF(AND(Results!$I304&lt;&gt;"",Results!$K304&lt;&gt;"",Results!$F304&lt;&gt;Results!$H304,$F299&lt;&gt;"",$G299&lt;&gt;""),Results!$K304,"")</f>
        <v/>
      </c>
      <c r="J299" s="344" t="str">
        <f>IF(AND(Results!$L304&lt;&gt;"",Results!$N304&lt;&gt;"",Results!$F304&lt;&gt;Results!$H304,$F299&lt;&gt;"",$G299&lt;&gt;""),Results!$L304,"")</f>
        <v/>
      </c>
      <c r="K299" s="343" t="str">
        <f>IF(AND(Results!$L304&lt;&gt;"",Results!$N304&lt;&gt;"",Results!$F304&lt;&gt;Results!$H304,$F299&lt;&gt;"",$G299&lt;&gt;""),Results!$N304,"")</f>
        <v/>
      </c>
      <c r="L299" s="344" t="str">
        <f>IF(AND(Results!$O304&lt;&gt;"",Results!$Q304&lt;&gt;"",Results!$F304&lt;&gt;Results!$H304,$F299&lt;&gt;"",$G299&lt;&gt;""),Results!$O304,"")</f>
        <v/>
      </c>
      <c r="M299" s="122" t="str">
        <f>IF(AND(Results!$O304&lt;&gt;"",Results!$Q304&lt;&gt;"",Results!$F304&lt;&gt;Results!$H304,$F299&lt;&gt;"",$G299&lt;&gt;""),Results!$Q304,"")</f>
        <v/>
      </c>
      <c r="N299" s="16" t="str">
        <f>IF(Planning!$I302=0,F299&amp;G299,"")</f>
        <v/>
      </c>
      <c r="O299" s="122">
        <f>IF(AND(Results!$Z$6&gt;0,$E299-1&gt;=Results!$Z$6*Calc!$F$26),0,IF(AND(F299&lt;&gt;"",G299&lt;&gt;"",F299&lt;&gt;G299,Results!$R304&lt;&gt;"",Results!$T304&lt;&gt;""),1,0))</f>
        <v>0</v>
      </c>
      <c r="P299" s="122" t="str">
        <f>IF(AND(O299&gt;0,Planning!$I302=0),V299&amp;Language!$E$90&amp;W299,"")</f>
        <v/>
      </c>
      <c r="Q299" s="2" t="str">
        <f>IF(Planning!$I302=1,F299&amp;G299,"")</f>
        <v>FC Bayern MünchenRB Leipzig</v>
      </c>
      <c r="R299" s="88" t="str">
        <f>IF(AND(O299&gt;0,Planning!$I302=1),V299&amp;Language!$E$90&amp;W299,"")</f>
        <v/>
      </c>
      <c r="S299" s="122" t="str">
        <f>IF(O299&gt;0,X299&amp;Language!$E$90&amp;Y299,"")</f>
        <v/>
      </c>
      <c r="T299" s="290">
        <f>IF($H299="",0,Results!$U304)</f>
        <v>0</v>
      </c>
      <c r="U299" s="291">
        <f>IF($I299="",0,Results!$V304)</f>
        <v>0</v>
      </c>
      <c r="V299" s="270" t="str">
        <f t="shared" si="8"/>
        <v/>
      </c>
      <c r="W299" s="291" t="str">
        <f t="shared" si="9"/>
        <v/>
      </c>
      <c r="X299" s="270">
        <f>IF($O299=0,0,IF(Results!$R304="",0,Results!$R304))</f>
        <v>0</v>
      </c>
      <c r="Y299" s="291">
        <f>IF($O299=0,0,IF(Results!$T304="",0,Results!$T304))</f>
        <v>0</v>
      </c>
      <c r="Z299" s="270" t="str">
        <f>IF($O299=0,"",IF($X299&gt;$Y299,Settings!$C$4,IF($X299=$Y299,1,0)))</f>
        <v/>
      </c>
      <c r="AA299" s="291" t="str">
        <f>IF($O299=0,"",IF($X299&lt;$Y299,Settings!$C$4,IF($X299=$Y299,1,0)))</f>
        <v/>
      </c>
    </row>
    <row r="300" spans="5:27" x14ac:dyDescent="0.2">
      <c r="E300" s="266">
        <v>297</v>
      </c>
      <c r="F300" s="171" t="str">
        <f>Planning!$Q303</f>
        <v>Hamburger SV</v>
      </c>
      <c r="G300" s="348" t="str">
        <f>Planning!$S303</f>
        <v>FC St. Pauli</v>
      </c>
      <c r="H300" s="344" t="str">
        <f>IF(AND(Results!$I305&lt;&gt;"",Results!$K305&lt;&gt;"",Results!$F305&lt;&gt;Results!$H305,$F300&lt;&gt;"",$G300&lt;&gt;""),Results!$I305,"")</f>
        <v/>
      </c>
      <c r="I300" s="343" t="str">
        <f>IF(AND(Results!$I305&lt;&gt;"",Results!$K305&lt;&gt;"",Results!$F305&lt;&gt;Results!$H305,$F300&lt;&gt;"",$G300&lt;&gt;""),Results!$K305,"")</f>
        <v/>
      </c>
      <c r="J300" s="344" t="str">
        <f>IF(AND(Results!$L305&lt;&gt;"",Results!$N305&lt;&gt;"",Results!$F305&lt;&gt;Results!$H305,$F300&lt;&gt;"",$G300&lt;&gt;""),Results!$L305,"")</f>
        <v/>
      </c>
      <c r="K300" s="343" t="str">
        <f>IF(AND(Results!$L305&lt;&gt;"",Results!$N305&lt;&gt;"",Results!$F305&lt;&gt;Results!$H305,$F300&lt;&gt;"",$G300&lt;&gt;""),Results!$N305,"")</f>
        <v/>
      </c>
      <c r="L300" s="344" t="str">
        <f>IF(AND(Results!$O305&lt;&gt;"",Results!$Q305&lt;&gt;"",Results!$F305&lt;&gt;Results!$H305,$F300&lt;&gt;"",$G300&lt;&gt;""),Results!$O305,"")</f>
        <v/>
      </c>
      <c r="M300" s="122" t="str">
        <f>IF(AND(Results!$O305&lt;&gt;"",Results!$Q305&lt;&gt;"",Results!$F305&lt;&gt;Results!$H305,$F300&lt;&gt;"",$G300&lt;&gt;""),Results!$Q305,"")</f>
        <v/>
      </c>
      <c r="N300" s="16" t="str">
        <f>IF(Planning!$I303=0,F300&amp;G300,"")</f>
        <v/>
      </c>
      <c r="O300" s="122">
        <f>IF(AND(Results!$Z$6&gt;0,$E300-1&gt;=Results!$Z$6*Calc!$F$26),0,IF(AND(F300&lt;&gt;"",G300&lt;&gt;"",F300&lt;&gt;G300,Results!$R305&lt;&gt;"",Results!$T305&lt;&gt;""),1,0))</f>
        <v>0</v>
      </c>
      <c r="P300" s="122" t="str">
        <f>IF(AND(O300&gt;0,Planning!$I303=0),V300&amp;Language!$E$90&amp;W300,"")</f>
        <v/>
      </c>
      <c r="Q300" s="2" t="str">
        <f>IF(Planning!$I303=1,F300&amp;G300,"")</f>
        <v>Hamburger SVFC St. Pauli</v>
      </c>
      <c r="R300" s="88" t="str">
        <f>IF(AND(O300&gt;0,Planning!$I303=1),V300&amp;Language!$E$90&amp;W300,"")</f>
        <v/>
      </c>
      <c r="S300" s="122" t="str">
        <f>IF(O300&gt;0,X300&amp;Language!$E$90&amp;Y300,"")</f>
        <v/>
      </c>
      <c r="T300" s="290">
        <f>IF($H300="",0,Results!$U305)</f>
        <v>0</v>
      </c>
      <c r="U300" s="291">
        <f>IF($I300="",0,Results!$V305)</f>
        <v>0</v>
      </c>
      <c r="V300" s="270" t="str">
        <f t="shared" si="8"/>
        <v/>
      </c>
      <c r="W300" s="291" t="str">
        <f t="shared" si="9"/>
        <v/>
      </c>
      <c r="X300" s="270">
        <f>IF($O300=0,0,IF(Results!$R305="",0,Results!$R305))</f>
        <v>0</v>
      </c>
      <c r="Y300" s="291">
        <f>IF($O300=0,0,IF(Results!$T305="",0,Results!$T305))</f>
        <v>0</v>
      </c>
      <c r="Z300" s="270" t="str">
        <f>IF($O300=0,"",IF($X300&gt;$Y300,Settings!$C$4,IF($X300=$Y300,1,0)))</f>
        <v/>
      </c>
      <c r="AA300" s="291" t="str">
        <f>IF($O300=0,"",IF($X300&lt;$Y300,Settings!$C$4,IF($X300=$Y300,1,0)))</f>
        <v/>
      </c>
    </row>
    <row r="301" spans="5:27" x14ac:dyDescent="0.2">
      <c r="E301" s="266">
        <v>298</v>
      </c>
      <c r="F301" s="171" t="str">
        <f>Planning!$Q304</f>
        <v>1. FC Köln</v>
      </c>
      <c r="G301" s="348" t="str">
        <f>Planning!$S304</f>
        <v>1. FC Heidenheim 1846</v>
      </c>
      <c r="H301" s="344" t="str">
        <f>IF(AND(Results!$I306&lt;&gt;"",Results!$K306&lt;&gt;"",Results!$F306&lt;&gt;Results!$H306,$F301&lt;&gt;"",$G301&lt;&gt;""),Results!$I306,"")</f>
        <v/>
      </c>
      <c r="I301" s="343" t="str">
        <f>IF(AND(Results!$I306&lt;&gt;"",Results!$K306&lt;&gt;"",Results!$F306&lt;&gt;Results!$H306,$F301&lt;&gt;"",$G301&lt;&gt;""),Results!$K306,"")</f>
        <v/>
      </c>
      <c r="J301" s="344" t="str">
        <f>IF(AND(Results!$L306&lt;&gt;"",Results!$N306&lt;&gt;"",Results!$F306&lt;&gt;Results!$H306,$F301&lt;&gt;"",$G301&lt;&gt;""),Results!$L306,"")</f>
        <v/>
      </c>
      <c r="K301" s="343" t="str">
        <f>IF(AND(Results!$L306&lt;&gt;"",Results!$N306&lt;&gt;"",Results!$F306&lt;&gt;Results!$H306,$F301&lt;&gt;"",$G301&lt;&gt;""),Results!$N306,"")</f>
        <v/>
      </c>
      <c r="L301" s="344" t="str">
        <f>IF(AND(Results!$O306&lt;&gt;"",Results!$Q306&lt;&gt;"",Results!$F306&lt;&gt;Results!$H306,$F301&lt;&gt;"",$G301&lt;&gt;""),Results!$O306,"")</f>
        <v/>
      </c>
      <c r="M301" s="122" t="str">
        <f>IF(AND(Results!$O306&lt;&gt;"",Results!$Q306&lt;&gt;"",Results!$F306&lt;&gt;Results!$H306,$F301&lt;&gt;"",$G301&lt;&gt;""),Results!$Q306,"")</f>
        <v/>
      </c>
      <c r="N301" s="16" t="str">
        <f>IF(Planning!$I304=0,F301&amp;G301,"")</f>
        <v/>
      </c>
      <c r="O301" s="122">
        <f>IF(AND(Results!$Z$6&gt;0,$E301-1&gt;=Results!$Z$6*Calc!$F$26),0,IF(AND(F301&lt;&gt;"",G301&lt;&gt;"",F301&lt;&gt;G301,Results!$R306&lt;&gt;"",Results!$T306&lt;&gt;""),1,0))</f>
        <v>0</v>
      </c>
      <c r="P301" s="122" t="str">
        <f>IF(AND(O301&gt;0,Planning!$I304=0),V301&amp;Language!$E$90&amp;W301,"")</f>
        <v/>
      </c>
      <c r="Q301" s="2" t="str">
        <f>IF(Planning!$I304=1,F301&amp;G301,"")</f>
        <v>1. FC Köln1. FC Heidenheim 1846</v>
      </c>
      <c r="R301" s="88" t="str">
        <f>IF(AND(O301&gt;0,Planning!$I304=1),V301&amp;Language!$E$90&amp;W301,"")</f>
        <v/>
      </c>
      <c r="S301" s="122" t="str">
        <f>IF(O301&gt;0,X301&amp;Language!$E$90&amp;Y301,"")</f>
        <v/>
      </c>
      <c r="T301" s="290">
        <f>IF($H301="",0,Results!$U306)</f>
        <v>0</v>
      </c>
      <c r="U301" s="291">
        <f>IF($I301="",0,Results!$V306)</f>
        <v>0</v>
      </c>
      <c r="V301" s="270" t="str">
        <f t="shared" si="8"/>
        <v/>
      </c>
      <c r="W301" s="291" t="str">
        <f t="shared" si="9"/>
        <v/>
      </c>
      <c r="X301" s="270">
        <f>IF($O301=0,0,IF(Results!$R306="",0,Results!$R306))</f>
        <v>0</v>
      </c>
      <c r="Y301" s="291">
        <f>IF($O301=0,0,IF(Results!$T306="",0,Results!$T306))</f>
        <v>0</v>
      </c>
      <c r="Z301" s="270" t="str">
        <f>IF($O301=0,"",IF($X301&gt;$Y301,Settings!$C$4,IF($X301=$Y301,1,0)))</f>
        <v/>
      </c>
      <c r="AA301" s="291" t="str">
        <f>IF($O301=0,"",IF($X301&lt;$Y301,Settings!$C$4,IF($X301=$Y301,1,0)))</f>
        <v/>
      </c>
    </row>
    <row r="302" spans="5:27" x14ac:dyDescent="0.2">
      <c r="E302" s="266">
        <v>299</v>
      </c>
      <c r="F302" s="171" t="str">
        <f>Planning!$Q305</f>
        <v>1. FC Union Berlin</v>
      </c>
      <c r="G302" s="348" t="str">
        <f>Planning!$S305</f>
        <v>VfL Wolfsburg</v>
      </c>
      <c r="H302" s="344" t="str">
        <f>IF(AND(Results!$I307&lt;&gt;"",Results!$K307&lt;&gt;"",Results!$F307&lt;&gt;Results!$H307,$F302&lt;&gt;"",$G302&lt;&gt;""),Results!$I307,"")</f>
        <v/>
      </c>
      <c r="I302" s="343" t="str">
        <f>IF(AND(Results!$I307&lt;&gt;"",Results!$K307&lt;&gt;"",Results!$F307&lt;&gt;Results!$H307,$F302&lt;&gt;"",$G302&lt;&gt;""),Results!$K307,"")</f>
        <v/>
      </c>
      <c r="J302" s="344" t="str">
        <f>IF(AND(Results!$L307&lt;&gt;"",Results!$N307&lt;&gt;"",Results!$F307&lt;&gt;Results!$H307,$F302&lt;&gt;"",$G302&lt;&gt;""),Results!$L307,"")</f>
        <v/>
      </c>
      <c r="K302" s="343" t="str">
        <f>IF(AND(Results!$L307&lt;&gt;"",Results!$N307&lt;&gt;"",Results!$F307&lt;&gt;Results!$H307,$F302&lt;&gt;"",$G302&lt;&gt;""),Results!$N307,"")</f>
        <v/>
      </c>
      <c r="L302" s="344" t="str">
        <f>IF(AND(Results!$O307&lt;&gt;"",Results!$Q307&lt;&gt;"",Results!$F307&lt;&gt;Results!$H307,$F302&lt;&gt;"",$G302&lt;&gt;""),Results!$O307,"")</f>
        <v/>
      </c>
      <c r="M302" s="122" t="str">
        <f>IF(AND(Results!$O307&lt;&gt;"",Results!$Q307&lt;&gt;"",Results!$F307&lt;&gt;Results!$H307,$F302&lt;&gt;"",$G302&lt;&gt;""),Results!$Q307,"")</f>
        <v/>
      </c>
      <c r="N302" s="16" t="str">
        <f>IF(Planning!$I305=0,F302&amp;G302,"")</f>
        <v/>
      </c>
      <c r="O302" s="122">
        <f>IF(AND(Results!$Z$6&gt;0,$E302-1&gt;=Results!$Z$6*Calc!$F$26),0,IF(AND(F302&lt;&gt;"",G302&lt;&gt;"",F302&lt;&gt;G302,Results!$R307&lt;&gt;"",Results!$T307&lt;&gt;""),1,0))</f>
        <v>0</v>
      </c>
      <c r="P302" s="122" t="str">
        <f>IF(AND(O302&gt;0,Planning!$I305=0),V302&amp;Language!$E$90&amp;W302,"")</f>
        <v/>
      </c>
      <c r="Q302" s="2" t="str">
        <f>IF(Planning!$I305=1,F302&amp;G302,"")</f>
        <v>1. FC Union BerlinVfL Wolfsburg</v>
      </c>
      <c r="R302" s="88" t="str">
        <f>IF(AND(O302&gt;0,Planning!$I305=1),V302&amp;Language!$E$90&amp;W302,"")</f>
        <v/>
      </c>
      <c r="S302" s="122" t="str">
        <f>IF(O302&gt;0,X302&amp;Language!$E$90&amp;Y302,"")</f>
        <v/>
      </c>
      <c r="T302" s="290">
        <f>IF($H302="",0,Results!$U307)</f>
        <v>0</v>
      </c>
      <c r="U302" s="291">
        <f>IF($I302="",0,Results!$V307)</f>
        <v>0</v>
      </c>
      <c r="V302" s="270" t="str">
        <f t="shared" si="8"/>
        <v/>
      </c>
      <c r="W302" s="291" t="str">
        <f t="shared" si="9"/>
        <v/>
      </c>
      <c r="X302" s="270">
        <f>IF($O302=0,0,IF(Results!$R307="",0,Results!$R307))</f>
        <v>0</v>
      </c>
      <c r="Y302" s="291">
        <f>IF($O302=0,0,IF(Results!$T307="",0,Results!$T307))</f>
        <v>0</v>
      </c>
      <c r="Z302" s="270" t="str">
        <f>IF($O302=0,"",IF($X302&gt;$Y302,Settings!$C$4,IF($X302=$Y302,1,0)))</f>
        <v/>
      </c>
      <c r="AA302" s="291" t="str">
        <f>IF($O302=0,"",IF($X302&lt;$Y302,Settings!$C$4,IF($X302=$Y302,1,0)))</f>
        <v/>
      </c>
    </row>
    <row r="303" spans="5:27" x14ac:dyDescent="0.2">
      <c r="E303" s="266">
        <v>300</v>
      </c>
      <c r="F303" s="171" t="str">
        <f>Planning!$Q306</f>
        <v>VfB Stuttgart</v>
      </c>
      <c r="G303" s="348" t="str">
        <f>Planning!$S306</f>
        <v>1. FSV Mainz 05</v>
      </c>
      <c r="H303" s="344" t="str">
        <f>IF(AND(Results!$I308&lt;&gt;"",Results!$K308&lt;&gt;"",Results!$F308&lt;&gt;Results!$H308,$F303&lt;&gt;"",$G303&lt;&gt;""),Results!$I308,"")</f>
        <v/>
      </c>
      <c r="I303" s="343" t="str">
        <f>IF(AND(Results!$I308&lt;&gt;"",Results!$K308&lt;&gt;"",Results!$F308&lt;&gt;Results!$H308,$F303&lt;&gt;"",$G303&lt;&gt;""),Results!$K308,"")</f>
        <v/>
      </c>
      <c r="J303" s="344" t="str">
        <f>IF(AND(Results!$L308&lt;&gt;"",Results!$N308&lt;&gt;"",Results!$F308&lt;&gt;Results!$H308,$F303&lt;&gt;"",$G303&lt;&gt;""),Results!$L308,"")</f>
        <v/>
      </c>
      <c r="K303" s="343" t="str">
        <f>IF(AND(Results!$L308&lt;&gt;"",Results!$N308&lt;&gt;"",Results!$F308&lt;&gt;Results!$H308,$F303&lt;&gt;"",$G303&lt;&gt;""),Results!$N308,"")</f>
        <v/>
      </c>
      <c r="L303" s="344" t="str">
        <f>IF(AND(Results!$O308&lt;&gt;"",Results!$Q308&lt;&gt;"",Results!$F308&lt;&gt;Results!$H308,$F303&lt;&gt;"",$G303&lt;&gt;""),Results!$O308,"")</f>
        <v/>
      </c>
      <c r="M303" s="122" t="str">
        <f>IF(AND(Results!$O308&lt;&gt;"",Results!$Q308&lt;&gt;"",Results!$F308&lt;&gt;Results!$H308,$F303&lt;&gt;"",$G303&lt;&gt;""),Results!$Q308,"")</f>
        <v/>
      </c>
      <c r="N303" s="16" t="str">
        <f>IF(Planning!$I306=0,F303&amp;G303,"")</f>
        <v/>
      </c>
      <c r="O303" s="122">
        <f>IF(AND(Results!$Z$6&gt;0,$E303-1&gt;=Results!$Z$6*Calc!$F$26),0,IF(AND(F303&lt;&gt;"",G303&lt;&gt;"",F303&lt;&gt;G303,Results!$R308&lt;&gt;"",Results!$T308&lt;&gt;""),1,0))</f>
        <v>0</v>
      </c>
      <c r="P303" s="122" t="str">
        <f>IF(AND(O303&gt;0,Planning!$I306=0),V303&amp;Language!$E$90&amp;W303,"")</f>
        <v/>
      </c>
      <c r="Q303" s="2" t="str">
        <f>IF(Planning!$I306=1,F303&amp;G303,"")</f>
        <v>VfB Stuttgart1. FSV Mainz 05</v>
      </c>
      <c r="R303" s="88" t="str">
        <f>IF(AND(O303&gt;0,Planning!$I306=1),V303&amp;Language!$E$90&amp;W303,"")</f>
        <v/>
      </c>
      <c r="S303" s="122" t="str">
        <f>IF(O303&gt;0,X303&amp;Language!$E$90&amp;Y303,"")</f>
        <v/>
      </c>
      <c r="T303" s="290">
        <f>IF($H303="",0,Results!$U308)</f>
        <v>0</v>
      </c>
      <c r="U303" s="291">
        <f>IF($I303="",0,Results!$V308)</f>
        <v>0</v>
      </c>
      <c r="V303" s="270" t="str">
        <f t="shared" si="8"/>
        <v/>
      </c>
      <c r="W303" s="291" t="str">
        <f t="shared" si="9"/>
        <v/>
      </c>
      <c r="X303" s="270">
        <f>IF($O303=0,0,IF(Results!$R308="",0,Results!$R308))</f>
        <v>0</v>
      </c>
      <c r="Y303" s="291">
        <f>IF($O303=0,0,IF(Results!$T308="",0,Results!$T308))</f>
        <v>0</v>
      </c>
      <c r="Z303" s="270" t="str">
        <f>IF($O303=0,"",IF($X303&gt;$Y303,Settings!$C$4,IF($X303=$Y303,1,0)))</f>
        <v/>
      </c>
      <c r="AA303" s="291" t="str">
        <f>IF($O303=0,"",IF($X303&lt;$Y303,Settings!$C$4,IF($X303=$Y303,1,0)))</f>
        <v/>
      </c>
    </row>
    <row r="304" spans="5:27" x14ac:dyDescent="0.2">
      <c r="E304" s="266">
        <v>301</v>
      </c>
      <c r="F304" s="171" t="str">
        <f>Planning!$Q307</f>
        <v>Bayer 04 Leverkusen</v>
      </c>
      <c r="G304" s="348" t="str">
        <f>Planning!$S307</f>
        <v>TSG Hoffenheim</v>
      </c>
      <c r="H304" s="344" t="str">
        <f>IF(AND(Results!$I309&lt;&gt;"",Results!$K309&lt;&gt;"",Results!$F309&lt;&gt;Results!$H309,$F304&lt;&gt;"",$G304&lt;&gt;""),Results!$I309,"")</f>
        <v/>
      </c>
      <c r="I304" s="343" t="str">
        <f>IF(AND(Results!$I309&lt;&gt;"",Results!$K309&lt;&gt;"",Results!$F309&lt;&gt;Results!$H309,$F304&lt;&gt;"",$G304&lt;&gt;""),Results!$K309,"")</f>
        <v/>
      </c>
      <c r="J304" s="344" t="str">
        <f>IF(AND(Results!$L309&lt;&gt;"",Results!$N309&lt;&gt;"",Results!$F309&lt;&gt;Results!$H309,$F304&lt;&gt;"",$G304&lt;&gt;""),Results!$L309,"")</f>
        <v/>
      </c>
      <c r="K304" s="343" t="str">
        <f>IF(AND(Results!$L309&lt;&gt;"",Results!$N309&lt;&gt;"",Results!$F309&lt;&gt;Results!$H309,$F304&lt;&gt;"",$G304&lt;&gt;""),Results!$N309,"")</f>
        <v/>
      </c>
      <c r="L304" s="344" t="str">
        <f>IF(AND(Results!$O309&lt;&gt;"",Results!$Q309&lt;&gt;"",Results!$F309&lt;&gt;Results!$H309,$F304&lt;&gt;"",$G304&lt;&gt;""),Results!$O309,"")</f>
        <v/>
      </c>
      <c r="M304" s="122" t="str">
        <f>IF(AND(Results!$O309&lt;&gt;"",Results!$Q309&lt;&gt;"",Results!$F309&lt;&gt;Results!$H309,$F304&lt;&gt;"",$G304&lt;&gt;""),Results!$Q309,"")</f>
        <v/>
      </c>
      <c r="N304" s="16" t="str">
        <f>IF(Planning!$I307=0,F304&amp;G304,"")</f>
        <v/>
      </c>
      <c r="O304" s="122">
        <f>IF(AND(Results!$Z$6&gt;0,$E304-1&gt;=Results!$Z$6*Calc!$F$26),0,IF(AND(F304&lt;&gt;"",G304&lt;&gt;"",F304&lt;&gt;G304,Results!$R309&lt;&gt;"",Results!$T309&lt;&gt;""),1,0))</f>
        <v>0</v>
      </c>
      <c r="P304" s="122" t="str">
        <f>IF(AND(O304&gt;0,Planning!$I307=0),V304&amp;Language!$E$90&amp;W304,"")</f>
        <v/>
      </c>
      <c r="Q304" s="2" t="str">
        <f>IF(Planning!$I307=1,F304&amp;G304,"")</f>
        <v>Bayer 04 LeverkusenTSG Hoffenheim</v>
      </c>
      <c r="R304" s="88" t="str">
        <f>IF(AND(O304&gt;0,Planning!$I307=1),V304&amp;Language!$E$90&amp;W304,"")</f>
        <v/>
      </c>
      <c r="S304" s="122" t="str">
        <f>IF(O304&gt;0,X304&amp;Language!$E$90&amp;Y304,"")</f>
        <v/>
      </c>
      <c r="T304" s="290">
        <f>IF($H304="",0,Results!$U309)</f>
        <v>0</v>
      </c>
      <c r="U304" s="291">
        <f>IF($I304="",0,Results!$V309)</f>
        <v>0</v>
      </c>
      <c r="V304" s="270" t="str">
        <f t="shared" si="8"/>
        <v/>
      </c>
      <c r="W304" s="291" t="str">
        <f t="shared" si="9"/>
        <v/>
      </c>
      <c r="X304" s="270">
        <f>IF($O304=0,0,IF(Results!$R309="",0,Results!$R309))</f>
        <v>0</v>
      </c>
      <c r="Y304" s="291">
        <f>IF($O304=0,0,IF(Results!$T309="",0,Results!$T309))</f>
        <v>0</v>
      </c>
      <c r="Z304" s="270" t="str">
        <f>IF($O304=0,"",IF($X304&gt;$Y304,Settings!$C$4,IF($X304=$Y304,1,0)))</f>
        <v/>
      </c>
      <c r="AA304" s="291" t="str">
        <f>IF($O304=0,"",IF($X304&lt;$Y304,Settings!$C$4,IF($X304=$Y304,1,0)))</f>
        <v/>
      </c>
    </row>
    <row r="305" spans="5:27" x14ac:dyDescent="0.2">
      <c r="E305" s="266">
        <v>302</v>
      </c>
      <c r="F305" s="171" t="str">
        <f>Planning!$Q308</f>
        <v>SV Werder Bremen</v>
      </c>
      <c r="G305" s="348" t="str">
        <f>Planning!$S308</f>
        <v>Borussia Dortmund</v>
      </c>
      <c r="H305" s="344" t="str">
        <f>IF(AND(Results!$I310&lt;&gt;"",Results!$K310&lt;&gt;"",Results!$F310&lt;&gt;Results!$H310,$F305&lt;&gt;"",$G305&lt;&gt;""),Results!$I310,"")</f>
        <v/>
      </c>
      <c r="I305" s="343" t="str">
        <f>IF(AND(Results!$I310&lt;&gt;"",Results!$K310&lt;&gt;"",Results!$F310&lt;&gt;Results!$H310,$F305&lt;&gt;"",$G305&lt;&gt;""),Results!$K310,"")</f>
        <v/>
      </c>
      <c r="J305" s="344" t="str">
        <f>IF(AND(Results!$L310&lt;&gt;"",Results!$N310&lt;&gt;"",Results!$F310&lt;&gt;Results!$H310,$F305&lt;&gt;"",$G305&lt;&gt;""),Results!$L310,"")</f>
        <v/>
      </c>
      <c r="K305" s="343" t="str">
        <f>IF(AND(Results!$L310&lt;&gt;"",Results!$N310&lt;&gt;"",Results!$F310&lt;&gt;Results!$H310,$F305&lt;&gt;"",$G305&lt;&gt;""),Results!$N310,"")</f>
        <v/>
      </c>
      <c r="L305" s="344" t="str">
        <f>IF(AND(Results!$O310&lt;&gt;"",Results!$Q310&lt;&gt;"",Results!$F310&lt;&gt;Results!$H310,$F305&lt;&gt;"",$G305&lt;&gt;""),Results!$O310,"")</f>
        <v/>
      </c>
      <c r="M305" s="122" t="str">
        <f>IF(AND(Results!$O310&lt;&gt;"",Results!$Q310&lt;&gt;"",Results!$F310&lt;&gt;Results!$H310,$F305&lt;&gt;"",$G305&lt;&gt;""),Results!$Q310,"")</f>
        <v/>
      </c>
      <c r="N305" s="16" t="str">
        <f>IF(Planning!$I308=0,F305&amp;G305,"")</f>
        <v/>
      </c>
      <c r="O305" s="122">
        <f>IF(AND(Results!$Z$6&gt;0,$E305-1&gt;=Results!$Z$6*Calc!$F$26),0,IF(AND(F305&lt;&gt;"",G305&lt;&gt;"",F305&lt;&gt;G305,Results!$R310&lt;&gt;"",Results!$T310&lt;&gt;""),1,0))</f>
        <v>0</v>
      </c>
      <c r="P305" s="122" t="str">
        <f>IF(AND(O305&gt;0,Planning!$I308=0),V305&amp;Language!$E$90&amp;W305,"")</f>
        <v/>
      </c>
      <c r="Q305" s="2" t="str">
        <f>IF(Planning!$I308=1,F305&amp;G305,"")</f>
        <v>SV Werder BremenBorussia Dortmund</v>
      </c>
      <c r="R305" s="88" t="str">
        <f>IF(AND(O305&gt;0,Planning!$I308=1),V305&amp;Language!$E$90&amp;W305,"")</f>
        <v/>
      </c>
      <c r="S305" s="122" t="str">
        <f>IF(O305&gt;0,X305&amp;Language!$E$90&amp;Y305,"")</f>
        <v/>
      </c>
      <c r="T305" s="290">
        <f>IF($H305="",0,Results!$U310)</f>
        <v>0</v>
      </c>
      <c r="U305" s="291">
        <f>IF($I305="",0,Results!$V310)</f>
        <v>0</v>
      </c>
      <c r="V305" s="270" t="str">
        <f t="shared" si="8"/>
        <v/>
      </c>
      <c r="W305" s="291" t="str">
        <f t="shared" si="9"/>
        <v/>
      </c>
      <c r="X305" s="270">
        <f>IF($O305=0,0,IF(Results!$R310="",0,Results!$R310))</f>
        <v>0</v>
      </c>
      <c r="Y305" s="291">
        <f>IF($O305=0,0,IF(Results!$T310="",0,Results!$T310))</f>
        <v>0</v>
      </c>
      <c r="Z305" s="270" t="str">
        <f>IF($O305=0,"",IF($X305&gt;$Y305,Settings!$C$4,IF($X305=$Y305,1,0)))</f>
        <v/>
      </c>
      <c r="AA305" s="291" t="str">
        <f>IF($O305=0,"",IF($X305&lt;$Y305,Settings!$C$4,IF($X305=$Y305,1,0)))</f>
        <v/>
      </c>
    </row>
    <row r="306" spans="5:27" x14ac:dyDescent="0.2">
      <c r="E306" s="266">
        <v>303</v>
      </c>
      <c r="F306" s="171" t="str">
        <f>Planning!$Q309</f>
        <v>Borussia Mönchengladbach</v>
      </c>
      <c r="G306" s="348" t="str">
        <f>Planning!$S309</f>
        <v>SC Freiburg</v>
      </c>
      <c r="H306" s="344" t="str">
        <f>IF(AND(Results!$I311&lt;&gt;"",Results!$K311&lt;&gt;"",Results!$F311&lt;&gt;Results!$H311,$F306&lt;&gt;"",$G306&lt;&gt;""),Results!$I311,"")</f>
        <v/>
      </c>
      <c r="I306" s="343" t="str">
        <f>IF(AND(Results!$I311&lt;&gt;"",Results!$K311&lt;&gt;"",Results!$F311&lt;&gt;Results!$H311,$F306&lt;&gt;"",$G306&lt;&gt;""),Results!$K311,"")</f>
        <v/>
      </c>
      <c r="J306" s="344" t="str">
        <f>IF(AND(Results!$L311&lt;&gt;"",Results!$N311&lt;&gt;"",Results!$F311&lt;&gt;Results!$H311,$F306&lt;&gt;"",$G306&lt;&gt;""),Results!$L311,"")</f>
        <v/>
      </c>
      <c r="K306" s="343" t="str">
        <f>IF(AND(Results!$L311&lt;&gt;"",Results!$N311&lt;&gt;"",Results!$F311&lt;&gt;Results!$H311,$F306&lt;&gt;"",$G306&lt;&gt;""),Results!$N311,"")</f>
        <v/>
      </c>
      <c r="L306" s="344" t="str">
        <f>IF(AND(Results!$O311&lt;&gt;"",Results!$Q311&lt;&gt;"",Results!$F311&lt;&gt;Results!$H311,$F306&lt;&gt;"",$G306&lt;&gt;""),Results!$O311,"")</f>
        <v/>
      </c>
      <c r="M306" s="122" t="str">
        <f>IF(AND(Results!$O311&lt;&gt;"",Results!$Q311&lt;&gt;"",Results!$F311&lt;&gt;Results!$H311,$F306&lt;&gt;"",$G306&lt;&gt;""),Results!$Q311,"")</f>
        <v/>
      </c>
      <c r="N306" s="16" t="str">
        <f>IF(Planning!$I309=0,F306&amp;G306,"")</f>
        <v/>
      </c>
      <c r="O306" s="122">
        <f>IF(AND(Results!$Z$6&gt;0,$E306-1&gt;=Results!$Z$6*Calc!$F$26),0,IF(AND(F306&lt;&gt;"",G306&lt;&gt;"",F306&lt;&gt;G306,Results!$R311&lt;&gt;"",Results!$T311&lt;&gt;""),1,0))</f>
        <v>0</v>
      </c>
      <c r="P306" s="122" t="str">
        <f>IF(AND(O306&gt;0,Planning!$I309=0),V306&amp;Language!$E$90&amp;W306,"")</f>
        <v/>
      </c>
      <c r="Q306" s="2" t="str">
        <f>IF(Planning!$I309=1,F306&amp;G306,"")</f>
        <v>Borussia MönchengladbachSC Freiburg</v>
      </c>
      <c r="R306" s="88" t="str">
        <f>IF(AND(O306&gt;0,Planning!$I309=1),V306&amp;Language!$E$90&amp;W306,"")</f>
        <v/>
      </c>
      <c r="S306" s="122" t="str">
        <f>IF(O306&gt;0,X306&amp;Language!$E$90&amp;Y306,"")</f>
        <v/>
      </c>
      <c r="T306" s="290">
        <f>IF($H306="",0,Results!$U311)</f>
        <v>0</v>
      </c>
      <c r="U306" s="291">
        <f>IF($I306="",0,Results!$V311)</f>
        <v>0</v>
      </c>
      <c r="V306" s="270" t="str">
        <f t="shared" si="8"/>
        <v/>
      </c>
      <c r="W306" s="291" t="str">
        <f t="shared" si="9"/>
        <v/>
      </c>
      <c r="X306" s="270">
        <f>IF($O306=0,0,IF(Results!$R311="",0,Results!$R311))</f>
        <v>0</v>
      </c>
      <c r="Y306" s="291">
        <f>IF($O306=0,0,IF(Results!$T311="",0,Results!$T311))</f>
        <v>0</v>
      </c>
      <c r="Z306" s="270" t="str">
        <f>IF($O306=0,"",IF($X306&gt;$Y306,Settings!$C$4,IF($X306=$Y306,1,0)))</f>
        <v/>
      </c>
      <c r="AA306" s="291" t="str">
        <f>IF($O306=0,"",IF($X306&lt;$Y306,Settings!$C$4,IF($X306=$Y306,1,0)))</f>
        <v/>
      </c>
    </row>
    <row r="307" spans="5:27" x14ac:dyDescent="0.2">
      <c r="E307" s="266">
        <v>304</v>
      </c>
      <c r="F307" s="171" t="str">
        <f>Planning!$Q310</f>
        <v>RB Leipzig</v>
      </c>
      <c r="G307" s="348" t="str">
        <f>Planning!$S310</f>
        <v>Eintracht Frankfurt</v>
      </c>
      <c r="H307" s="344" t="str">
        <f>IF(AND(Results!$I312&lt;&gt;"",Results!$K312&lt;&gt;"",Results!$F312&lt;&gt;Results!$H312,$F307&lt;&gt;"",$G307&lt;&gt;""),Results!$I312,"")</f>
        <v/>
      </c>
      <c r="I307" s="343" t="str">
        <f>IF(AND(Results!$I312&lt;&gt;"",Results!$K312&lt;&gt;"",Results!$F312&lt;&gt;Results!$H312,$F307&lt;&gt;"",$G307&lt;&gt;""),Results!$K312,"")</f>
        <v/>
      </c>
      <c r="J307" s="344" t="str">
        <f>IF(AND(Results!$L312&lt;&gt;"",Results!$N312&lt;&gt;"",Results!$F312&lt;&gt;Results!$H312,$F307&lt;&gt;"",$G307&lt;&gt;""),Results!$L312,"")</f>
        <v/>
      </c>
      <c r="K307" s="343" t="str">
        <f>IF(AND(Results!$L312&lt;&gt;"",Results!$N312&lt;&gt;"",Results!$F312&lt;&gt;Results!$H312,$F307&lt;&gt;"",$G307&lt;&gt;""),Results!$N312,"")</f>
        <v/>
      </c>
      <c r="L307" s="344" t="str">
        <f>IF(AND(Results!$O312&lt;&gt;"",Results!$Q312&lt;&gt;"",Results!$F312&lt;&gt;Results!$H312,$F307&lt;&gt;"",$G307&lt;&gt;""),Results!$O312,"")</f>
        <v/>
      </c>
      <c r="M307" s="122" t="str">
        <f>IF(AND(Results!$O312&lt;&gt;"",Results!$Q312&lt;&gt;"",Results!$F312&lt;&gt;Results!$H312,$F307&lt;&gt;"",$G307&lt;&gt;""),Results!$Q312,"")</f>
        <v/>
      </c>
      <c r="N307" s="16" t="str">
        <f>IF(Planning!$I310=0,F307&amp;G307,"")</f>
        <v/>
      </c>
      <c r="O307" s="122">
        <f>IF(AND(Results!$Z$6&gt;0,$E307-1&gt;=Results!$Z$6*Calc!$F$26),0,IF(AND(F307&lt;&gt;"",G307&lt;&gt;"",F307&lt;&gt;G307,Results!$R312&lt;&gt;"",Results!$T312&lt;&gt;""),1,0))</f>
        <v>0</v>
      </c>
      <c r="P307" s="122" t="str">
        <f>IF(AND(O307&gt;0,Planning!$I310=0),V307&amp;Language!$E$90&amp;W307,"")</f>
        <v/>
      </c>
      <c r="Q307" s="2" t="str">
        <f>IF(Planning!$I310=1,F307&amp;G307,"")</f>
        <v>RB LeipzigEintracht Frankfurt</v>
      </c>
      <c r="R307" s="88" t="str">
        <f>IF(AND(O307&gt;0,Planning!$I310=1),V307&amp;Language!$E$90&amp;W307,"")</f>
        <v/>
      </c>
      <c r="S307" s="122" t="str">
        <f>IF(O307&gt;0,X307&amp;Language!$E$90&amp;Y307,"")</f>
        <v/>
      </c>
      <c r="T307" s="290">
        <f>IF($H307="",0,Results!$U312)</f>
        <v>0</v>
      </c>
      <c r="U307" s="291">
        <f>IF($I307="",0,Results!$V312)</f>
        <v>0</v>
      </c>
      <c r="V307" s="270" t="str">
        <f t="shared" si="8"/>
        <v/>
      </c>
      <c r="W307" s="291" t="str">
        <f t="shared" si="9"/>
        <v/>
      </c>
      <c r="X307" s="270">
        <f>IF($O307=0,0,IF(Results!$R312="",0,Results!$R312))</f>
        <v>0</v>
      </c>
      <c r="Y307" s="291">
        <f>IF($O307=0,0,IF(Results!$T312="",0,Results!$T312))</f>
        <v>0</v>
      </c>
      <c r="Z307" s="270" t="str">
        <f>IF($O307=0,"",IF($X307&gt;$Y307,Settings!$C$4,IF($X307=$Y307,1,0)))</f>
        <v/>
      </c>
      <c r="AA307" s="291" t="str">
        <f>IF($O307=0,"",IF($X307&lt;$Y307,Settings!$C$4,IF($X307=$Y307,1,0)))</f>
        <v/>
      </c>
    </row>
    <row r="308" spans="5:27" x14ac:dyDescent="0.2">
      <c r="E308" s="266">
        <v>305</v>
      </c>
      <c r="F308" s="171" t="str">
        <f>Planning!$Q311</f>
        <v>FC Augsburg</v>
      </c>
      <c r="G308" s="348" t="str">
        <f>Planning!$S311</f>
        <v>Hamburger SV</v>
      </c>
      <c r="H308" s="344" t="str">
        <f>IF(AND(Results!$I313&lt;&gt;"",Results!$K313&lt;&gt;"",Results!$F313&lt;&gt;Results!$H313,$F308&lt;&gt;"",$G308&lt;&gt;""),Results!$I313,"")</f>
        <v/>
      </c>
      <c r="I308" s="343" t="str">
        <f>IF(AND(Results!$I313&lt;&gt;"",Results!$K313&lt;&gt;"",Results!$F313&lt;&gt;Results!$H313,$F308&lt;&gt;"",$G308&lt;&gt;""),Results!$K313,"")</f>
        <v/>
      </c>
      <c r="J308" s="344" t="str">
        <f>IF(AND(Results!$L313&lt;&gt;"",Results!$N313&lt;&gt;"",Results!$F313&lt;&gt;Results!$H313,$F308&lt;&gt;"",$G308&lt;&gt;""),Results!$L313,"")</f>
        <v/>
      </c>
      <c r="K308" s="343" t="str">
        <f>IF(AND(Results!$L313&lt;&gt;"",Results!$N313&lt;&gt;"",Results!$F313&lt;&gt;Results!$H313,$F308&lt;&gt;"",$G308&lt;&gt;""),Results!$N313,"")</f>
        <v/>
      </c>
      <c r="L308" s="344" t="str">
        <f>IF(AND(Results!$O313&lt;&gt;"",Results!$Q313&lt;&gt;"",Results!$F313&lt;&gt;Results!$H313,$F308&lt;&gt;"",$G308&lt;&gt;""),Results!$O313,"")</f>
        <v/>
      </c>
      <c r="M308" s="122" t="str">
        <f>IF(AND(Results!$O313&lt;&gt;"",Results!$Q313&lt;&gt;"",Results!$F313&lt;&gt;Results!$H313,$F308&lt;&gt;"",$G308&lt;&gt;""),Results!$Q313,"")</f>
        <v/>
      </c>
      <c r="N308" s="16" t="str">
        <f>IF(Planning!$I311=0,F308&amp;G308,"")</f>
        <v/>
      </c>
      <c r="O308" s="122">
        <f>IF(AND(Results!$Z$6&gt;0,$E308-1&gt;=Results!$Z$6*Calc!$F$26),0,IF(AND(F308&lt;&gt;"",G308&lt;&gt;"",F308&lt;&gt;G308,Results!$R313&lt;&gt;"",Results!$T313&lt;&gt;""),1,0))</f>
        <v>0</v>
      </c>
      <c r="P308" s="122" t="str">
        <f>IF(AND(O308&gt;0,Planning!$I311=0),V308&amp;Language!$E$90&amp;W308,"")</f>
        <v/>
      </c>
      <c r="Q308" s="2" t="str">
        <f>IF(Planning!$I311=1,F308&amp;G308,"")</f>
        <v>FC AugsburgHamburger SV</v>
      </c>
      <c r="R308" s="88" t="str">
        <f>IF(AND(O308&gt;0,Planning!$I311=1),V308&amp;Language!$E$90&amp;W308,"")</f>
        <v/>
      </c>
      <c r="S308" s="122" t="str">
        <f>IF(O308&gt;0,X308&amp;Language!$E$90&amp;Y308,"")</f>
        <v/>
      </c>
      <c r="T308" s="290">
        <f>IF($H308="",0,Results!$U313)</f>
        <v>0</v>
      </c>
      <c r="U308" s="291">
        <f>IF($I308="",0,Results!$V313)</f>
        <v>0</v>
      </c>
      <c r="V308" s="270" t="str">
        <f t="shared" si="8"/>
        <v/>
      </c>
      <c r="W308" s="291" t="str">
        <f t="shared" si="9"/>
        <v/>
      </c>
      <c r="X308" s="270">
        <f>IF($O308=0,0,IF(Results!$R313="",0,Results!$R313))</f>
        <v>0</v>
      </c>
      <c r="Y308" s="291">
        <f>IF($O308=0,0,IF(Results!$T313="",0,Results!$T313))</f>
        <v>0</v>
      </c>
      <c r="Z308" s="270" t="str">
        <f>IF($O308=0,"",IF($X308&gt;$Y308,Settings!$C$4,IF($X308=$Y308,1,0)))</f>
        <v/>
      </c>
      <c r="AA308" s="291" t="str">
        <f>IF($O308=0,"",IF($X308&lt;$Y308,Settings!$C$4,IF($X308=$Y308,1,0)))</f>
        <v/>
      </c>
    </row>
    <row r="309" spans="5:27" x14ac:dyDescent="0.2">
      <c r="E309" s="266">
        <v>306</v>
      </c>
      <c r="F309" s="171" t="str">
        <f>Planning!$Q312</f>
        <v>FC St. Pauli</v>
      </c>
      <c r="G309" s="348" t="str">
        <f>Planning!$S312</f>
        <v>FC Bayern München</v>
      </c>
      <c r="H309" s="344" t="str">
        <f>IF(AND(Results!$I314&lt;&gt;"",Results!$K314&lt;&gt;"",Results!$F314&lt;&gt;Results!$H314,$F309&lt;&gt;"",$G309&lt;&gt;""),Results!$I314,"")</f>
        <v/>
      </c>
      <c r="I309" s="343" t="str">
        <f>IF(AND(Results!$I314&lt;&gt;"",Results!$K314&lt;&gt;"",Results!$F314&lt;&gt;Results!$H314,$F309&lt;&gt;"",$G309&lt;&gt;""),Results!$K314,"")</f>
        <v/>
      </c>
      <c r="J309" s="344" t="str">
        <f>IF(AND(Results!$L314&lt;&gt;"",Results!$N314&lt;&gt;"",Results!$F314&lt;&gt;Results!$H314,$F309&lt;&gt;"",$G309&lt;&gt;""),Results!$L314,"")</f>
        <v/>
      </c>
      <c r="K309" s="343" t="str">
        <f>IF(AND(Results!$L314&lt;&gt;"",Results!$N314&lt;&gt;"",Results!$F314&lt;&gt;Results!$H314,$F309&lt;&gt;"",$G309&lt;&gt;""),Results!$N314,"")</f>
        <v/>
      </c>
      <c r="L309" s="344" t="str">
        <f>IF(AND(Results!$O314&lt;&gt;"",Results!$Q314&lt;&gt;"",Results!$F314&lt;&gt;Results!$H314,$F309&lt;&gt;"",$G309&lt;&gt;""),Results!$O314,"")</f>
        <v/>
      </c>
      <c r="M309" s="122" t="str">
        <f>IF(AND(Results!$O314&lt;&gt;"",Results!$Q314&lt;&gt;"",Results!$F314&lt;&gt;Results!$H314,$F309&lt;&gt;"",$G309&lt;&gt;""),Results!$Q314,"")</f>
        <v/>
      </c>
      <c r="N309" s="16" t="str">
        <f>IF(Planning!$I312=0,F309&amp;G309,"")</f>
        <v/>
      </c>
      <c r="O309" s="122">
        <f>IF(AND(Results!$Z$6&gt;0,$E309-1&gt;=Results!$Z$6*Calc!$F$26),0,IF(AND(F309&lt;&gt;"",G309&lt;&gt;"",F309&lt;&gt;G309,Results!$R314&lt;&gt;"",Results!$T314&lt;&gt;""),1,0))</f>
        <v>0</v>
      </c>
      <c r="P309" s="122" t="str">
        <f>IF(AND(O309&gt;0,Planning!$I312=0),V309&amp;Language!$E$90&amp;W309,"")</f>
        <v/>
      </c>
      <c r="Q309" s="2" t="str">
        <f>IF(Planning!$I312=1,F309&amp;G309,"")</f>
        <v>FC St. PauliFC Bayern München</v>
      </c>
      <c r="R309" s="88" t="str">
        <f>IF(AND(O309&gt;0,Planning!$I312=1),V309&amp;Language!$E$90&amp;W309,"")</f>
        <v/>
      </c>
      <c r="S309" s="122" t="str">
        <f>IF(O309&gt;0,X309&amp;Language!$E$90&amp;Y309,"")</f>
        <v/>
      </c>
      <c r="T309" s="290">
        <f>IF($H309="",0,Results!$U314)</f>
        <v>0</v>
      </c>
      <c r="U309" s="291">
        <f>IF($I309="",0,Results!$V314)</f>
        <v>0</v>
      </c>
      <c r="V309" s="270" t="str">
        <f t="shared" si="8"/>
        <v/>
      </c>
      <c r="W309" s="291" t="str">
        <f t="shared" si="9"/>
        <v/>
      </c>
      <c r="X309" s="270">
        <f>IF($O309=0,0,IF(Results!$R314="",0,Results!$R314))</f>
        <v>0</v>
      </c>
      <c r="Y309" s="291">
        <f>IF($O309=0,0,IF(Results!$T314="",0,Results!$T314))</f>
        <v>0</v>
      </c>
      <c r="Z309" s="270" t="str">
        <f>IF($O309=0,"",IF($X309&gt;$Y309,Settings!$C$4,IF($X309=$Y309,1,0)))</f>
        <v/>
      </c>
      <c r="AA309" s="291" t="str">
        <f>IF($O309=0,"",IF($X309&lt;$Y309,Settings!$C$4,IF($X309=$Y309,1,0)))</f>
        <v/>
      </c>
    </row>
    <row r="310" spans="5:27" x14ac:dyDescent="0.2">
      <c r="E310" s="266">
        <v>307</v>
      </c>
      <c r="F310" s="171" t="str">
        <f>Planning!$Q313</f>
        <v/>
      </c>
      <c r="G310" s="348" t="str">
        <f>Planning!$S313</f>
        <v/>
      </c>
      <c r="H310" s="344" t="str">
        <f>IF(AND(Results!$I315&lt;&gt;"",Results!$K315&lt;&gt;"",Results!$F315&lt;&gt;Results!$H315,$F310&lt;&gt;"",$G310&lt;&gt;""),Results!$I315,"")</f>
        <v/>
      </c>
      <c r="I310" s="343" t="str">
        <f>IF(AND(Results!$I315&lt;&gt;"",Results!$K315&lt;&gt;"",Results!$F315&lt;&gt;Results!$H315,$F310&lt;&gt;"",$G310&lt;&gt;""),Results!$K315,"")</f>
        <v/>
      </c>
      <c r="J310" s="344" t="str">
        <f>IF(AND(Results!$L315&lt;&gt;"",Results!$N315&lt;&gt;"",Results!$F315&lt;&gt;Results!$H315,$F310&lt;&gt;"",$G310&lt;&gt;""),Results!$L315,"")</f>
        <v/>
      </c>
      <c r="K310" s="343" t="str">
        <f>IF(AND(Results!$L315&lt;&gt;"",Results!$N315&lt;&gt;"",Results!$F315&lt;&gt;Results!$H315,$F310&lt;&gt;"",$G310&lt;&gt;""),Results!$N315,"")</f>
        <v/>
      </c>
      <c r="L310" s="344" t="str">
        <f>IF(AND(Results!$O315&lt;&gt;"",Results!$Q315&lt;&gt;"",Results!$F315&lt;&gt;Results!$H315,$F310&lt;&gt;"",$G310&lt;&gt;""),Results!$O315,"")</f>
        <v/>
      </c>
      <c r="M310" s="122" t="str">
        <f>IF(AND(Results!$O315&lt;&gt;"",Results!$Q315&lt;&gt;"",Results!$F315&lt;&gt;Results!$H315,$F310&lt;&gt;"",$G310&lt;&gt;""),Results!$Q315,"")</f>
        <v/>
      </c>
      <c r="N310" s="16" t="str">
        <f>IF(Planning!$I313=0,F310&amp;G310,"")</f>
        <v/>
      </c>
      <c r="O310" s="122">
        <f>IF(AND(Results!$Z$6&gt;0,$E310-1&gt;=Results!$Z$6*Calc!$F$26),0,IF(AND(F310&lt;&gt;"",G310&lt;&gt;"",F310&lt;&gt;G310,Results!$R315&lt;&gt;"",Results!$T315&lt;&gt;""),1,0))</f>
        <v>0</v>
      </c>
      <c r="P310" s="122" t="str">
        <f>IF(AND(O310&gt;0,Planning!$I313=0),V310&amp;Language!$E$90&amp;W310,"")</f>
        <v/>
      </c>
      <c r="Q310" s="2" t="str">
        <f>IF(Planning!$I313=1,F310&amp;G310,"")</f>
        <v/>
      </c>
      <c r="R310" s="88" t="str">
        <f>IF(AND(O310&gt;0,Planning!$I313=1),V310&amp;Language!$E$90&amp;W310,"")</f>
        <v/>
      </c>
      <c r="S310" s="122" t="str">
        <f>IF(O310&gt;0,X310&amp;Language!$E$90&amp;Y310,"")</f>
        <v/>
      </c>
      <c r="T310" s="290">
        <f>IF($H310="",0,Results!$U315)</f>
        <v>0</v>
      </c>
      <c r="U310" s="291">
        <f>IF($I310="",0,Results!$V315)</f>
        <v>0</v>
      </c>
      <c r="V310" s="270" t="str">
        <f t="shared" si="8"/>
        <v/>
      </c>
      <c r="W310" s="291" t="str">
        <f t="shared" si="9"/>
        <v/>
      </c>
      <c r="X310" s="270">
        <f>IF($O310=0,0,IF(Results!$R315="",0,Results!$R315))</f>
        <v>0</v>
      </c>
      <c r="Y310" s="291">
        <f>IF($O310=0,0,IF(Results!$T315="",0,Results!$T315))</f>
        <v>0</v>
      </c>
      <c r="Z310" s="270" t="str">
        <f>IF($O310=0,"",IF($X310&gt;$Y310,Settings!$C$4,IF($X310=$Y310,1,0)))</f>
        <v/>
      </c>
      <c r="AA310" s="291" t="str">
        <f>IF($O310=0,"",IF($X310&lt;$Y310,Settings!$C$4,IF($X310=$Y310,1,0)))</f>
        <v/>
      </c>
    </row>
    <row r="311" spans="5:27" x14ac:dyDescent="0.2">
      <c r="E311" s="266">
        <v>308</v>
      </c>
      <c r="F311" s="171" t="str">
        <f>Planning!$Q314</f>
        <v/>
      </c>
      <c r="G311" s="348" t="str">
        <f>Planning!$S314</f>
        <v/>
      </c>
      <c r="H311" s="344" t="str">
        <f>IF(AND(Results!$I316&lt;&gt;"",Results!$K316&lt;&gt;"",Results!$F316&lt;&gt;Results!$H316,$F311&lt;&gt;"",$G311&lt;&gt;""),Results!$I316,"")</f>
        <v/>
      </c>
      <c r="I311" s="343" t="str">
        <f>IF(AND(Results!$I316&lt;&gt;"",Results!$K316&lt;&gt;"",Results!$F316&lt;&gt;Results!$H316,$F311&lt;&gt;"",$G311&lt;&gt;""),Results!$K316,"")</f>
        <v/>
      </c>
      <c r="J311" s="344" t="str">
        <f>IF(AND(Results!$L316&lt;&gt;"",Results!$N316&lt;&gt;"",Results!$F316&lt;&gt;Results!$H316,$F311&lt;&gt;"",$G311&lt;&gt;""),Results!$L316,"")</f>
        <v/>
      </c>
      <c r="K311" s="343" t="str">
        <f>IF(AND(Results!$L316&lt;&gt;"",Results!$N316&lt;&gt;"",Results!$F316&lt;&gt;Results!$H316,$F311&lt;&gt;"",$G311&lt;&gt;""),Results!$N316,"")</f>
        <v/>
      </c>
      <c r="L311" s="344" t="str">
        <f>IF(AND(Results!$O316&lt;&gt;"",Results!$Q316&lt;&gt;"",Results!$F316&lt;&gt;Results!$H316,$F311&lt;&gt;"",$G311&lt;&gt;""),Results!$O316,"")</f>
        <v/>
      </c>
      <c r="M311" s="122" t="str">
        <f>IF(AND(Results!$O316&lt;&gt;"",Results!$Q316&lt;&gt;"",Results!$F316&lt;&gt;Results!$H316,$F311&lt;&gt;"",$G311&lt;&gt;""),Results!$Q316,"")</f>
        <v/>
      </c>
      <c r="N311" s="16" t="str">
        <f>IF(Planning!$I314=0,F311&amp;G311,"")</f>
        <v/>
      </c>
      <c r="O311" s="122">
        <f>IF(AND(Results!$Z$6&gt;0,$E311-1&gt;=Results!$Z$6*Calc!$F$26),0,IF(AND(F311&lt;&gt;"",G311&lt;&gt;"",F311&lt;&gt;G311,Results!$R316&lt;&gt;"",Results!$T316&lt;&gt;""),1,0))</f>
        <v>0</v>
      </c>
      <c r="P311" s="122" t="str">
        <f>IF(AND(O311&gt;0,Planning!$I314=0),V311&amp;Language!$E$90&amp;W311,"")</f>
        <v/>
      </c>
      <c r="Q311" s="2" t="str">
        <f>IF(Planning!$I314=1,F311&amp;G311,"")</f>
        <v/>
      </c>
      <c r="R311" s="88" t="str">
        <f>IF(AND(O311&gt;0,Planning!$I314=1),V311&amp;Language!$E$90&amp;W311,"")</f>
        <v/>
      </c>
      <c r="S311" s="122" t="str">
        <f>IF(O311&gt;0,X311&amp;Language!$E$90&amp;Y311,"")</f>
        <v/>
      </c>
      <c r="T311" s="290">
        <f>IF($H311="",0,Results!$U316)</f>
        <v>0</v>
      </c>
      <c r="U311" s="291">
        <f>IF($I311="",0,Results!$V316)</f>
        <v>0</v>
      </c>
      <c r="V311" s="270" t="str">
        <f t="shared" si="8"/>
        <v/>
      </c>
      <c r="W311" s="291" t="str">
        <f t="shared" si="9"/>
        <v/>
      </c>
      <c r="X311" s="270">
        <f>IF($O311=0,0,IF(Results!$R316="",0,Results!$R316))</f>
        <v>0</v>
      </c>
      <c r="Y311" s="291">
        <f>IF($O311=0,0,IF(Results!$T316="",0,Results!$T316))</f>
        <v>0</v>
      </c>
      <c r="Z311" s="270" t="str">
        <f>IF($O311=0,"",IF($X311&gt;$Y311,Settings!$C$4,IF($X311=$Y311,1,0)))</f>
        <v/>
      </c>
      <c r="AA311" s="291" t="str">
        <f>IF($O311=0,"",IF($X311&lt;$Y311,Settings!$C$4,IF($X311=$Y311,1,0)))</f>
        <v/>
      </c>
    </row>
    <row r="312" spans="5:27" x14ac:dyDescent="0.2">
      <c r="E312" s="266">
        <v>309</v>
      </c>
      <c r="F312" s="171" t="str">
        <f>Planning!$Q315</f>
        <v/>
      </c>
      <c r="G312" s="348" t="str">
        <f>Planning!$S315</f>
        <v/>
      </c>
      <c r="H312" s="344" t="str">
        <f>IF(AND(Results!$I317&lt;&gt;"",Results!$K317&lt;&gt;"",Results!$F317&lt;&gt;Results!$H317,$F312&lt;&gt;"",$G312&lt;&gt;""),Results!$I317,"")</f>
        <v/>
      </c>
      <c r="I312" s="343" t="str">
        <f>IF(AND(Results!$I317&lt;&gt;"",Results!$K317&lt;&gt;"",Results!$F317&lt;&gt;Results!$H317,$F312&lt;&gt;"",$G312&lt;&gt;""),Results!$K317,"")</f>
        <v/>
      </c>
      <c r="J312" s="344" t="str">
        <f>IF(AND(Results!$L317&lt;&gt;"",Results!$N317&lt;&gt;"",Results!$F317&lt;&gt;Results!$H317,$F312&lt;&gt;"",$G312&lt;&gt;""),Results!$L317,"")</f>
        <v/>
      </c>
      <c r="K312" s="343" t="str">
        <f>IF(AND(Results!$L317&lt;&gt;"",Results!$N317&lt;&gt;"",Results!$F317&lt;&gt;Results!$H317,$F312&lt;&gt;"",$G312&lt;&gt;""),Results!$N317,"")</f>
        <v/>
      </c>
      <c r="L312" s="344" t="str">
        <f>IF(AND(Results!$O317&lt;&gt;"",Results!$Q317&lt;&gt;"",Results!$F317&lt;&gt;Results!$H317,$F312&lt;&gt;"",$G312&lt;&gt;""),Results!$O317,"")</f>
        <v/>
      </c>
      <c r="M312" s="122" t="str">
        <f>IF(AND(Results!$O317&lt;&gt;"",Results!$Q317&lt;&gt;"",Results!$F317&lt;&gt;Results!$H317,$F312&lt;&gt;"",$G312&lt;&gt;""),Results!$Q317,"")</f>
        <v/>
      </c>
      <c r="N312" s="16" t="str">
        <f>IF(Planning!$I315=0,F312&amp;G312,"")</f>
        <v/>
      </c>
      <c r="O312" s="122">
        <f>IF(AND(Results!$Z$6&gt;0,$E312-1&gt;=Results!$Z$6*Calc!$F$26),0,IF(AND(F312&lt;&gt;"",G312&lt;&gt;"",F312&lt;&gt;G312,Results!$R317&lt;&gt;"",Results!$T317&lt;&gt;""),1,0))</f>
        <v>0</v>
      </c>
      <c r="P312" s="122" t="str">
        <f>IF(AND(O312&gt;0,Planning!$I315=0),V312&amp;Language!$E$90&amp;W312,"")</f>
        <v/>
      </c>
      <c r="Q312" s="2" t="str">
        <f>IF(Planning!$I315=1,F312&amp;G312,"")</f>
        <v/>
      </c>
      <c r="R312" s="88" t="str">
        <f>IF(AND(O312&gt;0,Planning!$I315=1),V312&amp;Language!$E$90&amp;W312,"")</f>
        <v/>
      </c>
      <c r="S312" s="122" t="str">
        <f>IF(O312&gt;0,X312&amp;Language!$E$90&amp;Y312,"")</f>
        <v/>
      </c>
      <c r="T312" s="290">
        <f>IF($H312="",0,Results!$U317)</f>
        <v>0</v>
      </c>
      <c r="U312" s="291">
        <f>IF($I312="",0,Results!$V317)</f>
        <v>0</v>
      </c>
      <c r="V312" s="270" t="str">
        <f t="shared" si="8"/>
        <v/>
      </c>
      <c r="W312" s="291" t="str">
        <f t="shared" si="9"/>
        <v/>
      </c>
      <c r="X312" s="270">
        <f>IF($O312=0,0,IF(Results!$R317="",0,Results!$R317))</f>
        <v>0</v>
      </c>
      <c r="Y312" s="291">
        <f>IF($O312=0,0,IF(Results!$T317="",0,Results!$T317))</f>
        <v>0</v>
      </c>
      <c r="Z312" s="270" t="str">
        <f>IF($O312=0,"",IF($X312&gt;$Y312,Settings!$C$4,IF($X312=$Y312,1,0)))</f>
        <v/>
      </c>
      <c r="AA312" s="291" t="str">
        <f>IF($O312=0,"",IF($X312&lt;$Y312,Settings!$C$4,IF($X312=$Y312,1,0)))</f>
        <v/>
      </c>
    </row>
    <row r="313" spans="5:27" x14ac:dyDescent="0.2">
      <c r="E313" s="266">
        <v>310</v>
      </c>
      <c r="F313" s="171" t="str">
        <f>Planning!$Q316</f>
        <v/>
      </c>
      <c r="G313" s="348" t="str">
        <f>Planning!$S316</f>
        <v/>
      </c>
      <c r="H313" s="344" t="str">
        <f>IF(AND(Results!$I318&lt;&gt;"",Results!$K318&lt;&gt;"",Results!$F318&lt;&gt;Results!$H318,$F313&lt;&gt;"",$G313&lt;&gt;""),Results!$I318,"")</f>
        <v/>
      </c>
      <c r="I313" s="343" t="str">
        <f>IF(AND(Results!$I318&lt;&gt;"",Results!$K318&lt;&gt;"",Results!$F318&lt;&gt;Results!$H318,$F313&lt;&gt;"",$G313&lt;&gt;""),Results!$K318,"")</f>
        <v/>
      </c>
      <c r="J313" s="344" t="str">
        <f>IF(AND(Results!$L318&lt;&gt;"",Results!$N318&lt;&gt;"",Results!$F318&lt;&gt;Results!$H318,$F313&lt;&gt;"",$G313&lt;&gt;""),Results!$L318,"")</f>
        <v/>
      </c>
      <c r="K313" s="343" t="str">
        <f>IF(AND(Results!$L318&lt;&gt;"",Results!$N318&lt;&gt;"",Results!$F318&lt;&gt;Results!$H318,$F313&lt;&gt;"",$G313&lt;&gt;""),Results!$N318,"")</f>
        <v/>
      </c>
      <c r="L313" s="344" t="str">
        <f>IF(AND(Results!$O318&lt;&gt;"",Results!$Q318&lt;&gt;"",Results!$F318&lt;&gt;Results!$H318,$F313&lt;&gt;"",$G313&lt;&gt;""),Results!$O318,"")</f>
        <v/>
      </c>
      <c r="M313" s="122" t="str">
        <f>IF(AND(Results!$O318&lt;&gt;"",Results!$Q318&lt;&gt;"",Results!$F318&lt;&gt;Results!$H318,$F313&lt;&gt;"",$G313&lt;&gt;""),Results!$Q318,"")</f>
        <v/>
      </c>
      <c r="N313" s="16" t="str">
        <f>IF(Planning!$I316=0,F313&amp;G313,"")</f>
        <v/>
      </c>
      <c r="O313" s="122">
        <f>IF(AND(Results!$Z$6&gt;0,$E313-1&gt;=Results!$Z$6*Calc!$F$26),0,IF(AND(F313&lt;&gt;"",G313&lt;&gt;"",F313&lt;&gt;G313,Results!$R318&lt;&gt;"",Results!$T318&lt;&gt;""),1,0))</f>
        <v>0</v>
      </c>
      <c r="P313" s="122" t="str">
        <f>IF(AND(O313&gt;0,Planning!$I316=0),V313&amp;Language!$E$90&amp;W313,"")</f>
        <v/>
      </c>
      <c r="Q313" s="2" t="str">
        <f>IF(Planning!$I316=1,F313&amp;G313,"")</f>
        <v/>
      </c>
      <c r="R313" s="88" t="str">
        <f>IF(AND(O313&gt;0,Planning!$I316=1),V313&amp;Language!$E$90&amp;W313,"")</f>
        <v/>
      </c>
      <c r="S313" s="122" t="str">
        <f>IF(O313&gt;0,X313&amp;Language!$E$90&amp;Y313,"")</f>
        <v/>
      </c>
      <c r="T313" s="290">
        <f>IF($H313="",0,Results!$U318)</f>
        <v>0</v>
      </c>
      <c r="U313" s="291">
        <f>IF($I313="",0,Results!$V318)</f>
        <v>0</v>
      </c>
      <c r="V313" s="270" t="str">
        <f t="shared" si="8"/>
        <v/>
      </c>
      <c r="W313" s="291" t="str">
        <f t="shared" si="9"/>
        <v/>
      </c>
      <c r="X313" s="270">
        <f>IF($O313=0,0,IF(Results!$R318="",0,Results!$R318))</f>
        <v>0</v>
      </c>
      <c r="Y313" s="291">
        <f>IF($O313=0,0,IF(Results!$T318="",0,Results!$T318))</f>
        <v>0</v>
      </c>
      <c r="Z313" s="270" t="str">
        <f>IF($O313=0,"",IF($X313&gt;$Y313,Settings!$C$4,IF($X313=$Y313,1,0)))</f>
        <v/>
      </c>
      <c r="AA313" s="291" t="str">
        <f>IF($O313=0,"",IF($X313&lt;$Y313,Settings!$C$4,IF($X313=$Y313,1,0)))</f>
        <v/>
      </c>
    </row>
    <row r="314" spans="5:27" x14ac:dyDescent="0.2">
      <c r="E314" s="266">
        <v>311</v>
      </c>
      <c r="F314" s="171" t="str">
        <f>Planning!$Q317</f>
        <v/>
      </c>
      <c r="G314" s="348" t="str">
        <f>Planning!$S317</f>
        <v/>
      </c>
      <c r="H314" s="344" t="str">
        <f>IF(AND(Results!$I319&lt;&gt;"",Results!$K319&lt;&gt;"",Results!$F319&lt;&gt;Results!$H319,$F314&lt;&gt;"",$G314&lt;&gt;""),Results!$I319,"")</f>
        <v/>
      </c>
      <c r="I314" s="343" t="str">
        <f>IF(AND(Results!$I319&lt;&gt;"",Results!$K319&lt;&gt;"",Results!$F319&lt;&gt;Results!$H319,$F314&lt;&gt;"",$G314&lt;&gt;""),Results!$K319,"")</f>
        <v/>
      </c>
      <c r="J314" s="344" t="str">
        <f>IF(AND(Results!$L319&lt;&gt;"",Results!$N319&lt;&gt;"",Results!$F319&lt;&gt;Results!$H319,$F314&lt;&gt;"",$G314&lt;&gt;""),Results!$L319,"")</f>
        <v/>
      </c>
      <c r="K314" s="343" t="str">
        <f>IF(AND(Results!$L319&lt;&gt;"",Results!$N319&lt;&gt;"",Results!$F319&lt;&gt;Results!$H319,$F314&lt;&gt;"",$G314&lt;&gt;""),Results!$N319,"")</f>
        <v/>
      </c>
      <c r="L314" s="344" t="str">
        <f>IF(AND(Results!$O319&lt;&gt;"",Results!$Q319&lt;&gt;"",Results!$F319&lt;&gt;Results!$H319,$F314&lt;&gt;"",$G314&lt;&gt;""),Results!$O319,"")</f>
        <v/>
      </c>
      <c r="M314" s="122" t="str">
        <f>IF(AND(Results!$O319&lt;&gt;"",Results!$Q319&lt;&gt;"",Results!$F319&lt;&gt;Results!$H319,$F314&lt;&gt;"",$G314&lt;&gt;""),Results!$Q319,"")</f>
        <v/>
      </c>
      <c r="N314" s="16" t="str">
        <f>IF(Planning!$I317=0,F314&amp;G314,"")</f>
        <v/>
      </c>
      <c r="O314" s="122">
        <f>IF(AND(Results!$Z$6&gt;0,$E314-1&gt;=Results!$Z$6*Calc!$F$26),0,IF(AND(F314&lt;&gt;"",G314&lt;&gt;"",F314&lt;&gt;G314,Results!$R319&lt;&gt;"",Results!$T319&lt;&gt;""),1,0))</f>
        <v>0</v>
      </c>
      <c r="P314" s="122" t="str">
        <f>IF(AND(O314&gt;0,Planning!$I317=0),V314&amp;Language!$E$90&amp;W314,"")</f>
        <v/>
      </c>
      <c r="Q314" s="2" t="str">
        <f>IF(Planning!$I317=1,F314&amp;G314,"")</f>
        <v/>
      </c>
      <c r="R314" s="88" t="str">
        <f>IF(AND(O314&gt;0,Planning!$I317=1),V314&amp;Language!$E$90&amp;W314,"")</f>
        <v/>
      </c>
      <c r="S314" s="122" t="str">
        <f>IF(O314&gt;0,X314&amp;Language!$E$90&amp;Y314,"")</f>
        <v/>
      </c>
      <c r="T314" s="290">
        <f>IF($H314="",0,Results!$U319)</f>
        <v>0</v>
      </c>
      <c r="U314" s="291">
        <f>IF($I314="",0,Results!$V319)</f>
        <v>0</v>
      </c>
      <c r="V314" s="270" t="str">
        <f t="shared" si="8"/>
        <v/>
      </c>
      <c r="W314" s="291" t="str">
        <f t="shared" si="9"/>
        <v/>
      </c>
      <c r="X314" s="270">
        <f>IF($O314=0,0,IF(Results!$R319="",0,Results!$R319))</f>
        <v>0</v>
      </c>
      <c r="Y314" s="291">
        <f>IF($O314=0,0,IF(Results!$T319="",0,Results!$T319))</f>
        <v>0</v>
      </c>
      <c r="Z314" s="270" t="str">
        <f>IF($O314=0,"",IF($X314&gt;$Y314,Settings!$C$4,IF($X314=$Y314,1,0)))</f>
        <v/>
      </c>
      <c r="AA314" s="291" t="str">
        <f>IF($O314=0,"",IF($X314&lt;$Y314,Settings!$C$4,IF($X314=$Y314,1,0)))</f>
        <v/>
      </c>
    </row>
    <row r="315" spans="5:27" x14ac:dyDescent="0.2">
      <c r="E315" s="266">
        <v>312</v>
      </c>
      <c r="F315" s="171" t="str">
        <f>Planning!$Q318</f>
        <v/>
      </c>
      <c r="G315" s="348" t="str">
        <f>Planning!$S318</f>
        <v/>
      </c>
      <c r="H315" s="344" t="str">
        <f>IF(AND(Results!$I320&lt;&gt;"",Results!$K320&lt;&gt;"",Results!$F320&lt;&gt;Results!$H320,$F315&lt;&gt;"",$G315&lt;&gt;""),Results!$I320,"")</f>
        <v/>
      </c>
      <c r="I315" s="343" t="str">
        <f>IF(AND(Results!$I320&lt;&gt;"",Results!$K320&lt;&gt;"",Results!$F320&lt;&gt;Results!$H320,$F315&lt;&gt;"",$G315&lt;&gt;""),Results!$K320,"")</f>
        <v/>
      </c>
      <c r="J315" s="344" t="str">
        <f>IF(AND(Results!$L320&lt;&gt;"",Results!$N320&lt;&gt;"",Results!$F320&lt;&gt;Results!$H320,$F315&lt;&gt;"",$G315&lt;&gt;""),Results!$L320,"")</f>
        <v/>
      </c>
      <c r="K315" s="343" t="str">
        <f>IF(AND(Results!$L320&lt;&gt;"",Results!$N320&lt;&gt;"",Results!$F320&lt;&gt;Results!$H320,$F315&lt;&gt;"",$G315&lt;&gt;""),Results!$N320,"")</f>
        <v/>
      </c>
      <c r="L315" s="344" t="str">
        <f>IF(AND(Results!$O320&lt;&gt;"",Results!$Q320&lt;&gt;"",Results!$F320&lt;&gt;Results!$H320,$F315&lt;&gt;"",$G315&lt;&gt;""),Results!$O320,"")</f>
        <v/>
      </c>
      <c r="M315" s="122" t="str">
        <f>IF(AND(Results!$O320&lt;&gt;"",Results!$Q320&lt;&gt;"",Results!$F320&lt;&gt;Results!$H320,$F315&lt;&gt;"",$G315&lt;&gt;""),Results!$Q320,"")</f>
        <v/>
      </c>
      <c r="N315" s="16" t="str">
        <f>IF(Planning!$I318=0,F315&amp;G315,"")</f>
        <v/>
      </c>
      <c r="O315" s="122">
        <f>IF(AND(Results!$Z$6&gt;0,$E315-1&gt;=Results!$Z$6*Calc!$F$26),0,IF(AND(F315&lt;&gt;"",G315&lt;&gt;"",F315&lt;&gt;G315,Results!$R320&lt;&gt;"",Results!$T320&lt;&gt;""),1,0))</f>
        <v>0</v>
      </c>
      <c r="P315" s="122" t="str">
        <f>IF(AND(O315&gt;0,Planning!$I318=0),V315&amp;Language!$E$90&amp;W315,"")</f>
        <v/>
      </c>
      <c r="Q315" s="2" t="str">
        <f>IF(Planning!$I318=1,F315&amp;G315,"")</f>
        <v/>
      </c>
      <c r="R315" s="88" t="str">
        <f>IF(AND(O315&gt;0,Planning!$I318=1),V315&amp;Language!$E$90&amp;W315,"")</f>
        <v/>
      </c>
      <c r="S315" s="122" t="str">
        <f>IF(O315&gt;0,X315&amp;Language!$E$90&amp;Y315,"")</f>
        <v/>
      </c>
      <c r="T315" s="290">
        <f>IF($H315="",0,Results!$U320)</f>
        <v>0</v>
      </c>
      <c r="U315" s="291">
        <f>IF($I315="",0,Results!$V320)</f>
        <v>0</v>
      </c>
      <c r="V315" s="270" t="str">
        <f t="shared" si="8"/>
        <v/>
      </c>
      <c r="W315" s="291" t="str">
        <f t="shared" si="9"/>
        <v/>
      </c>
      <c r="X315" s="270">
        <f>IF($O315=0,0,IF(Results!$R320="",0,Results!$R320))</f>
        <v>0</v>
      </c>
      <c r="Y315" s="291">
        <f>IF($O315=0,0,IF(Results!$T320="",0,Results!$T320))</f>
        <v>0</v>
      </c>
      <c r="Z315" s="270" t="str">
        <f>IF($O315=0,"",IF($X315&gt;$Y315,Settings!$C$4,IF($X315=$Y315,1,0)))</f>
        <v/>
      </c>
      <c r="AA315" s="291" t="str">
        <f>IF($O315=0,"",IF($X315&lt;$Y315,Settings!$C$4,IF($X315=$Y315,1,0)))</f>
        <v/>
      </c>
    </row>
    <row r="316" spans="5:27" x14ac:dyDescent="0.2">
      <c r="E316" s="266">
        <v>313</v>
      </c>
      <c r="F316" s="171" t="str">
        <f>Planning!$Q319</f>
        <v/>
      </c>
      <c r="G316" s="348" t="str">
        <f>Planning!$S319</f>
        <v/>
      </c>
      <c r="H316" s="344" t="str">
        <f>IF(AND(Results!$I321&lt;&gt;"",Results!$K321&lt;&gt;"",Results!$F321&lt;&gt;Results!$H321,$F316&lt;&gt;"",$G316&lt;&gt;""),Results!$I321,"")</f>
        <v/>
      </c>
      <c r="I316" s="343" t="str">
        <f>IF(AND(Results!$I321&lt;&gt;"",Results!$K321&lt;&gt;"",Results!$F321&lt;&gt;Results!$H321,$F316&lt;&gt;"",$G316&lt;&gt;""),Results!$K321,"")</f>
        <v/>
      </c>
      <c r="J316" s="344" t="str">
        <f>IF(AND(Results!$L321&lt;&gt;"",Results!$N321&lt;&gt;"",Results!$F321&lt;&gt;Results!$H321,$F316&lt;&gt;"",$G316&lt;&gt;""),Results!$L321,"")</f>
        <v/>
      </c>
      <c r="K316" s="343" t="str">
        <f>IF(AND(Results!$L321&lt;&gt;"",Results!$N321&lt;&gt;"",Results!$F321&lt;&gt;Results!$H321,$F316&lt;&gt;"",$G316&lt;&gt;""),Results!$N321,"")</f>
        <v/>
      </c>
      <c r="L316" s="344" t="str">
        <f>IF(AND(Results!$O321&lt;&gt;"",Results!$Q321&lt;&gt;"",Results!$F321&lt;&gt;Results!$H321,$F316&lt;&gt;"",$G316&lt;&gt;""),Results!$O321,"")</f>
        <v/>
      </c>
      <c r="M316" s="122" t="str">
        <f>IF(AND(Results!$O321&lt;&gt;"",Results!$Q321&lt;&gt;"",Results!$F321&lt;&gt;Results!$H321,$F316&lt;&gt;"",$G316&lt;&gt;""),Results!$Q321,"")</f>
        <v/>
      </c>
      <c r="N316" s="16" t="str">
        <f>IF(Planning!$I319=0,F316&amp;G316,"")</f>
        <v/>
      </c>
      <c r="O316" s="122">
        <f>IF(AND(Results!$Z$6&gt;0,$E316-1&gt;=Results!$Z$6*Calc!$F$26),0,IF(AND(F316&lt;&gt;"",G316&lt;&gt;"",F316&lt;&gt;G316,Results!$R321&lt;&gt;"",Results!$T321&lt;&gt;""),1,0))</f>
        <v>0</v>
      </c>
      <c r="P316" s="122" t="str">
        <f>IF(AND(O316&gt;0,Planning!$I319=0),V316&amp;Language!$E$90&amp;W316,"")</f>
        <v/>
      </c>
      <c r="Q316" s="2" t="str">
        <f>IF(Planning!$I319=1,F316&amp;G316,"")</f>
        <v/>
      </c>
      <c r="R316" s="88" t="str">
        <f>IF(AND(O316&gt;0,Planning!$I319=1),V316&amp;Language!$E$90&amp;W316,"")</f>
        <v/>
      </c>
      <c r="S316" s="122" t="str">
        <f>IF(O316&gt;0,X316&amp;Language!$E$90&amp;Y316,"")</f>
        <v/>
      </c>
      <c r="T316" s="290">
        <f>IF($H316="",0,Results!$U321)</f>
        <v>0</v>
      </c>
      <c r="U316" s="291">
        <f>IF($I316="",0,Results!$V321)</f>
        <v>0</v>
      </c>
      <c r="V316" s="270" t="str">
        <f t="shared" si="8"/>
        <v/>
      </c>
      <c r="W316" s="291" t="str">
        <f t="shared" si="9"/>
        <v/>
      </c>
      <c r="X316" s="270">
        <f>IF($O316=0,0,IF(Results!$R321="",0,Results!$R321))</f>
        <v>0</v>
      </c>
      <c r="Y316" s="291">
        <f>IF($O316=0,0,IF(Results!$T321="",0,Results!$T321))</f>
        <v>0</v>
      </c>
      <c r="Z316" s="270" t="str">
        <f>IF($O316=0,"",IF($X316&gt;$Y316,Settings!$C$4,IF($X316=$Y316,1,0)))</f>
        <v/>
      </c>
      <c r="AA316" s="291" t="str">
        <f>IF($O316=0,"",IF($X316&lt;$Y316,Settings!$C$4,IF($X316=$Y316,1,0)))</f>
        <v/>
      </c>
    </row>
    <row r="317" spans="5:27" x14ac:dyDescent="0.2">
      <c r="E317" s="266">
        <v>314</v>
      </c>
      <c r="F317" s="171" t="str">
        <f>Planning!$Q320</f>
        <v/>
      </c>
      <c r="G317" s="348" t="str">
        <f>Planning!$S320</f>
        <v/>
      </c>
      <c r="H317" s="344" t="str">
        <f>IF(AND(Results!$I322&lt;&gt;"",Results!$K322&lt;&gt;"",Results!$F322&lt;&gt;Results!$H322,$F317&lt;&gt;"",$G317&lt;&gt;""),Results!$I322,"")</f>
        <v/>
      </c>
      <c r="I317" s="343" t="str">
        <f>IF(AND(Results!$I322&lt;&gt;"",Results!$K322&lt;&gt;"",Results!$F322&lt;&gt;Results!$H322,$F317&lt;&gt;"",$G317&lt;&gt;""),Results!$K322,"")</f>
        <v/>
      </c>
      <c r="J317" s="344" t="str">
        <f>IF(AND(Results!$L322&lt;&gt;"",Results!$N322&lt;&gt;"",Results!$F322&lt;&gt;Results!$H322,$F317&lt;&gt;"",$G317&lt;&gt;""),Results!$L322,"")</f>
        <v/>
      </c>
      <c r="K317" s="343" t="str">
        <f>IF(AND(Results!$L322&lt;&gt;"",Results!$N322&lt;&gt;"",Results!$F322&lt;&gt;Results!$H322,$F317&lt;&gt;"",$G317&lt;&gt;""),Results!$N322,"")</f>
        <v/>
      </c>
      <c r="L317" s="344" t="str">
        <f>IF(AND(Results!$O322&lt;&gt;"",Results!$Q322&lt;&gt;"",Results!$F322&lt;&gt;Results!$H322,$F317&lt;&gt;"",$G317&lt;&gt;""),Results!$O322,"")</f>
        <v/>
      </c>
      <c r="M317" s="122" t="str">
        <f>IF(AND(Results!$O322&lt;&gt;"",Results!$Q322&lt;&gt;"",Results!$F322&lt;&gt;Results!$H322,$F317&lt;&gt;"",$G317&lt;&gt;""),Results!$Q322,"")</f>
        <v/>
      </c>
      <c r="N317" s="16" t="str">
        <f>IF(Planning!$I320=0,F317&amp;G317,"")</f>
        <v/>
      </c>
      <c r="O317" s="122">
        <f>IF(AND(Results!$Z$6&gt;0,$E317-1&gt;=Results!$Z$6*Calc!$F$26),0,IF(AND(F317&lt;&gt;"",G317&lt;&gt;"",F317&lt;&gt;G317,Results!$R322&lt;&gt;"",Results!$T322&lt;&gt;""),1,0))</f>
        <v>0</v>
      </c>
      <c r="P317" s="122" t="str">
        <f>IF(AND(O317&gt;0,Planning!$I320=0),V317&amp;Language!$E$90&amp;W317,"")</f>
        <v/>
      </c>
      <c r="Q317" s="2" t="str">
        <f>IF(Planning!$I320=1,F317&amp;G317,"")</f>
        <v/>
      </c>
      <c r="R317" s="88" t="str">
        <f>IF(AND(O317&gt;0,Planning!$I320=1),V317&amp;Language!$E$90&amp;W317,"")</f>
        <v/>
      </c>
      <c r="S317" s="122" t="str">
        <f>IF(O317&gt;0,X317&amp;Language!$E$90&amp;Y317,"")</f>
        <v/>
      </c>
      <c r="T317" s="290">
        <f>IF($H317="",0,Results!$U322)</f>
        <v>0</v>
      </c>
      <c r="U317" s="291">
        <f>IF($I317="",0,Results!$V322)</f>
        <v>0</v>
      </c>
      <c r="V317" s="270" t="str">
        <f t="shared" si="8"/>
        <v/>
      </c>
      <c r="W317" s="291" t="str">
        <f t="shared" si="9"/>
        <v/>
      </c>
      <c r="X317" s="270">
        <f>IF($O317=0,0,IF(Results!$R322="",0,Results!$R322))</f>
        <v>0</v>
      </c>
      <c r="Y317" s="291">
        <f>IF($O317=0,0,IF(Results!$T322="",0,Results!$T322))</f>
        <v>0</v>
      </c>
      <c r="Z317" s="270" t="str">
        <f>IF($O317=0,"",IF($X317&gt;$Y317,Settings!$C$4,IF($X317=$Y317,1,0)))</f>
        <v/>
      </c>
      <c r="AA317" s="291" t="str">
        <f>IF($O317=0,"",IF($X317&lt;$Y317,Settings!$C$4,IF($X317=$Y317,1,0)))</f>
        <v/>
      </c>
    </row>
    <row r="318" spans="5:27" x14ac:dyDescent="0.2">
      <c r="E318" s="266">
        <v>315</v>
      </c>
      <c r="F318" s="171" t="str">
        <f>Planning!$Q321</f>
        <v/>
      </c>
      <c r="G318" s="348" t="str">
        <f>Planning!$S321</f>
        <v/>
      </c>
      <c r="H318" s="344" t="str">
        <f>IF(AND(Results!$I323&lt;&gt;"",Results!$K323&lt;&gt;"",Results!$F323&lt;&gt;Results!$H323,$F318&lt;&gt;"",$G318&lt;&gt;""),Results!$I323,"")</f>
        <v/>
      </c>
      <c r="I318" s="343" t="str">
        <f>IF(AND(Results!$I323&lt;&gt;"",Results!$K323&lt;&gt;"",Results!$F323&lt;&gt;Results!$H323,$F318&lt;&gt;"",$G318&lt;&gt;""),Results!$K323,"")</f>
        <v/>
      </c>
      <c r="J318" s="344" t="str">
        <f>IF(AND(Results!$L323&lt;&gt;"",Results!$N323&lt;&gt;"",Results!$F323&lt;&gt;Results!$H323,$F318&lt;&gt;"",$G318&lt;&gt;""),Results!$L323,"")</f>
        <v/>
      </c>
      <c r="K318" s="343" t="str">
        <f>IF(AND(Results!$L323&lt;&gt;"",Results!$N323&lt;&gt;"",Results!$F323&lt;&gt;Results!$H323,$F318&lt;&gt;"",$G318&lt;&gt;""),Results!$N323,"")</f>
        <v/>
      </c>
      <c r="L318" s="344" t="str">
        <f>IF(AND(Results!$O323&lt;&gt;"",Results!$Q323&lt;&gt;"",Results!$F323&lt;&gt;Results!$H323,$F318&lt;&gt;"",$G318&lt;&gt;""),Results!$O323,"")</f>
        <v/>
      </c>
      <c r="M318" s="122" t="str">
        <f>IF(AND(Results!$O323&lt;&gt;"",Results!$Q323&lt;&gt;"",Results!$F323&lt;&gt;Results!$H323,$F318&lt;&gt;"",$G318&lt;&gt;""),Results!$Q323,"")</f>
        <v/>
      </c>
      <c r="N318" s="16" t="str">
        <f>IF(Planning!$I321=0,F318&amp;G318,"")</f>
        <v/>
      </c>
      <c r="O318" s="122">
        <f>IF(AND(Results!$Z$6&gt;0,$E318-1&gt;=Results!$Z$6*Calc!$F$26),0,IF(AND(F318&lt;&gt;"",G318&lt;&gt;"",F318&lt;&gt;G318,Results!$R323&lt;&gt;"",Results!$T323&lt;&gt;""),1,0))</f>
        <v>0</v>
      </c>
      <c r="P318" s="122" t="str">
        <f>IF(AND(O318&gt;0,Planning!$I321=0),V318&amp;Language!$E$90&amp;W318,"")</f>
        <v/>
      </c>
      <c r="Q318" s="2" t="str">
        <f>IF(Planning!$I321=1,F318&amp;G318,"")</f>
        <v/>
      </c>
      <c r="R318" s="88" t="str">
        <f>IF(AND(O318&gt;0,Planning!$I321=1),V318&amp;Language!$E$90&amp;W318,"")</f>
        <v/>
      </c>
      <c r="S318" s="122" t="str">
        <f>IF(O318&gt;0,X318&amp;Language!$E$90&amp;Y318,"")</f>
        <v/>
      </c>
      <c r="T318" s="290">
        <f>IF($H318="",0,Results!$U323)</f>
        <v>0</v>
      </c>
      <c r="U318" s="291">
        <f>IF($I318="",0,Results!$V323)</f>
        <v>0</v>
      </c>
      <c r="V318" s="270" t="str">
        <f t="shared" si="8"/>
        <v/>
      </c>
      <c r="W318" s="291" t="str">
        <f t="shared" si="9"/>
        <v/>
      </c>
      <c r="X318" s="270">
        <f>IF($O318=0,0,IF(Results!$R323="",0,Results!$R323))</f>
        <v>0</v>
      </c>
      <c r="Y318" s="291">
        <f>IF($O318=0,0,IF(Results!$T323="",0,Results!$T323))</f>
        <v>0</v>
      </c>
      <c r="Z318" s="270" t="str">
        <f>IF($O318=0,"",IF($X318&gt;$Y318,Settings!$C$4,IF($X318=$Y318,1,0)))</f>
        <v/>
      </c>
      <c r="AA318" s="291" t="str">
        <f>IF($O318=0,"",IF($X318&lt;$Y318,Settings!$C$4,IF($X318=$Y318,1,0)))</f>
        <v/>
      </c>
    </row>
    <row r="319" spans="5:27" x14ac:dyDescent="0.2">
      <c r="E319" s="266">
        <v>316</v>
      </c>
      <c r="F319" s="171" t="str">
        <f>Planning!$Q322</f>
        <v/>
      </c>
      <c r="G319" s="348" t="str">
        <f>Planning!$S322</f>
        <v/>
      </c>
      <c r="H319" s="344" t="str">
        <f>IF(AND(Results!$I324&lt;&gt;"",Results!$K324&lt;&gt;"",Results!$F324&lt;&gt;Results!$H324,$F319&lt;&gt;"",$G319&lt;&gt;""),Results!$I324,"")</f>
        <v/>
      </c>
      <c r="I319" s="343" t="str">
        <f>IF(AND(Results!$I324&lt;&gt;"",Results!$K324&lt;&gt;"",Results!$F324&lt;&gt;Results!$H324,$F319&lt;&gt;"",$G319&lt;&gt;""),Results!$K324,"")</f>
        <v/>
      </c>
      <c r="J319" s="344" t="str">
        <f>IF(AND(Results!$L324&lt;&gt;"",Results!$N324&lt;&gt;"",Results!$F324&lt;&gt;Results!$H324,$F319&lt;&gt;"",$G319&lt;&gt;""),Results!$L324,"")</f>
        <v/>
      </c>
      <c r="K319" s="343" t="str">
        <f>IF(AND(Results!$L324&lt;&gt;"",Results!$N324&lt;&gt;"",Results!$F324&lt;&gt;Results!$H324,$F319&lt;&gt;"",$G319&lt;&gt;""),Results!$N324,"")</f>
        <v/>
      </c>
      <c r="L319" s="344" t="str">
        <f>IF(AND(Results!$O324&lt;&gt;"",Results!$Q324&lt;&gt;"",Results!$F324&lt;&gt;Results!$H324,$F319&lt;&gt;"",$G319&lt;&gt;""),Results!$O324,"")</f>
        <v/>
      </c>
      <c r="M319" s="122" t="str">
        <f>IF(AND(Results!$O324&lt;&gt;"",Results!$Q324&lt;&gt;"",Results!$F324&lt;&gt;Results!$H324,$F319&lt;&gt;"",$G319&lt;&gt;""),Results!$Q324,"")</f>
        <v/>
      </c>
      <c r="N319" s="16" t="str">
        <f>IF(Planning!$I322=0,F319&amp;G319,"")</f>
        <v/>
      </c>
      <c r="O319" s="122">
        <f>IF(AND(Results!$Z$6&gt;0,$E319-1&gt;=Results!$Z$6*Calc!$F$26),0,IF(AND(F319&lt;&gt;"",G319&lt;&gt;"",F319&lt;&gt;G319,Results!$R324&lt;&gt;"",Results!$T324&lt;&gt;""),1,0))</f>
        <v>0</v>
      </c>
      <c r="P319" s="122" t="str">
        <f>IF(AND(O319&gt;0,Planning!$I322=0),V319&amp;Language!$E$90&amp;W319,"")</f>
        <v/>
      </c>
      <c r="Q319" s="2" t="str">
        <f>IF(Planning!$I322=1,F319&amp;G319,"")</f>
        <v/>
      </c>
      <c r="R319" s="88" t="str">
        <f>IF(AND(O319&gt;0,Planning!$I322=1),V319&amp;Language!$E$90&amp;W319,"")</f>
        <v/>
      </c>
      <c r="S319" s="122" t="str">
        <f>IF(O319&gt;0,X319&amp;Language!$E$90&amp;Y319,"")</f>
        <v/>
      </c>
      <c r="T319" s="290">
        <f>IF($H319="",0,Results!$U324)</f>
        <v>0</v>
      </c>
      <c r="U319" s="291">
        <f>IF($I319="",0,Results!$V324)</f>
        <v>0</v>
      </c>
      <c r="V319" s="270" t="str">
        <f t="shared" si="8"/>
        <v/>
      </c>
      <c r="W319" s="291" t="str">
        <f t="shared" si="9"/>
        <v/>
      </c>
      <c r="X319" s="270">
        <f>IF($O319=0,0,IF(Results!$R324="",0,Results!$R324))</f>
        <v>0</v>
      </c>
      <c r="Y319" s="291">
        <f>IF($O319=0,0,IF(Results!$T324="",0,Results!$T324))</f>
        <v>0</v>
      </c>
      <c r="Z319" s="270" t="str">
        <f>IF($O319=0,"",IF($X319&gt;$Y319,Settings!$C$4,IF($X319=$Y319,1,0)))</f>
        <v/>
      </c>
      <c r="AA319" s="291" t="str">
        <f>IF($O319=0,"",IF($X319&lt;$Y319,Settings!$C$4,IF($X319=$Y319,1,0)))</f>
        <v/>
      </c>
    </row>
    <row r="320" spans="5:27" x14ac:dyDescent="0.2">
      <c r="E320" s="266">
        <v>317</v>
      </c>
      <c r="F320" s="171" t="str">
        <f>Planning!$Q323</f>
        <v/>
      </c>
      <c r="G320" s="348" t="str">
        <f>Planning!$S323</f>
        <v/>
      </c>
      <c r="H320" s="344" t="str">
        <f>IF(AND(Results!$I325&lt;&gt;"",Results!$K325&lt;&gt;"",Results!$F325&lt;&gt;Results!$H325,$F320&lt;&gt;"",$G320&lt;&gt;""),Results!$I325,"")</f>
        <v/>
      </c>
      <c r="I320" s="343" t="str">
        <f>IF(AND(Results!$I325&lt;&gt;"",Results!$K325&lt;&gt;"",Results!$F325&lt;&gt;Results!$H325,$F320&lt;&gt;"",$G320&lt;&gt;""),Results!$K325,"")</f>
        <v/>
      </c>
      <c r="J320" s="344" t="str">
        <f>IF(AND(Results!$L325&lt;&gt;"",Results!$N325&lt;&gt;"",Results!$F325&lt;&gt;Results!$H325,$F320&lt;&gt;"",$G320&lt;&gt;""),Results!$L325,"")</f>
        <v/>
      </c>
      <c r="K320" s="343" t="str">
        <f>IF(AND(Results!$L325&lt;&gt;"",Results!$N325&lt;&gt;"",Results!$F325&lt;&gt;Results!$H325,$F320&lt;&gt;"",$G320&lt;&gt;""),Results!$N325,"")</f>
        <v/>
      </c>
      <c r="L320" s="344" t="str">
        <f>IF(AND(Results!$O325&lt;&gt;"",Results!$Q325&lt;&gt;"",Results!$F325&lt;&gt;Results!$H325,$F320&lt;&gt;"",$G320&lt;&gt;""),Results!$O325,"")</f>
        <v/>
      </c>
      <c r="M320" s="122" t="str">
        <f>IF(AND(Results!$O325&lt;&gt;"",Results!$Q325&lt;&gt;"",Results!$F325&lt;&gt;Results!$H325,$F320&lt;&gt;"",$G320&lt;&gt;""),Results!$Q325,"")</f>
        <v/>
      </c>
      <c r="N320" s="16" t="str">
        <f>IF(Planning!$I323=0,F320&amp;G320,"")</f>
        <v/>
      </c>
      <c r="O320" s="122">
        <f>IF(AND(Results!$Z$6&gt;0,$E320-1&gt;=Results!$Z$6*Calc!$F$26),0,IF(AND(F320&lt;&gt;"",G320&lt;&gt;"",F320&lt;&gt;G320,Results!$R325&lt;&gt;"",Results!$T325&lt;&gt;""),1,0))</f>
        <v>0</v>
      </c>
      <c r="P320" s="122" t="str">
        <f>IF(AND(O320&gt;0,Planning!$I323=0),V320&amp;Language!$E$90&amp;W320,"")</f>
        <v/>
      </c>
      <c r="Q320" s="2" t="str">
        <f>IF(Planning!$I323=1,F320&amp;G320,"")</f>
        <v/>
      </c>
      <c r="R320" s="88" t="str">
        <f>IF(AND(O320&gt;0,Planning!$I323=1),V320&amp;Language!$E$90&amp;W320,"")</f>
        <v/>
      </c>
      <c r="S320" s="122" t="str">
        <f>IF(O320&gt;0,X320&amp;Language!$E$90&amp;Y320,"")</f>
        <v/>
      </c>
      <c r="T320" s="290">
        <f>IF($H320="",0,Results!$U325)</f>
        <v>0</v>
      </c>
      <c r="U320" s="291">
        <f>IF($I320="",0,Results!$V325)</f>
        <v>0</v>
      </c>
      <c r="V320" s="270" t="str">
        <f t="shared" si="8"/>
        <v/>
      </c>
      <c r="W320" s="291" t="str">
        <f t="shared" si="9"/>
        <v/>
      </c>
      <c r="X320" s="270">
        <f>IF($O320=0,0,IF(Results!$R325="",0,Results!$R325))</f>
        <v>0</v>
      </c>
      <c r="Y320" s="291">
        <f>IF($O320=0,0,IF(Results!$T325="",0,Results!$T325))</f>
        <v>0</v>
      </c>
      <c r="Z320" s="270" t="str">
        <f>IF($O320=0,"",IF($X320&gt;$Y320,Settings!$C$4,IF($X320=$Y320,1,0)))</f>
        <v/>
      </c>
      <c r="AA320" s="291" t="str">
        <f>IF($O320=0,"",IF($X320&lt;$Y320,Settings!$C$4,IF($X320=$Y320,1,0)))</f>
        <v/>
      </c>
    </row>
    <row r="321" spans="5:27" x14ac:dyDescent="0.2">
      <c r="E321" s="266">
        <v>318</v>
      </c>
      <c r="F321" s="171" t="str">
        <f>Planning!$Q324</f>
        <v/>
      </c>
      <c r="G321" s="348" t="str">
        <f>Planning!$S324</f>
        <v/>
      </c>
      <c r="H321" s="344" t="str">
        <f>IF(AND(Results!$I326&lt;&gt;"",Results!$K326&lt;&gt;"",Results!$F326&lt;&gt;Results!$H326,$F321&lt;&gt;"",$G321&lt;&gt;""),Results!$I326,"")</f>
        <v/>
      </c>
      <c r="I321" s="343" t="str">
        <f>IF(AND(Results!$I326&lt;&gt;"",Results!$K326&lt;&gt;"",Results!$F326&lt;&gt;Results!$H326,$F321&lt;&gt;"",$G321&lt;&gt;""),Results!$K326,"")</f>
        <v/>
      </c>
      <c r="J321" s="344" t="str">
        <f>IF(AND(Results!$L326&lt;&gt;"",Results!$N326&lt;&gt;"",Results!$F326&lt;&gt;Results!$H326,$F321&lt;&gt;"",$G321&lt;&gt;""),Results!$L326,"")</f>
        <v/>
      </c>
      <c r="K321" s="343" t="str">
        <f>IF(AND(Results!$L326&lt;&gt;"",Results!$N326&lt;&gt;"",Results!$F326&lt;&gt;Results!$H326,$F321&lt;&gt;"",$G321&lt;&gt;""),Results!$N326,"")</f>
        <v/>
      </c>
      <c r="L321" s="344" t="str">
        <f>IF(AND(Results!$O326&lt;&gt;"",Results!$Q326&lt;&gt;"",Results!$F326&lt;&gt;Results!$H326,$F321&lt;&gt;"",$G321&lt;&gt;""),Results!$O326,"")</f>
        <v/>
      </c>
      <c r="M321" s="122" t="str">
        <f>IF(AND(Results!$O326&lt;&gt;"",Results!$Q326&lt;&gt;"",Results!$F326&lt;&gt;Results!$H326,$F321&lt;&gt;"",$G321&lt;&gt;""),Results!$Q326,"")</f>
        <v/>
      </c>
      <c r="N321" s="16" t="str">
        <f>IF(Planning!$I324=0,F321&amp;G321,"")</f>
        <v/>
      </c>
      <c r="O321" s="122">
        <f>IF(AND(Results!$Z$6&gt;0,$E321-1&gt;=Results!$Z$6*Calc!$F$26),0,IF(AND(F321&lt;&gt;"",G321&lt;&gt;"",F321&lt;&gt;G321,Results!$R326&lt;&gt;"",Results!$T326&lt;&gt;""),1,0))</f>
        <v>0</v>
      </c>
      <c r="P321" s="122" t="str">
        <f>IF(AND(O321&gt;0,Planning!$I324=0),V321&amp;Language!$E$90&amp;W321,"")</f>
        <v/>
      </c>
      <c r="Q321" s="2" t="str">
        <f>IF(Planning!$I324=1,F321&amp;G321,"")</f>
        <v/>
      </c>
      <c r="R321" s="88" t="str">
        <f>IF(AND(O321&gt;0,Planning!$I324=1),V321&amp;Language!$E$90&amp;W321,"")</f>
        <v/>
      </c>
      <c r="S321" s="122" t="str">
        <f>IF(O321&gt;0,X321&amp;Language!$E$90&amp;Y321,"")</f>
        <v/>
      </c>
      <c r="T321" s="290">
        <f>IF($H321="",0,Results!$U326)</f>
        <v>0</v>
      </c>
      <c r="U321" s="291">
        <f>IF($I321="",0,Results!$V326)</f>
        <v>0</v>
      </c>
      <c r="V321" s="270" t="str">
        <f t="shared" si="8"/>
        <v/>
      </c>
      <c r="W321" s="291" t="str">
        <f t="shared" si="9"/>
        <v/>
      </c>
      <c r="X321" s="270">
        <f>IF($O321=0,0,IF(Results!$R326="",0,Results!$R326))</f>
        <v>0</v>
      </c>
      <c r="Y321" s="291">
        <f>IF($O321=0,0,IF(Results!$T326="",0,Results!$T326))</f>
        <v>0</v>
      </c>
      <c r="Z321" s="270" t="str">
        <f>IF($O321=0,"",IF($X321&gt;$Y321,Settings!$C$4,IF($X321=$Y321,1,0)))</f>
        <v/>
      </c>
      <c r="AA321" s="291" t="str">
        <f>IF($O321=0,"",IF($X321&lt;$Y321,Settings!$C$4,IF($X321=$Y321,1,0)))</f>
        <v/>
      </c>
    </row>
    <row r="322" spans="5:27" x14ac:dyDescent="0.2">
      <c r="E322" s="266">
        <v>319</v>
      </c>
      <c r="F322" s="171" t="str">
        <f>Planning!$Q325</f>
        <v/>
      </c>
      <c r="G322" s="348" t="str">
        <f>Planning!$S325</f>
        <v/>
      </c>
      <c r="H322" s="344" t="str">
        <f>IF(AND(Results!$I327&lt;&gt;"",Results!$K327&lt;&gt;"",Results!$F327&lt;&gt;Results!$H327,$F322&lt;&gt;"",$G322&lt;&gt;""),Results!$I327,"")</f>
        <v/>
      </c>
      <c r="I322" s="343" t="str">
        <f>IF(AND(Results!$I327&lt;&gt;"",Results!$K327&lt;&gt;"",Results!$F327&lt;&gt;Results!$H327,$F322&lt;&gt;"",$G322&lt;&gt;""),Results!$K327,"")</f>
        <v/>
      </c>
      <c r="J322" s="344" t="str">
        <f>IF(AND(Results!$L327&lt;&gt;"",Results!$N327&lt;&gt;"",Results!$F327&lt;&gt;Results!$H327,$F322&lt;&gt;"",$G322&lt;&gt;""),Results!$L327,"")</f>
        <v/>
      </c>
      <c r="K322" s="343" t="str">
        <f>IF(AND(Results!$L327&lt;&gt;"",Results!$N327&lt;&gt;"",Results!$F327&lt;&gt;Results!$H327,$F322&lt;&gt;"",$G322&lt;&gt;""),Results!$N327,"")</f>
        <v/>
      </c>
      <c r="L322" s="344" t="str">
        <f>IF(AND(Results!$O327&lt;&gt;"",Results!$Q327&lt;&gt;"",Results!$F327&lt;&gt;Results!$H327,$F322&lt;&gt;"",$G322&lt;&gt;""),Results!$O327,"")</f>
        <v/>
      </c>
      <c r="M322" s="122" t="str">
        <f>IF(AND(Results!$O327&lt;&gt;"",Results!$Q327&lt;&gt;"",Results!$F327&lt;&gt;Results!$H327,$F322&lt;&gt;"",$G322&lt;&gt;""),Results!$Q327,"")</f>
        <v/>
      </c>
      <c r="N322" s="16" t="str">
        <f>IF(Planning!$I325=0,F322&amp;G322,"")</f>
        <v/>
      </c>
      <c r="O322" s="122">
        <f>IF(AND(Results!$Z$6&gt;0,$E322-1&gt;=Results!$Z$6*Calc!$F$26),0,IF(AND(F322&lt;&gt;"",G322&lt;&gt;"",F322&lt;&gt;G322,Results!$R327&lt;&gt;"",Results!$T327&lt;&gt;""),1,0))</f>
        <v>0</v>
      </c>
      <c r="P322" s="122" t="str">
        <f>IF(AND(O322&gt;0,Planning!$I325=0),V322&amp;Language!$E$90&amp;W322,"")</f>
        <v/>
      </c>
      <c r="Q322" s="2" t="str">
        <f>IF(Planning!$I325=1,F322&amp;G322,"")</f>
        <v/>
      </c>
      <c r="R322" s="88" t="str">
        <f>IF(AND(O322&gt;0,Planning!$I325=1),V322&amp;Language!$E$90&amp;W322,"")</f>
        <v/>
      </c>
      <c r="S322" s="122" t="str">
        <f>IF(O322&gt;0,X322&amp;Language!$E$90&amp;Y322,"")</f>
        <v/>
      </c>
      <c r="T322" s="290">
        <f>IF($H322="",0,Results!$U327)</f>
        <v>0</v>
      </c>
      <c r="U322" s="291">
        <f>IF($I322="",0,Results!$V327)</f>
        <v>0</v>
      </c>
      <c r="V322" s="270" t="str">
        <f t="shared" si="8"/>
        <v/>
      </c>
      <c r="W322" s="291" t="str">
        <f t="shared" si="9"/>
        <v/>
      </c>
      <c r="X322" s="270">
        <f>IF($O322=0,0,IF(Results!$R327="",0,Results!$R327))</f>
        <v>0</v>
      </c>
      <c r="Y322" s="291">
        <f>IF($O322=0,0,IF(Results!$T327="",0,Results!$T327))</f>
        <v>0</v>
      </c>
      <c r="Z322" s="270" t="str">
        <f>IF($O322=0,"",IF($X322&gt;$Y322,Settings!$C$4,IF($X322=$Y322,1,0)))</f>
        <v/>
      </c>
      <c r="AA322" s="291" t="str">
        <f>IF($O322=0,"",IF($X322&lt;$Y322,Settings!$C$4,IF($X322=$Y322,1,0)))</f>
        <v/>
      </c>
    </row>
    <row r="323" spans="5:27" x14ac:dyDescent="0.2">
      <c r="E323" s="266">
        <v>320</v>
      </c>
      <c r="F323" s="171" t="str">
        <f>Planning!$Q326</f>
        <v/>
      </c>
      <c r="G323" s="348" t="str">
        <f>Planning!$S326</f>
        <v/>
      </c>
      <c r="H323" s="344" t="str">
        <f>IF(AND(Results!$I328&lt;&gt;"",Results!$K328&lt;&gt;"",Results!$F328&lt;&gt;Results!$H328,$F323&lt;&gt;"",$G323&lt;&gt;""),Results!$I328,"")</f>
        <v/>
      </c>
      <c r="I323" s="343" t="str">
        <f>IF(AND(Results!$I328&lt;&gt;"",Results!$K328&lt;&gt;"",Results!$F328&lt;&gt;Results!$H328,$F323&lt;&gt;"",$G323&lt;&gt;""),Results!$K328,"")</f>
        <v/>
      </c>
      <c r="J323" s="344" t="str">
        <f>IF(AND(Results!$L328&lt;&gt;"",Results!$N328&lt;&gt;"",Results!$F328&lt;&gt;Results!$H328,$F323&lt;&gt;"",$G323&lt;&gt;""),Results!$L328,"")</f>
        <v/>
      </c>
      <c r="K323" s="343" t="str">
        <f>IF(AND(Results!$L328&lt;&gt;"",Results!$N328&lt;&gt;"",Results!$F328&lt;&gt;Results!$H328,$F323&lt;&gt;"",$G323&lt;&gt;""),Results!$N328,"")</f>
        <v/>
      </c>
      <c r="L323" s="344" t="str">
        <f>IF(AND(Results!$O328&lt;&gt;"",Results!$Q328&lt;&gt;"",Results!$F328&lt;&gt;Results!$H328,$F323&lt;&gt;"",$G323&lt;&gt;""),Results!$O328,"")</f>
        <v/>
      </c>
      <c r="M323" s="122" t="str">
        <f>IF(AND(Results!$O328&lt;&gt;"",Results!$Q328&lt;&gt;"",Results!$F328&lt;&gt;Results!$H328,$F323&lt;&gt;"",$G323&lt;&gt;""),Results!$Q328,"")</f>
        <v/>
      </c>
      <c r="N323" s="16" t="str">
        <f>IF(Planning!$I326=0,F323&amp;G323,"")</f>
        <v/>
      </c>
      <c r="O323" s="122">
        <f>IF(AND(Results!$Z$6&gt;0,$E323-1&gt;=Results!$Z$6*Calc!$F$26),0,IF(AND(F323&lt;&gt;"",G323&lt;&gt;"",F323&lt;&gt;G323,Results!$R328&lt;&gt;"",Results!$T328&lt;&gt;""),1,0))</f>
        <v>0</v>
      </c>
      <c r="P323" s="122" t="str">
        <f>IF(AND(O323&gt;0,Planning!$I326=0),V323&amp;Language!$E$90&amp;W323,"")</f>
        <v/>
      </c>
      <c r="Q323" s="2" t="str">
        <f>IF(Planning!$I326=1,F323&amp;G323,"")</f>
        <v/>
      </c>
      <c r="R323" s="88" t="str">
        <f>IF(AND(O323&gt;0,Planning!$I326=1),V323&amp;Language!$E$90&amp;W323,"")</f>
        <v/>
      </c>
      <c r="S323" s="122" t="str">
        <f>IF(O323&gt;0,X323&amp;Language!$E$90&amp;Y323,"")</f>
        <v/>
      </c>
      <c r="T323" s="290">
        <f>IF($H323="",0,Results!$U328)</f>
        <v>0</v>
      </c>
      <c r="U323" s="291">
        <f>IF($I323="",0,Results!$V328)</f>
        <v>0</v>
      </c>
      <c r="V323" s="270" t="str">
        <f t="shared" si="8"/>
        <v/>
      </c>
      <c r="W323" s="291" t="str">
        <f t="shared" si="9"/>
        <v/>
      </c>
      <c r="X323" s="270">
        <f>IF($O323=0,0,IF(Results!$R328="",0,Results!$R328))</f>
        <v>0</v>
      </c>
      <c r="Y323" s="291">
        <f>IF($O323=0,0,IF(Results!$T328="",0,Results!$T328))</f>
        <v>0</v>
      </c>
      <c r="Z323" s="270" t="str">
        <f>IF($O323=0,"",IF($X323&gt;$Y323,Settings!$C$4,IF($X323=$Y323,1,0)))</f>
        <v/>
      </c>
      <c r="AA323" s="291" t="str">
        <f>IF($O323=0,"",IF($X323&lt;$Y323,Settings!$C$4,IF($X323=$Y323,1,0)))</f>
        <v/>
      </c>
    </row>
    <row r="324" spans="5:27" x14ac:dyDescent="0.2">
      <c r="E324" s="266">
        <v>321</v>
      </c>
      <c r="F324" s="171" t="str">
        <f>Planning!$Q327</f>
        <v/>
      </c>
      <c r="G324" s="348" t="str">
        <f>Planning!$S327</f>
        <v/>
      </c>
      <c r="H324" s="344" t="str">
        <f>IF(AND(Results!$I329&lt;&gt;"",Results!$K329&lt;&gt;"",Results!$F329&lt;&gt;Results!$H329,$F324&lt;&gt;"",$G324&lt;&gt;""),Results!$I329,"")</f>
        <v/>
      </c>
      <c r="I324" s="343" t="str">
        <f>IF(AND(Results!$I329&lt;&gt;"",Results!$K329&lt;&gt;"",Results!$F329&lt;&gt;Results!$H329,$F324&lt;&gt;"",$G324&lt;&gt;""),Results!$K329,"")</f>
        <v/>
      </c>
      <c r="J324" s="344" t="str">
        <f>IF(AND(Results!$L329&lt;&gt;"",Results!$N329&lt;&gt;"",Results!$F329&lt;&gt;Results!$H329,$F324&lt;&gt;"",$G324&lt;&gt;""),Results!$L329,"")</f>
        <v/>
      </c>
      <c r="K324" s="343" t="str">
        <f>IF(AND(Results!$L329&lt;&gt;"",Results!$N329&lt;&gt;"",Results!$F329&lt;&gt;Results!$H329,$F324&lt;&gt;"",$G324&lt;&gt;""),Results!$N329,"")</f>
        <v/>
      </c>
      <c r="L324" s="344" t="str">
        <f>IF(AND(Results!$O329&lt;&gt;"",Results!$Q329&lt;&gt;"",Results!$F329&lt;&gt;Results!$H329,$F324&lt;&gt;"",$G324&lt;&gt;""),Results!$O329,"")</f>
        <v/>
      </c>
      <c r="M324" s="122" t="str">
        <f>IF(AND(Results!$O329&lt;&gt;"",Results!$Q329&lt;&gt;"",Results!$F329&lt;&gt;Results!$H329,$F324&lt;&gt;"",$G324&lt;&gt;""),Results!$Q329,"")</f>
        <v/>
      </c>
      <c r="N324" s="16" t="str">
        <f>IF(Planning!$I327=0,F324&amp;G324,"")</f>
        <v/>
      </c>
      <c r="O324" s="122">
        <f>IF(AND(Results!$Z$6&gt;0,$E324-1&gt;=Results!$Z$6*Calc!$F$26),0,IF(AND(F324&lt;&gt;"",G324&lt;&gt;"",F324&lt;&gt;G324,Results!$R329&lt;&gt;"",Results!$T329&lt;&gt;""),1,0))</f>
        <v>0</v>
      </c>
      <c r="P324" s="122" t="str">
        <f>IF(AND(O324&gt;0,Planning!$I327=0),V324&amp;Language!$E$90&amp;W324,"")</f>
        <v/>
      </c>
      <c r="Q324" s="2" t="str">
        <f>IF(Planning!$I327=1,F324&amp;G324,"")</f>
        <v/>
      </c>
      <c r="R324" s="88" t="str">
        <f>IF(AND(O324&gt;0,Planning!$I327=1),V324&amp;Language!$E$90&amp;W324,"")</f>
        <v/>
      </c>
      <c r="S324" s="122" t="str">
        <f>IF(O324&gt;0,X324&amp;Language!$E$90&amp;Y324,"")</f>
        <v/>
      </c>
      <c r="T324" s="290">
        <f>IF($H324="",0,Results!$U329)</f>
        <v>0</v>
      </c>
      <c r="U324" s="291">
        <f>IF($I324="",0,Results!$V329)</f>
        <v>0</v>
      </c>
      <c r="V324" s="270" t="str">
        <f t="shared" si="8"/>
        <v/>
      </c>
      <c r="W324" s="291" t="str">
        <f t="shared" si="9"/>
        <v/>
      </c>
      <c r="X324" s="270">
        <f>IF($O324=0,0,IF(Results!$R329="",0,Results!$R329))</f>
        <v>0</v>
      </c>
      <c r="Y324" s="291">
        <f>IF($O324=0,0,IF(Results!$T329="",0,Results!$T329))</f>
        <v>0</v>
      </c>
      <c r="Z324" s="270" t="str">
        <f>IF($O324=0,"",IF($X324&gt;$Y324,Settings!$C$4,IF($X324=$Y324,1,0)))</f>
        <v/>
      </c>
      <c r="AA324" s="291" t="str">
        <f>IF($O324=0,"",IF($X324&lt;$Y324,Settings!$C$4,IF($X324=$Y324,1,0)))</f>
        <v/>
      </c>
    </row>
    <row r="325" spans="5:27" x14ac:dyDescent="0.2">
      <c r="E325" s="266">
        <v>322</v>
      </c>
      <c r="F325" s="171" t="str">
        <f>Planning!$Q328</f>
        <v/>
      </c>
      <c r="G325" s="348" t="str">
        <f>Planning!$S328</f>
        <v/>
      </c>
      <c r="H325" s="344" t="str">
        <f>IF(AND(Results!$I330&lt;&gt;"",Results!$K330&lt;&gt;"",Results!$F330&lt;&gt;Results!$H330,$F325&lt;&gt;"",$G325&lt;&gt;""),Results!$I330,"")</f>
        <v/>
      </c>
      <c r="I325" s="343" t="str">
        <f>IF(AND(Results!$I330&lt;&gt;"",Results!$K330&lt;&gt;"",Results!$F330&lt;&gt;Results!$H330,$F325&lt;&gt;"",$G325&lt;&gt;""),Results!$K330,"")</f>
        <v/>
      </c>
      <c r="J325" s="344" t="str">
        <f>IF(AND(Results!$L330&lt;&gt;"",Results!$N330&lt;&gt;"",Results!$F330&lt;&gt;Results!$H330,$F325&lt;&gt;"",$G325&lt;&gt;""),Results!$L330,"")</f>
        <v/>
      </c>
      <c r="K325" s="343" t="str">
        <f>IF(AND(Results!$L330&lt;&gt;"",Results!$N330&lt;&gt;"",Results!$F330&lt;&gt;Results!$H330,$F325&lt;&gt;"",$G325&lt;&gt;""),Results!$N330,"")</f>
        <v/>
      </c>
      <c r="L325" s="344" t="str">
        <f>IF(AND(Results!$O330&lt;&gt;"",Results!$Q330&lt;&gt;"",Results!$F330&lt;&gt;Results!$H330,$F325&lt;&gt;"",$G325&lt;&gt;""),Results!$O330,"")</f>
        <v/>
      </c>
      <c r="M325" s="122" t="str">
        <f>IF(AND(Results!$O330&lt;&gt;"",Results!$Q330&lt;&gt;"",Results!$F330&lt;&gt;Results!$H330,$F325&lt;&gt;"",$G325&lt;&gt;""),Results!$Q330,"")</f>
        <v/>
      </c>
      <c r="N325" s="16" t="str">
        <f>IF(Planning!$I328=0,F325&amp;G325,"")</f>
        <v/>
      </c>
      <c r="O325" s="122">
        <f>IF(AND(Results!$Z$6&gt;0,$E325-1&gt;=Results!$Z$6*Calc!$F$26),0,IF(AND(F325&lt;&gt;"",G325&lt;&gt;"",F325&lt;&gt;G325,Results!$R330&lt;&gt;"",Results!$T330&lt;&gt;""),1,0))</f>
        <v>0</v>
      </c>
      <c r="P325" s="122" t="str">
        <f>IF(AND(O325&gt;0,Planning!$I328=0),V325&amp;Language!$E$90&amp;W325,"")</f>
        <v/>
      </c>
      <c r="Q325" s="2" t="str">
        <f>IF(Planning!$I328=1,F325&amp;G325,"")</f>
        <v/>
      </c>
      <c r="R325" s="88" t="str">
        <f>IF(AND(O325&gt;0,Planning!$I328=1),V325&amp;Language!$E$90&amp;W325,"")</f>
        <v/>
      </c>
      <c r="S325" s="122" t="str">
        <f>IF(O325&gt;0,X325&amp;Language!$E$90&amp;Y325,"")</f>
        <v/>
      </c>
      <c r="T325" s="290">
        <f>IF($H325="",0,Results!$U330)</f>
        <v>0</v>
      </c>
      <c r="U325" s="291">
        <f>IF($I325="",0,Results!$V330)</f>
        <v>0</v>
      </c>
      <c r="V325" s="270" t="str">
        <f t="shared" ref="V325:V383" si="10">IF(O325&gt;0,SUM(H325,J325,L325),"")</f>
        <v/>
      </c>
      <c r="W325" s="291" t="str">
        <f t="shared" ref="W325:W383" si="11">IF(O325&gt;0,SUM(I325,K325,M325),"")</f>
        <v/>
      </c>
      <c r="X325" s="270">
        <f>IF($O325=0,0,IF(Results!$R330="",0,Results!$R330))</f>
        <v>0</v>
      </c>
      <c r="Y325" s="291">
        <f>IF($O325=0,0,IF(Results!$T330="",0,Results!$T330))</f>
        <v>0</v>
      </c>
      <c r="Z325" s="270" t="str">
        <f>IF($O325=0,"",IF($X325&gt;$Y325,Settings!$C$4,IF($X325=$Y325,1,0)))</f>
        <v/>
      </c>
      <c r="AA325" s="291" t="str">
        <f>IF($O325=0,"",IF($X325&lt;$Y325,Settings!$C$4,IF($X325=$Y325,1,0)))</f>
        <v/>
      </c>
    </row>
    <row r="326" spans="5:27" x14ac:dyDescent="0.2">
      <c r="E326" s="266">
        <v>323</v>
      </c>
      <c r="F326" s="171" t="str">
        <f>Planning!$Q329</f>
        <v/>
      </c>
      <c r="G326" s="348" t="str">
        <f>Planning!$S329</f>
        <v/>
      </c>
      <c r="H326" s="344" t="str">
        <f>IF(AND(Results!$I331&lt;&gt;"",Results!$K331&lt;&gt;"",Results!$F331&lt;&gt;Results!$H331,$F326&lt;&gt;"",$G326&lt;&gt;""),Results!$I331,"")</f>
        <v/>
      </c>
      <c r="I326" s="343" t="str">
        <f>IF(AND(Results!$I331&lt;&gt;"",Results!$K331&lt;&gt;"",Results!$F331&lt;&gt;Results!$H331,$F326&lt;&gt;"",$G326&lt;&gt;""),Results!$K331,"")</f>
        <v/>
      </c>
      <c r="J326" s="344" t="str">
        <f>IF(AND(Results!$L331&lt;&gt;"",Results!$N331&lt;&gt;"",Results!$F331&lt;&gt;Results!$H331,$F326&lt;&gt;"",$G326&lt;&gt;""),Results!$L331,"")</f>
        <v/>
      </c>
      <c r="K326" s="343" t="str">
        <f>IF(AND(Results!$L331&lt;&gt;"",Results!$N331&lt;&gt;"",Results!$F331&lt;&gt;Results!$H331,$F326&lt;&gt;"",$G326&lt;&gt;""),Results!$N331,"")</f>
        <v/>
      </c>
      <c r="L326" s="344" t="str">
        <f>IF(AND(Results!$O331&lt;&gt;"",Results!$Q331&lt;&gt;"",Results!$F331&lt;&gt;Results!$H331,$F326&lt;&gt;"",$G326&lt;&gt;""),Results!$O331,"")</f>
        <v/>
      </c>
      <c r="M326" s="122" t="str">
        <f>IF(AND(Results!$O331&lt;&gt;"",Results!$Q331&lt;&gt;"",Results!$F331&lt;&gt;Results!$H331,$F326&lt;&gt;"",$G326&lt;&gt;""),Results!$Q331,"")</f>
        <v/>
      </c>
      <c r="N326" s="16" t="str">
        <f>IF(Planning!$I329=0,F326&amp;G326,"")</f>
        <v/>
      </c>
      <c r="O326" s="122">
        <f>IF(AND(Results!$Z$6&gt;0,$E326-1&gt;=Results!$Z$6*Calc!$F$26),0,IF(AND(F326&lt;&gt;"",G326&lt;&gt;"",F326&lt;&gt;G326,Results!$R331&lt;&gt;"",Results!$T331&lt;&gt;""),1,0))</f>
        <v>0</v>
      </c>
      <c r="P326" s="122" t="str">
        <f>IF(AND(O326&gt;0,Planning!$I329=0),V326&amp;Language!$E$90&amp;W326,"")</f>
        <v/>
      </c>
      <c r="Q326" s="2" t="str">
        <f>IF(Planning!$I329=1,F326&amp;G326,"")</f>
        <v/>
      </c>
      <c r="R326" s="88" t="str">
        <f>IF(AND(O326&gt;0,Planning!$I329=1),V326&amp;Language!$E$90&amp;W326,"")</f>
        <v/>
      </c>
      <c r="S326" s="122" t="str">
        <f>IF(O326&gt;0,X326&amp;Language!$E$90&amp;Y326,"")</f>
        <v/>
      </c>
      <c r="T326" s="290">
        <f>IF($H326="",0,Results!$U331)</f>
        <v>0</v>
      </c>
      <c r="U326" s="291">
        <f>IF($I326="",0,Results!$V331)</f>
        <v>0</v>
      </c>
      <c r="V326" s="270" t="str">
        <f t="shared" si="10"/>
        <v/>
      </c>
      <c r="W326" s="291" t="str">
        <f t="shared" si="11"/>
        <v/>
      </c>
      <c r="X326" s="270">
        <f>IF($O326=0,0,IF(Results!$R331="",0,Results!$R331))</f>
        <v>0</v>
      </c>
      <c r="Y326" s="291">
        <f>IF($O326=0,0,IF(Results!$T331="",0,Results!$T331))</f>
        <v>0</v>
      </c>
      <c r="Z326" s="270" t="str">
        <f>IF($O326=0,"",IF($X326&gt;$Y326,Settings!$C$4,IF($X326=$Y326,1,0)))</f>
        <v/>
      </c>
      <c r="AA326" s="291" t="str">
        <f>IF($O326=0,"",IF($X326&lt;$Y326,Settings!$C$4,IF($X326=$Y326,1,0)))</f>
        <v/>
      </c>
    </row>
    <row r="327" spans="5:27" x14ac:dyDescent="0.2">
      <c r="E327" s="266">
        <v>324</v>
      </c>
      <c r="F327" s="171" t="str">
        <f>Planning!$Q330</f>
        <v/>
      </c>
      <c r="G327" s="348" t="str">
        <f>Planning!$S330</f>
        <v/>
      </c>
      <c r="H327" s="344" t="str">
        <f>IF(AND(Results!$I332&lt;&gt;"",Results!$K332&lt;&gt;"",Results!$F332&lt;&gt;Results!$H332,$F327&lt;&gt;"",$G327&lt;&gt;""),Results!$I332,"")</f>
        <v/>
      </c>
      <c r="I327" s="343" t="str">
        <f>IF(AND(Results!$I332&lt;&gt;"",Results!$K332&lt;&gt;"",Results!$F332&lt;&gt;Results!$H332,$F327&lt;&gt;"",$G327&lt;&gt;""),Results!$K332,"")</f>
        <v/>
      </c>
      <c r="J327" s="344" t="str">
        <f>IF(AND(Results!$L332&lt;&gt;"",Results!$N332&lt;&gt;"",Results!$F332&lt;&gt;Results!$H332,$F327&lt;&gt;"",$G327&lt;&gt;""),Results!$L332,"")</f>
        <v/>
      </c>
      <c r="K327" s="343" t="str">
        <f>IF(AND(Results!$L332&lt;&gt;"",Results!$N332&lt;&gt;"",Results!$F332&lt;&gt;Results!$H332,$F327&lt;&gt;"",$G327&lt;&gt;""),Results!$N332,"")</f>
        <v/>
      </c>
      <c r="L327" s="344" t="str">
        <f>IF(AND(Results!$O332&lt;&gt;"",Results!$Q332&lt;&gt;"",Results!$F332&lt;&gt;Results!$H332,$F327&lt;&gt;"",$G327&lt;&gt;""),Results!$O332,"")</f>
        <v/>
      </c>
      <c r="M327" s="122" t="str">
        <f>IF(AND(Results!$O332&lt;&gt;"",Results!$Q332&lt;&gt;"",Results!$F332&lt;&gt;Results!$H332,$F327&lt;&gt;"",$G327&lt;&gt;""),Results!$Q332,"")</f>
        <v/>
      </c>
      <c r="N327" s="16" t="str">
        <f>IF(Planning!$I330=0,F327&amp;G327,"")</f>
        <v/>
      </c>
      <c r="O327" s="122">
        <f>IF(AND(Results!$Z$6&gt;0,$E327-1&gt;=Results!$Z$6*Calc!$F$26),0,IF(AND(F327&lt;&gt;"",G327&lt;&gt;"",F327&lt;&gt;G327,Results!$R332&lt;&gt;"",Results!$T332&lt;&gt;""),1,0))</f>
        <v>0</v>
      </c>
      <c r="P327" s="122" t="str">
        <f>IF(AND(O327&gt;0,Planning!$I330=0),V327&amp;Language!$E$90&amp;W327,"")</f>
        <v/>
      </c>
      <c r="Q327" s="2" t="str">
        <f>IF(Planning!$I330=1,F327&amp;G327,"")</f>
        <v/>
      </c>
      <c r="R327" s="88" t="str">
        <f>IF(AND(O327&gt;0,Planning!$I330=1),V327&amp;Language!$E$90&amp;W327,"")</f>
        <v/>
      </c>
      <c r="S327" s="122" t="str">
        <f>IF(O327&gt;0,X327&amp;Language!$E$90&amp;Y327,"")</f>
        <v/>
      </c>
      <c r="T327" s="290">
        <f>IF($H327="",0,Results!$U332)</f>
        <v>0</v>
      </c>
      <c r="U327" s="291">
        <f>IF($I327="",0,Results!$V332)</f>
        <v>0</v>
      </c>
      <c r="V327" s="270" t="str">
        <f t="shared" si="10"/>
        <v/>
      </c>
      <c r="W327" s="291" t="str">
        <f t="shared" si="11"/>
        <v/>
      </c>
      <c r="X327" s="270">
        <f>IF($O327=0,0,IF(Results!$R332="",0,Results!$R332))</f>
        <v>0</v>
      </c>
      <c r="Y327" s="291">
        <f>IF($O327=0,0,IF(Results!$T332="",0,Results!$T332))</f>
        <v>0</v>
      </c>
      <c r="Z327" s="270" t="str">
        <f>IF($O327=0,"",IF($X327&gt;$Y327,Settings!$C$4,IF($X327=$Y327,1,0)))</f>
        <v/>
      </c>
      <c r="AA327" s="291" t="str">
        <f>IF($O327=0,"",IF($X327&lt;$Y327,Settings!$C$4,IF($X327=$Y327,1,0)))</f>
        <v/>
      </c>
    </row>
    <row r="328" spans="5:27" x14ac:dyDescent="0.2">
      <c r="E328" s="266">
        <v>325</v>
      </c>
      <c r="F328" s="171" t="str">
        <f>Planning!$Q331</f>
        <v/>
      </c>
      <c r="G328" s="348" t="str">
        <f>Planning!$S331</f>
        <v/>
      </c>
      <c r="H328" s="344" t="str">
        <f>IF(AND(Results!$I333&lt;&gt;"",Results!$K333&lt;&gt;"",Results!$F333&lt;&gt;Results!$H333,$F328&lt;&gt;"",$G328&lt;&gt;""),Results!$I333,"")</f>
        <v/>
      </c>
      <c r="I328" s="343" t="str">
        <f>IF(AND(Results!$I333&lt;&gt;"",Results!$K333&lt;&gt;"",Results!$F333&lt;&gt;Results!$H333,$F328&lt;&gt;"",$G328&lt;&gt;""),Results!$K333,"")</f>
        <v/>
      </c>
      <c r="J328" s="344" t="str">
        <f>IF(AND(Results!$L333&lt;&gt;"",Results!$N333&lt;&gt;"",Results!$F333&lt;&gt;Results!$H333,$F328&lt;&gt;"",$G328&lt;&gt;""),Results!$L333,"")</f>
        <v/>
      </c>
      <c r="K328" s="343" t="str">
        <f>IF(AND(Results!$L333&lt;&gt;"",Results!$N333&lt;&gt;"",Results!$F333&lt;&gt;Results!$H333,$F328&lt;&gt;"",$G328&lt;&gt;""),Results!$N333,"")</f>
        <v/>
      </c>
      <c r="L328" s="344" t="str">
        <f>IF(AND(Results!$O333&lt;&gt;"",Results!$Q333&lt;&gt;"",Results!$F333&lt;&gt;Results!$H333,$F328&lt;&gt;"",$G328&lt;&gt;""),Results!$O333,"")</f>
        <v/>
      </c>
      <c r="M328" s="122" t="str">
        <f>IF(AND(Results!$O333&lt;&gt;"",Results!$Q333&lt;&gt;"",Results!$F333&lt;&gt;Results!$H333,$F328&lt;&gt;"",$G328&lt;&gt;""),Results!$Q333,"")</f>
        <v/>
      </c>
      <c r="N328" s="16" t="str">
        <f>IF(Planning!$I331=0,F328&amp;G328,"")</f>
        <v/>
      </c>
      <c r="O328" s="122">
        <f>IF(AND(Results!$Z$6&gt;0,$E328-1&gt;=Results!$Z$6*Calc!$F$26),0,IF(AND(F328&lt;&gt;"",G328&lt;&gt;"",F328&lt;&gt;G328,Results!$R333&lt;&gt;"",Results!$T333&lt;&gt;""),1,0))</f>
        <v>0</v>
      </c>
      <c r="P328" s="122" t="str">
        <f>IF(AND(O328&gt;0,Planning!$I331=0),V328&amp;Language!$E$90&amp;W328,"")</f>
        <v/>
      </c>
      <c r="Q328" s="2" t="str">
        <f>IF(Planning!$I331=1,F328&amp;G328,"")</f>
        <v/>
      </c>
      <c r="R328" s="88" t="str">
        <f>IF(AND(O328&gt;0,Planning!$I331=1),V328&amp;Language!$E$90&amp;W328,"")</f>
        <v/>
      </c>
      <c r="S328" s="122" t="str">
        <f>IF(O328&gt;0,X328&amp;Language!$E$90&amp;Y328,"")</f>
        <v/>
      </c>
      <c r="T328" s="290">
        <f>IF($H328="",0,Results!$U333)</f>
        <v>0</v>
      </c>
      <c r="U328" s="291">
        <f>IF($I328="",0,Results!$V333)</f>
        <v>0</v>
      </c>
      <c r="V328" s="270" t="str">
        <f t="shared" si="10"/>
        <v/>
      </c>
      <c r="W328" s="291" t="str">
        <f t="shared" si="11"/>
        <v/>
      </c>
      <c r="X328" s="270">
        <f>IF($O328=0,0,IF(Results!$R333="",0,Results!$R333))</f>
        <v>0</v>
      </c>
      <c r="Y328" s="291">
        <f>IF($O328=0,0,IF(Results!$T333="",0,Results!$T333))</f>
        <v>0</v>
      </c>
      <c r="Z328" s="270" t="str">
        <f>IF($O328=0,"",IF($X328&gt;$Y328,Settings!$C$4,IF($X328=$Y328,1,0)))</f>
        <v/>
      </c>
      <c r="AA328" s="291" t="str">
        <f>IF($O328=0,"",IF($X328&lt;$Y328,Settings!$C$4,IF($X328=$Y328,1,0)))</f>
        <v/>
      </c>
    </row>
    <row r="329" spans="5:27" x14ac:dyDescent="0.2">
      <c r="E329" s="266">
        <v>326</v>
      </c>
      <c r="F329" s="171" t="str">
        <f>Planning!$Q332</f>
        <v/>
      </c>
      <c r="G329" s="348" t="str">
        <f>Planning!$S332</f>
        <v/>
      </c>
      <c r="H329" s="344" t="str">
        <f>IF(AND(Results!$I334&lt;&gt;"",Results!$K334&lt;&gt;"",Results!$F334&lt;&gt;Results!$H334,$F329&lt;&gt;"",$G329&lt;&gt;""),Results!$I334,"")</f>
        <v/>
      </c>
      <c r="I329" s="343" t="str">
        <f>IF(AND(Results!$I334&lt;&gt;"",Results!$K334&lt;&gt;"",Results!$F334&lt;&gt;Results!$H334,$F329&lt;&gt;"",$G329&lt;&gt;""),Results!$K334,"")</f>
        <v/>
      </c>
      <c r="J329" s="344" t="str">
        <f>IF(AND(Results!$L334&lt;&gt;"",Results!$N334&lt;&gt;"",Results!$F334&lt;&gt;Results!$H334,$F329&lt;&gt;"",$G329&lt;&gt;""),Results!$L334,"")</f>
        <v/>
      </c>
      <c r="K329" s="343" t="str">
        <f>IF(AND(Results!$L334&lt;&gt;"",Results!$N334&lt;&gt;"",Results!$F334&lt;&gt;Results!$H334,$F329&lt;&gt;"",$G329&lt;&gt;""),Results!$N334,"")</f>
        <v/>
      </c>
      <c r="L329" s="344" t="str">
        <f>IF(AND(Results!$O334&lt;&gt;"",Results!$Q334&lt;&gt;"",Results!$F334&lt;&gt;Results!$H334,$F329&lt;&gt;"",$G329&lt;&gt;""),Results!$O334,"")</f>
        <v/>
      </c>
      <c r="M329" s="122" t="str">
        <f>IF(AND(Results!$O334&lt;&gt;"",Results!$Q334&lt;&gt;"",Results!$F334&lt;&gt;Results!$H334,$F329&lt;&gt;"",$G329&lt;&gt;""),Results!$Q334,"")</f>
        <v/>
      </c>
      <c r="N329" s="16" t="str">
        <f>IF(Planning!$I332=0,F329&amp;G329,"")</f>
        <v/>
      </c>
      <c r="O329" s="122">
        <f>IF(AND(Results!$Z$6&gt;0,$E329-1&gt;=Results!$Z$6*Calc!$F$26),0,IF(AND(F329&lt;&gt;"",G329&lt;&gt;"",F329&lt;&gt;G329,Results!$R334&lt;&gt;"",Results!$T334&lt;&gt;""),1,0))</f>
        <v>0</v>
      </c>
      <c r="P329" s="122" t="str">
        <f>IF(AND(O329&gt;0,Planning!$I332=0),V329&amp;Language!$E$90&amp;W329,"")</f>
        <v/>
      </c>
      <c r="Q329" s="2" t="str">
        <f>IF(Planning!$I332=1,F329&amp;G329,"")</f>
        <v/>
      </c>
      <c r="R329" s="88" t="str">
        <f>IF(AND(O329&gt;0,Planning!$I332=1),V329&amp;Language!$E$90&amp;W329,"")</f>
        <v/>
      </c>
      <c r="S329" s="122" t="str">
        <f>IF(O329&gt;0,X329&amp;Language!$E$90&amp;Y329,"")</f>
        <v/>
      </c>
      <c r="T329" s="290">
        <f>IF($H329="",0,Results!$U334)</f>
        <v>0</v>
      </c>
      <c r="U329" s="291">
        <f>IF($I329="",0,Results!$V334)</f>
        <v>0</v>
      </c>
      <c r="V329" s="270" t="str">
        <f t="shared" si="10"/>
        <v/>
      </c>
      <c r="W329" s="291" t="str">
        <f t="shared" si="11"/>
        <v/>
      </c>
      <c r="X329" s="270">
        <f>IF($O329=0,0,IF(Results!$R334="",0,Results!$R334))</f>
        <v>0</v>
      </c>
      <c r="Y329" s="291">
        <f>IF($O329=0,0,IF(Results!$T334="",0,Results!$T334))</f>
        <v>0</v>
      </c>
      <c r="Z329" s="270" t="str">
        <f>IF($O329=0,"",IF($X329&gt;$Y329,Settings!$C$4,IF($X329=$Y329,1,0)))</f>
        <v/>
      </c>
      <c r="AA329" s="291" t="str">
        <f>IF($O329=0,"",IF($X329&lt;$Y329,Settings!$C$4,IF($X329=$Y329,1,0)))</f>
        <v/>
      </c>
    </row>
    <row r="330" spans="5:27" x14ac:dyDescent="0.2">
      <c r="E330" s="266">
        <v>327</v>
      </c>
      <c r="F330" s="171" t="str">
        <f>Planning!$Q333</f>
        <v/>
      </c>
      <c r="G330" s="348" t="str">
        <f>Planning!$S333</f>
        <v/>
      </c>
      <c r="H330" s="344" t="str">
        <f>IF(AND(Results!$I335&lt;&gt;"",Results!$K335&lt;&gt;"",Results!$F335&lt;&gt;Results!$H335,$F330&lt;&gt;"",$G330&lt;&gt;""),Results!$I335,"")</f>
        <v/>
      </c>
      <c r="I330" s="343" t="str">
        <f>IF(AND(Results!$I335&lt;&gt;"",Results!$K335&lt;&gt;"",Results!$F335&lt;&gt;Results!$H335,$F330&lt;&gt;"",$G330&lt;&gt;""),Results!$K335,"")</f>
        <v/>
      </c>
      <c r="J330" s="344" t="str">
        <f>IF(AND(Results!$L335&lt;&gt;"",Results!$N335&lt;&gt;"",Results!$F335&lt;&gt;Results!$H335,$F330&lt;&gt;"",$G330&lt;&gt;""),Results!$L335,"")</f>
        <v/>
      </c>
      <c r="K330" s="343" t="str">
        <f>IF(AND(Results!$L335&lt;&gt;"",Results!$N335&lt;&gt;"",Results!$F335&lt;&gt;Results!$H335,$F330&lt;&gt;"",$G330&lt;&gt;""),Results!$N335,"")</f>
        <v/>
      </c>
      <c r="L330" s="344" t="str">
        <f>IF(AND(Results!$O335&lt;&gt;"",Results!$Q335&lt;&gt;"",Results!$F335&lt;&gt;Results!$H335,$F330&lt;&gt;"",$G330&lt;&gt;""),Results!$O335,"")</f>
        <v/>
      </c>
      <c r="M330" s="122" t="str">
        <f>IF(AND(Results!$O335&lt;&gt;"",Results!$Q335&lt;&gt;"",Results!$F335&lt;&gt;Results!$H335,$F330&lt;&gt;"",$G330&lt;&gt;""),Results!$Q335,"")</f>
        <v/>
      </c>
      <c r="N330" s="16" t="str">
        <f>IF(Planning!$I333=0,F330&amp;G330,"")</f>
        <v/>
      </c>
      <c r="O330" s="122">
        <f>IF(AND(Results!$Z$6&gt;0,$E330-1&gt;=Results!$Z$6*Calc!$F$26),0,IF(AND(F330&lt;&gt;"",G330&lt;&gt;"",F330&lt;&gt;G330,Results!$R335&lt;&gt;"",Results!$T335&lt;&gt;""),1,0))</f>
        <v>0</v>
      </c>
      <c r="P330" s="122" t="str">
        <f>IF(AND(O330&gt;0,Planning!$I333=0),V330&amp;Language!$E$90&amp;W330,"")</f>
        <v/>
      </c>
      <c r="Q330" s="2" t="str">
        <f>IF(Planning!$I333=1,F330&amp;G330,"")</f>
        <v/>
      </c>
      <c r="R330" s="88" t="str">
        <f>IF(AND(O330&gt;0,Planning!$I333=1),V330&amp;Language!$E$90&amp;W330,"")</f>
        <v/>
      </c>
      <c r="S330" s="122" t="str">
        <f>IF(O330&gt;0,X330&amp;Language!$E$90&amp;Y330,"")</f>
        <v/>
      </c>
      <c r="T330" s="290">
        <f>IF($H330="",0,Results!$U335)</f>
        <v>0</v>
      </c>
      <c r="U330" s="291">
        <f>IF($I330="",0,Results!$V335)</f>
        <v>0</v>
      </c>
      <c r="V330" s="270" t="str">
        <f t="shared" si="10"/>
        <v/>
      </c>
      <c r="W330" s="291" t="str">
        <f t="shared" si="11"/>
        <v/>
      </c>
      <c r="X330" s="270">
        <f>IF($O330=0,0,IF(Results!$R335="",0,Results!$R335))</f>
        <v>0</v>
      </c>
      <c r="Y330" s="291">
        <f>IF($O330=0,0,IF(Results!$T335="",0,Results!$T335))</f>
        <v>0</v>
      </c>
      <c r="Z330" s="270" t="str">
        <f>IF($O330=0,"",IF($X330&gt;$Y330,Settings!$C$4,IF($X330=$Y330,1,0)))</f>
        <v/>
      </c>
      <c r="AA330" s="291" t="str">
        <f>IF($O330=0,"",IF($X330&lt;$Y330,Settings!$C$4,IF($X330=$Y330,1,0)))</f>
        <v/>
      </c>
    </row>
    <row r="331" spans="5:27" x14ac:dyDescent="0.2">
      <c r="E331" s="266">
        <v>328</v>
      </c>
      <c r="F331" s="171" t="str">
        <f>Planning!$Q334</f>
        <v/>
      </c>
      <c r="G331" s="348" t="str">
        <f>Planning!$S334</f>
        <v/>
      </c>
      <c r="H331" s="344" t="str">
        <f>IF(AND(Results!$I336&lt;&gt;"",Results!$K336&lt;&gt;"",Results!$F336&lt;&gt;Results!$H336,$F331&lt;&gt;"",$G331&lt;&gt;""),Results!$I336,"")</f>
        <v/>
      </c>
      <c r="I331" s="343" t="str">
        <f>IF(AND(Results!$I336&lt;&gt;"",Results!$K336&lt;&gt;"",Results!$F336&lt;&gt;Results!$H336,$F331&lt;&gt;"",$G331&lt;&gt;""),Results!$K336,"")</f>
        <v/>
      </c>
      <c r="J331" s="344" t="str">
        <f>IF(AND(Results!$L336&lt;&gt;"",Results!$N336&lt;&gt;"",Results!$F336&lt;&gt;Results!$H336,$F331&lt;&gt;"",$G331&lt;&gt;""),Results!$L336,"")</f>
        <v/>
      </c>
      <c r="K331" s="343" t="str">
        <f>IF(AND(Results!$L336&lt;&gt;"",Results!$N336&lt;&gt;"",Results!$F336&lt;&gt;Results!$H336,$F331&lt;&gt;"",$G331&lt;&gt;""),Results!$N336,"")</f>
        <v/>
      </c>
      <c r="L331" s="344" t="str">
        <f>IF(AND(Results!$O336&lt;&gt;"",Results!$Q336&lt;&gt;"",Results!$F336&lt;&gt;Results!$H336,$F331&lt;&gt;"",$G331&lt;&gt;""),Results!$O336,"")</f>
        <v/>
      </c>
      <c r="M331" s="122" t="str">
        <f>IF(AND(Results!$O336&lt;&gt;"",Results!$Q336&lt;&gt;"",Results!$F336&lt;&gt;Results!$H336,$F331&lt;&gt;"",$G331&lt;&gt;""),Results!$Q336,"")</f>
        <v/>
      </c>
      <c r="N331" s="16" t="str">
        <f>IF(Planning!$I334=0,F331&amp;G331,"")</f>
        <v/>
      </c>
      <c r="O331" s="122">
        <f>IF(AND(Results!$Z$6&gt;0,$E331-1&gt;=Results!$Z$6*Calc!$F$26),0,IF(AND(F331&lt;&gt;"",G331&lt;&gt;"",F331&lt;&gt;G331,Results!$R336&lt;&gt;"",Results!$T336&lt;&gt;""),1,0))</f>
        <v>0</v>
      </c>
      <c r="P331" s="122" t="str">
        <f>IF(AND(O331&gt;0,Planning!$I334=0),V331&amp;Language!$E$90&amp;W331,"")</f>
        <v/>
      </c>
      <c r="Q331" s="2" t="str">
        <f>IF(Planning!$I334=1,F331&amp;G331,"")</f>
        <v/>
      </c>
      <c r="R331" s="88" t="str">
        <f>IF(AND(O331&gt;0,Planning!$I334=1),V331&amp;Language!$E$90&amp;W331,"")</f>
        <v/>
      </c>
      <c r="S331" s="122" t="str">
        <f>IF(O331&gt;0,X331&amp;Language!$E$90&amp;Y331,"")</f>
        <v/>
      </c>
      <c r="T331" s="290">
        <f>IF($H331="",0,Results!$U336)</f>
        <v>0</v>
      </c>
      <c r="U331" s="291">
        <f>IF($I331="",0,Results!$V336)</f>
        <v>0</v>
      </c>
      <c r="V331" s="270" t="str">
        <f t="shared" si="10"/>
        <v/>
      </c>
      <c r="W331" s="291" t="str">
        <f t="shared" si="11"/>
        <v/>
      </c>
      <c r="X331" s="270">
        <f>IF($O331=0,0,IF(Results!$R336="",0,Results!$R336))</f>
        <v>0</v>
      </c>
      <c r="Y331" s="291">
        <f>IF($O331=0,0,IF(Results!$T336="",0,Results!$T336))</f>
        <v>0</v>
      </c>
      <c r="Z331" s="270" t="str">
        <f>IF($O331=0,"",IF($X331&gt;$Y331,Settings!$C$4,IF($X331=$Y331,1,0)))</f>
        <v/>
      </c>
      <c r="AA331" s="291" t="str">
        <f>IF($O331=0,"",IF($X331&lt;$Y331,Settings!$C$4,IF($X331=$Y331,1,0)))</f>
        <v/>
      </c>
    </row>
    <row r="332" spans="5:27" x14ac:dyDescent="0.2">
      <c r="E332" s="266">
        <v>329</v>
      </c>
      <c r="F332" s="171" t="str">
        <f>Planning!$Q335</f>
        <v/>
      </c>
      <c r="G332" s="348" t="str">
        <f>Planning!$S335</f>
        <v/>
      </c>
      <c r="H332" s="344" t="str">
        <f>IF(AND(Results!$I337&lt;&gt;"",Results!$K337&lt;&gt;"",Results!$F337&lt;&gt;Results!$H337,$F332&lt;&gt;"",$G332&lt;&gt;""),Results!$I337,"")</f>
        <v/>
      </c>
      <c r="I332" s="343" t="str">
        <f>IF(AND(Results!$I337&lt;&gt;"",Results!$K337&lt;&gt;"",Results!$F337&lt;&gt;Results!$H337,$F332&lt;&gt;"",$G332&lt;&gt;""),Results!$K337,"")</f>
        <v/>
      </c>
      <c r="J332" s="344" t="str">
        <f>IF(AND(Results!$L337&lt;&gt;"",Results!$N337&lt;&gt;"",Results!$F337&lt;&gt;Results!$H337,$F332&lt;&gt;"",$G332&lt;&gt;""),Results!$L337,"")</f>
        <v/>
      </c>
      <c r="K332" s="343" t="str">
        <f>IF(AND(Results!$L337&lt;&gt;"",Results!$N337&lt;&gt;"",Results!$F337&lt;&gt;Results!$H337,$F332&lt;&gt;"",$G332&lt;&gt;""),Results!$N337,"")</f>
        <v/>
      </c>
      <c r="L332" s="344" t="str">
        <f>IF(AND(Results!$O337&lt;&gt;"",Results!$Q337&lt;&gt;"",Results!$F337&lt;&gt;Results!$H337,$F332&lt;&gt;"",$G332&lt;&gt;""),Results!$O337,"")</f>
        <v/>
      </c>
      <c r="M332" s="122" t="str">
        <f>IF(AND(Results!$O337&lt;&gt;"",Results!$Q337&lt;&gt;"",Results!$F337&lt;&gt;Results!$H337,$F332&lt;&gt;"",$G332&lt;&gt;""),Results!$Q337,"")</f>
        <v/>
      </c>
      <c r="N332" s="16" t="str">
        <f>IF(Planning!$I335=0,F332&amp;G332,"")</f>
        <v/>
      </c>
      <c r="O332" s="122">
        <f>IF(AND(Results!$Z$6&gt;0,$E332-1&gt;=Results!$Z$6*Calc!$F$26),0,IF(AND(F332&lt;&gt;"",G332&lt;&gt;"",F332&lt;&gt;G332,Results!$R337&lt;&gt;"",Results!$T337&lt;&gt;""),1,0))</f>
        <v>0</v>
      </c>
      <c r="P332" s="122" t="str">
        <f>IF(AND(O332&gt;0,Planning!$I335=0),V332&amp;Language!$E$90&amp;W332,"")</f>
        <v/>
      </c>
      <c r="Q332" s="2" t="str">
        <f>IF(Planning!$I335=1,F332&amp;G332,"")</f>
        <v/>
      </c>
      <c r="R332" s="88" t="str">
        <f>IF(AND(O332&gt;0,Planning!$I335=1),V332&amp;Language!$E$90&amp;W332,"")</f>
        <v/>
      </c>
      <c r="S332" s="122" t="str">
        <f>IF(O332&gt;0,X332&amp;Language!$E$90&amp;Y332,"")</f>
        <v/>
      </c>
      <c r="T332" s="290">
        <f>IF($H332="",0,Results!$U337)</f>
        <v>0</v>
      </c>
      <c r="U332" s="291">
        <f>IF($I332="",0,Results!$V337)</f>
        <v>0</v>
      </c>
      <c r="V332" s="270" t="str">
        <f t="shared" si="10"/>
        <v/>
      </c>
      <c r="W332" s="291" t="str">
        <f t="shared" si="11"/>
        <v/>
      </c>
      <c r="X332" s="270">
        <f>IF($O332=0,0,IF(Results!$R337="",0,Results!$R337))</f>
        <v>0</v>
      </c>
      <c r="Y332" s="291">
        <f>IF($O332=0,0,IF(Results!$T337="",0,Results!$T337))</f>
        <v>0</v>
      </c>
      <c r="Z332" s="270" t="str">
        <f>IF($O332=0,"",IF($X332&gt;$Y332,Settings!$C$4,IF($X332=$Y332,1,0)))</f>
        <v/>
      </c>
      <c r="AA332" s="291" t="str">
        <f>IF($O332=0,"",IF($X332&lt;$Y332,Settings!$C$4,IF($X332=$Y332,1,0)))</f>
        <v/>
      </c>
    </row>
    <row r="333" spans="5:27" x14ac:dyDescent="0.2">
      <c r="E333" s="266">
        <v>330</v>
      </c>
      <c r="F333" s="171" t="str">
        <f>Planning!$Q336</f>
        <v/>
      </c>
      <c r="G333" s="348" t="str">
        <f>Planning!$S336</f>
        <v/>
      </c>
      <c r="H333" s="344" t="str">
        <f>IF(AND(Results!$I338&lt;&gt;"",Results!$K338&lt;&gt;"",Results!$F338&lt;&gt;Results!$H338,$F333&lt;&gt;"",$G333&lt;&gt;""),Results!$I338,"")</f>
        <v/>
      </c>
      <c r="I333" s="343" t="str">
        <f>IF(AND(Results!$I338&lt;&gt;"",Results!$K338&lt;&gt;"",Results!$F338&lt;&gt;Results!$H338,$F333&lt;&gt;"",$G333&lt;&gt;""),Results!$K338,"")</f>
        <v/>
      </c>
      <c r="J333" s="344" t="str">
        <f>IF(AND(Results!$L338&lt;&gt;"",Results!$N338&lt;&gt;"",Results!$F338&lt;&gt;Results!$H338,$F333&lt;&gt;"",$G333&lt;&gt;""),Results!$L338,"")</f>
        <v/>
      </c>
      <c r="K333" s="343" t="str">
        <f>IF(AND(Results!$L338&lt;&gt;"",Results!$N338&lt;&gt;"",Results!$F338&lt;&gt;Results!$H338,$F333&lt;&gt;"",$G333&lt;&gt;""),Results!$N338,"")</f>
        <v/>
      </c>
      <c r="L333" s="344" t="str">
        <f>IF(AND(Results!$O338&lt;&gt;"",Results!$Q338&lt;&gt;"",Results!$F338&lt;&gt;Results!$H338,$F333&lt;&gt;"",$G333&lt;&gt;""),Results!$O338,"")</f>
        <v/>
      </c>
      <c r="M333" s="122" t="str">
        <f>IF(AND(Results!$O338&lt;&gt;"",Results!$Q338&lt;&gt;"",Results!$F338&lt;&gt;Results!$H338,$F333&lt;&gt;"",$G333&lt;&gt;""),Results!$Q338,"")</f>
        <v/>
      </c>
      <c r="N333" s="16" t="str">
        <f>IF(Planning!$I336=0,F333&amp;G333,"")</f>
        <v/>
      </c>
      <c r="O333" s="122">
        <f>IF(AND(Results!$Z$6&gt;0,$E333-1&gt;=Results!$Z$6*Calc!$F$26),0,IF(AND(F333&lt;&gt;"",G333&lt;&gt;"",F333&lt;&gt;G333,Results!$R338&lt;&gt;"",Results!$T338&lt;&gt;""),1,0))</f>
        <v>0</v>
      </c>
      <c r="P333" s="122" t="str">
        <f>IF(AND(O333&gt;0,Planning!$I336=0),V333&amp;Language!$E$90&amp;W333,"")</f>
        <v/>
      </c>
      <c r="Q333" s="2" t="str">
        <f>IF(Planning!$I336=1,F333&amp;G333,"")</f>
        <v/>
      </c>
      <c r="R333" s="88" t="str">
        <f>IF(AND(O333&gt;0,Planning!$I336=1),V333&amp;Language!$E$90&amp;W333,"")</f>
        <v/>
      </c>
      <c r="S333" s="122" t="str">
        <f>IF(O333&gt;0,X333&amp;Language!$E$90&amp;Y333,"")</f>
        <v/>
      </c>
      <c r="T333" s="290">
        <f>IF($H333="",0,Results!$U338)</f>
        <v>0</v>
      </c>
      <c r="U333" s="291">
        <f>IF($I333="",0,Results!$V338)</f>
        <v>0</v>
      </c>
      <c r="V333" s="270" t="str">
        <f t="shared" si="10"/>
        <v/>
      </c>
      <c r="W333" s="291" t="str">
        <f t="shared" si="11"/>
        <v/>
      </c>
      <c r="X333" s="270">
        <f>IF($O333=0,0,IF(Results!$R338="",0,Results!$R338))</f>
        <v>0</v>
      </c>
      <c r="Y333" s="291">
        <f>IF($O333=0,0,IF(Results!$T338="",0,Results!$T338))</f>
        <v>0</v>
      </c>
      <c r="Z333" s="270" t="str">
        <f>IF($O333=0,"",IF($X333&gt;$Y333,Settings!$C$4,IF($X333=$Y333,1,0)))</f>
        <v/>
      </c>
      <c r="AA333" s="291" t="str">
        <f>IF($O333=0,"",IF($X333&lt;$Y333,Settings!$C$4,IF($X333=$Y333,1,0)))</f>
        <v/>
      </c>
    </row>
    <row r="334" spans="5:27" x14ac:dyDescent="0.2">
      <c r="E334" s="266">
        <v>331</v>
      </c>
      <c r="F334" s="171" t="str">
        <f>Planning!$Q337</f>
        <v/>
      </c>
      <c r="G334" s="348" t="str">
        <f>Planning!$S337</f>
        <v/>
      </c>
      <c r="H334" s="344" t="str">
        <f>IF(AND(Results!$I339&lt;&gt;"",Results!$K339&lt;&gt;"",Results!$F339&lt;&gt;Results!$H339,$F334&lt;&gt;"",$G334&lt;&gt;""),Results!$I339,"")</f>
        <v/>
      </c>
      <c r="I334" s="343" t="str">
        <f>IF(AND(Results!$I339&lt;&gt;"",Results!$K339&lt;&gt;"",Results!$F339&lt;&gt;Results!$H339,$F334&lt;&gt;"",$G334&lt;&gt;""),Results!$K339,"")</f>
        <v/>
      </c>
      <c r="J334" s="344" t="str">
        <f>IF(AND(Results!$L339&lt;&gt;"",Results!$N339&lt;&gt;"",Results!$F339&lt;&gt;Results!$H339,$F334&lt;&gt;"",$G334&lt;&gt;""),Results!$L339,"")</f>
        <v/>
      </c>
      <c r="K334" s="343" t="str">
        <f>IF(AND(Results!$L339&lt;&gt;"",Results!$N339&lt;&gt;"",Results!$F339&lt;&gt;Results!$H339,$F334&lt;&gt;"",$G334&lt;&gt;""),Results!$N339,"")</f>
        <v/>
      </c>
      <c r="L334" s="344" t="str">
        <f>IF(AND(Results!$O339&lt;&gt;"",Results!$Q339&lt;&gt;"",Results!$F339&lt;&gt;Results!$H339,$F334&lt;&gt;"",$G334&lt;&gt;""),Results!$O339,"")</f>
        <v/>
      </c>
      <c r="M334" s="122" t="str">
        <f>IF(AND(Results!$O339&lt;&gt;"",Results!$Q339&lt;&gt;"",Results!$F339&lt;&gt;Results!$H339,$F334&lt;&gt;"",$G334&lt;&gt;""),Results!$Q339,"")</f>
        <v/>
      </c>
      <c r="N334" s="16" t="str">
        <f>IF(Planning!$I337=0,F334&amp;G334,"")</f>
        <v/>
      </c>
      <c r="O334" s="122">
        <f>IF(AND(Results!$Z$6&gt;0,$E334-1&gt;=Results!$Z$6*Calc!$F$26),0,IF(AND(F334&lt;&gt;"",G334&lt;&gt;"",F334&lt;&gt;G334,Results!$R339&lt;&gt;"",Results!$T339&lt;&gt;""),1,0))</f>
        <v>0</v>
      </c>
      <c r="P334" s="122" t="str">
        <f>IF(AND(O334&gt;0,Planning!$I337=0),V334&amp;Language!$E$90&amp;W334,"")</f>
        <v/>
      </c>
      <c r="Q334" s="2" t="str">
        <f>IF(Planning!$I337=1,F334&amp;G334,"")</f>
        <v/>
      </c>
      <c r="R334" s="88" t="str">
        <f>IF(AND(O334&gt;0,Planning!$I337=1),V334&amp;Language!$E$90&amp;W334,"")</f>
        <v/>
      </c>
      <c r="S334" s="122" t="str">
        <f>IF(O334&gt;0,X334&amp;Language!$E$90&amp;Y334,"")</f>
        <v/>
      </c>
      <c r="T334" s="290">
        <f>IF($H334="",0,Results!$U339)</f>
        <v>0</v>
      </c>
      <c r="U334" s="291">
        <f>IF($I334="",0,Results!$V339)</f>
        <v>0</v>
      </c>
      <c r="V334" s="270" t="str">
        <f t="shared" si="10"/>
        <v/>
      </c>
      <c r="W334" s="291" t="str">
        <f t="shared" si="11"/>
        <v/>
      </c>
      <c r="X334" s="270">
        <f>IF($O334=0,0,IF(Results!$R339="",0,Results!$R339))</f>
        <v>0</v>
      </c>
      <c r="Y334" s="291">
        <f>IF($O334=0,0,IF(Results!$T339="",0,Results!$T339))</f>
        <v>0</v>
      </c>
      <c r="Z334" s="270" t="str">
        <f>IF($O334=0,"",IF($X334&gt;$Y334,Settings!$C$4,IF($X334=$Y334,1,0)))</f>
        <v/>
      </c>
      <c r="AA334" s="291" t="str">
        <f>IF($O334=0,"",IF($X334&lt;$Y334,Settings!$C$4,IF($X334=$Y334,1,0)))</f>
        <v/>
      </c>
    </row>
    <row r="335" spans="5:27" x14ac:dyDescent="0.2">
      <c r="E335" s="266">
        <v>332</v>
      </c>
      <c r="F335" s="171" t="str">
        <f>Planning!$Q338</f>
        <v/>
      </c>
      <c r="G335" s="348" t="str">
        <f>Planning!$S338</f>
        <v/>
      </c>
      <c r="H335" s="344" t="str">
        <f>IF(AND(Results!$I340&lt;&gt;"",Results!$K340&lt;&gt;"",Results!$F340&lt;&gt;Results!$H340,$F335&lt;&gt;"",$G335&lt;&gt;""),Results!$I340,"")</f>
        <v/>
      </c>
      <c r="I335" s="343" t="str">
        <f>IF(AND(Results!$I340&lt;&gt;"",Results!$K340&lt;&gt;"",Results!$F340&lt;&gt;Results!$H340,$F335&lt;&gt;"",$G335&lt;&gt;""),Results!$K340,"")</f>
        <v/>
      </c>
      <c r="J335" s="344" t="str">
        <f>IF(AND(Results!$L340&lt;&gt;"",Results!$N340&lt;&gt;"",Results!$F340&lt;&gt;Results!$H340,$F335&lt;&gt;"",$G335&lt;&gt;""),Results!$L340,"")</f>
        <v/>
      </c>
      <c r="K335" s="343" t="str">
        <f>IF(AND(Results!$L340&lt;&gt;"",Results!$N340&lt;&gt;"",Results!$F340&lt;&gt;Results!$H340,$F335&lt;&gt;"",$G335&lt;&gt;""),Results!$N340,"")</f>
        <v/>
      </c>
      <c r="L335" s="344" t="str">
        <f>IF(AND(Results!$O340&lt;&gt;"",Results!$Q340&lt;&gt;"",Results!$F340&lt;&gt;Results!$H340,$F335&lt;&gt;"",$G335&lt;&gt;""),Results!$O340,"")</f>
        <v/>
      </c>
      <c r="M335" s="122" t="str">
        <f>IF(AND(Results!$O340&lt;&gt;"",Results!$Q340&lt;&gt;"",Results!$F340&lt;&gt;Results!$H340,$F335&lt;&gt;"",$G335&lt;&gt;""),Results!$Q340,"")</f>
        <v/>
      </c>
      <c r="N335" s="16" t="str">
        <f>IF(Planning!$I338=0,F335&amp;G335,"")</f>
        <v/>
      </c>
      <c r="O335" s="122">
        <f>IF(AND(Results!$Z$6&gt;0,$E335-1&gt;=Results!$Z$6*Calc!$F$26),0,IF(AND(F335&lt;&gt;"",G335&lt;&gt;"",F335&lt;&gt;G335,Results!$R340&lt;&gt;"",Results!$T340&lt;&gt;""),1,0))</f>
        <v>0</v>
      </c>
      <c r="P335" s="122" t="str">
        <f>IF(AND(O335&gt;0,Planning!$I338=0),V335&amp;Language!$E$90&amp;W335,"")</f>
        <v/>
      </c>
      <c r="Q335" s="2" t="str">
        <f>IF(Planning!$I338=1,F335&amp;G335,"")</f>
        <v/>
      </c>
      <c r="R335" s="88" t="str">
        <f>IF(AND(O335&gt;0,Planning!$I338=1),V335&amp;Language!$E$90&amp;W335,"")</f>
        <v/>
      </c>
      <c r="S335" s="122" t="str">
        <f>IF(O335&gt;0,X335&amp;Language!$E$90&amp;Y335,"")</f>
        <v/>
      </c>
      <c r="T335" s="290">
        <f>IF($H335="",0,Results!$U340)</f>
        <v>0</v>
      </c>
      <c r="U335" s="291">
        <f>IF($I335="",0,Results!$V340)</f>
        <v>0</v>
      </c>
      <c r="V335" s="270" t="str">
        <f t="shared" si="10"/>
        <v/>
      </c>
      <c r="W335" s="291" t="str">
        <f t="shared" si="11"/>
        <v/>
      </c>
      <c r="X335" s="270">
        <f>IF($O335=0,0,IF(Results!$R340="",0,Results!$R340))</f>
        <v>0</v>
      </c>
      <c r="Y335" s="291">
        <f>IF($O335=0,0,IF(Results!$T340="",0,Results!$T340))</f>
        <v>0</v>
      </c>
      <c r="Z335" s="270" t="str">
        <f>IF($O335=0,"",IF($X335&gt;$Y335,Settings!$C$4,IF($X335=$Y335,1,0)))</f>
        <v/>
      </c>
      <c r="AA335" s="291" t="str">
        <f>IF($O335=0,"",IF($X335&lt;$Y335,Settings!$C$4,IF($X335=$Y335,1,0)))</f>
        <v/>
      </c>
    </row>
    <row r="336" spans="5:27" x14ac:dyDescent="0.2">
      <c r="E336" s="266">
        <v>333</v>
      </c>
      <c r="F336" s="171" t="str">
        <f>Planning!$Q339</f>
        <v/>
      </c>
      <c r="G336" s="348" t="str">
        <f>Planning!$S339</f>
        <v/>
      </c>
      <c r="H336" s="344" t="str">
        <f>IF(AND(Results!$I341&lt;&gt;"",Results!$K341&lt;&gt;"",Results!$F341&lt;&gt;Results!$H341,$F336&lt;&gt;"",$G336&lt;&gt;""),Results!$I341,"")</f>
        <v/>
      </c>
      <c r="I336" s="343" t="str">
        <f>IF(AND(Results!$I341&lt;&gt;"",Results!$K341&lt;&gt;"",Results!$F341&lt;&gt;Results!$H341,$F336&lt;&gt;"",$G336&lt;&gt;""),Results!$K341,"")</f>
        <v/>
      </c>
      <c r="J336" s="344" t="str">
        <f>IF(AND(Results!$L341&lt;&gt;"",Results!$N341&lt;&gt;"",Results!$F341&lt;&gt;Results!$H341,$F336&lt;&gt;"",$G336&lt;&gt;""),Results!$L341,"")</f>
        <v/>
      </c>
      <c r="K336" s="343" t="str">
        <f>IF(AND(Results!$L341&lt;&gt;"",Results!$N341&lt;&gt;"",Results!$F341&lt;&gt;Results!$H341,$F336&lt;&gt;"",$G336&lt;&gt;""),Results!$N341,"")</f>
        <v/>
      </c>
      <c r="L336" s="344" t="str">
        <f>IF(AND(Results!$O341&lt;&gt;"",Results!$Q341&lt;&gt;"",Results!$F341&lt;&gt;Results!$H341,$F336&lt;&gt;"",$G336&lt;&gt;""),Results!$O341,"")</f>
        <v/>
      </c>
      <c r="M336" s="122" t="str">
        <f>IF(AND(Results!$O341&lt;&gt;"",Results!$Q341&lt;&gt;"",Results!$F341&lt;&gt;Results!$H341,$F336&lt;&gt;"",$G336&lt;&gt;""),Results!$Q341,"")</f>
        <v/>
      </c>
      <c r="N336" s="16" t="str">
        <f>IF(Planning!$I339=0,F336&amp;G336,"")</f>
        <v/>
      </c>
      <c r="O336" s="122">
        <f>IF(AND(Results!$Z$6&gt;0,$E336-1&gt;=Results!$Z$6*Calc!$F$26),0,IF(AND(F336&lt;&gt;"",G336&lt;&gt;"",F336&lt;&gt;G336,Results!$R341&lt;&gt;"",Results!$T341&lt;&gt;""),1,0))</f>
        <v>0</v>
      </c>
      <c r="P336" s="122" t="str">
        <f>IF(AND(O336&gt;0,Planning!$I339=0),V336&amp;Language!$E$90&amp;W336,"")</f>
        <v/>
      </c>
      <c r="Q336" s="2" t="str">
        <f>IF(Planning!$I339=1,F336&amp;G336,"")</f>
        <v/>
      </c>
      <c r="R336" s="88" t="str">
        <f>IF(AND(O336&gt;0,Planning!$I339=1),V336&amp;Language!$E$90&amp;W336,"")</f>
        <v/>
      </c>
      <c r="S336" s="122" t="str">
        <f>IF(O336&gt;0,X336&amp;Language!$E$90&amp;Y336,"")</f>
        <v/>
      </c>
      <c r="T336" s="290">
        <f>IF($H336="",0,Results!$U341)</f>
        <v>0</v>
      </c>
      <c r="U336" s="291">
        <f>IF($I336="",0,Results!$V341)</f>
        <v>0</v>
      </c>
      <c r="V336" s="270" t="str">
        <f t="shared" si="10"/>
        <v/>
      </c>
      <c r="W336" s="291" t="str">
        <f t="shared" si="11"/>
        <v/>
      </c>
      <c r="X336" s="270">
        <f>IF($O336=0,0,IF(Results!$R341="",0,Results!$R341))</f>
        <v>0</v>
      </c>
      <c r="Y336" s="291">
        <f>IF($O336=0,0,IF(Results!$T341="",0,Results!$T341))</f>
        <v>0</v>
      </c>
      <c r="Z336" s="270" t="str">
        <f>IF($O336=0,"",IF($X336&gt;$Y336,Settings!$C$4,IF($X336=$Y336,1,0)))</f>
        <v/>
      </c>
      <c r="AA336" s="291" t="str">
        <f>IF($O336=0,"",IF($X336&lt;$Y336,Settings!$C$4,IF($X336=$Y336,1,0)))</f>
        <v/>
      </c>
    </row>
    <row r="337" spans="5:27" x14ac:dyDescent="0.2">
      <c r="E337" s="266">
        <v>334</v>
      </c>
      <c r="F337" s="171" t="str">
        <f>Planning!$Q340</f>
        <v/>
      </c>
      <c r="G337" s="348" t="str">
        <f>Planning!$S340</f>
        <v/>
      </c>
      <c r="H337" s="344" t="str">
        <f>IF(AND(Results!$I342&lt;&gt;"",Results!$K342&lt;&gt;"",Results!$F342&lt;&gt;Results!$H342,$F337&lt;&gt;"",$G337&lt;&gt;""),Results!$I342,"")</f>
        <v/>
      </c>
      <c r="I337" s="343" t="str">
        <f>IF(AND(Results!$I342&lt;&gt;"",Results!$K342&lt;&gt;"",Results!$F342&lt;&gt;Results!$H342,$F337&lt;&gt;"",$G337&lt;&gt;""),Results!$K342,"")</f>
        <v/>
      </c>
      <c r="J337" s="344" t="str">
        <f>IF(AND(Results!$L342&lt;&gt;"",Results!$N342&lt;&gt;"",Results!$F342&lt;&gt;Results!$H342,$F337&lt;&gt;"",$G337&lt;&gt;""),Results!$L342,"")</f>
        <v/>
      </c>
      <c r="K337" s="343" t="str">
        <f>IF(AND(Results!$L342&lt;&gt;"",Results!$N342&lt;&gt;"",Results!$F342&lt;&gt;Results!$H342,$F337&lt;&gt;"",$G337&lt;&gt;""),Results!$N342,"")</f>
        <v/>
      </c>
      <c r="L337" s="344" t="str">
        <f>IF(AND(Results!$O342&lt;&gt;"",Results!$Q342&lt;&gt;"",Results!$F342&lt;&gt;Results!$H342,$F337&lt;&gt;"",$G337&lt;&gt;""),Results!$O342,"")</f>
        <v/>
      </c>
      <c r="M337" s="122" t="str">
        <f>IF(AND(Results!$O342&lt;&gt;"",Results!$Q342&lt;&gt;"",Results!$F342&lt;&gt;Results!$H342,$F337&lt;&gt;"",$G337&lt;&gt;""),Results!$Q342,"")</f>
        <v/>
      </c>
      <c r="N337" s="16" t="str">
        <f>IF(Planning!$I340=0,F337&amp;G337,"")</f>
        <v/>
      </c>
      <c r="O337" s="122">
        <f>IF(AND(Results!$Z$6&gt;0,$E337-1&gt;=Results!$Z$6*Calc!$F$26),0,IF(AND(F337&lt;&gt;"",G337&lt;&gt;"",F337&lt;&gt;G337,Results!$R342&lt;&gt;"",Results!$T342&lt;&gt;""),1,0))</f>
        <v>0</v>
      </c>
      <c r="P337" s="122" t="str">
        <f>IF(AND(O337&gt;0,Planning!$I340=0),V337&amp;Language!$E$90&amp;W337,"")</f>
        <v/>
      </c>
      <c r="Q337" s="2" t="str">
        <f>IF(Planning!$I340=1,F337&amp;G337,"")</f>
        <v/>
      </c>
      <c r="R337" s="88" t="str">
        <f>IF(AND(O337&gt;0,Planning!$I340=1),V337&amp;Language!$E$90&amp;W337,"")</f>
        <v/>
      </c>
      <c r="S337" s="122" t="str">
        <f>IF(O337&gt;0,X337&amp;Language!$E$90&amp;Y337,"")</f>
        <v/>
      </c>
      <c r="T337" s="290">
        <f>IF($H337="",0,Results!$U342)</f>
        <v>0</v>
      </c>
      <c r="U337" s="291">
        <f>IF($I337="",0,Results!$V342)</f>
        <v>0</v>
      </c>
      <c r="V337" s="270" t="str">
        <f t="shared" si="10"/>
        <v/>
      </c>
      <c r="W337" s="291" t="str">
        <f t="shared" si="11"/>
        <v/>
      </c>
      <c r="X337" s="270">
        <f>IF($O337=0,0,IF(Results!$R342="",0,Results!$R342))</f>
        <v>0</v>
      </c>
      <c r="Y337" s="291">
        <f>IF($O337=0,0,IF(Results!$T342="",0,Results!$T342))</f>
        <v>0</v>
      </c>
      <c r="Z337" s="270" t="str">
        <f>IF($O337=0,"",IF($X337&gt;$Y337,Settings!$C$4,IF($X337=$Y337,1,0)))</f>
        <v/>
      </c>
      <c r="AA337" s="291" t="str">
        <f>IF($O337=0,"",IF($X337&lt;$Y337,Settings!$C$4,IF($X337=$Y337,1,0)))</f>
        <v/>
      </c>
    </row>
    <row r="338" spans="5:27" x14ac:dyDescent="0.2">
      <c r="E338" s="266">
        <v>335</v>
      </c>
      <c r="F338" s="171" t="str">
        <f>Planning!$Q341</f>
        <v/>
      </c>
      <c r="G338" s="348" t="str">
        <f>Planning!$S341</f>
        <v/>
      </c>
      <c r="H338" s="344" t="str">
        <f>IF(AND(Results!$I343&lt;&gt;"",Results!$K343&lt;&gt;"",Results!$F343&lt;&gt;Results!$H343,$F338&lt;&gt;"",$G338&lt;&gt;""),Results!$I343,"")</f>
        <v/>
      </c>
      <c r="I338" s="343" t="str">
        <f>IF(AND(Results!$I343&lt;&gt;"",Results!$K343&lt;&gt;"",Results!$F343&lt;&gt;Results!$H343,$F338&lt;&gt;"",$G338&lt;&gt;""),Results!$K343,"")</f>
        <v/>
      </c>
      <c r="J338" s="344" t="str">
        <f>IF(AND(Results!$L343&lt;&gt;"",Results!$N343&lt;&gt;"",Results!$F343&lt;&gt;Results!$H343,$F338&lt;&gt;"",$G338&lt;&gt;""),Results!$L343,"")</f>
        <v/>
      </c>
      <c r="K338" s="343" t="str">
        <f>IF(AND(Results!$L343&lt;&gt;"",Results!$N343&lt;&gt;"",Results!$F343&lt;&gt;Results!$H343,$F338&lt;&gt;"",$G338&lt;&gt;""),Results!$N343,"")</f>
        <v/>
      </c>
      <c r="L338" s="344" t="str">
        <f>IF(AND(Results!$O343&lt;&gt;"",Results!$Q343&lt;&gt;"",Results!$F343&lt;&gt;Results!$H343,$F338&lt;&gt;"",$G338&lt;&gt;""),Results!$O343,"")</f>
        <v/>
      </c>
      <c r="M338" s="122" t="str">
        <f>IF(AND(Results!$O343&lt;&gt;"",Results!$Q343&lt;&gt;"",Results!$F343&lt;&gt;Results!$H343,$F338&lt;&gt;"",$G338&lt;&gt;""),Results!$Q343,"")</f>
        <v/>
      </c>
      <c r="N338" s="16" t="str">
        <f>IF(Planning!$I341=0,F338&amp;G338,"")</f>
        <v/>
      </c>
      <c r="O338" s="122">
        <f>IF(AND(Results!$Z$6&gt;0,$E338-1&gt;=Results!$Z$6*Calc!$F$26),0,IF(AND(F338&lt;&gt;"",G338&lt;&gt;"",F338&lt;&gt;G338,Results!$R343&lt;&gt;"",Results!$T343&lt;&gt;""),1,0))</f>
        <v>0</v>
      </c>
      <c r="P338" s="122" t="str">
        <f>IF(AND(O338&gt;0,Planning!$I341=0),V338&amp;Language!$E$90&amp;W338,"")</f>
        <v/>
      </c>
      <c r="Q338" s="2" t="str">
        <f>IF(Planning!$I341=1,F338&amp;G338,"")</f>
        <v/>
      </c>
      <c r="R338" s="88" t="str">
        <f>IF(AND(O338&gt;0,Planning!$I341=1),V338&amp;Language!$E$90&amp;W338,"")</f>
        <v/>
      </c>
      <c r="S338" s="122" t="str">
        <f>IF(O338&gt;0,X338&amp;Language!$E$90&amp;Y338,"")</f>
        <v/>
      </c>
      <c r="T338" s="290">
        <f>IF($H338="",0,Results!$U343)</f>
        <v>0</v>
      </c>
      <c r="U338" s="291">
        <f>IF($I338="",0,Results!$V343)</f>
        <v>0</v>
      </c>
      <c r="V338" s="270" t="str">
        <f t="shared" si="10"/>
        <v/>
      </c>
      <c r="W338" s="291" t="str">
        <f t="shared" si="11"/>
        <v/>
      </c>
      <c r="X338" s="270">
        <f>IF($O338=0,0,IF(Results!$R343="",0,Results!$R343))</f>
        <v>0</v>
      </c>
      <c r="Y338" s="291">
        <f>IF($O338=0,0,IF(Results!$T343="",0,Results!$T343))</f>
        <v>0</v>
      </c>
      <c r="Z338" s="270" t="str">
        <f>IF($O338=0,"",IF($X338&gt;$Y338,Settings!$C$4,IF($X338=$Y338,1,0)))</f>
        <v/>
      </c>
      <c r="AA338" s="291" t="str">
        <f>IF($O338=0,"",IF($X338&lt;$Y338,Settings!$C$4,IF($X338=$Y338,1,0)))</f>
        <v/>
      </c>
    </row>
    <row r="339" spans="5:27" x14ac:dyDescent="0.2">
      <c r="E339" s="266">
        <v>336</v>
      </c>
      <c r="F339" s="171" t="str">
        <f>Planning!$Q342</f>
        <v/>
      </c>
      <c r="G339" s="348" t="str">
        <f>Planning!$S342</f>
        <v/>
      </c>
      <c r="H339" s="344" t="str">
        <f>IF(AND(Results!$I344&lt;&gt;"",Results!$K344&lt;&gt;"",Results!$F344&lt;&gt;Results!$H344,$F339&lt;&gt;"",$G339&lt;&gt;""),Results!$I344,"")</f>
        <v/>
      </c>
      <c r="I339" s="343" t="str">
        <f>IF(AND(Results!$I344&lt;&gt;"",Results!$K344&lt;&gt;"",Results!$F344&lt;&gt;Results!$H344,$F339&lt;&gt;"",$G339&lt;&gt;""),Results!$K344,"")</f>
        <v/>
      </c>
      <c r="J339" s="344" t="str">
        <f>IF(AND(Results!$L344&lt;&gt;"",Results!$N344&lt;&gt;"",Results!$F344&lt;&gt;Results!$H344,$F339&lt;&gt;"",$G339&lt;&gt;""),Results!$L344,"")</f>
        <v/>
      </c>
      <c r="K339" s="343" t="str">
        <f>IF(AND(Results!$L344&lt;&gt;"",Results!$N344&lt;&gt;"",Results!$F344&lt;&gt;Results!$H344,$F339&lt;&gt;"",$G339&lt;&gt;""),Results!$N344,"")</f>
        <v/>
      </c>
      <c r="L339" s="344" t="str">
        <f>IF(AND(Results!$O344&lt;&gt;"",Results!$Q344&lt;&gt;"",Results!$F344&lt;&gt;Results!$H344,$F339&lt;&gt;"",$G339&lt;&gt;""),Results!$O344,"")</f>
        <v/>
      </c>
      <c r="M339" s="122" t="str">
        <f>IF(AND(Results!$O344&lt;&gt;"",Results!$Q344&lt;&gt;"",Results!$F344&lt;&gt;Results!$H344,$F339&lt;&gt;"",$G339&lt;&gt;""),Results!$Q344,"")</f>
        <v/>
      </c>
      <c r="N339" s="16" t="str">
        <f>IF(Planning!$I342=0,F339&amp;G339,"")</f>
        <v/>
      </c>
      <c r="O339" s="122">
        <f>IF(AND(Results!$Z$6&gt;0,$E339-1&gt;=Results!$Z$6*Calc!$F$26),0,IF(AND(F339&lt;&gt;"",G339&lt;&gt;"",F339&lt;&gt;G339,Results!$R344&lt;&gt;"",Results!$T344&lt;&gt;""),1,0))</f>
        <v>0</v>
      </c>
      <c r="P339" s="122" t="str">
        <f>IF(AND(O339&gt;0,Planning!$I342=0),V339&amp;Language!$E$90&amp;W339,"")</f>
        <v/>
      </c>
      <c r="Q339" s="2" t="str">
        <f>IF(Planning!$I342=1,F339&amp;G339,"")</f>
        <v/>
      </c>
      <c r="R339" s="88" t="str">
        <f>IF(AND(O339&gt;0,Planning!$I342=1),V339&amp;Language!$E$90&amp;W339,"")</f>
        <v/>
      </c>
      <c r="S339" s="122" t="str">
        <f>IF(O339&gt;0,X339&amp;Language!$E$90&amp;Y339,"")</f>
        <v/>
      </c>
      <c r="T339" s="290">
        <f>IF($H339="",0,Results!$U344)</f>
        <v>0</v>
      </c>
      <c r="U339" s="291">
        <f>IF($I339="",0,Results!$V344)</f>
        <v>0</v>
      </c>
      <c r="V339" s="270" t="str">
        <f t="shared" si="10"/>
        <v/>
      </c>
      <c r="W339" s="291" t="str">
        <f t="shared" si="11"/>
        <v/>
      </c>
      <c r="X339" s="270">
        <f>IF($O339=0,0,IF(Results!$R344="",0,Results!$R344))</f>
        <v>0</v>
      </c>
      <c r="Y339" s="291">
        <f>IF($O339=0,0,IF(Results!$T344="",0,Results!$T344))</f>
        <v>0</v>
      </c>
      <c r="Z339" s="270" t="str">
        <f>IF($O339=0,"",IF($X339&gt;$Y339,Settings!$C$4,IF($X339=$Y339,1,0)))</f>
        <v/>
      </c>
      <c r="AA339" s="291" t="str">
        <f>IF($O339=0,"",IF($X339&lt;$Y339,Settings!$C$4,IF($X339=$Y339,1,0)))</f>
        <v/>
      </c>
    </row>
    <row r="340" spans="5:27" x14ac:dyDescent="0.2">
      <c r="E340" s="266">
        <v>337</v>
      </c>
      <c r="F340" s="171" t="str">
        <f>Planning!$Q343</f>
        <v/>
      </c>
      <c r="G340" s="348" t="str">
        <f>Planning!$S343</f>
        <v/>
      </c>
      <c r="H340" s="344" t="str">
        <f>IF(AND(Results!$I345&lt;&gt;"",Results!$K345&lt;&gt;"",Results!$F345&lt;&gt;Results!$H345,$F340&lt;&gt;"",$G340&lt;&gt;""),Results!$I345,"")</f>
        <v/>
      </c>
      <c r="I340" s="343" t="str">
        <f>IF(AND(Results!$I345&lt;&gt;"",Results!$K345&lt;&gt;"",Results!$F345&lt;&gt;Results!$H345,$F340&lt;&gt;"",$G340&lt;&gt;""),Results!$K345,"")</f>
        <v/>
      </c>
      <c r="J340" s="344" t="str">
        <f>IF(AND(Results!$L345&lt;&gt;"",Results!$N345&lt;&gt;"",Results!$F345&lt;&gt;Results!$H345,$F340&lt;&gt;"",$G340&lt;&gt;""),Results!$L345,"")</f>
        <v/>
      </c>
      <c r="K340" s="343" t="str">
        <f>IF(AND(Results!$L345&lt;&gt;"",Results!$N345&lt;&gt;"",Results!$F345&lt;&gt;Results!$H345,$F340&lt;&gt;"",$G340&lt;&gt;""),Results!$N345,"")</f>
        <v/>
      </c>
      <c r="L340" s="344" t="str">
        <f>IF(AND(Results!$O345&lt;&gt;"",Results!$Q345&lt;&gt;"",Results!$F345&lt;&gt;Results!$H345,$F340&lt;&gt;"",$G340&lt;&gt;""),Results!$O345,"")</f>
        <v/>
      </c>
      <c r="M340" s="122" t="str">
        <f>IF(AND(Results!$O345&lt;&gt;"",Results!$Q345&lt;&gt;"",Results!$F345&lt;&gt;Results!$H345,$F340&lt;&gt;"",$G340&lt;&gt;""),Results!$Q345,"")</f>
        <v/>
      </c>
      <c r="N340" s="16" t="str">
        <f>IF(Planning!$I343=0,F340&amp;G340,"")</f>
        <v/>
      </c>
      <c r="O340" s="122">
        <f>IF(AND(Results!$Z$6&gt;0,$E340-1&gt;=Results!$Z$6*Calc!$F$26),0,IF(AND(F340&lt;&gt;"",G340&lt;&gt;"",F340&lt;&gt;G340,Results!$R345&lt;&gt;"",Results!$T345&lt;&gt;""),1,0))</f>
        <v>0</v>
      </c>
      <c r="P340" s="122" t="str">
        <f>IF(AND(O340&gt;0,Planning!$I343=0),V340&amp;Language!$E$90&amp;W340,"")</f>
        <v/>
      </c>
      <c r="Q340" s="2" t="str">
        <f>IF(Planning!$I343=1,F340&amp;G340,"")</f>
        <v/>
      </c>
      <c r="R340" s="88" t="str">
        <f>IF(AND(O340&gt;0,Planning!$I343=1),V340&amp;Language!$E$90&amp;W340,"")</f>
        <v/>
      </c>
      <c r="S340" s="122" t="str">
        <f>IF(O340&gt;0,X340&amp;Language!$E$90&amp;Y340,"")</f>
        <v/>
      </c>
      <c r="T340" s="290">
        <f>IF($H340="",0,Results!$U345)</f>
        <v>0</v>
      </c>
      <c r="U340" s="291">
        <f>IF($I340="",0,Results!$V345)</f>
        <v>0</v>
      </c>
      <c r="V340" s="270" t="str">
        <f t="shared" si="10"/>
        <v/>
      </c>
      <c r="W340" s="291" t="str">
        <f t="shared" si="11"/>
        <v/>
      </c>
      <c r="X340" s="270">
        <f>IF($O340=0,0,IF(Results!$R345="",0,Results!$R345))</f>
        <v>0</v>
      </c>
      <c r="Y340" s="291">
        <f>IF($O340=0,0,IF(Results!$T345="",0,Results!$T345))</f>
        <v>0</v>
      </c>
      <c r="Z340" s="270" t="str">
        <f>IF($O340=0,"",IF($X340&gt;$Y340,Settings!$C$4,IF($X340=$Y340,1,0)))</f>
        <v/>
      </c>
      <c r="AA340" s="291" t="str">
        <f>IF($O340=0,"",IF($X340&lt;$Y340,Settings!$C$4,IF($X340=$Y340,1,0)))</f>
        <v/>
      </c>
    </row>
    <row r="341" spans="5:27" x14ac:dyDescent="0.2">
      <c r="E341" s="266">
        <v>338</v>
      </c>
      <c r="F341" s="171" t="str">
        <f>Planning!$Q344</f>
        <v/>
      </c>
      <c r="G341" s="348" t="str">
        <f>Planning!$S344</f>
        <v/>
      </c>
      <c r="H341" s="344" t="str">
        <f>IF(AND(Results!$I346&lt;&gt;"",Results!$K346&lt;&gt;"",Results!$F346&lt;&gt;Results!$H346,$F341&lt;&gt;"",$G341&lt;&gt;""),Results!$I346,"")</f>
        <v/>
      </c>
      <c r="I341" s="343" t="str">
        <f>IF(AND(Results!$I346&lt;&gt;"",Results!$K346&lt;&gt;"",Results!$F346&lt;&gt;Results!$H346,$F341&lt;&gt;"",$G341&lt;&gt;""),Results!$K346,"")</f>
        <v/>
      </c>
      <c r="J341" s="344" t="str">
        <f>IF(AND(Results!$L346&lt;&gt;"",Results!$N346&lt;&gt;"",Results!$F346&lt;&gt;Results!$H346,$F341&lt;&gt;"",$G341&lt;&gt;""),Results!$L346,"")</f>
        <v/>
      </c>
      <c r="K341" s="343" t="str">
        <f>IF(AND(Results!$L346&lt;&gt;"",Results!$N346&lt;&gt;"",Results!$F346&lt;&gt;Results!$H346,$F341&lt;&gt;"",$G341&lt;&gt;""),Results!$N346,"")</f>
        <v/>
      </c>
      <c r="L341" s="344" t="str">
        <f>IF(AND(Results!$O346&lt;&gt;"",Results!$Q346&lt;&gt;"",Results!$F346&lt;&gt;Results!$H346,$F341&lt;&gt;"",$G341&lt;&gt;""),Results!$O346,"")</f>
        <v/>
      </c>
      <c r="M341" s="122" t="str">
        <f>IF(AND(Results!$O346&lt;&gt;"",Results!$Q346&lt;&gt;"",Results!$F346&lt;&gt;Results!$H346,$F341&lt;&gt;"",$G341&lt;&gt;""),Results!$Q346,"")</f>
        <v/>
      </c>
      <c r="N341" s="16" t="str">
        <f>IF(Planning!$I344=0,F341&amp;G341,"")</f>
        <v/>
      </c>
      <c r="O341" s="122">
        <f>IF(AND(Results!$Z$6&gt;0,$E341-1&gt;=Results!$Z$6*Calc!$F$26),0,IF(AND(F341&lt;&gt;"",G341&lt;&gt;"",F341&lt;&gt;G341,Results!$R346&lt;&gt;"",Results!$T346&lt;&gt;""),1,0))</f>
        <v>0</v>
      </c>
      <c r="P341" s="122" t="str">
        <f>IF(AND(O341&gt;0,Planning!$I344=0),V341&amp;Language!$E$90&amp;W341,"")</f>
        <v/>
      </c>
      <c r="Q341" s="2" t="str">
        <f>IF(Planning!$I344=1,F341&amp;G341,"")</f>
        <v/>
      </c>
      <c r="R341" s="88" t="str">
        <f>IF(AND(O341&gt;0,Planning!$I344=1),V341&amp;Language!$E$90&amp;W341,"")</f>
        <v/>
      </c>
      <c r="S341" s="122" t="str">
        <f>IF(O341&gt;0,X341&amp;Language!$E$90&amp;Y341,"")</f>
        <v/>
      </c>
      <c r="T341" s="290">
        <f>IF($H341="",0,Results!$U346)</f>
        <v>0</v>
      </c>
      <c r="U341" s="291">
        <f>IF($I341="",0,Results!$V346)</f>
        <v>0</v>
      </c>
      <c r="V341" s="270" t="str">
        <f t="shared" si="10"/>
        <v/>
      </c>
      <c r="W341" s="291" t="str">
        <f t="shared" si="11"/>
        <v/>
      </c>
      <c r="X341" s="270">
        <f>IF($O341=0,0,IF(Results!$R346="",0,Results!$R346))</f>
        <v>0</v>
      </c>
      <c r="Y341" s="291">
        <f>IF($O341=0,0,IF(Results!$T346="",0,Results!$T346))</f>
        <v>0</v>
      </c>
      <c r="Z341" s="270" t="str">
        <f>IF($O341=0,"",IF($X341&gt;$Y341,Settings!$C$4,IF($X341=$Y341,1,0)))</f>
        <v/>
      </c>
      <c r="AA341" s="291" t="str">
        <f>IF($O341=0,"",IF($X341&lt;$Y341,Settings!$C$4,IF($X341=$Y341,1,0)))</f>
        <v/>
      </c>
    </row>
    <row r="342" spans="5:27" x14ac:dyDescent="0.2">
      <c r="E342" s="266">
        <v>339</v>
      </c>
      <c r="F342" s="171" t="str">
        <f>Planning!$Q345</f>
        <v/>
      </c>
      <c r="G342" s="348" t="str">
        <f>Planning!$S345</f>
        <v/>
      </c>
      <c r="H342" s="344" t="str">
        <f>IF(AND(Results!$I347&lt;&gt;"",Results!$K347&lt;&gt;"",Results!$F347&lt;&gt;Results!$H347,$F342&lt;&gt;"",$G342&lt;&gt;""),Results!$I347,"")</f>
        <v/>
      </c>
      <c r="I342" s="343" t="str">
        <f>IF(AND(Results!$I347&lt;&gt;"",Results!$K347&lt;&gt;"",Results!$F347&lt;&gt;Results!$H347,$F342&lt;&gt;"",$G342&lt;&gt;""),Results!$K347,"")</f>
        <v/>
      </c>
      <c r="J342" s="344" t="str">
        <f>IF(AND(Results!$L347&lt;&gt;"",Results!$N347&lt;&gt;"",Results!$F347&lt;&gt;Results!$H347,$F342&lt;&gt;"",$G342&lt;&gt;""),Results!$L347,"")</f>
        <v/>
      </c>
      <c r="K342" s="343" t="str">
        <f>IF(AND(Results!$L347&lt;&gt;"",Results!$N347&lt;&gt;"",Results!$F347&lt;&gt;Results!$H347,$F342&lt;&gt;"",$G342&lt;&gt;""),Results!$N347,"")</f>
        <v/>
      </c>
      <c r="L342" s="344" t="str">
        <f>IF(AND(Results!$O347&lt;&gt;"",Results!$Q347&lt;&gt;"",Results!$F347&lt;&gt;Results!$H347,$F342&lt;&gt;"",$G342&lt;&gt;""),Results!$O347,"")</f>
        <v/>
      </c>
      <c r="M342" s="122" t="str">
        <f>IF(AND(Results!$O347&lt;&gt;"",Results!$Q347&lt;&gt;"",Results!$F347&lt;&gt;Results!$H347,$F342&lt;&gt;"",$G342&lt;&gt;""),Results!$Q347,"")</f>
        <v/>
      </c>
      <c r="N342" s="16" t="str">
        <f>IF(Planning!$I345=0,F342&amp;G342,"")</f>
        <v/>
      </c>
      <c r="O342" s="122">
        <f>IF(AND(Results!$Z$6&gt;0,$E342-1&gt;=Results!$Z$6*Calc!$F$26),0,IF(AND(F342&lt;&gt;"",G342&lt;&gt;"",F342&lt;&gt;G342,Results!$R347&lt;&gt;"",Results!$T347&lt;&gt;""),1,0))</f>
        <v>0</v>
      </c>
      <c r="P342" s="122" t="str">
        <f>IF(AND(O342&gt;0,Planning!$I345=0),V342&amp;Language!$E$90&amp;W342,"")</f>
        <v/>
      </c>
      <c r="Q342" s="2" t="str">
        <f>IF(Planning!$I345=1,F342&amp;G342,"")</f>
        <v/>
      </c>
      <c r="R342" s="88" t="str">
        <f>IF(AND(O342&gt;0,Planning!$I345=1),V342&amp;Language!$E$90&amp;W342,"")</f>
        <v/>
      </c>
      <c r="S342" s="122" t="str">
        <f>IF(O342&gt;0,X342&amp;Language!$E$90&amp;Y342,"")</f>
        <v/>
      </c>
      <c r="T342" s="290">
        <f>IF($H342="",0,Results!$U347)</f>
        <v>0</v>
      </c>
      <c r="U342" s="291">
        <f>IF($I342="",0,Results!$V347)</f>
        <v>0</v>
      </c>
      <c r="V342" s="270" t="str">
        <f t="shared" si="10"/>
        <v/>
      </c>
      <c r="W342" s="291" t="str">
        <f t="shared" si="11"/>
        <v/>
      </c>
      <c r="X342" s="270">
        <f>IF($O342=0,0,IF(Results!$R347="",0,Results!$R347))</f>
        <v>0</v>
      </c>
      <c r="Y342" s="291">
        <f>IF($O342=0,0,IF(Results!$T347="",0,Results!$T347))</f>
        <v>0</v>
      </c>
      <c r="Z342" s="270" t="str">
        <f>IF($O342=0,"",IF($X342&gt;$Y342,Settings!$C$4,IF($X342=$Y342,1,0)))</f>
        <v/>
      </c>
      <c r="AA342" s="291" t="str">
        <f>IF($O342=0,"",IF($X342&lt;$Y342,Settings!$C$4,IF($X342=$Y342,1,0)))</f>
        <v/>
      </c>
    </row>
    <row r="343" spans="5:27" x14ac:dyDescent="0.2">
      <c r="E343" s="266">
        <v>340</v>
      </c>
      <c r="F343" s="171" t="str">
        <f>Planning!$Q346</f>
        <v/>
      </c>
      <c r="G343" s="348" t="str">
        <f>Planning!$S346</f>
        <v/>
      </c>
      <c r="H343" s="344" t="str">
        <f>IF(AND(Results!$I348&lt;&gt;"",Results!$K348&lt;&gt;"",Results!$F348&lt;&gt;Results!$H348,$F343&lt;&gt;"",$G343&lt;&gt;""),Results!$I348,"")</f>
        <v/>
      </c>
      <c r="I343" s="343" t="str">
        <f>IF(AND(Results!$I348&lt;&gt;"",Results!$K348&lt;&gt;"",Results!$F348&lt;&gt;Results!$H348,$F343&lt;&gt;"",$G343&lt;&gt;""),Results!$K348,"")</f>
        <v/>
      </c>
      <c r="J343" s="344" t="str">
        <f>IF(AND(Results!$L348&lt;&gt;"",Results!$N348&lt;&gt;"",Results!$F348&lt;&gt;Results!$H348,$F343&lt;&gt;"",$G343&lt;&gt;""),Results!$L348,"")</f>
        <v/>
      </c>
      <c r="K343" s="343" t="str">
        <f>IF(AND(Results!$L348&lt;&gt;"",Results!$N348&lt;&gt;"",Results!$F348&lt;&gt;Results!$H348,$F343&lt;&gt;"",$G343&lt;&gt;""),Results!$N348,"")</f>
        <v/>
      </c>
      <c r="L343" s="344" t="str">
        <f>IF(AND(Results!$O348&lt;&gt;"",Results!$Q348&lt;&gt;"",Results!$F348&lt;&gt;Results!$H348,$F343&lt;&gt;"",$G343&lt;&gt;""),Results!$O348,"")</f>
        <v/>
      </c>
      <c r="M343" s="122" t="str">
        <f>IF(AND(Results!$O348&lt;&gt;"",Results!$Q348&lt;&gt;"",Results!$F348&lt;&gt;Results!$H348,$F343&lt;&gt;"",$G343&lt;&gt;""),Results!$Q348,"")</f>
        <v/>
      </c>
      <c r="N343" s="16" t="str">
        <f>IF(Planning!$I346=0,F343&amp;G343,"")</f>
        <v/>
      </c>
      <c r="O343" s="122">
        <f>IF(AND(Results!$Z$6&gt;0,$E343-1&gt;=Results!$Z$6*Calc!$F$26),0,IF(AND(F343&lt;&gt;"",G343&lt;&gt;"",F343&lt;&gt;G343,Results!$R348&lt;&gt;"",Results!$T348&lt;&gt;""),1,0))</f>
        <v>0</v>
      </c>
      <c r="P343" s="122" t="str">
        <f>IF(AND(O343&gt;0,Planning!$I346=0),V343&amp;Language!$E$90&amp;W343,"")</f>
        <v/>
      </c>
      <c r="Q343" s="2" t="str">
        <f>IF(Planning!$I346=1,F343&amp;G343,"")</f>
        <v/>
      </c>
      <c r="R343" s="88" t="str">
        <f>IF(AND(O343&gt;0,Planning!$I346=1),V343&amp;Language!$E$90&amp;W343,"")</f>
        <v/>
      </c>
      <c r="S343" s="122" t="str">
        <f>IF(O343&gt;0,X343&amp;Language!$E$90&amp;Y343,"")</f>
        <v/>
      </c>
      <c r="T343" s="290">
        <f>IF($H343="",0,Results!$U348)</f>
        <v>0</v>
      </c>
      <c r="U343" s="291">
        <f>IF($I343="",0,Results!$V348)</f>
        <v>0</v>
      </c>
      <c r="V343" s="270" t="str">
        <f t="shared" si="10"/>
        <v/>
      </c>
      <c r="W343" s="291" t="str">
        <f t="shared" si="11"/>
        <v/>
      </c>
      <c r="X343" s="270">
        <f>IF($O343=0,0,IF(Results!$R348="",0,Results!$R348))</f>
        <v>0</v>
      </c>
      <c r="Y343" s="291">
        <f>IF($O343=0,0,IF(Results!$T348="",0,Results!$T348))</f>
        <v>0</v>
      </c>
      <c r="Z343" s="270" t="str">
        <f>IF($O343=0,"",IF($X343&gt;$Y343,Settings!$C$4,IF($X343=$Y343,1,0)))</f>
        <v/>
      </c>
      <c r="AA343" s="291" t="str">
        <f>IF($O343=0,"",IF($X343&lt;$Y343,Settings!$C$4,IF($X343=$Y343,1,0)))</f>
        <v/>
      </c>
    </row>
    <row r="344" spans="5:27" x14ac:dyDescent="0.2">
      <c r="E344" s="266">
        <v>341</v>
      </c>
      <c r="F344" s="171" t="str">
        <f>Planning!$Q347</f>
        <v/>
      </c>
      <c r="G344" s="348" t="str">
        <f>Planning!$S347</f>
        <v/>
      </c>
      <c r="H344" s="344" t="str">
        <f>IF(AND(Results!$I349&lt;&gt;"",Results!$K349&lt;&gt;"",Results!$F349&lt;&gt;Results!$H349,$F344&lt;&gt;"",$G344&lt;&gt;""),Results!$I349,"")</f>
        <v/>
      </c>
      <c r="I344" s="343" t="str">
        <f>IF(AND(Results!$I349&lt;&gt;"",Results!$K349&lt;&gt;"",Results!$F349&lt;&gt;Results!$H349,$F344&lt;&gt;"",$G344&lt;&gt;""),Results!$K349,"")</f>
        <v/>
      </c>
      <c r="J344" s="344" t="str">
        <f>IF(AND(Results!$L349&lt;&gt;"",Results!$N349&lt;&gt;"",Results!$F349&lt;&gt;Results!$H349,$F344&lt;&gt;"",$G344&lt;&gt;""),Results!$L349,"")</f>
        <v/>
      </c>
      <c r="K344" s="343" t="str">
        <f>IF(AND(Results!$L349&lt;&gt;"",Results!$N349&lt;&gt;"",Results!$F349&lt;&gt;Results!$H349,$F344&lt;&gt;"",$G344&lt;&gt;""),Results!$N349,"")</f>
        <v/>
      </c>
      <c r="L344" s="344" t="str">
        <f>IF(AND(Results!$O349&lt;&gt;"",Results!$Q349&lt;&gt;"",Results!$F349&lt;&gt;Results!$H349,$F344&lt;&gt;"",$G344&lt;&gt;""),Results!$O349,"")</f>
        <v/>
      </c>
      <c r="M344" s="122" t="str">
        <f>IF(AND(Results!$O349&lt;&gt;"",Results!$Q349&lt;&gt;"",Results!$F349&lt;&gt;Results!$H349,$F344&lt;&gt;"",$G344&lt;&gt;""),Results!$Q349,"")</f>
        <v/>
      </c>
      <c r="N344" s="16" t="str">
        <f>IF(Planning!$I347=0,F344&amp;G344,"")</f>
        <v/>
      </c>
      <c r="O344" s="122">
        <f>IF(AND(Results!$Z$6&gt;0,$E344-1&gt;=Results!$Z$6*Calc!$F$26),0,IF(AND(F344&lt;&gt;"",G344&lt;&gt;"",F344&lt;&gt;G344,Results!$R349&lt;&gt;"",Results!$T349&lt;&gt;""),1,0))</f>
        <v>0</v>
      </c>
      <c r="P344" s="122" t="str">
        <f>IF(AND(O344&gt;0,Planning!$I347=0),V344&amp;Language!$E$90&amp;W344,"")</f>
        <v/>
      </c>
      <c r="Q344" s="2" t="str">
        <f>IF(Planning!$I347=1,F344&amp;G344,"")</f>
        <v/>
      </c>
      <c r="R344" s="88" t="str">
        <f>IF(AND(O344&gt;0,Planning!$I347=1),V344&amp;Language!$E$90&amp;W344,"")</f>
        <v/>
      </c>
      <c r="S344" s="122" t="str">
        <f>IF(O344&gt;0,X344&amp;Language!$E$90&amp;Y344,"")</f>
        <v/>
      </c>
      <c r="T344" s="290">
        <f>IF($H344="",0,Results!$U349)</f>
        <v>0</v>
      </c>
      <c r="U344" s="291">
        <f>IF($I344="",0,Results!$V349)</f>
        <v>0</v>
      </c>
      <c r="V344" s="270" t="str">
        <f t="shared" si="10"/>
        <v/>
      </c>
      <c r="W344" s="291" t="str">
        <f t="shared" si="11"/>
        <v/>
      </c>
      <c r="X344" s="270">
        <f>IF($O344=0,0,IF(Results!$R349="",0,Results!$R349))</f>
        <v>0</v>
      </c>
      <c r="Y344" s="291">
        <f>IF($O344=0,0,IF(Results!$T349="",0,Results!$T349))</f>
        <v>0</v>
      </c>
      <c r="Z344" s="270" t="str">
        <f>IF($O344=0,"",IF($X344&gt;$Y344,Settings!$C$4,IF($X344=$Y344,1,0)))</f>
        <v/>
      </c>
      <c r="AA344" s="291" t="str">
        <f>IF($O344=0,"",IF($X344&lt;$Y344,Settings!$C$4,IF($X344=$Y344,1,0)))</f>
        <v/>
      </c>
    </row>
    <row r="345" spans="5:27" x14ac:dyDescent="0.2">
      <c r="E345" s="266">
        <v>342</v>
      </c>
      <c r="F345" s="171" t="str">
        <f>Planning!$Q348</f>
        <v/>
      </c>
      <c r="G345" s="348" t="str">
        <f>Planning!$S348</f>
        <v/>
      </c>
      <c r="H345" s="344" t="str">
        <f>IF(AND(Results!$I350&lt;&gt;"",Results!$K350&lt;&gt;"",Results!$F350&lt;&gt;Results!$H350,$F345&lt;&gt;"",$G345&lt;&gt;""),Results!$I350,"")</f>
        <v/>
      </c>
      <c r="I345" s="343" t="str">
        <f>IF(AND(Results!$I350&lt;&gt;"",Results!$K350&lt;&gt;"",Results!$F350&lt;&gt;Results!$H350,$F345&lt;&gt;"",$G345&lt;&gt;""),Results!$K350,"")</f>
        <v/>
      </c>
      <c r="J345" s="344" t="str">
        <f>IF(AND(Results!$L350&lt;&gt;"",Results!$N350&lt;&gt;"",Results!$F350&lt;&gt;Results!$H350,$F345&lt;&gt;"",$G345&lt;&gt;""),Results!$L350,"")</f>
        <v/>
      </c>
      <c r="K345" s="343" t="str">
        <f>IF(AND(Results!$L350&lt;&gt;"",Results!$N350&lt;&gt;"",Results!$F350&lt;&gt;Results!$H350,$F345&lt;&gt;"",$G345&lt;&gt;""),Results!$N350,"")</f>
        <v/>
      </c>
      <c r="L345" s="344" t="str">
        <f>IF(AND(Results!$O350&lt;&gt;"",Results!$Q350&lt;&gt;"",Results!$F350&lt;&gt;Results!$H350,$F345&lt;&gt;"",$G345&lt;&gt;""),Results!$O350,"")</f>
        <v/>
      </c>
      <c r="M345" s="122" t="str">
        <f>IF(AND(Results!$O350&lt;&gt;"",Results!$Q350&lt;&gt;"",Results!$F350&lt;&gt;Results!$H350,$F345&lt;&gt;"",$G345&lt;&gt;""),Results!$Q350,"")</f>
        <v/>
      </c>
      <c r="N345" s="16" t="str">
        <f>IF(Planning!$I348=0,F345&amp;G345,"")</f>
        <v/>
      </c>
      <c r="O345" s="122">
        <f>IF(AND(Results!$Z$6&gt;0,$E345-1&gt;=Results!$Z$6*Calc!$F$26),0,IF(AND(F345&lt;&gt;"",G345&lt;&gt;"",F345&lt;&gt;G345,Results!$R350&lt;&gt;"",Results!$T350&lt;&gt;""),1,0))</f>
        <v>0</v>
      </c>
      <c r="P345" s="122" t="str">
        <f>IF(AND(O345&gt;0,Planning!$I348=0),V345&amp;Language!$E$90&amp;W345,"")</f>
        <v/>
      </c>
      <c r="Q345" s="2" t="str">
        <f>IF(Planning!$I348=1,F345&amp;G345,"")</f>
        <v/>
      </c>
      <c r="R345" s="88" t="str">
        <f>IF(AND(O345&gt;0,Planning!$I348=1),V345&amp;Language!$E$90&amp;W345,"")</f>
        <v/>
      </c>
      <c r="S345" s="122" t="str">
        <f>IF(O345&gt;0,X345&amp;Language!$E$90&amp;Y345,"")</f>
        <v/>
      </c>
      <c r="T345" s="290">
        <f>IF($H345="",0,Results!$U350)</f>
        <v>0</v>
      </c>
      <c r="U345" s="291">
        <f>IF($I345="",0,Results!$V350)</f>
        <v>0</v>
      </c>
      <c r="V345" s="270" t="str">
        <f t="shared" si="10"/>
        <v/>
      </c>
      <c r="W345" s="291" t="str">
        <f t="shared" si="11"/>
        <v/>
      </c>
      <c r="X345" s="270">
        <f>IF($O345=0,0,IF(Results!$R350="",0,Results!$R350))</f>
        <v>0</v>
      </c>
      <c r="Y345" s="291">
        <f>IF($O345=0,0,IF(Results!$T350="",0,Results!$T350))</f>
        <v>0</v>
      </c>
      <c r="Z345" s="270" t="str">
        <f>IF($O345=0,"",IF($X345&gt;$Y345,Settings!$C$4,IF($X345=$Y345,1,0)))</f>
        <v/>
      </c>
      <c r="AA345" s="291" t="str">
        <f>IF($O345=0,"",IF($X345&lt;$Y345,Settings!$C$4,IF($X345=$Y345,1,0)))</f>
        <v/>
      </c>
    </row>
    <row r="346" spans="5:27" x14ac:dyDescent="0.2">
      <c r="E346" s="266">
        <v>343</v>
      </c>
      <c r="F346" s="171" t="str">
        <f>Planning!$Q349</f>
        <v/>
      </c>
      <c r="G346" s="348" t="str">
        <f>Planning!$S349</f>
        <v/>
      </c>
      <c r="H346" s="344" t="str">
        <f>IF(AND(Results!$I351&lt;&gt;"",Results!$K351&lt;&gt;"",Results!$F351&lt;&gt;Results!$H351,$F346&lt;&gt;"",$G346&lt;&gt;""),Results!$I351,"")</f>
        <v/>
      </c>
      <c r="I346" s="343" t="str">
        <f>IF(AND(Results!$I351&lt;&gt;"",Results!$K351&lt;&gt;"",Results!$F351&lt;&gt;Results!$H351,$F346&lt;&gt;"",$G346&lt;&gt;""),Results!$K351,"")</f>
        <v/>
      </c>
      <c r="J346" s="344" t="str">
        <f>IF(AND(Results!$L351&lt;&gt;"",Results!$N351&lt;&gt;"",Results!$F351&lt;&gt;Results!$H351,$F346&lt;&gt;"",$G346&lt;&gt;""),Results!$L351,"")</f>
        <v/>
      </c>
      <c r="K346" s="343" t="str">
        <f>IF(AND(Results!$L351&lt;&gt;"",Results!$N351&lt;&gt;"",Results!$F351&lt;&gt;Results!$H351,$F346&lt;&gt;"",$G346&lt;&gt;""),Results!$N351,"")</f>
        <v/>
      </c>
      <c r="L346" s="344" t="str">
        <f>IF(AND(Results!$O351&lt;&gt;"",Results!$Q351&lt;&gt;"",Results!$F351&lt;&gt;Results!$H351,$F346&lt;&gt;"",$G346&lt;&gt;""),Results!$O351,"")</f>
        <v/>
      </c>
      <c r="M346" s="122" t="str">
        <f>IF(AND(Results!$O351&lt;&gt;"",Results!$Q351&lt;&gt;"",Results!$F351&lt;&gt;Results!$H351,$F346&lt;&gt;"",$G346&lt;&gt;""),Results!$Q351,"")</f>
        <v/>
      </c>
      <c r="N346" s="16" t="str">
        <f>IF(Planning!$I349=0,F346&amp;G346,"")</f>
        <v/>
      </c>
      <c r="O346" s="122">
        <f>IF(AND(Results!$Z$6&gt;0,$E346-1&gt;=Results!$Z$6*Calc!$F$26),0,IF(AND(F346&lt;&gt;"",G346&lt;&gt;"",F346&lt;&gt;G346,Results!$R351&lt;&gt;"",Results!$T351&lt;&gt;""),1,0))</f>
        <v>0</v>
      </c>
      <c r="P346" s="122" t="str">
        <f>IF(AND(O346&gt;0,Planning!$I349=0),V346&amp;Language!$E$90&amp;W346,"")</f>
        <v/>
      </c>
      <c r="Q346" s="2" t="str">
        <f>IF(Planning!$I349=1,F346&amp;G346,"")</f>
        <v/>
      </c>
      <c r="R346" s="88" t="str">
        <f>IF(AND(O346&gt;0,Planning!$I349=1),V346&amp;Language!$E$90&amp;W346,"")</f>
        <v/>
      </c>
      <c r="S346" s="122" t="str">
        <f>IF(O346&gt;0,X346&amp;Language!$E$90&amp;Y346,"")</f>
        <v/>
      </c>
      <c r="T346" s="290">
        <f>IF($H346="",0,Results!$U351)</f>
        <v>0</v>
      </c>
      <c r="U346" s="291">
        <f>IF($I346="",0,Results!$V351)</f>
        <v>0</v>
      </c>
      <c r="V346" s="270" t="str">
        <f t="shared" si="10"/>
        <v/>
      </c>
      <c r="W346" s="291" t="str">
        <f t="shared" si="11"/>
        <v/>
      </c>
      <c r="X346" s="270">
        <f>IF($O346=0,0,IF(Results!$R351="",0,Results!$R351))</f>
        <v>0</v>
      </c>
      <c r="Y346" s="291">
        <f>IF($O346=0,0,IF(Results!$T351="",0,Results!$T351))</f>
        <v>0</v>
      </c>
      <c r="Z346" s="270" t="str">
        <f>IF($O346=0,"",IF($X346&gt;$Y346,Settings!$C$4,IF($X346=$Y346,1,0)))</f>
        <v/>
      </c>
      <c r="AA346" s="291" t="str">
        <f>IF($O346=0,"",IF($X346&lt;$Y346,Settings!$C$4,IF($X346=$Y346,1,0)))</f>
        <v/>
      </c>
    </row>
    <row r="347" spans="5:27" x14ac:dyDescent="0.2">
      <c r="E347" s="266">
        <v>344</v>
      </c>
      <c r="F347" s="171" t="str">
        <f>Planning!$Q350</f>
        <v/>
      </c>
      <c r="G347" s="348" t="str">
        <f>Planning!$S350</f>
        <v/>
      </c>
      <c r="H347" s="344" t="str">
        <f>IF(AND(Results!$I352&lt;&gt;"",Results!$K352&lt;&gt;"",Results!$F352&lt;&gt;Results!$H352,$F347&lt;&gt;"",$G347&lt;&gt;""),Results!$I352,"")</f>
        <v/>
      </c>
      <c r="I347" s="343" t="str">
        <f>IF(AND(Results!$I352&lt;&gt;"",Results!$K352&lt;&gt;"",Results!$F352&lt;&gt;Results!$H352,$F347&lt;&gt;"",$G347&lt;&gt;""),Results!$K352,"")</f>
        <v/>
      </c>
      <c r="J347" s="344" t="str">
        <f>IF(AND(Results!$L352&lt;&gt;"",Results!$N352&lt;&gt;"",Results!$F352&lt;&gt;Results!$H352,$F347&lt;&gt;"",$G347&lt;&gt;""),Results!$L352,"")</f>
        <v/>
      </c>
      <c r="K347" s="343" t="str">
        <f>IF(AND(Results!$L352&lt;&gt;"",Results!$N352&lt;&gt;"",Results!$F352&lt;&gt;Results!$H352,$F347&lt;&gt;"",$G347&lt;&gt;""),Results!$N352,"")</f>
        <v/>
      </c>
      <c r="L347" s="344" t="str">
        <f>IF(AND(Results!$O352&lt;&gt;"",Results!$Q352&lt;&gt;"",Results!$F352&lt;&gt;Results!$H352,$F347&lt;&gt;"",$G347&lt;&gt;""),Results!$O352,"")</f>
        <v/>
      </c>
      <c r="M347" s="122" t="str">
        <f>IF(AND(Results!$O352&lt;&gt;"",Results!$Q352&lt;&gt;"",Results!$F352&lt;&gt;Results!$H352,$F347&lt;&gt;"",$G347&lt;&gt;""),Results!$Q352,"")</f>
        <v/>
      </c>
      <c r="N347" s="16" t="str">
        <f>IF(Planning!$I350=0,F347&amp;G347,"")</f>
        <v/>
      </c>
      <c r="O347" s="122">
        <f>IF(AND(Results!$Z$6&gt;0,$E347-1&gt;=Results!$Z$6*Calc!$F$26),0,IF(AND(F347&lt;&gt;"",G347&lt;&gt;"",F347&lt;&gt;G347,Results!$R352&lt;&gt;"",Results!$T352&lt;&gt;""),1,0))</f>
        <v>0</v>
      </c>
      <c r="P347" s="122" t="str">
        <f>IF(AND(O347&gt;0,Planning!$I350=0),V347&amp;Language!$E$90&amp;W347,"")</f>
        <v/>
      </c>
      <c r="Q347" s="2" t="str">
        <f>IF(Planning!$I350=1,F347&amp;G347,"")</f>
        <v/>
      </c>
      <c r="R347" s="88" t="str">
        <f>IF(AND(O347&gt;0,Planning!$I350=1),V347&amp;Language!$E$90&amp;W347,"")</f>
        <v/>
      </c>
      <c r="S347" s="122" t="str">
        <f>IF(O347&gt;0,X347&amp;Language!$E$90&amp;Y347,"")</f>
        <v/>
      </c>
      <c r="T347" s="290">
        <f>IF($H347="",0,Results!$U352)</f>
        <v>0</v>
      </c>
      <c r="U347" s="291">
        <f>IF($I347="",0,Results!$V352)</f>
        <v>0</v>
      </c>
      <c r="V347" s="270" t="str">
        <f t="shared" si="10"/>
        <v/>
      </c>
      <c r="W347" s="291" t="str">
        <f t="shared" si="11"/>
        <v/>
      </c>
      <c r="X347" s="270">
        <f>IF($O347=0,0,IF(Results!$R352="",0,Results!$R352))</f>
        <v>0</v>
      </c>
      <c r="Y347" s="291">
        <f>IF($O347=0,0,IF(Results!$T352="",0,Results!$T352))</f>
        <v>0</v>
      </c>
      <c r="Z347" s="270" t="str">
        <f>IF($O347=0,"",IF($X347&gt;$Y347,Settings!$C$4,IF($X347=$Y347,1,0)))</f>
        <v/>
      </c>
      <c r="AA347" s="291" t="str">
        <f>IF($O347=0,"",IF($X347&lt;$Y347,Settings!$C$4,IF($X347=$Y347,1,0)))</f>
        <v/>
      </c>
    </row>
    <row r="348" spans="5:27" x14ac:dyDescent="0.2">
      <c r="E348" s="266">
        <v>345</v>
      </c>
      <c r="F348" s="171" t="str">
        <f>Planning!$Q351</f>
        <v/>
      </c>
      <c r="G348" s="348" t="str">
        <f>Planning!$S351</f>
        <v/>
      </c>
      <c r="H348" s="344" t="str">
        <f>IF(AND(Results!$I353&lt;&gt;"",Results!$K353&lt;&gt;"",Results!$F353&lt;&gt;Results!$H353,$F348&lt;&gt;"",$G348&lt;&gt;""),Results!$I353,"")</f>
        <v/>
      </c>
      <c r="I348" s="343" t="str">
        <f>IF(AND(Results!$I353&lt;&gt;"",Results!$K353&lt;&gt;"",Results!$F353&lt;&gt;Results!$H353,$F348&lt;&gt;"",$G348&lt;&gt;""),Results!$K353,"")</f>
        <v/>
      </c>
      <c r="J348" s="344" t="str">
        <f>IF(AND(Results!$L353&lt;&gt;"",Results!$N353&lt;&gt;"",Results!$F353&lt;&gt;Results!$H353,$F348&lt;&gt;"",$G348&lt;&gt;""),Results!$L353,"")</f>
        <v/>
      </c>
      <c r="K348" s="343" t="str">
        <f>IF(AND(Results!$L353&lt;&gt;"",Results!$N353&lt;&gt;"",Results!$F353&lt;&gt;Results!$H353,$F348&lt;&gt;"",$G348&lt;&gt;""),Results!$N353,"")</f>
        <v/>
      </c>
      <c r="L348" s="344" t="str">
        <f>IF(AND(Results!$O353&lt;&gt;"",Results!$Q353&lt;&gt;"",Results!$F353&lt;&gt;Results!$H353,$F348&lt;&gt;"",$G348&lt;&gt;""),Results!$O353,"")</f>
        <v/>
      </c>
      <c r="M348" s="122" t="str">
        <f>IF(AND(Results!$O353&lt;&gt;"",Results!$Q353&lt;&gt;"",Results!$F353&lt;&gt;Results!$H353,$F348&lt;&gt;"",$G348&lt;&gt;""),Results!$Q353,"")</f>
        <v/>
      </c>
      <c r="N348" s="16" t="str">
        <f>IF(Planning!$I351=0,F348&amp;G348,"")</f>
        <v/>
      </c>
      <c r="O348" s="122">
        <f>IF(AND(Results!$Z$6&gt;0,$E348-1&gt;=Results!$Z$6*Calc!$F$26),0,IF(AND(F348&lt;&gt;"",G348&lt;&gt;"",F348&lt;&gt;G348,Results!$R353&lt;&gt;"",Results!$T353&lt;&gt;""),1,0))</f>
        <v>0</v>
      </c>
      <c r="P348" s="122" t="str">
        <f>IF(AND(O348&gt;0,Planning!$I351=0),V348&amp;Language!$E$90&amp;W348,"")</f>
        <v/>
      </c>
      <c r="Q348" s="2" t="str">
        <f>IF(Planning!$I351=1,F348&amp;G348,"")</f>
        <v/>
      </c>
      <c r="R348" s="88" t="str">
        <f>IF(AND(O348&gt;0,Planning!$I351=1),V348&amp;Language!$E$90&amp;W348,"")</f>
        <v/>
      </c>
      <c r="S348" s="122" t="str">
        <f>IF(O348&gt;0,X348&amp;Language!$E$90&amp;Y348,"")</f>
        <v/>
      </c>
      <c r="T348" s="290">
        <f>IF($H348="",0,Results!$U353)</f>
        <v>0</v>
      </c>
      <c r="U348" s="291">
        <f>IF($I348="",0,Results!$V353)</f>
        <v>0</v>
      </c>
      <c r="V348" s="270" t="str">
        <f t="shared" si="10"/>
        <v/>
      </c>
      <c r="W348" s="291" t="str">
        <f t="shared" si="11"/>
        <v/>
      </c>
      <c r="X348" s="270">
        <f>IF($O348=0,0,IF(Results!$R353="",0,Results!$R353))</f>
        <v>0</v>
      </c>
      <c r="Y348" s="291">
        <f>IF($O348=0,0,IF(Results!$T353="",0,Results!$T353))</f>
        <v>0</v>
      </c>
      <c r="Z348" s="270" t="str">
        <f>IF($O348=0,"",IF($X348&gt;$Y348,Settings!$C$4,IF($X348=$Y348,1,0)))</f>
        <v/>
      </c>
      <c r="AA348" s="291" t="str">
        <f>IF($O348=0,"",IF($X348&lt;$Y348,Settings!$C$4,IF($X348=$Y348,1,0)))</f>
        <v/>
      </c>
    </row>
    <row r="349" spans="5:27" x14ac:dyDescent="0.2">
      <c r="E349" s="266">
        <v>346</v>
      </c>
      <c r="F349" s="171" t="str">
        <f>Planning!$Q352</f>
        <v/>
      </c>
      <c r="G349" s="348" t="str">
        <f>Planning!$S352</f>
        <v/>
      </c>
      <c r="H349" s="344" t="str">
        <f>IF(AND(Results!$I354&lt;&gt;"",Results!$K354&lt;&gt;"",Results!$F354&lt;&gt;Results!$H354,$F349&lt;&gt;"",$G349&lt;&gt;""),Results!$I354,"")</f>
        <v/>
      </c>
      <c r="I349" s="343" t="str">
        <f>IF(AND(Results!$I354&lt;&gt;"",Results!$K354&lt;&gt;"",Results!$F354&lt;&gt;Results!$H354,$F349&lt;&gt;"",$G349&lt;&gt;""),Results!$K354,"")</f>
        <v/>
      </c>
      <c r="J349" s="344" t="str">
        <f>IF(AND(Results!$L354&lt;&gt;"",Results!$N354&lt;&gt;"",Results!$F354&lt;&gt;Results!$H354,$F349&lt;&gt;"",$G349&lt;&gt;""),Results!$L354,"")</f>
        <v/>
      </c>
      <c r="K349" s="343" t="str">
        <f>IF(AND(Results!$L354&lt;&gt;"",Results!$N354&lt;&gt;"",Results!$F354&lt;&gt;Results!$H354,$F349&lt;&gt;"",$G349&lt;&gt;""),Results!$N354,"")</f>
        <v/>
      </c>
      <c r="L349" s="344" t="str">
        <f>IF(AND(Results!$O354&lt;&gt;"",Results!$Q354&lt;&gt;"",Results!$F354&lt;&gt;Results!$H354,$F349&lt;&gt;"",$G349&lt;&gt;""),Results!$O354,"")</f>
        <v/>
      </c>
      <c r="M349" s="122" t="str">
        <f>IF(AND(Results!$O354&lt;&gt;"",Results!$Q354&lt;&gt;"",Results!$F354&lt;&gt;Results!$H354,$F349&lt;&gt;"",$G349&lt;&gt;""),Results!$Q354,"")</f>
        <v/>
      </c>
      <c r="N349" s="16" t="str">
        <f>IF(Planning!$I352=0,F349&amp;G349,"")</f>
        <v/>
      </c>
      <c r="O349" s="122">
        <f>IF(AND(Results!$Z$6&gt;0,$E349-1&gt;=Results!$Z$6*Calc!$F$26),0,IF(AND(F349&lt;&gt;"",G349&lt;&gt;"",F349&lt;&gt;G349,Results!$R354&lt;&gt;"",Results!$T354&lt;&gt;""),1,0))</f>
        <v>0</v>
      </c>
      <c r="P349" s="122" t="str">
        <f>IF(AND(O349&gt;0,Planning!$I352=0),V349&amp;Language!$E$90&amp;W349,"")</f>
        <v/>
      </c>
      <c r="Q349" s="2" t="str">
        <f>IF(Planning!$I352=1,F349&amp;G349,"")</f>
        <v/>
      </c>
      <c r="R349" s="88" t="str">
        <f>IF(AND(O349&gt;0,Planning!$I352=1),V349&amp;Language!$E$90&amp;W349,"")</f>
        <v/>
      </c>
      <c r="S349" s="122" t="str">
        <f>IF(O349&gt;0,X349&amp;Language!$E$90&amp;Y349,"")</f>
        <v/>
      </c>
      <c r="T349" s="290">
        <f>IF($H349="",0,Results!$U354)</f>
        <v>0</v>
      </c>
      <c r="U349" s="291">
        <f>IF($I349="",0,Results!$V354)</f>
        <v>0</v>
      </c>
      <c r="V349" s="270" t="str">
        <f t="shared" si="10"/>
        <v/>
      </c>
      <c r="W349" s="291" t="str">
        <f t="shared" si="11"/>
        <v/>
      </c>
      <c r="X349" s="270">
        <f>IF($O349=0,0,IF(Results!$R354="",0,Results!$R354))</f>
        <v>0</v>
      </c>
      <c r="Y349" s="291">
        <f>IF($O349=0,0,IF(Results!$T354="",0,Results!$T354))</f>
        <v>0</v>
      </c>
      <c r="Z349" s="270" t="str">
        <f>IF($O349=0,"",IF($X349&gt;$Y349,Settings!$C$4,IF($X349=$Y349,1,0)))</f>
        <v/>
      </c>
      <c r="AA349" s="291" t="str">
        <f>IF($O349=0,"",IF($X349&lt;$Y349,Settings!$C$4,IF($X349=$Y349,1,0)))</f>
        <v/>
      </c>
    </row>
    <row r="350" spans="5:27" x14ac:dyDescent="0.2">
      <c r="E350" s="266">
        <v>347</v>
      </c>
      <c r="F350" s="171" t="str">
        <f>Planning!$Q353</f>
        <v/>
      </c>
      <c r="G350" s="348" t="str">
        <f>Planning!$S353</f>
        <v/>
      </c>
      <c r="H350" s="344" t="str">
        <f>IF(AND(Results!$I355&lt;&gt;"",Results!$K355&lt;&gt;"",Results!$F355&lt;&gt;Results!$H355,$F350&lt;&gt;"",$G350&lt;&gt;""),Results!$I355,"")</f>
        <v/>
      </c>
      <c r="I350" s="343" t="str">
        <f>IF(AND(Results!$I355&lt;&gt;"",Results!$K355&lt;&gt;"",Results!$F355&lt;&gt;Results!$H355,$F350&lt;&gt;"",$G350&lt;&gt;""),Results!$K355,"")</f>
        <v/>
      </c>
      <c r="J350" s="344" t="str">
        <f>IF(AND(Results!$L355&lt;&gt;"",Results!$N355&lt;&gt;"",Results!$F355&lt;&gt;Results!$H355,$F350&lt;&gt;"",$G350&lt;&gt;""),Results!$L355,"")</f>
        <v/>
      </c>
      <c r="K350" s="343" t="str">
        <f>IF(AND(Results!$L355&lt;&gt;"",Results!$N355&lt;&gt;"",Results!$F355&lt;&gt;Results!$H355,$F350&lt;&gt;"",$G350&lt;&gt;""),Results!$N355,"")</f>
        <v/>
      </c>
      <c r="L350" s="344" t="str">
        <f>IF(AND(Results!$O355&lt;&gt;"",Results!$Q355&lt;&gt;"",Results!$F355&lt;&gt;Results!$H355,$F350&lt;&gt;"",$G350&lt;&gt;""),Results!$O355,"")</f>
        <v/>
      </c>
      <c r="M350" s="122" t="str">
        <f>IF(AND(Results!$O355&lt;&gt;"",Results!$Q355&lt;&gt;"",Results!$F355&lt;&gt;Results!$H355,$F350&lt;&gt;"",$G350&lt;&gt;""),Results!$Q355,"")</f>
        <v/>
      </c>
      <c r="N350" s="16" t="str">
        <f>IF(Planning!$I353=0,F350&amp;G350,"")</f>
        <v/>
      </c>
      <c r="O350" s="122">
        <f>IF(AND(Results!$Z$6&gt;0,$E350-1&gt;=Results!$Z$6*Calc!$F$26),0,IF(AND(F350&lt;&gt;"",G350&lt;&gt;"",F350&lt;&gt;G350,Results!$R355&lt;&gt;"",Results!$T355&lt;&gt;""),1,0))</f>
        <v>0</v>
      </c>
      <c r="P350" s="122" t="str">
        <f>IF(AND(O350&gt;0,Planning!$I353=0),V350&amp;Language!$E$90&amp;W350,"")</f>
        <v/>
      </c>
      <c r="Q350" s="2" t="str">
        <f>IF(Planning!$I353=1,F350&amp;G350,"")</f>
        <v/>
      </c>
      <c r="R350" s="88" t="str">
        <f>IF(AND(O350&gt;0,Planning!$I353=1),V350&amp;Language!$E$90&amp;W350,"")</f>
        <v/>
      </c>
      <c r="S350" s="122" t="str">
        <f>IF(O350&gt;0,X350&amp;Language!$E$90&amp;Y350,"")</f>
        <v/>
      </c>
      <c r="T350" s="290">
        <f>IF($H350="",0,Results!$U355)</f>
        <v>0</v>
      </c>
      <c r="U350" s="291">
        <f>IF($I350="",0,Results!$V355)</f>
        <v>0</v>
      </c>
      <c r="V350" s="270" t="str">
        <f t="shared" si="10"/>
        <v/>
      </c>
      <c r="W350" s="291" t="str">
        <f t="shared" si="11"/>
        <v/>
      </c>
      <c r="X350" s="270">
        <f>IF($O350=0,0,IF(Results!$R355="",0,Results!$R355))</f>
        <v>0</v>
      </c>
      <c r="Y350" s="291">
        <f>IF($O350=0,0,IF(Results!$T355="",0,Results!$T355))</f>
        <v>0</v>
      </c>
      <c r="Z350" s="270" t="str">
        <f>IF($O350=0,"",IF($X350&gt;$Y350,Settings!$C$4,IF($X350=$Y350,1,0)))</f>
        <v/>
      </c>
      <c r="AA350" s="291" t="str">
        <f>IF($O350=0,"",IF($X350&lt;$Y350,Settings!$C$4,IF($X350=$Y350,1,0)))</f>
        <v/>
      </c>
    </row>
    <row r="351" spans="5:27" x14ac:dyDescent="0.2">
      <c r="E351" s="266">
        <v>348</v>
      </c>
      <c r="F351" s="171" t="str">
        <f>Planning!$Q354</f>
        <v/>
      </c>
      <c r="G351" s="348" t="str">
        <f>Planning!$S354</f>
        <v/>
      </c>
      <c r="H351" s="344" t="str">
        <f>IF(AND(Results!$I356&lt;&gt;"",Results!$K356&lt;&gt;"",Results!$F356&lt;&gt;Results!$H356,$F351&lt;&gt;"",$G351&lt;&gt;""),Results!$I356,"")</f>
        <v/>
      </c>
      <c r="I351" s="343" t="str">
        <f>IF(AND(Results!$I356&lt;&gt;"",Results!$K356&lt;&gt;"",Results!$F356&lt;&gt;Results!$H356,$F351&lt;&gt;"",$G351&lt;&gt;""),Results!$K356,"")</f>
        <v/>
      </c>
      <c r="J351" s="344" t="str">
        <f>IF(AND(Results!$L356&lt;&gt;"",Results!$N356&lt;&gt;"",Results!$F356&lt;&gt;Results!$H356,$F351&lt;&gt;"",$G351&lt;&gt;""),Results!$L356,"")</f>
        <v/>
      </c>
      <c r="K351" s="343" t="str">
        <f>IF(AND(Results!$L356&lt;&gt;"",Results!$N356&lt;&gt;"",Results!$F356&lt;&gt;Results!$H356,$F351&lt;&gt;"",$G351&lt;&gt;""),Results!$N356,"")</f>
        <v/>
      </c>
      <c r="L351" s="344" t="str">
        <f>IF(AND(Results!$O356&lt;&gt;"",Results!$Q356&lt;&gt;"",Results!$F356&lt;&gt;Results!$H356,$F351&lt;&gt;"",$G351&lt;&gt;""),Results!$O356,"")</f>
        <v/>
      </c>
      <c r="M351" s="122" t="str">
        <f>IF(AND(Results!$O356&lt;&gt;"",Results!$Q356&lt;&gt;"",Results!$F356&lt;&gt;Results!$H356,$F351&lt;&gt;"",$G351&lt;&gt;""),Results!$Q356,"")</f>
        <v/>
      </c>
      <c r="N351" s="16" t="str">
        <f>IF(Planning!$I354=0,F351&amp;G351,"")</f>
        <v/>
      </c>
      <c r="O351" s="122">
        <f>IF(AND(Results!$Z$6&gt;0,$E351-1&gt;=Results!$Z$6*Calc!$F$26),0,IF(AND(F351&lt;&gt;"",G351&lt;&gt;"",F351&lt;&gt;G351,Results!$R356&lt;&gt;"",Results!$T356&lt;&gt;""),1,0))</f>
        <v>0</v>
      </c>
      <c r="P351" s="122" t="str">
        <f>IF(AND(O351&gt;0,Planning!$I354=0),V351&amp;Language!$E$90&amp;W351,"")</f>
        <v/>
      </c>
      <c r="Q351" s="2" t="str">
        <f>IF(Planning!$I354=1,F351&amp;G351,"")</f>
        <v/>
      </c>
      <c r="R351" s="88" t="str">
        <f>IF(AND(O351&gt;0,Planning!$I354=1),V351&amp;Language!$E$90&amp;W351,"")</f>
        <v/>
      </c>
      <c r="S351" s="122" t="str">
        <f>IF(O351&gt;0,X351&amp;Language!$E$90&amp;Y351,"")</f>
        <v/>
      </c>
      <c r="T351" s="290">
        <f>IF($H351="",0,Results!$U356)</f>
        <v>0</v>
      </c>
      <c r="U351" s="291">
        <f>IF($I351="",0,Results!$V356)</f>
        <v>0</v>
      </c>
      <c r="V351" s="270" t="str">
        <f t="shared" si="10"/>
        <v/>
      </c>
      <c r="W351" s="291" t="str">
        <f t="shared" si="11"/>
        <v/>
      </c>
      <c r="X351" s="270">
        <f>IF($O351=0,0,IF(Results!$R356="",0,Results!$R356))</f>
        <v>0</v>
      </c>
      <c r="Y351" s="291">
        <f>IF($O351=0,0,IF(Results!$T356="",0,Results!$T356))</f>
        <v>0</v>
      </c>
      <c r="Z351" s="270" t="str">
        <f>IF($O351=0,"",IF($X351&gt;$Y351,Settings!$C$4,IF($X351=$Y351,1,0)))</f>
        <v/>
      </c>
      <c r="AA351" s="291" t="str">
        <f>IF($O351=0,"",IF($X351&lt;$Y351,Settings!$C$4,IF($X351=$Y351,1,0)))</f>
        <v/>
      </c>
    </row>
    <row r="352" spans="5:27" x14ac:dyDescent="0.2">
      <c r="E352" s="266">
        <v>349</v>
      </c>
      <c r="F352" s="171" t="str">
        <f>Planning!$Q355</f>
        <v/>
      </c>
      <c r="G352" s="348" t="str">
        <f>Planning!$S355</f>
        <v/>
      </c>
      <c r="H352" s="344" t="str">
        <f>IF(AND(Results!$I357&lt;&gt;"",Results!$K357&lt;&gt;"",Results!$F357&lt;&gt;Results!$H357,$F352&lt;&gt;"",$G352&lt;&gt;""),Results!$I357,"")</f>
        <v/>
      </c>
      <c r="I352" s="343" t="str">
        <f>IF(AND(Results!$I357&lt;&gt;"",Results!$K357&lt;&gt;"",Results!$F357&lt;&gt;Results!$H357,$F352&lt;&gt;"",$G352&lt;&gt;""),Results!$K357,"")</f>
        <v/>
      </c>
      <c r="J352" s="344" t="str">
        <f>IF(AND(Results!$L357&lt;&gt;"",Results!$N357&lt;&gt;"",Results!$F357&lt;&gt;Results!$H357,$F352&lt;&gt;"",$G352&lt;&gt;""),Results!$L357,"")</f>
        <v/>
      </c>
      <c r="K352" s="343" t="str">
        <f>IF(AND(Results!$L357&lt;&gt;"",Results!$N357&lt;&gt;"",Results!$F357&lt;&gt;Results!$H357,$F352&lt;&gt;"",$G352&lt;&gt;""),Results!$N357,"")</f>
        <v/>
      </c>
      <c r="L352" s="344" t="str">
        <f>IF(AND(Results!$O357&lt;&gt;"",Results!$Q357&lt;&gt;"",Results!$F357&lt;&gt;Results!$H357,$F352&lt;&gt;"",$G352&lt;&gt;""),Results!$O357,"")</f>
        <v/>
      </c>
      <c r="M352" s="122" t="str">
        <f>IF(AND(Results!$O357&lt;&gt;"",Results!$Q357&lt;&gt;"",Results!$F357&lt;&gt;Results!$H357,$F352&lt;&gt;"",$G352&lt;&gt;""),Results!$Q357,"")</f>
        <v/>
      </c>
      <c r="N352" s="16" t="str">
        <f>IF(Planning!$I355=0,F352&amp;G352,"")</f>
        <v/>
      </c>
      <c r="O352" s="122">
        <f>IF(AND(Results!$Z$6&gt;0,$E352-1&gt;=Results!$Z$6*Calc!$F$26),0,IF(AND(F352&lt;&gt;"",G352&lt;&gt;"",F352&lt;&gt;G352,Results!$R357&lt;&gt;"",Results!$T357&lt;&gt;""),1,0))</f>
        <v>0</v>
      </c>
      <c r="P352" s="122" t="str">
        <f>IF(AND(O352&gt;0,Planning!$I355=0),V352&amp;Language!$E$90&amp;W352,"")</f>
        <v/>
      </c>
      <c r="Q352" s="2" t="str">
        <f>IF(Planning!$I355=1,F352&amp;G352,"")</f>
        <v/>
      </c>
      <c r="R352" s="88" t="str">
        <f>IF(AND(O352&gt;0,Planning!$I355=1),V352&amp;Language!$E$90&amp;W352,"")</f>
        <v/>
      </c>
      <c r="S352" s="122" t="str">
        <f>IF(O352&gt;0,X352&amp;Language!$E$90&amp;Y352,"")</f>
        <v/>
      </c>
      <c r="T352" s="290">
        <f>IF($H352="",0,Results!$U357)</f>
        <v>0</v>
      </c>
      <c r="U352" s="291">
        <f>IF($I352="",0,Results!$V357)</f>
        <v>0</v>
      </c>
      <c r="V352" s="270" t="str">
        <f t="shared" si="10"/>
        <v/>
      </c>
      <c r="W352" s="291" t="str">
        <f t="shared" si="11"/>
        <v/>
      </c>
      <c r="X352" s="270">
        <f>IF($O352=0,0,IF(Results!$R357="",0,Results!$R357))</f>
        <v>0</v>
      </c>
      <c r="Y352" s="291">
        <f>IF($O352=0,0,IF(Results!$T357="",0,Results!$T357))</f>
        <v>0</v>
      </c>
      <c r="Z352" s="270" t="str">
        <f>IF($O352=0,"",IF($X352&gt;$Y352,Settings!$C$4,IF($X352=$Y352,1,0)))</f>
        <v/>
      </c>
      <c r="AA352" s="291" t="str">
        <f>IF($O352=0,"",IF($X352&lt;$Y352,Settings!$C$4,IF($X352=$Y352,1,0)))</f>
        <v/>
      </c>
    </row>
    <row r="353" spans="5:27" x14ac:dyDescent="0.2">
      <c r="E353" s="266">
        <v>350</v>
      </c>
      <c r="F353" s="171" t="str">
        <f>Planning!$Q356</f>
        <v/>
      </c>
      <c r="G353" s="348" t="str">
        <f>Planning!$S356</f>
        <v/>
      </c>
      <c r="H353" s="344" t="str">
        <f>IF(AND(Results!$I358&lt;&gt;"",Results!$K358&lt;&gt;"",Results!$F358&lt;&gt;Results!$H358,$F353&lt;&gt;"",$G353&lt;&gt;""),Results!$I358,"")</f>
        <v/>
      </c>
      <c r="I353" s="343" t="str">
        <f>IF(AND(Results!$I358&lt;&gt;"",Results!$K358&lt;&gt;"",Results!$F358&lt;&gt;Results!$H358,$F353&lt;&gt;"",$G353&lt;&gt;""),Results!$K358,"")</f>
        <v/>
      </c>
      <c r="J353" s="344" t="str">
        <f>IF(AND(Results!$L358&lt;&gt;"",Results!$N358&lt;&gt;"",Results!$F358&lt;&gt;Results!$H358,$F353&lt;&gt;"",$G353&lt;&gt;""),Results!$L358,"")</f>
        <v/>
      </c>
      <c r="K353" s="343" t="str">
        <f>IF(AND(Results!$L358&lt;&gt;"",Results!$N358&lt;&gt;"",Results!$F358&lt;&gt;Results!$H358,$F353&lt;&gt;"",$G353&lt;&gt;""),Results!$N358,"")</f>
        <v/>
      </c>
      <c r="L353" s="344" t="str">
        <f>IF(AND(Results!$O358&lt;&gt;"",Results!$Q358&lt;&gt;"",Results!$F358&lt;&gt;Results!$H358,$F353&lt;&gt;"",$G353&lt;&gt;""),Results!$O358,"")</f>
        <v/>
      </c>
      <c r="M353" s="122" t="str">
        <f>IF(AND(Results!$O358&lt;&gt;"",Results!$Q358&lt;&gt;"",Results!$F358&lt;&gt;Results!$H358,$F353&lt;&gt;"",$G353&lt;&gt;""),Results!$Q358,"")</f>
        <v/>
      </c>
      <c r="N353" s="16" t="str">
        <f>IF(Planning!$I356=0,F353&amp;G353,"")</f>
        <v/>
      </c>
      <c r="O353" s="122">
        <f>IF(AND(Results!$Z$6&gt;0,$E353-1&gt;=Results!$Z$6*Calc!$F$26),0,IF(AND(F353&lt;&gt;"",G353&lt;&gt;"",F353&lt;&gt;G353,Results!$R358&lt;&gt;"",Results!$T358&lt;&gt;""),1,0))</f>
        <v>0</v>
      </c>
      <c r="P353" s="122" t="str">
        <f>IF(AND(O353&gt;0,Planning!$I356=0),V353&amp;Language!$E$90&amp;W353,"")</f>
        <v/>
      </c>
      <c r="Q353" s="2" t="str">
        <f>IF(Planning!$I356=1,F353&amp;G353,"")</f>
        <v/>
      </c>
      <c r="R353" s="88" t="str">
        <f>IF(AND(O353&gt;0,Planning!$I356=1),V353&amp;Language!$E$90&amp;W353,"")</f>
        <v/>
      </c>
      <c r="S353" s="122" t="str">
        <f>IF(O353&gt;0,X353&amp;Language!$E$90&amp;Y353,"")</f>
        <v/>
      </c>
      <c r="T353" s="290">
        <f>IF($H353="",0,Results!$U358)</f>
        <v>0</v>
      </c>
      <c r="U353" s="291">
        <f>IF($I353="",0,Results!$V358)</f>
        <v>0</v>
      </c>
      <c r="V353" s="270" t="str">
        <f t="shared" si="10"/>
        <v/>
      </c>
      <c r="W353" s="291" t="str">
        <f t="shared" si="11"/>
        <v/>
      </c>
      <c r="X353" s="270">
        <f>IF($O353=0,0,IF(Results!$R358="",0,Results!$R358))</f>
        <v>0</v>
      </c>
      <c r="Y353" s="291">
        <f>IF($O353=0,0,IF(Results!$T358="",0,Results!$T358))</f>
        <v>0</v>
      </c>
      <c r="Z353" s="270" t="str">
        <f>IF($O353=0,"",IF($X353&gt;$Y353,Settings!$C$4,IF($X353=$Y353,1,0)))</f>
        <v/>
      </c>
      <c r="AA353" s="291" t="str">
        <f>IF($O353=0,"",IF($X353&lt;$Y353,Settings!$C$4,IF($X353=$Y353,1,0)))</f>
        <v/>
      </c>
    </row>
    <row r="354" spans="5:27" x14ac:dyDescent="0.2">
      <c r="E354" s="266">
        <v>351</v>
      </c>
      <c r="F354" s="171" t="str">
        <f>Planning!$Q357</f>
        <v/>
      </c>
      <c r="G354" s="348" t="str">
        <f>Planning!$S357</f>
        <v/>
      </c>
      <c r="H354" s="344" t="str">
        <f>IF(AND(Results!$I359&lt;&gt;"",Results!$K359&lt;&gt;"",Results!$F359&lt;&gt;Results!$H359,$F354&lt;&gt;"",$G354&lt;&gt;""),Results!$I359,"")</f>
        <v/>
      </c>
      <c r="I354" s="343" t="str">
        <f>IF(AND(Results!$I359&lt;&gt;"",Results!$K359&lt;&gt;"",Results!$F359&lt;&gt;Results!$H359,$F354&lt;&gt;"",$G354&lt;&gt;""),Results!$K359,"")</f>
        <v/>
      </c>
      <c r="J354" s="344" t="str">
        <f>IF(AND(Results!$L359&lt;&gt;"",Results!$N359&lt;&gt;"",Results!$F359&lt;&gt;Results!$H359,$F354&lt;&gt;"",$G354&lt;&gt;""),Results!$L359,"")</f>
        <v/>
      </c>
      <c r="K354" s="343" t="str">
        <f>IF(AND(Results!$L359&lt;&gt;"",Results!$N359&lt;&gt;"",Results!$F359&lt;&gt;Results!$H359,$F354&lt;&gt;"",$G354&lt;&gt;""),Results!$N359,"")</f>
        <v/>
      </c>
      <c r="L354" s="344" t="str">
        <f>IF(AND(Results!$O359&lt;&gt;"",Results!$Q359&lt;&gt;"",Results!$F359&lt;&gt;Results!$H359,$F354&lt;&gt;"",$G354&lt;&gt;""),Results!$O359,"")</f>
        <v/>
      </c>
      <c r="M354" s="122" t="str">
        <f>IF(AND(Results!$O359&lt;&gt;"",Results!$Q359&lt;&gt;"",Results!$F359&lt;&gt;Results!$H359,$F354&lt;&gt;"",$G354&lt;&gt;""),Results!$Q359,"")</f>
        <v/>
      </c>
      <c r="N354" s="16" t="str">
        <f>IF(Planning!$I357=0,F354&amp;G354,"")</f>
        <v/>
      </c>
      <c r="O354" s="122">
        <f>IF(AND(Results!$Z$6&gt;0,$E354-1&gt;=Results!$Z$6*Calc!$F$26),0,IF(AND(F354&lt;&gt;"",G354&lt;&gt;"",F354&lt;&gt;G354,Results!$R359&lt;&gt;"",Results!$T359&lt;&gt;""),1,0))</f>
        <v>0</v>
      </c>
      <c r="P354" s="122" t="str">
        <f>IF(AND(O354&gt;0,Planning!$I357=0),V354&amp;Language!$E$90&amp;W354,"")</f>
        <v/>
      </c>
      <c r="Q354" s="2" t="str">
        <f>IF(Planning!$I357=1,F354&amp;G354,"")</f>
        <v/>
      </c>
      <c r="R354" s="88" t="str">
        <f>IF(AND(O354&gt;0,Planning!$I357=1),V354&amp;Language!$E$90&amp;W354,"")</f>
        <v/>
      </c>
      <c r="S354" s="122" t="str">
        <f>IF(O354&gt;0,X354&amp;Language!$E$90&amp;Y354,"")</f>
        <v/>
      </c>
      <c r="T354" s="290">
        <f>IF($H354="",0,Results!$U359)</f>
        <v>0</v>
      </c>
      <c r="U354" s="291">
        <f>IF($I354="",0,Results!$V359)</f>
        <v>0</v>
      </c>
      <c r="V354" s="270" t="str">
        <f t="shared" si="10"/>
        <v/>
      </c>
      <c r="W354" s="291" t="str">
        <f t="shared" si="11"/>
        <v/>
      </c>
      <c r="X354" s="270">
        <f>IF($O354=0,0,IF(Results!$R359="",0,Results!$R359))</f>
        <v>0</v>
      </c>
      <c r="Y354" s="291">
        <f>IF($O354=0,0,IF(Results!$T359="",0,Results!$T359))</f>
        <v>0</v>
      </c>
      <c r="Z354" s="270" t="str">
        <f>IF($O354=0,"",IF($X354&gt;$Y354,Settings!$C$4,IF($X354=$Y354,1,0)))</f>
        <v/>
      </c>
      <c r="AA354" s="291" t="str">
        <f>IF($O354=0,"",IF($X354&lt;$Y354,Settings!$C$4,IF($X354=$Y354,1,0)))</f>
        <v/>
      </c>
    </row>
    <row r="355" spans="5:27" x14ac:dyDescent="0.2">
      <c r="E355" s="266">
        <v>352</v>
      </c>
      <c r="F355" s="171" t="str">
        <f>Planning!$Q358</f>
        <v/>
      </c>
      <c r="G355" s="348" t="str">
        <f>Planning!$S358</f>
        <v/>
      </c>
      <c r="H355" s="344" t="str">
        <f>IF(AND(Results!$I360&lt;&gt;"",Results!$K360&lt;&gt;"",Results!$F360&lt;&gt;Results!$H360,$F355&lt;&gt;"",$G355&lt;&gt;""),Results!$I360,"")</f>
        <v/>
      </c>
      <c r="I355" s="343" t="str">
        <f>IF(AND(Results!$I360&lt;&gt;"",Results!$K360&lt;&gt;"",Results!$F360&lt;&gt;Results!$H360,$F355&lt;&gt;"",$G355&lt;&gt;""),Results!$K360,"")</f>
        <v/>
      </c>
      <c r="J355" s="344" t="str">
        <f>IF(AND(Results!$L360&lt;&gt;"",Results!$N360&lt;&gt;"",Results!$F360&lt;&gt;Results!$H360,$F355&lt;&gt;"",$G355&lt;&gt;""),Results!$L360,"")</f>
        <v/>
      </c>
      <c r="K355" s="343" t="str">
        <f>IF(AND(Results!$L360&lt;&gt;"",Results!$N360&lt;&gt;"",Results!$F360&lt;&gt;Results!$H360,$F355&lt;&gt;"",$G355&lt;&gt;""),Results!$N360,"")</f>
        <v/>
      </c>
      <c r="L355" s="344" t="str">
        <f>IF(AND(Results!$O360&lt;&gt;"",Results!$Q360&lt;&gt;"",Results!$F360&lt;&gt;Results!$H360,$F355&lt;&gt;"",$G355&lt;&gt;""),Results!$O360,"")</f>
        <v/>
      </c>
      <c r="M355" s="122" t="str">
        <f>IF(AND(Results!$O360&lt;&gt;"",Results!$Q360&lt;&gt;"",Results!$F360&lt;&gt;Results!$H360,$F355&lt;&gt;"",$G355&lt;&gt;""),Results!$Q360,"")</f>
        <v/>
      </c>
      <c r="N355" s="16" t="str">
        <f>IF(Planning!$I358=0,F355&amp;G355,"")</f>
        <v/>
      </c>
      <c r="O355" s="122">
        <f>IF(AND(Results!$Z$6&gt;0,$E355-1&gt;=Results!$Z$6*Calc!$F$26),0,IF(AND(F355&lt;&gt;"",G355&lt;&gt;"",F355&lt;&gt;G355,Results!$R360&lt;&gt;"",Results!$T360&lt;&gt;""),1,0))</f>
        <v>0</v>
      </c>
      <c r="P355" s="122" t="str">
        <f>IF(AND(O355&gt;0,Planning!$I358=0),V355&amp;Language!$E$90&amp;W355,"")</f>
        <v/>
      </c>
      <c r="Q355" s="2" t="str">
        <f>IF(Planning!$I358=1,F355&amp;G355,"")</f>
        <v/>
      </c>
      <c r="R355" s="88" t="str">
        <f>IF(AND(O355&gt;0,Planning!$I358=1),V355&amp;Language!$E$90&amp;W355,"")</f>
        <v/>
      </c>
      <c r="S355" s="122" t="str">
        <f>IF(O355&gt;0,X355&amp;Language!$E$90&amp;Y355,"")</f>
        <v/>
      </c>
      <c r="T355" s="290">
        <f>IF($H355="",0,Results!$U360)</f>
        <v>0</v>
      </c>
      <c r="U355" s="291">
        <f>IF($I355="",0,Results!$V360)</f>
        <v>0</v>
      </c>
      <c r="V355" s="270" t="str">
        <f t="shared" si="10"/>
        <v/>
      </c>
      <c r="W355" s="291" t="str">
        <f t="shared" si="11"/>
        <v/>
      </c>
      <c r="X355" s="270">
        <f>IF($O355=0,0,IF(Results!$R360="",0,Results!$R360))</f>
        <v>0</v>
      </c>
      <c r="Y355" s="291">
        <f>IF($O355=0,0,IF(Results!$T360="",0,Results!$T360))</f>
        <v>0</v>
      </c>
      <c r="Z355" s="270" t="str">
        <f>IF($O355=0,"",IF($X355&gt;$Y355,Settings!$C$4,IF($X355=$Y355,1,0)))</f>
        <v/>
      </c>
      <c r="AA355" s="291" t="str">
        <f>IF($O355=0,"",IF($X355&lt;$Y355,Settings!$C$4,IF($X355=$Y355,1,0)))</f>
        <v/>
      </c>
    </row>
    <row r="356" spans="5:27" x14ac:dyDescent="0.2">
      <c r="E356" s="266">
        <v>353</v>
      </c>
      <c r="F356" s="171" t="str">
        <f>Planning!$Q359</f>
        <v/>
      </c>
      <c r="G356" s="348" t="str">
        <f>Planning!$S359</f>
        <v/>
      </c>
      <c r="H356" s="344" t="str">
        <f>IF(AND(Results!$I361&lt;&gt;"",Results!$K361&lt;&gt;"",Results!$F361&lt;&gt;Results!$H361,$F356&lt;&gt;"",$G356&lt;&gt;""),Results!$I361,"")</f>
        <v/>
      </c>
      <c r="I356" s="343" t="str">
        <f>IF(AND(Results!$I361&lt;&gt;"",Results!$K361&lt;&gt;"",Results!$F361&lt;&gt;Results!$H361,$F356&lt;&gt;"",$G356&lt;&gt;""),Results!$K361,"")</f>
        <v/>
      </c>
      <c r="J356" s="344" t="str">
        <f>IF(AND(Results!$L361&lt;&gt;"",Results!$N361&lt;&gt;"",Results!$F361&lt;&gt;Results!$H361,$F356&lt;&gt;"",$G356&lt;&gt;""),Results!$L361,"")</f>
        <v/>
      </c>
      <c r="K356" s="343" t="str">
        <f>IF(AND(Results!$L361&lt;&gt;"",Results!$N361&lt;&gt;"",Results!$F361&lt;&gt;Results!$H361,$F356&lt;&gt;"",$G356&lt;&gt;""),Results!$N361,"")</f>
        <v/>
      </c>
      <c r="L356" s="344" t="str">
        <f>IF(AND(Results!$O361&lt;&gt;"",Results!$Q361&lt;&gt;"",Results!$F361&lt;&gt;Results!$H361,$F356&lt;&gt;"",$G356&lt;&gt;""),Results!$O361,"")</f>
        <v/>
      </c>
      <c r="M356" s="122" t="str">
        <f>IF(AND(Results!$O361&lt;&gt;"",Results!$Q361&lt;&gt;"",Results!$F361&lt;&gt;Results!$H361,$F356&lt;&gt;"",$G356&lt;&gt;""),Results!$Q361,"")</f>
        <v/>
      </c>
      <c r="N356" s="16" t="str">
        <f>IF(Planning!$I359=0,F356&amp;G356,"")</f>
        <v/>
      </c>
      <c r="O356" s="122">
        <f>IF(AND(Results!$Z$6&gt;0,$E356-1&gt;=Results!$Z$6*Calc!$F$26),0,IF(AND(F356&lt;&gt;"",G356&lt;&gt;"",F356&lt;&gt;G356,Results!$R361&lt;&gt;"",Results!$T361&lt;&gt;""),1,0))</f>
        <v>0</v>
      </c>
      <c r="P356" s="122" t="str">
        <f>IF(AND(O356&gt;0,Planning!$I359=0),V356&amp;Language!$E$90&amp;W356,"")</f>
        <v/>
      </c>
      <c r="Q356" s="2" t="str">
        <f>IF(Planning!$I359=1,F356&amp;G356,"")</f>
        <v/>
      </c>
      <c r="R356" s="88" t="str">
        <f>IF(AND(O356&gt;0,Planning!$I359=1),V356&amp;Language!$E$90&amp;W356,"")</f>
        <v/>
      </c>
      <c r="S356" s="122" t="str">
        <f>IF(O356&gt;0,X356&amp;Language!$E$90&amp;Y356,"")</f>
        <v/>
      </c>
      <c r="T356" s="290">
        <f>IF($H356="",0,Results!$U361)</f>
        <v>0</v>
      </c>
      <c r="U356" s="291">
        <f>IF($I356="",0,Results!$V361)</f>
        <v>0</v>
      </c>
      <c r="V356" s="270" t="str">
        <f t="shared" si="10"/>
        <v/>
      </c>
      <c r="W356" s="291" t="str">
        <f t="shared" si="11"/>
        <v/>
      </c>
      <c r="X356" s="270">
        <f>IF($O356=0,0,IF(Results!$R361="",0,Results!$R361))</f>
        <v>0</v>
      </c>
      <c r="Y356" s="291">
        <f>IF($O356=0,0,IF(Results!$T361="",0,Results!$T361))</f>
        <v>0</v>
      </c>
      <c r="Z356" s="270" t="str">
        <f>IF($O356=0,"",IF($X356&gt;$Y356,Settings!$C$4,IF($X356=$Y356,1,0)))</f>
        <v/>
      </c>
      <c r="AA356" s="291" t="str">
        <f>IF($O356=0,"",IF($X356&lt;$Y356,Settings!$C$4,IF($X356=$Y356,1,0)))</f>
        <v/>
      </c>
    </row>
    <row r="357" spans="5:27" x14ac:dyDescent="0.2">
      <c r="E357" s="266">
        <v>354</v>
      </c>
      <c r="F357" s="171" t="str">
        <f>Planning!$Q360</f>
        <v/>
      </c>
      <c r="G357" s="348" t="str">
        <f>Planning!$S360</f>
        <v/>
      </c>
      <c r="H357" s="344" t="str">
        <f>IF(AND(Results!$I362&lt;&gt;"",Results!$K362&lt;&gt;"",Results!$F362&lt;&gt;Results!$H362,$F357&lt;&gt;"",$G357&lt;&gt;""),Results!$I362,"")</f>
        <v/>
      </c>
      <c r="I357" s="343" t="str">
        <f>IF(AND(Results!$I362&lt;&gt;"",Results!$K362&lt;&gt;"",Results!$F362&lt;&gt;Results!$H362,$F357&lt;&gt;"",$G357&lt;&gt;""),Results!$K362,"")</f>
        <v/>
      </c>
      <c r="J357" s="344" t="str">
        <f>IF(AND(Results!$L362&lt;&gt;"",Results!$N362&lt;&gt;"",Results!$F362&lt;&gt;Results!$H362,$F357&lt;&gt;"",$G357&lt;&gt;""),Results!$L362,"")</f>
        <v/>
      </c>
      <c r="K357" s="343" t="str">
        <f>IF(AND(Results!$L362&lt;&gt;"",Results!$N362&lt;&gt;"",Results!$F362&lt;&gt;Results!$H362,$F357&lt;&gt;"",$G357&lt;&gt;""),Results!$N362,"")</f>
        <v/>
      </c>
      <c r="L357" s="344" t="str">
        <f>IF(AND(Results!$O362&lt;&gt;"",Results!$Q362&lt;&gt;"",Results!$F362&lt;&gt;Results!$H362,$F357&lt;&gt;"",$G357&lt;&gt;""),Results!$O362,"")</f>
        <v/>
      </c>
      <c r="M357" s="122" t="str">
        <f>IF(AND(Results!$O362&lt;&gt;"",Results!$Q362&lt;&gt;"",Results!$F362&lt;&gt;Results!$H362,$F357&lt;&gt;"",$G357&lt;&gt;""),Results!$Q362,"")</f>
        <v/>
      </c>
      <c r="N357" s="16" t="str">
        <f>IF(Planning!$I360=0,F357&amp;G357,"")</f>
        <v/>
      </c>
      <c r="O357" s="122">
        <f>IF(AND(Results!$Z$6&gt;0,$E357-1&gt;=Results!$Z$6*Calc!$F$26),0,IF(AND(F357&lt;&gt;"",G357&lt;&gt;"",F357&lt;&gt;G357,Results!$R362&lt;&gt;"",Results!$T362&lt;&gt;""),1,0))</f>
        <v>0</v>
      </c>
      <c r="P357" s="122" t="str">
        <f>IF(AND(O357&gt;0,Planning!$I360=0),V357&amp;Language!$E$90&amp;W357,"")</f>
        <v/>
      </c>
      <c r="Q357" s="2" t="str">
        <f>IF(Planning!$I360=1,F357&amp;G357,"")</f>
        <v/>
      </c>
      <c r="R357" s="88" t="str">
        <f>IF(AND(O357&gt;0,Planning!$I360=1),V357&amp;Language!$E$90&amp;W357,"")</f>
        <v/>
      </c>
      <c r="S357" s="122" t="str">
        <f>IF(O357&gt;0,X357&amp;Language!$E$90&amp;Y357,"")</f>
        <v/>
      </c>
      <c r="T357" s="290">
        <f>IF($H357="",0,Results!$U362)</f>
        <v>0</v>
      </c>
      <c r="U357" s="291">
        <f>IF($I357="",0,Results!$V362)</f>
        <v>0</v>
      </c>
      <c r="V357" s="270" t="str">
        <f t="shared" si="10"/>
        <v/>
      </c>
      <c r="W357" s="291" t="str">
        <f t="shared" si="11"/>
        <v/>
      </c>
      <c r="X357" s="270">
        <f>IF($O357=0,0,IF(Results!$R362="",0,Results!$R362))</f>
        <v>0</v>
      </c>
      <c r="Y357" s="291">
        <f>IF($O357=0,0,IF(Results!$T362="",0,Results!$T362))</f>
        <v>0</v>
      </c>
      <c r="Z357" s="270" t="str">
        <f>IF($O357=0,"",IF($X357&gt;$Y357,Settings!$C$4,IF($X357=$Y357,1,0)))</f>
        <v/>
      </c>
      <c r="AA357" s="291" t="str">
        <f>IF($O357=0,"",IF($X357&lt;$Y357,Settings!$C$4,IF($X357=$Y357,1,0)))</f>
        <v/>
      </c>
    </row>
    <row r="358" spans="5:27" x14ac:dyDescent="0.2">
      <c r="E358" s="266">
        <v>355</v>
      </c>
      <c r="F358" s="171" t="str">
        <f>Planning!$Q361</f>
        <v/>
      </c>
      <c r="G358" s="348" t="str">
        <f>Planning!$S361</f>
        <v/>
      </c>
      <c r="H358" s="344" t="str">
        <f>IF(AND(Results!$I363&lt;&gt;"",Results!$K363&lt;&gt;"",Results!$F363&lt;&gt;Results!$H363,$F358&lt;&gt;"",$G358&lt;&gt;""),Results!$I363,"")</f>
        <v/>
      </c>
      <c r="I358" s="343" t="str">
        <f>IF(AND(Results!$I363&lt;&gt;"",Results!$K363&lt;&gt;"",Results!$F363&lt;&gt;Results!$H363,$F358&lt;&gt;"",$G358&lt;&gt;""),Results!$K363,"")</f>
        <v/>
      </c>
      <c r="J358" s="344" t="str">
        <f>IF(AND(Results!$L363&lt;&gt;"",Results!$N363&lt;&gt;"",Results!$F363&lt;&gt;Results!$H363,$F358&lt;&gt;"",$G358&lt;&gt;""),Results!$L363,"")</f>
        <v/>
      </c>
      <c r="K358" s="343" t="str">
        <f>IF(AND(Results!$L363&lt;&gt;"",Results!$N363&lt;&gt;"",Results!$F363&lt;&gt;Results!$H363,$F358&lt;&gt;"",$G358&lt;&gt;""),Results!$N363,"")</f>
        <v/>
      </c>
      <c r="L358" s="344" t="str">
        <f>IF(AND(Results!$O363&lt;&gt;"",Results!$Q363&lt;&gt;"",Results!$F363&lt;&gt;Results!$H363,$F358&lt;&gt;"",$G358&lt;&gt;""),Results!$O363,"")</f>
        <v/>
      </c>
      <c r="M358" s="122" t="str">
        <f>IF(AND(Results!$O363&lt;&gt;"",Results!$Q363&lt;&gt;"",Results!$F363&lt;&gt;Results!$H363,$F358&lt;&gt;"",$G358&lt;&gt;""),Results!$Q363,"")</f>
        <v/>
      </c>
      <c r="N358" s="16" t="str">
        <f>IF(Planning!$I361=0,F358&amp;G358,"")</f>
        <v/>
      </c>
      <c r="O358" s="122">
        <f>IF(AND(Results!$Z$6&gt;0,$E358-1&gt;=Results!$Z$6*Calc!$F$26),0,IF(AND(F358&lt;&gt;"",G358&lt;&gt;"",F358&lt;&gt;G358,Results!$R363&lt;&gt;"",Results!$T363&lt;&gt;""),1,0))</f>
        <v>0</v>
      </c>
      <c r="P358" s="122" t="str">
        <f>IF(AND(O358&gt;0,Planning!$I361=0),V358&amp;Language!$E$90&amp;W358,"")</f>
        <v/>
      </c>
      <c r="Q358" s="2" t="str">
        <f>IF(Planning!$I361=1,F358&amp;G358,"")</f>
        <v/>
      </c>
      <c r="R358" s="88" t="str">
        <f>IF(AND(O358&gt;0,Planning!$I361=1),V358&amp;Language!$E$90&amp;W358,"")</f>
        <v/>
      </c>
      <c r="S358" s="122" t="str">
        <f>IF(O358&gt;0,X358&amp;Language!$E$90&amp;Y358,"")</f>
        <v/>
      </c>
      <c r="T358" s="290">
        <f>IF($H358="",0,Results!$U363)</f>
        <v>0</v>
      </c>
      <c r="U358" s="291">
        <f>IF($I358="",0,Results!$V363)</f>
        <v>0</v>
      </c>
      <c r="V358" s="270" t="str">
        <f t="shared" si="10"/>
        <v/>
      </c>
      <c r="W358" s="291" t="str">
        <f t="shared" si="11"/>
        <v/>
      </c>
      <c r="X358" s="270">
        <f>IF($O358=0,0,IF(Results!$R363="",0,Results!$R363))</f>
        <v>0</v>
      </c>
      <c r="Y358" s="291">
        <f>IF($O358=0,0,IF(Results!$T363="",0,Results!$T363))</f>
        <v>0</v>
      </c>
      <c r="Z358" s="270" t="str">
        <f>IF($O358=0,"",IF($X358&gt;$Y358,Settings!$C$4,IF($X358=$Y358,1,0)))</f>
        <v/>
      </c>
      <c r="AA358" s="291" t="str">
        <f>IF($O358=0,"",IF($X358&lt;$Y358,Settings!$C$4,IF($X358=$Y358,1,0)))</f>
        <v/>
      </c>
    </row>
    <row r="359" spans="5:27" x14ac:dyDescent="0.2">
      <c r="E359" s="266">
        <v>356</v>
      </c>
      <c r="F359" s="171" t="str">
        <f>Planning!$Q362</f>
        <v/>
      </c>
      <c r="G359" s="348" t="str">
        <f>Planning!$S362</f>
        <v/>
      </c>
      <c r="H359" s="344" t="str">
        <f>IF(AND(Results!$I364&lt;&gt;"",Results!$K364&lt;&gt;"",Results!$F364&lt;&gt;Results!$H364,$F359&lt;&gt;"",$G359&lt;&gt;""),Results!$I364,"")</f>
        <v/>
      </c>
      <c r="I359" s="343" t="str">
        <f>IF(AND(Results!$I364&lt;&gt;"",Results!$K364&lt;&gt;"",Results!$F364&lt;&gt;Results!$H364,$F359&lt;&gt;"",$G359&lt;&gt;""),Results!$K364,"")</f>
        <v/>
      </c>
      <c r="J359" s="344" t="str">
        <f>IF(AND(Results!$L364&lt;&gt;"",Results!$N364&lt;&gt;"",Results!$F364&lt;&gt;Results!$H364,$F359&lt;&gt;"",$G359&lt;&gt;""),Results!$L364,"")</f>
        <v/>
      </c>
      <c r="K359" s="343" t="str">
        <f>IF(AND(Results!$L364&lt;&gt;"",Results!$N364&lt;&gt;"",Results!$F364&lt;&gt;Results!$H364,$F359&lt;&gt;"",$G359&lt;&gt;""),Results!$N364,"")</f>
        <v/>
      </c>
      <c r="L359" s="344" t="str">
        <f>IF(AND(Results!$O364&lt;&gt;"",Results!$Q364&lt;&gt;"",Results!$F364&lt;&gt;Results!$H364,$F359&lt;&gt;"",$G359&lt;&gt;""),Results!$O364,"")</f>
        <v/>
      </c>
      <c r="M359" s="122" t="str">
        <f>IF(AND(Results!$O364&lt;&gt;"",Results!$Q364&lt;&gt;"",Results!$F364&lt;&gt;Results!$H364,$F359&lt;&gt;"",$G359&lt;&gt;""),Results!$Q364,"")</f>
        <v/>
      </c>
      <c r="N359" s="16" t="str">
        <f>IF(Planning!$I362=0,F359&amp;G359,"")</f>
        <v/>
      </c>
      <c r="O359" s="122">
        <f>IF(AND(Results!$Z$6&gt;0,$E359-1&gt;=Results!$Z$6*Calc!$F$26),0,IF(AND(F359&lt;&gt;"",G359&lt;&gt;"",F359&lt;&gt;G359,Results!$R364&lt;&gt;"",Results!$T364&lt;&gt;""),1,0))</f>
        <v>0</v>
      </c>
      <c r="P359" s="122" t="str">
        <f>IF(AND(O359&gt;0,Planning!$I362=0),V359&amp;Language!$E$90&amp;W359,"")</f>
        <v/>
      </c>
      <c r="Q359" s="2" t="str">
        <f>IF(Planning!$I362=1,F359&amp;G359,"")</f>
        <v/>
      </c>
      <c r="R359" s="88" t="str">
        <f>IF(AND(O359&gt;0,Planning!$I362=1),V359&amp;Language!$E$90&amp;W359,"")</f>
        <v/>
      </c>
      <c r="S359" s="122" t="str">
        <f>IF(O359&gt;0,X359&amp;Language!$E$90&amp;Y359,"")</f>
        <v/>
      </c>
      <c r="T359" s="290">
        <f>IF($H359="",0,Results!$U364)</f>
        <v>0</v>
      </c>
      <c r="U359" s="291">
        <f>IF($I359="",0,Results!$V364)</f>
        <v>0</v>
      </c>
      <c r="V359" s="270" t="str">
        <f t="shared" si="10"/>
        <v/>
      </c>
      <c r="W359" s="291" t="str">
        <f t="shared" si="11"/>
        <v/>
      </c>
      <c r="X359" s="270">
        <f>IF($O359=0,0,IF(Results!$R364="",0,Results!$R364))</f>
        <v>0</v>
      </c>
      <c r="Y359" s="291">
        <f>IF($O359=0,0,IF(Results!$T364="",0,Results!$T364))</f>
        <v>0</v>
      </c>
      <c r="Z359" s="270" t="str">
        <f>IF($O359=0,"",IF($X359&gt;$Y359,Settings!$C$4,IF($X359=$Y359,1,0)))</f>
        <v/>
      </c>
      <c r="AA359" s="291" t="str">
        <f>IF($O359=0,"",IF($X359&lt;$Y359,Settings!$C$4,IF($X359=$Y359,1,0)))</f>
        <v/>
      </c>
    </row>
    <row r="360" spans="5:27" x14ac:dyDescent="0.2">
      <c r="E360" s="266">
        <v>357</v>
      </c>
      <c r="F360" s="171" t="str">
        <f>Planning!$Q363</f>
        <v/>
      </c>
      <c r="G360" s="348" t="str">
        <f>Planning!$S363</f>
        <v/>
      </c>
      <c r="H360" s="344" t="str">
        <f>IF(AND(Results!$I365&lt;&gt;"",Results!$K365&lt;&gt;"",Results!$F365&lt;&gt;Results!$H365,$F360&lt;&gt;"",$G360&lt;&gt;""),Results!$I365,"")</f>
        <v/>
      </c>
      <c r="I360" s="343" t="str">
        <f>IF(AND(Results!$I365&lt;&gt;"",Results!$K365&lt;&gt;"",Results!$F365&lt;&gt;Results!$H365,$F360&lt;&gt;"",$G360&lt;&gt;""),Results!$K365,"")</f>
        <v/>
      </c>
      <c r="J360" s="344" t="str">
        <f>IF(AND(Results!$L365&lt;&gt;"",Results!$N365&lt;&gt;"",Results!$F365&lt;&gt;Results!$H365,$F360&lt;&gt;"",$G360&lt;&gt;""),Results!$L365,"")</f>
        <v/>
      </c>
      <c r="K360" s="343" t="str">
        <f>IF(AND(Results!$L365&lt;&gt;"",Results!$N365&lt;&gt;"",Results!$F365&lt;&gt;Results!$H365,$F360&lt;&gt;"",$G360&lt;&gt;""),Results!$N365,"")</f>
        <v/>
      </c>
      <c r="L360" s="344" t="str">
        <f>IF(AND(Results!$O365&lt;&gt;"",Results!$Q365&lt;&gt;"",Results!$F365&lt;&gt;Results!$H365,$F360&lt;&gt;"",$G360&lt;&gt;""),Results!$O365,"")</f>
        <v/>
      </c>
      <c r="M360" s="122" t="str">
        <f>IF(AND(Results!$O365&lt;&gt;"",Results!$Q365&lt;&gt;"",Results!$F365&lt;&gt;Results!$H365,$F360&lt;&gt;"",$G360&lt;&gt;""),Results!$Q365,"")</f>
        <v/>
      </c>
      <c r="N360" s="16" t="str">
        <f>IF(Planning!$I363=0,F360&amp;G360,"")</f>
        <v/>
      </c>
      <c r="O360" s="122">
        <f>IF(AND(Results!$Z$6&gt;0,$E360-1&gt;=Results!$Z$6*Calc!$F$26),0,IF(AND(F360&lt;&gt;"",G360&lt;&gt;"",F360&lt;&gt;G360,Results!$R365&lt;&gt;"",Results!$T365&lt;&gt;""),1,0))</f>
        <v>0</v>
      </c>
      <c r="P360" s="122" t="str">
        <f>IF(AND(O360&gt;0,Planning!$I363=0),V360&amp;Language!$E$90&amp;W360,"")</f>
        <v/>
      </c>
      <c r="Q360" s="2" t="str">
        <f>IF(Planning!$I363=1,F360&amp;G360,"")</f>
        <v/>
      </c>
      <c r="R360" s="88" t="str">
        <f>IF(AND(O360&gt;0,Planning!$I363=1),V360&amp;Language!$E$90&amp;W360,"")</f>
        <v/>
      </c>
      <c r="S360" s="122" t="str">
        <f>IF(O360&gt;0,X360&amp;Language!$E$90&amp;Y360,"")</f>
        <v/>
      </c>
      <c r="T360" s="290">
        <f>IF($H360="",0,Results!$U365)</f>
        <v>0</v>
      </c>
      <c r="U360" s="291">
        <f>IF($I360="",0,Results!$V365)</f>
        <v>0</v>
      </c>
      <c r="V360" s="270" t="str">
        <f t="shared" si="10"/>
        <v/>
      </c>
      <c r="W360" s="291" t="str">
        <f t="shared" si="11"/>
        <v/>
      </c>
      <c r="X360" s="270">
        <f>IF($O360=0,0,IF(Results!$R365="",0,Results!$R365))</f>
        <v>0</v>
      </c>
      <c r="Y360" s="291">
        <f>IF($O360=0,0,IF(Results!$T365="",0,Results!$T365))</f>
        <v>0</v>
      </c>
      <c r="Z360" s="270" t="str">
        <f>IF($O360=0,"",IF($X360&gt;$Y360,Settings!$C$4,IF($X360=$Y360,1,0)))</f>
        <v/>
      </c>
      <c r="AA360" s="291" t="str">
        <f>IF($O360=0,"",IF($X360&lt;$Y360,Settings!$C$4,IF($X360=$Y360,1,0)))</f>
        <v/>
      </c>
    </row>
    <row r="361" spans="5:27" x14ac:dyDescent="0.2">
      <c r="E361" s="266">
        <v>358</v>
      </c>
      <c r="F361" s="171" t="str">
        <f>Planning!$Q364</f>
        <v/>
      </c>
      <c r="G361" s="348" t="str">
        <f>Planning!$S364</f>
        <v/>
      </c>
      <c r="H361" s="344" t="str">
        <f>IF(AND(Results!$I366&lt;&gt;"",Results!$K366&lt;&gt;"",Results!$F366&lt;&gt;Results!$H366,$F361&lt;&gt;"",$G361&lt;&gt;""),Results!$I366,"")</f>
        <v/>
      </c>
      <c r="I361" s="343" t="str">
        <f>IF(AND(Results!$I366&lt;&gt;"",Results!$K366&lt;&gt;"",Results!$F366&lt;&gt;Results!$H366,$F361&lt;&gt;"",$G361&lt;&gt;""),Results!$K366,"")</f>
        <v/>
      </c>
      <c r="J361" s="344" t="str">
        <f>IF(AND(Results!$L366&lt;&gt;"",Results!$N366&lt;&gt;"",Results!$F366&lt;&gt;Results!$H366,$F361&lt;&gt;"",$G361&lt;&gt;""),Results!$L366,"")</f>
        <v/>
      </c>
      <c r="K361" s="343" t="str">
        <f>IF(AND(Results!$L366&lt;&gt;"",Results!$N366&lt;&gt;"",Results!$F366&lt;&gt;Results!$H366,$F361&lt;&gt;"",$G361&lt;&gt;""),Results!$N366,"")</f>
        <v/>
      </c>
      <c r="L361" s="344" t="str">
        <f>IF(AND(Results!$O366&lt;&gt;"",Results!$Q366&lt;&gt;"",Results!$F366&lt;&gt;Results!$H366,$F361&lt;&gt;"",$G361&lt;&gt;""),Results!$O366,"")</f>
        <v/>
      </c>
      <c r="M361" s="122" t="str">
        <f>IF(AND(Results!$O366&lt;&gt;"",Results!$Q366&lt;&gt;"",Results!$F366&lt;&gt;Results!$H366,$F361&lt;&gt;"",$G361&lt;&gt;""),Results!$Q366,"")</f>
        <v/>
      </c>
      <c r="N361" s="16" t="str">
        <f>IF(Planning!$I364=0,F361&amp;G361,"")</f>
        <v/>
      </c>
      <c r="O361" s="122">
        <f>IF(AND(Results!$Z$6&gt;0,$E361-1&gt;=Results!$Z$6*Calc!$F$26),0,IF(AND(F361&lt;&gt;"",G361&lt;&gt;"",F361&lt;&gt;G361,Results!$R366&lt;&gt;"",Results!$T366&lt;&gt;""),1,0))</f>
        <v>0</v>
      </c>
      <c r="P361" s="122" t="str">
        <f>IF(AND(O361&gt;0,Planning!$I364=0),V361&amp;Language!$E$90&amp;W361,"")</f>
        <v/>
      </c>
      <c r="Q361" s="2" t="str">
        <f>IF(Planning!$I364=1,F361&amp;G361,"")</f>
        <v/>
      </c>
      <c r="R361" s="88" t="str">
        <f>IF(AND(O361&gt;0,Planning!$I364=1),V361&amp;Language!$E$90&amp;W361,"")</f>
        <v/>
      </c>
      <c r="S361" s="122" t="str">
        <f>IF(O361&gt;0,X361&amp;Language!$E$90&amp;Y361,"")</f>
        <v/>
      </c>
      <c r="T361" s="290">
        <f>IF($H361="",0,Results!$U366)</f>
        <v>0</v>
      </c>
      <c r="U361" s="291">
        <f>IF($I361="",0,Results!$V366)</f>
        <v>0</v>
      </c>
      <c r="V361" s="270" t="str">
        <f t="shared" si="10"/>
        <v/>
      </c>
      <c r="W361" s="291" t="str">
        <f t="shared" si="11"/>
        <v/>
      </c>
      <c r="X361" s="270">
        <f>IF($O361=0,0,IF(Results!$R366="",0,Results!$R366))</f>
        <v>0</v>
      </c>
      <c r="Y361" s="291">
        <f>IF($O361=0,0,IF(Results!$T366="",0,Results!$T366))</f>
        <v>0</v>
      </c>
      <c r="Z361" s="270" t="str">
        <f>IF($O361=0,"",IF($X361&gt;$Y361,Settings!$C$4,IF($X361=$Y361,1,0)))</f>
        <v/>
      </c>
      <c r="AA361" s="291" t="str">
        <f>IF($O361=0,"",IF($X361&lt;$Y361,Settings!$C$4,IF($X361=$Y361,1,0)))</f>
        <v/>
      </c>
    </row>
    <row r="362" spans="5:27" x14ac:dyDescent="0.2">
      <c r="E362" s="266">
        <v>359</v>
      </c>
      <c r="F362" s="171" t="str">
        <f>Planning!$Q365</f>
        <v/>
      </c>
      <c r="G362" s="348" t="str">
        <f>Planning!$S365</f>
        <v/>
      </c>
      <c r="H362" s="344" t="str">
        <f>IF(AND(Results!$I367&lt;&gt;"",Results!$K367&lt;&gt;"",Results!$F367&lt;&gt;Results!$H367,$F362&lt;&gt;"",$G362&lt;&gt;""),Results!$I367,"")</f>
        <v/>
      </c>
      <c r="I362" s="343" t="str">
        <f>IF(AND(Results!$I367&lt;&gt;"",Results!$K367&lt;&gt;"",Results!$F367&lt;&gt;Results!$H367,$F362&lt;&gt;"",$G362&lt;&gt;""),Results!$K367,"")</f>
        <v/>
      </c>
      <c r="J362" s="344" t="str">
        <f>IF(AND(Results!$L367&lt;&gt;"",Results!$N367&lt;&gt;"",Results!$F367&lt;&gt;Results!$H367,$F362&lt;&gt;"",$G362&lt;&gt;""),Results!$L367,"")</f>
        <v/>
      </c>
      <c r="K362" s="343" t="str">
        <f>IF(AND(Results!$L367&lt;&gt;"",Results!$N367&lt;&gt;"",Results!$F367&lt;&gt;Results!$H367,$F362&lt;&gt;"",$G362&lt;&gt;""),Results!$N367,"")</f>
        <v/>
      </c>
      <c r="L362" s="344" t="str">
        <f>IF(AND(Results!$O367&lt;&gt;"",Results!$Q367&lt;&gt;"",Results!$F367&lt;&gt;Results!$H367,$F362&lt;&gt;"",$G362&lt;&gt;""),Results!$O367,"")</f>
        <v/>
      </c>
      <c r="M362" s="122" t="str">
        <f>IF(AND(Results!$O367&lt;&gt;"",Results!$Q367&lt;&gt;"",Results!$F367&lt;&gt;Results!$H367,$F362&lt;&gt;"",$G362&lt;&gt;""),Results!$Q367,"")</f>
        <v/>
      </c>
      <c r="N362" s="16" t="str">
        <f>IF(Planning!$I365=0,F362&amp;G362,"")</f>
        <v/>
      </c>
      <c r="O362" s="122">
        <f>IF(AND(Results!$Z$6&gt;0,$E362-1&gt;=Results!$Z$6*Calc!$F$26),0,IF(AND(F362&lt;&gt;"",G362&lt;&gt;"",F362&lt;&gt;G362,Results!$R367&lt;&gt;"",Results!$T367&lt;&gt;""),1,0))</f>
        <v>0</v>
      </c>
      <c r="P362" s="122" t="str">
        <f>IF(AND(O362&gt;0,Planning!$I365=0),V362&amp;Language!$E$90&amp;W362,"")</f>
        <v/>
      </c>
      <c r="Q362" s="2" t="str">
        <f>IF(Planning!$I365=1,F362&amp;G362,"")</f>
        <v/>
      </c>
      <c r="R362" s="88" t="str">
        <f>IF(AND(O362&gt;0,Planning!$I365=1),V362&amp;Language!$E$90&amp;W362,"")</f>
        <v/>
      </c>
      <c r="S362" s="122" t="str">
        <f>IF(O362&gt;0,X362&amp;Language!$E$90&amp;Y362,"")</f>
        <v/>
      </c>
      <c r="T362" s="290">
        <f>IF($H362="",0,Results!$U367)</f>
        <v>0</v>
      </c>
      <c r="U362" s="291">
        <f>IF($I362="",0,Results!$V367)</f>
        <v>0</v>
      </c>
      <c r="V362" s="270" t="str">
        <f t="shared" si="10"/>
        <v/>
      </c>
      <c r="W362" s="291" t="str">
        <f t="shared" si="11"/>
        <v/>
      </c>
      <c r="X362" s="270">
        <f>IF($O362=0,0,IF(Results!$R367="",0,Results!$R367))</f>
        <v>0</v>
      </c>
      <c r="Y362" s="291">
        <f>IF($O362=0,0,IF(Results!$T367="",0,Results!$T367))</f>
        <v>0</v>
      </c>
      <c r="Z362" s="270" t="str">
        <f>IF($O362=0,"",IF($X362&gt;$Y362,Settings!$C$4,IF($X362=$Y362,1,0)))</f>
        <v/>
      </c>
      <c r="AA362" s="291" t="str">
        <f>IF($O362=0,"",IF($X362&lt;$Y362,Settings!$C$4,IF($X362=$Y362,1,0)))</f>
        <v/>
      </c>
    </row>
    <row r="363" spans="5:27" x14ac:dyDescent="0.2">
      <c r="E363" s="266">
        <v>360</v>
      </c>
      <c r="F363" s="171" t="str">
        <f>Planning!$Q366</f>
        <v/>
      </c>
      <c r="G363" s="348" t="str">
        <f>Planning!$S366</f>
        <v/>
      </c>
      <c r="H363" s="344" t="str">
        <f>IF(AND(Results!$I368&lt;&gt;"",Results!$K368&lt;&gt;"",Results!$F368&lt;&gt;Results!$H368,$F363&lt;&gt;"",$G363&lt;&gt;""),Results!$I368,"")</f>
        <v/>
      </c>
      <c r="I363" s="343" t="str">
        <f>IF(AND(Results!$I368&lt;&gt;"",Results!$K368&lt;&gt;"",Results!$F368&lt;&gt;Results!$H368,$F363&lt;&gt;"",$G363&lt;&gt;""),Results!$K368,"")</f>
        <v/>
      </c>
      <c r="J363" s="344" t="str">
        <f>IF(AND(Results!$L368&lt;&gt;"",Results!$N368&lt;&gt;"",Results!$F368&lt;&gt;Results!$H368,$F363&lt;&gt;"",$G363&lt;&gt;""),Results!$L368,"")</f>
        <v/>
      </c>
      <c r="K363" s="343" t="str">
        <f>IF(AND(Results!$L368&lt;&gt;"",Results!$N368&lt;&gt;"",Results!$F368&lt;&gt;Results!$H368,$F363&lt;&gt;"",$G363&lt;&gt;""),Results!$N368,"")</f>
        <v/>
      </c>
      <c r="L363" s="344" t="str">
        <f>IF(AND(Results!$O368&lt;&gt;"",Results!$Q368&lt;&gt;"",Results!$F368&lt;&gt;Results!$H368,$F363&lt;&gt;"",$G363&lt;&gt;""),Results!$O368,"")</f>
        <v/>
      </c>
      <c r="M363" s="122" t="str">
        <f>IF(AND(Results!$O368&lt;&gt;"",Results!$Q368&lt;&gt;"",Results!$F368&lt;&gt;Results!$H368,$F363&lt;&gt;"",$G363&lt;&gt;""),Results!$Q368,"")</f>
        <v/>
      </c>
      <c r="N363" s="16" t="str">
        <f>IF(Planning!$I366=0,F363&amp;G363,"")</f>
        <v/>
      </c>
      <c r="O363" s="122">
        <f>IF(AND(Results!$Z$6&gt;0,$E363-1&gt;=Results!$Z$6*Calc!$F$26),0,IF(AND(F363&lt;&gt;"",G363&lt;&gt;"",F363&lt;&gt;G363,Results!$R368&lt;&gt;"",Results!$T368&lt;&gt;""),1,0))</f>
        <v>0</v>
      </c>
      <c r="P363" s="122" t="str">
        <f>IF(AND(O363&gt;0,Planning!$I366=0),V363&amp;Language!$E$90&amp;W363,"")</f>
        <v/>
      </c>
      <c r="Q363" s="2" t="str">
        <f>IF(Planning!$I366=1,F363&amp;G363,"")</f>
        <v/>
      </c>
      <c r="R363" s="88" t="str">
        <f>IF(AND(O363&gt;0,Planning!$I366=1),V363&amp;Language!$E$90&amp;W363,"")</f>
        <v/>
      </c>
      <c r="S363" s="122" t="str">
        <f>IF(O363&gt;0,X363&amp;Language!$E$90&amp;Y363,"")</f>
        <v/>
      </c>
      <c r="T363" s="290">
        <f>IF($H363="",0,Results!$U368)</f>
        <v>0</v>
      </c>
      <c r="U363" s="291">
        <f>IF($I363="",0,Results!$V368)</f>
        <v>0</v>
      </c>
      <c r="V363" s="270" t="str">
        <f t="shared" si="10"/>
        <v/>
      </c>
      <c r="W363" s="291" t="str">
        <f t="shared" si="11"/>
        <v/>
      </c>
      <c r="X363" s="270">
        <f>IF($O363=0,0,IF(Results!$R368="",0,Results!$R368))</f>
        <v>0</v>
      </c>
      <c r="Y363" s="291">
        <f>IF($O363=0,0,IF(Results!$T368="",0,Results!$T368))</f>
        <v>0</v>
      </c>
      <c r="Z363" s="270" t="str">
        <f>IF($O363=0,"",IF($X363&gt;$Y363,Settings!$C$4,IF($X363=$Y363,1,0)))</f>
        <v/>
      </c>
      <c r="AA363" s="291" t="str">
        <f>IF($O363=0,"",IF($X363&lt;$Y363,Settings!$C$4,IF($X363=$Y363,1,0)))</f>
        <v/>
      </c>
    </row>
    <row r="364" spans="5:27" x14ac:dyDescent="0.2">
      <c r="E364" s="266">
        <v>361</v>
      </c>
      <c r="F364" s="171" t="str">
        <f>Planning!$Q367</f>
        <v/>
      </c>
      <c r="G364" s="348" t="str">
        <f>Planning!$S367</f>
        <v/>
      </c>
      <c r="H364" s="344" t="str">
        <f>IF(AND(Results!$I369&lt;&gt;"",Results!$K369&lt;&gt;"",Results!$F369&lt;&gt;Results!$H369,$F364&lt;&gt;"",$G364&lt;&gt;""),Results!$I369,"")</f>
        <v/>
      </c>
      <c r="I364" s="343" t="str">
        <f>IF(AND(Results!$I369&lt;&gt;"",Results!$K369&lt;&gt;"",Results!$F369&lt;&gt;Results!$H369,$F364&lt;&gt;"",$G364&lt;&gt;""),Results!$K369,"")</f>
        <v/>
      </c>
      <c r="J364" s="344" t="str">
        <f>IF(AND(Results!$L369&lt;&gt;"",Results!$N369&lt;&gt;"",Results!$F369&lt;&gt;Results!$H369,$F364&lt;&gt;"",$G364&lt;&gt;""),Results!$L369,"")</f>
        <v/>
      </c>
      <c r="K364" s="343" t="str">
        <f>IF(AND(Results!$L369&lt;&gt;"",Results!$N369&lt;&gt;"",Results!$F369&lt;&gt;Results!$H369,$F364&lt;&gt;"",$G364&lt;&gt;""),Results!$N369,"")</f>
        <v/>
      </c>
      <c r="L364" s="344" t="str">
        <f>IF(AND(Results!$O369&lt;&gt;"",Results!$Q369&lt;&gt;"",Results!$F369&lt;&gt;Results!$H369,$F364&lt;&gt;"",$G364&lt;&gt;""),Results!$O369,"")</f>
        <v/>
      </c>
      <c r="M364" s="122" t="str">
        <f>IF(AND(Results!$O369&lt;&gt;"",Results!$Q369&lt;&gt;"",Results!$F369&lt;&gt;Results!$H369,$F364&lt;&gt;"",$G364&lt;&gt;""),Results!$Q369,"")</f>
        <v/>
      </c>
      <c r="N364" s="16" t="str">
        <f>IF(Planning!$I367=0,F364&amp;G364,"")</f>
        <v/>
      </c>
      <c r="O364" s="122">
        <f>IF(AND(Results!$Z$6&gt;0,$E364-1&gt;=Results!$Z$6*Calc!$F$26),0,IF(AND(F364&lt;&gt;"",G364&lt;&gt;"",F364&lt;&gt;G364,Results!$R369&lt;&gt;"",Results!$T369&lt;&gt;""),1,0))</f>
        <v>0</v>
      </c>
      <c r="P364" s="122" t="str">
        <f>IF(AND(O364&gt;0,Planning!$I367=0),V364&amp;Language!$E$90&amp;W364,"")</f>
        <v/>
      </c>
      <c r="Q364" s="2" t="str">
        <f>IF(Planning!$I367=1,F364&amp;G364,"")</f>
        <v/>
      </c>
      <c r="R364" s="88" t="str">
        <f>IF(AND(O364&gt;0,Planning!$I367=1),V364&amp;Language!$E$90&amp;W364,"")</f>
        <v/>
      </c>
      <c r="S364" s="122" t="str">
        <f>IF(O364&gt;0,X364&amp;Language!$E$90&amp;Y364,"")</f>
        <v/>
      </c>
      <c r="T364" s="290">
        <f>IF($H364="",0,Results!$U369)</f>
        <v>0</v>
      </c>
      <c r="U364" s="291">
        <f>IF($I364="",0,Results!$V369)</f>
        <v>0</v>
      </c>
      <c r="V364" s="270" t="str">
        <f t="shared" si="10"/>
        <v/>
      </c>
      <c r="W364" s="291" t="str">
        <f t="shared" si="11"/>
        <v/>
      </c>
      <c r="X364" s="270">
        <f>IF($O364=0,0,IF(Results!$R369="",0,Results!$R369))</f>
        <v>0</v>
      </c>
      <c r="Y364" s="291">
        <f>IF($O364=0,0,IF(Results!$T369="",0,Results!$T369))</f>
        <v>0</v>
      </c>
      <c r="Z364" s="270" t="str">
        <f>IF($O364=0,"",IF($X364&gt;$Y364,Settings!$C$4,IF($X364=$Y364,1,0)))</f>
        <v/>
      </c>
      <c r="AA364" s="291" t="str">
        <f>IF($O364=0,"",IF($X364&lt;$Y364,Settings!$C$4,IF($X364=$Y364,1,0)))</f>
        <v/>
      </c>
    </row>
    <row r="365" spans="5:27" x14ac:dyDescent="0.2">
      <c r="E365" s="266">
        <v>362</v>
      </c>
      <c r="F365" s="171" t="str">
        <f>Planning!$Q368</f>
        <v/>
      </c>
      <c r="G365" s="348" t="str">
        <f>Planning!$S368</f>
        <v/>
      </c>
      <c r="H365" s="344" t="str">
        <f>IF(AND(Results!$I370&lt;&gt;"",Results!$K370&lt;&gt;"",Results!$F370&lt;&gt;Results!$H370,$F365&lt;&gt;"",$G365&lt;&gt;""),Results!$I370,"")</f>
        <v/>
      </c>
      <c r="I365" s="343" t="str">
        <f>IF(AND(Results!$I370&lt;&gt;"",Results!$K370&lt;&gt;"",Results!$F370&lt;&gt;Results!$H370,$F365&lt;&gt;"",$G365&lt;&gt;""),Results!$K370,"")</f>
        <v/>
      </c>
      <c r="J365" s="344" t="str">
        <f>IF(AND(Results!$L370&lt;&gt;"",Results!$N370&lt;&gt;"",Results!$F370&lt;&gt;Results!$H370,$F365&lt;&gt;"",$G365&lt;&gt;""),Results!$L370,"")</f>
        <v/>
      </c>
      <c r="K365" s="343" t="str">
        <f>IF(AND(Results!$L370&lt;&gt;"",Results!$N370&lt;&gt;"",Results!$F370&lt;&gt;Results!$H370,$F365&lt;&gt;"",$G365&lt;&gt;""),Results!$N370,"")</f>
        <v/>
      </c>
      <c r="L365" s="344" t="str">
        <f>IF(AND(Results!$O370&lt;&gt;"",Results!$Q370&lt;&gt;"",Results!$F370&lt;&gt;Results!$H370,$F365&lt;&gt;"",$G365&lt;&gt;""),Results!$O370,"")</f>
        <v/>
      </c>
      <c r="M365" s="122" t="str">
        <f>IF(AND(Results!$O370&lt;&gt;"",Results!$Q370&lt;&gt;"",Results!$F370&lt;&gt;Results!$H370,$F365&lt;&gt;"",$G365&lt;&gt;""),Results!$Q370,"")</f>
        <v/>
      </c>
      <c r="N365" s="16" t="str">
        <f>IF(Planning!$I368=0,F365&amp;G365,"")</f>
        <v/>
      </c>
      <c r="O365" s="122">
        <f>IF(AND(Results!$Z$6&gt;0,$E365-1&gt;=Results!$Z$6*Calc!$F$26),0,IF(AND(F365&lt;&gt;"",G365&lt;&gt;"",F365&lt;&gt;G365,Results!$R370&lt;&gt;"",Results!$T370&lt;&gt;""),1,0))</f>
        <v>0</v>
      </c>
      <c r="P365" s="122" t="str">
        <f>IF(AND(O365&gt;0,Planning!$I368=0),V365&amp;Language!$E$90&amp;W365,"")</f>
        <v/>
      </c>
      <c r="Q365" s="2" t="str">
        <f>IF(Planning!$I368=1,F365&amp;G365,"")</f>
        <v/>
      </c>
      <c r="R365" s="88" t="str">
        <f>IF(AND(O365&gt;0,Planning!$I368=1),V365&amp;Language!$E$90&amp;W365,"")</f>
        <v/>
      </c>
      <c r="S365" s="122" t="str">
        <f>IF(O365&gt;0,X365&amp;Language!$E$90&amp;Y365,"")</f>
        <v/>
      </c>
      <c r="T365" s="290">
        <f>IF($H365="",0,Results!$U370)</f>
        <v>0</v>
      </c>
      <c r="U365" s="291">
        <f>IF($I365="",0,Results!$V370)</f>
        <v>0</v>
      </c>
      <c r="V365" s="270" t="str">
        <f t="shared" si="10"/>
        <v/>
      </c>
      <c r="W365" s="291" t="str">
        <f t="shared" si="11"/>
        <v/>
      </c>
      <c r="X365" s="270">
        <f>IF($O365=0,0,IF(Results!$R370="",0,Results!$R370))</f>
        <v>0</v>
      </c>
      <c r="Y365" s="291">
        <f>IF($O365=0,0,IF(Results!$T370="",0,Results!$T370))</f>
        <v>0</v>
      </c>
      <c r="Z365" s="270" t="str">
        <f>IF($O365=0,"",IF($X365&gt;$Y365,Settings!$C$4,IF($X365=$Y365,1,0)))</f>
        <v/>
      </c>
      <c r="AA365" s="291" t="str">
        <f>IF($O365=0,"",IF($X365&lt;$Y365,Settings!$C$4,IF($X365=$Y365,1,0)))</f>
        <v/>
      </c>
    </row>
    <row r="366" spans="5:27" x14ac:dyDescent="0.2">
      <c r="E366" s="266">
        <v>363</v>
      </c>
      <c r="F366" s="171" t="str">
        <f>Planning!$Q369</f>
        <v/>
      </c>
      <c r="G366" s="348" t="str">
        <f>Planning!$S369</f>
        <v/>
      </c>
      <c r="H366" s="344" t="str">
        <f>IF(AND(Results!$I371&lt;&gt;"",Results!$K371&lt;&gt;"",Results!$F371&lt;&gt;Results!$H371,$F366&lt;&gt;"",$G366&lt;&gt;""),Results!$I371,"")</f>
        <v/>
      </c>
      <c r="I366" s="343" t="str">
        <f>IF(AND(Results!$I371&lt;&gt;"",Results!$K371&lt;&gt;"",Results!$F371&lt;&gt;Results!$H371,$F366&lt;&gt;"",$G366&lt;&gt;""),Results!$K371,"")</f>
        <v/>
      </c>
      <c r="J366" s="344" t="str">
        <f>IF(AND(Results!$L371&lt;&gt;"",Results!$N371&lt;&gt;"",Results!$F371&lt;&gt;Results!$H371,$F366&lt;&gt;"",$G366&lt;&gt;""),Results!$L371,"")</f>
        <v/>
      </c>
      <c r="K366" s="343" t="str">
        <f>IF(AND(Results!$L371&lt;&gt;"",Results!$N371&lt;&gt;"",Results!$F371&lt;&gt;Results!$H371,$F366&lt;&gt;"",$G366&lt;&gt;""),Results!$N371,"")</f>
        <v/>
      </c>
      <c r="L366" s="344" t="str">
        <f>IF(AND(Results!$O371&lt;&gt;"",Results!$Q371&lt;&gt;"",Results!$F371&lt;&gt;Results!$H371,$F366&lt;&gt;"",$G366&lt;&gt;""),Results!$O371,"")</f>
        <v/>
      </c>
      <c r="M366" s="122" t="str">
        <f>IF(AND(Results!$O371&lt;&gt;"",Results!$Q371&lt;&gt;"",Results!$F371&lt;&gt;Results!$H371,$F366&lt;&gt;"",$G366&lt;&gt;""),Results!$Q371,"")</f>
        <v/>
      </c>
      <c r="N366" s="16" t="str">
        <f>IF(Planning!$I369=0,F366&amp;G366,"")</f>
        <v/>
      </c>
      <c r="O366" s="122">
        <f>IF(AND(Results!$Z$6&gt;0,$E366-1&gt;=Results!$Z$6*Calc!$F$26),0,IF(AND(F366&lt;&gt;"",G366&lt;&gt;"",F366&lt;&gt;G366,Results!$R371&lt;&gt;"",Results!$T371&lt;&gt;""),1,0))</f>
        <v>0</v>
      </c>
      <c r="P366" s="122" t="str">
        <f>IF(AND(O366&gt;0,Planning!$I369=0),V366&amp;Language!$E$90&amp;W366,"")</f>
        <v/>
      </c>
      <c r="Q366" s="2" t="str">
        <f>IF(Planning!$I369=1,F366&amp;G366,"")</f>
        <v/>
      </c>
      <c r="R366" s="88" t="str">
        <f>IF(AND(O366&gt;0,Planning!$I369=1),V366&amp;Language!$E$90&amp;W366,"")</f>
        <v/>
      </c>
      <c r="S366" s="122" t="str">
        <f>IF(O366&gt;0,X366&amp;Language!$E$90&amp;Y366,"")</f>
        <v/>
      </c>
      <c r="T366" s="290">
        <f>IF($H366="",0,Results!$U371)</f>
        <v>0</v>
      </c>
      <c r="U366" s="291">
        <f>IF($I366="",0,Results!$V371)</f>
        <v>0</v>
      </c>
      <c r="V366" s="270" t="str">
        <f t="shared" si="10"/>
        <v/>
      </c>
      <c r="W366" s="291" t="str">
        <f t="shared" si="11"/>
        <v/>
      </c>
      <c r="X366" s="270">
        <f>IF($O366=0,0,IF(Results!$R371="",0,Results!$R371))</f>
        <v>0</v>
      </c>
      <c r="Y366" s="291">
        <f>IF($O366=0,0,IF(Results!$T371="",0,Results!$T371))</f>
        <v>0</v>
      </c>
      <c r="Z366" s="270" t="str">
        <f>IF($O366=0,"",IF($X366&gt;$Y366,Settings!$C$4,IF($X366=$Y366,1,0)))</f>
        <v/>
      </c>
      <c r="AA366" s="291" t="str">
        <f>IF($O366=0,"",IF($X366&lt;$Y366,Settings!$C$4,IF($X366=$Y366,1,0)))</f>
        <v/>
      </c>
    </row>
    <row r="367" spans="5:27" x14ac:dyDescent="0.2">
      <c r="E367" s="266">
        <v>364</v>
      </c>
      <c r="F367" s="171" t="str">
        <f>Planning!$Q370</f>
        <v/>
      </c>
      <c r="G367" s="348" t="str">
        <f>Planning!$S370</f>
        <v/>
      </c>
      <c r="H367" s="344" t="str">
        <f>IF(AND(Results!$I372&lt;&gt;"",Results!$K372&lt;&gt;"",Results!$F372&lt;&gt;Results!$H372,$F367&lt;&gt;"",$G367&lt;&gt;""),Results!$I372,"")</f>
        <v/>
      </c>
      <c r="I367" s="343" t="str">
        <f>IF(AND(Results!$I372&lt;&gt;"",Results!$K372&lt;&gt;"",Results!$F372&lt;&gt;Results!$H372,$F367&lt;&gt;"",$G367&lt;&gt;""),Results!$K372,"")</f>
        <v/>
      </c>
      <c r="J367" s="344" t="str">
        <f>IF(AND(Results!$L372&lt;&gt;"",Results!$N372&lt;&gt;"",Results!$F372&lt;&gt;Results!$H372,$F367&lt;&gt;"",$G367&lt;&gt;""),Results!$L372,"")</f>
        <v/>
      </c>
      <c r="K367" s="343" t="str">
        <f>IF(AND(Results!$L372&lt;&gt;"",Results!$N372&lt;&gt;"",Results!$F372&lt;&gt;Results!$H372,$F367&lt;&gt;"",$G367&lt;&gt;""),Results!$N372,"")</f>
        <v/>
      </c>
      <c r="L367" s="344" t="str">
        <f>IF(AND(Results!$O372&lt;&gt;"",Results!$Q372&lt;&gt;"",Results!$F372&lt;&gt;Results!$H372,$F367&lt;&gt;"",$G367&lt;&gt;""),Results!$O372,"")</f>
        <v/>
      </c>
      <c r="M367" s="122" t="str">
        <f>IF(AND(Results!$O372&lt;&gt;"",Results!$Q372&lt;&gt;"",Results!$F372&lt;&gt;Results!$H372,$F367&lt;&gt;"",$G367&lt;&gt;""),Results!$Q372,"")</f>
        <v/>
      </c>
      <c r="N367" s="16" t="str">
        <f>IF(Planning!$I370=0,F367&amp;G367,"")</f>
        <v/>
      </c>
      <c r="O367" s="122">
        <f>IF(AND(Results!$Z$6&gt;0,$E367-1&gt;=Results!$Z$6*Calc!$F$26),0,IF(AND(F367&lt;&gt;"",G367&lt;&gt;"",F367&lt;&gt;G367,Results!$R372&lt;&gt;"",Results!$T372&lt;&gt;""),1,0))</f>
        <v>0</v>
      </c>
      <c r="P367" s="122" t="str">
        <f>IF(AND(O367&gt;0,Planning!$I370=0),V367&amp;Language!$E$90&amp;W367,"")</f>
        <v/>
      </c>
      <c r="Q367" s="2" t="str">
        <f>IF(Planning!$I370=1,F367&amp;G367,"")</f>
        <v/>
      </c>
      <c r="R367" s="88" t="str">
        <f>IF(AND(O367&gt;0,Planning!$I370=1),V367&amp;Language!$E$90&amp;W367,"")</f>
        <v/>
      </c>
      <c r="S367" s="122" t="str">
        <f>IF(O367&gt;0,X367&amp;Language!$E$90&amp;Y367,"")</f>
        <v/>
      </c>
      <c r="T367" s="290">
        <f>IF($H367="",0,Results!$U372)</f>
        <v>0</v>
      </c>
      <c r="U367" s="291">
        <f>IF($I367="",0,Results!$V372)</f>
        <v>0</v>
      </c>
      <c r="V367" s="270" t="str">
        <f t="shared" si="10"/>
        <v/>
      </c>
      <c r="W367" s="291" t="str">
        <f t="shared" si="11"/>
        <v/>
      </c>
      <c r="X367" s="270">
        <f>IF($O367=0,0,IF(Results!$R372="",0,Results!$R372))</f>
        <v>0</v>
      </c>
      <c r="Y367" s="291">
        <f>IF($O367=0,0,IF(Results!$T372="",0,Results!$T372))</f>
        <v>0</v>
      </c>
      <c r="Z367" s="270" t="str">
        <f>IF($O367=0,"",IF($X367&gt;$Y367,Settings!$C$4,IF($X367=$Y367,1,0)))</f>
        <v/>
      </c>
      <c r="AA367" s="291" t="str">
        <f>IF($O367=0,"",IF($X367&lt;$Y367,Settings!$C$4,IF($X367=$Y367,1,0)))</f>
        <v/>
      </c>
    </row>
    <row r="368" spans="5:27" x14ac:dyDescent="0.2">
      <c r="E368" s="266">
        <v>365</v>
      </c>
      <c r="F368" s="171" t="str">
        <f>Planning!$Q371</f>
        <v/>
      </c>
      <c r="G368" s="348" t="str">
        <f>Planning!$S371</f>
        <v/>
      </c>
      <c r="H368" s="344" t="str">
        <f>IF(AND(Results!$I373&lt;&gt;"",Results!$K373&lt;&gt;"",Results!$F373&lt;&gt;Results!$H373,$F368&lt;&gt;"",$G368&lt;&gt;""),Results!$I373,"")</f>
        <v/>
      </c>
      <c r="I368" s="343" t="str">
        <f>IF(AND(Results!$I373&lt;&gt;"",Results!$K373&lt;&gt;"",Results!$F373&lt;&gt;Results!$H373,$F368&lt;&gt;"",$G368&lt;&gt;""),Results!$K373,"")</f>
        <v/>
      </c>
      <c r="J368" s="344" t="str">
        <f>IF(AND(Results!$L373&lt;&gt;"",Results!$N373&lt;&gt;"",Results!$F373&lt;&gt;Results!$H373,$F368&lt;&gt;"",$G368&lt;&gt;""),Results!$L373,"")</f>
        <v/>
      </c>
      <c r="K368" s="343" t="str">
        <f>IF(AND(Results!$L373&lt;&gt;"",Results!$N373&lt;&gt;"",Results!$F373&lt;&gt;Results!$H373,$F368&lt;&gt;"",$G368&lt;&gt;""),Results!$N373,"")</f>
        <v/>
      </c>
      <c r="L368" s="344" t="str">
        <f>IF(AND(Results!$O373&lt;&gt;"",Results!$Q373&lt;&gt;"",Results!$F373&lt;&gt;Results!$H373,$F368&lt;&gt;"",$G368&lt;&gt;""),Results!$O373,"")</f>
        <v/>
      </c>
      <c r="M368" s="122" t="str">
        <f>IF(AND(Results!$O373&lt;&gt;"",Results!$Q373&lt;&gt;"",Results!$F373&lt;&gt;Results!$H373,$F368&lt;&gt;"",$G368&lt;&gt;""),Results!$Q373,"")</f>
        <v/>
      </c>
      <c r="N368" s="16" t="str">
        <f>IF(Planning!$I371=0,F368&amp;G368,"")</f>
        <v/>
      </c>
      <c r="O368" s="122">
        <f>IF(AND(Results!$Z$6&gt;0,$E368-1&gt;=Results!$Z$6*Calc!$F$26),0,IF(AND(F368&lt;&gt;"",G368&lt;&gt;"",F368&lt;&gt;G368,Results!$R373&lt;&gt;"",Results!$T373&lt;&gt;""),1,0))</f>
        <v>0</v>
      </c>
      <c r="P368" s="122" t="str">
        <f>IF(AND(O368&gt;0,Planning!$I371=0),V368&amp;Language!$E$90&amp;W368,"")</f>
        <v/>
      </c>
      <c r="Q368" s="2" t="str">
        <f>IF(Planning!$I371=1,F368&amp;G368,"")</f>
        <v/>
      </c>
      <c r="R368" s="88" t="str">
        <f>IF(AND(O368&gt;0,Planning!$I371=1),V368&amp;Language!$E$90&amp;W368,"")</f>
        <v/>
      </c>
      <c r="S368" s="122" t="str">
        <f>IF(O368&gt;0,X368&amp;Language!$E$90&amp;Y368,"")</f>
        <v/>
      </c>
      <c r="T368" s="290">
        <f>IF($H368="",0,Results!$U373)</f>
        <v>0</v>
      </c>
      <c r="U368" s="291">
        <f>IF($I368="",0,Results!$V373)</f>
        <v>0</v>
      </c>
      <c r="V368" s="270" t="str">
        <f t="shared" si="10"/>
        <v/>
      </c>
      <c r="W368" s="291" t="str">
        <f t="shared" si="11"/>
        <v/>
      </c>
      <c r="X368" s="270">
        <f>IF($O368=0,0,IF(Results!$R373="",0,Results!$R373))</f>
        <v>0</v>
      </c>
      <c r="Y368" s="291">
        <f>IF($O368=0,0,IF(Results!$T373="",0,Results!$T373))</f>
        <v>0</v>
      </c>
      <c r="Z368" s="270" t="str">
        <f>IF($O368=0,"",IF($X368&gt;$Y368,Settings!$C$4,IF($X368=$Y368,1,0)))</f>
        <v/>
      </c>
      <c r="AA368" s="291" t="str">
        <f>IF($O368=0,"",IF($X368&lt;$Y368,Settings!$C$4,IF($X368=$Y368,1,0)))</f>
        <v/>
      </c>
    </row>
    <row r="369" spans="5:27" x14ac:dyDescent="0.2">
      <c r="E369" s="266">
        <v>366</v>
      </c>
      <c r="F369" s="171" t="str">
        <f>Planning!$Q372</f>
        <v/>
      </c>
      <c r="G369" s="348" t="str">
        <f>Planning!$S372</f>
        <v/>
      </c>
      <c r="H369" s="344" t="str">
        <f>IF(AND(Results!$I374&lt;&gt;"",Results!$K374&lt;&gt;"",Results!$F374&lt;&gt;Results!$H374,$F369&lt;&gt;"",$G369&lt;&gt;""),Results!$I374,"")</f>
        <v/>
      </c>
      <c r="I369" s="343" t="str">
        <f>IF(AND(Results!$I374&lt;&gt;"",Results!$K374&lt;&gt;"",Results!$F374&lt;&gt;Results!$H374,$F369&lt;&gt;"",$G369&lt;&gt;""),Results!$K374,"")</f>
        <v/>
      </c>
      <c r="J369" s="344" t="str">
        <f>IF(AND(Results!$L374&lt;&gt;"",Results!$N374&lt;&gt;"",Results!$F374&lt;&gt;Results!$H374,$F369&lt;&gt;"",$G369&lt;&gt;""),Results!$L374,"")</f>
        <v/>
      </c>
      <c r="K369" s="343" t="str">
        <f>IF(AND(Results!$L374&lt;&gt;"",Results!$N374&lt;&gt;"",Results!$F374&lt;&gt;Results!$H374,$F369&lt;&gt;"",$G369&lt;&gt;""),Results!$N374,"")</f>
        <v/>
      </c>
      <c r="L369" s="344" t="str">
        <f>IF(AND(Results!$O374&lt;&gt;"",Results!$Q374&lt;&gt;"",Results!$F374&lt;&gt;Results!$H374,$F369&lt;&gt;"",$G369&lt;&gt;""),Results!$O374,"")</f>
        <v/>
      </c>
      <c r="M369" s="122" t="str">
        <f>IF(AND(Results!$O374&lt;&gt;"",Results!$Q374&lt;&gt;"",Results!$F374&lt;&gt;Results!$H374,$F369&lt;&gt;"",$G369&lt;&gt;""),Results!$Q374,"")</f>
        <v/>
      </c>
      <c r="N369" s="16" t="str">
        <f>IF(Planning!$I372=0,F369&amp;G369,"")</f>
        <v/>
      </c>
      <c r="O369" s="122">
        <f>IF(AND(Results!$Z$6&gt;0,$E369-1&gt;=Results!$Z$6*Calc!$F$26),0,IF(AND(F369&lt;&gt;"",G369&lt;&gt;"",F369&lt;&gt;G369,Results!$R374&lt;&gt;"",Results!$T374&lt;&gt;""),1,0))</f>
        <v>0</v>
      </c>
      <c r="P369" s="122" t="str">
        <f>IF(AND(O369&gt;0,Planning!$I372=0),V369&amp;Language!$E$90&amp;W369,"")</f>
        <v/>
      </c>
      <c r="Q369" s="2" t="str">
        <f>IF(Planning!$I372=1,F369&amp;G369,"")</f>
        <v/>
      </c>
      <c r="R369" s="88" t="str">
        <f>IF(AND(O369&gt;0,Planning!$I372=1),V369&amp;Language!$E$90&amp;W369,"")</f>
        <v/>
      </c>
      <c r="S369" s="122" t="str">
        <f>IF(O369&gt;0,X369&amp;Language!$E$90&amp;Y369,"")</f>
        <v/>
      </c>
      <c r="T369" s="290">
        <f>IF($H369="",0,Results!$U374)</f>
        <v>0</v>
      </c>
      <c r="U369" s="291">
        <f>IF($I369="",0,Results!$V374)</f>
        <v>0</v>
      </c>
      <c r="V369" s="270" t="str">
        <f t="shared" si="10"/>
        <v/>
      </c>
      <c r="W369" s="291" t="str">
        <f t="shared" si="11"/>
        <v/>
      </c>
      <c r="X369" s="270">
        <f>IF($O369=0,0,IF(Results!$R374="",0,Results!$R374))</f>
        <v>0</v>
      </c>
      <c r="Y369" s="291">
        <f>IF($O369=0,0,IF(Results!$T374="",0,Results!$T374))</f>
        <v>0</v>
      </c>
      <c r="Z369" s="270" t="str">
        <f>IF($O369=0,"",IF($X369&gt;$Y369,Settings!$C$4,IF($X369=$Y369,1,0)))</f>
        <v/>
      </c>
      <c r="AA369" s="291" t="str">
        <f>IF($O369=0,"",IF($X369&lt;$Y369,Settings!$C$4,IF($X369=$Y369,1,0)))</f>
        <v/>
      </c>
    </row>
    <row r="370" spans="5:27" x14ac:dyDescent="0.2">
      <c r="E370" s="266">
        <v>367</v>
      </c>
      <c r="F370" s="171" t="str">
        <f>Planning!$Q373</f>
        <v/>
      </c>
      <c r="G370" s="348" t="str">
        <f>Planning!$S373</f>
        <v/>
      </c>
      <c r="H370" s="344" t="str">
        <f>IF(AND(Results!$I375&lt;&gt;"",Results!$K375&lt;&gt;"",Results!$F375&lt;&gt;Results!$H375,$F370&lt;&gt;"",$G370&lt;&gt;""),Results!$I375,"")</f>
        <v/>
      </c>
      <c r="I370" s="343" t="str">
        <f>IF(AND(Results!$I375&lt;&gt;"",Results!$K375&lt;&gt;"",Results!$F375&lt;&gt;Results!$H375,$F370&lt;&gt;"",$G370&lt;&gt;""),Results!$K375,"")</f>
        <v/>
      </c>
      <c r="J370" s="344" t="str">
        <f>IF(AND(Results!$L375&lt;&gt;"",Results!$N375&lt;&gt;"",Results!$F375&lt;&gt;Results!$H375,$F370&lt;&gt;"",$G370&lt;&gt;""),Results!$L375,"")</f>
        <v/>
      </c>
      <c r="K370" s="343" t="str">
        <f>IF(AND(Results!$L375&lt;&gt;"",Results!$N375&lt;&gt;"",Results!$F375&lt;&gt;Results!$H375,$F370&lt;&gt;"",$G370&lt;&gt;""),Results!$N375,"")</f>
        <v/>
      </c>
      <c r="L370" s="344" t="str">
        <f>IF(AND(Results!$O375&lt;&gt;"",Results!$Q375&lt;&gt;"",Results!$F375&lt;&gt;Results!$H375,$F370&lt;&gt;"",$G370&lt;&gt;""),Results!$O375,"")</f>
        <v/>
      </c>
      <c r="M370" s="122" t="str">
        <f>IF(AND(Results!$O375&lt;&gt;"",Results!$Q375&lt;&gt;"",Results!$F375&lt;&gt;Results!$H375,$F370&lt;&gt;"",$G370&lt;&gt;""),Results!$Q375,"")</f>
        <v/>
      </c>
      <c r="N370" s="16" t="str">
        <f>IF(Planning!$I373=0,F370&amp;G370,"")</f>
        <v/>
      </c>
      <c r="O370" s="122">
        <f>IF(AND(Results!$Z$6&gt;0,$E370-1&gt;=Results!$Z$6*Calc!$F$26),0,IF(AND(F370&lt;&gt;"",G370&lt;&gt;"",F370&lt;&gt;G370,Results!$R375&lt;&gt;"",Results!$T375&lt;&gt;""),1,0))</f>
        <v>0</v>
      </c>
      <c r="P370" s="122" t="str">
        <f>IF(AND(O370&gt;0,Planning!$I373=0),V370&amp;Language!$E$90&amp;W370,"")</f>
        <v/>
      </c>
      <c r="Q370" s="2" t="str">
        <f>IF(Planning!$I373=1,F370&amp;G370,"")</f>
        <v/>
      </c>
      <c r="R370" s="88" t="str">
        <f>IF(AND(O370&gt;0,Planning!$I373=1),V370&amp;Language!$E$90&amp;W370,"")</f>
        <v/>
      </c>
      <c r="S370" s="122" t="str">
        <f>IF(O370&gt;0,X370&amp;Language!$E$90&amp;Y370,"")</f>
        <v/>
      </c>
      <c r="T370" s="290">
        <f>IF($H370="",0,Results!$U375)</f>
        <v>0</v>
      </c>
      <c r="U370" s="291">
        <f>IF($I370="",0,Results!$V375)</f>
        <v>0</v>
      </c>
      <c r="V370" s="270" t="str">
        <f t="shared" si="10"/>
        <v/>
      </c>
      <c r="W370" s="291" t="str">
        <f t="shared" si="11"/>
        <v/>
      </c>
      <c r="X370" s="270">
        <f>IF($O370=0,0,IF(Results!$R375="",0,Results!$R375))</f>
        <v>0</v>
      </c>
      <c r="Y370" s="291">
        <f>IF($O370=0,0,IF(Results!$T375="",0,Results!$T375))</f>
        <v>0</v>
      </c>
      <c r="Z370" s="270" t="str">
        <f>IF($O370=0,"",IF($X370&gt;$Y370,Settings!$C$4,IF($X370=$Y370,1,0)))</f>
        <v/>
      </c>
      <c r="AA370" s="291" t="str">
        <f>IF($O370=0,"",IF($X370&lt;$Y370,Settings!$C$4,IF($X370=$Y370,1,0)))</f>
        <v/>
      </c>
    </row>
    <row r="371" spans="5:27" x14ac:dyDescent="0.2">
      <c r="E371" s="266">
        <v>368</v>
      </c>
      <c r="F371" s="171" t="str">
        <f>Planning!$Q374</f>
        <v/>
      </c>
      <c r="G371" s="348" t="str">
        <f>Planning!$S374</f>
        <v/>
      </c>
      <c r="H371" s="344" t="str">
        <f>IF(AND(Results!$I376&lt;&gt;"",Results!$K376&lt;&gt;"",Results!$F376&lt;&gt;Results!$H376,$F371&lt;&gt;"",$G371&lt;&gt;""),Results!$I376,"")</f>
        <v/>
      </c>
      <c r="I371" s="343" t="str">
        <f>IF(AND(Results!$I376&lt;&gt;"",Results!$K376&lt;&gt;"",Results!$F376&lt;&gt;Results!$H376,$F371&lt;&gt;"",$G371&lt;&gt;""),Results!$K376,"")</f>
        <v/>
      </c>
      <c r="J371" s="344" t="str">
        <f>IF(AND(Results!$L376&lt;&gt;"",Results!$N376&lt;&gt;"",Results!$F376&lt;&gt;Results!$H376,$F371&lt;&gt;"",$G371&lt;&gt;""),Results!$L376,"")</f>
        <v/>
      </c>
      <c r="K371" s="343" t="str">
        <f>IF(AND(Results!$L376&lt;&gt;"",Results!$N376&lt;&gt;"",Results!$F376&lt;&gt;Results!$H376,$F371&lt;&gt;"",$G371&lt;&gt;""),Results!$N376,"")</f>
        <v/>
      </c>
      <c r="L371" s="344" t="str">
        <f>IF(AND(Results!$O376&lt;&gt;"",Results!$Q376&lt;&gt;"",Results!$F376&lt;&gt;Results!$H376,$F371&lt;&gt;"",$G371&lt;&gt;""),Results!$O376,"")</f>
        <v/>
      </c>
      <c r="M371" s="122" t="str">
        <f>IF(AND(Results!$O376&lt;&gt;"",Results!$Q376&lt;&gt;"",Results!$F376&lt;&gt;Results!$H376,$F371&lt;&gt;"",$G371&lt;&gt;""),Results!$Q376,"")</f>
        <v/>
      </c>
      <c r="N371" s="16" t="str">
        <f>IF(Planning!$I374=0,F371&amp;G371,"")</f>
        <v/>
      </c>
      <c r="O371" s="122">
        <f>IF(AND(Results!$Z$6&gt;0,$E371-1&gt;=Results!$Z$6*Calc!$F$26),0,IF(AND(F371&lt;&gt;"",G371&lt;&gt;"",F371&lt;&gt;G371,Results!$R376&lt;&gt;"",Results!$T376&lt;&gt;""),1,0))</f>
        <v>0</v>
      </c>
      <c r="P371" s="122" t="str">
        <f>IF(AND(O371&gt;0,Planning!$I374=0),V371&amp;Language!$E$90&amp;W371,"")</f>
        <v/>
      </c>
      <c r="Q371" s="2" t="str">
        <f>IF(Planning!$I374=1,F371&amp;G371,"")</f>
        <v/>
      </c>
      <c r="R371" s="88" t="str">
        <f>IF(AND(O371&gt;0,Planning!$I374=1),V371&amp;Language!$E$90&amp;W371,"")</f>
        <v/>
      </c>
      <c r="S371" s="122" t="str">
        <f>IF(O371&gt;0,X371&amp;Language!$E$90&amp;Y371,"")</f>
        <v/>
      </c>
      <c r="T371" s="290">
        <f>IF($H371="",0,Results!$U376)</f>
        <v>0</v>
      </c>
      <c r="U371" s="291">
        <f>IF($I371="",0,Results!$V376)</f>
        <v>0</v>
      </c>
      <c r="V371" s="270" t="str">
        <f t="shared" si="10"/>
        <v/>
      </c>
      <c r="W371" s="291" t="str">
        <f t="shared" si="11"/>
        <v/>
      </c>
      <c r="X371" s="270">
        <f>IF($O371=0,0,IF(Results!$R376="",0,Results!$R376))</f>
        <v>0</v>
      </c>
      <c r="Y371" s="291">
        <f>IF($O371=0,0,IF(Results!$T376="",0,Results!$T376))</f>
        <v>0</v>
      </c>
      <c r="Z371" s="270" t="str">
        <f>IF($O371=0,"",IF($X371&gt;$Y371,Settings!$C$4,IF($X371=$Y371,1,0)))</f>
        <v/>
      </c>
      <c r="AA371" s="291" t="str">
        <f>IF($O371=0,"",IF($X371&lt;$Y371,Settings!$C$4,IF($X371=$Y371,1,0)))</f>
        <v/>
      </c>
    </row>
    <row r="372" spans="5:27" x14ac:dyDescent="0.2">
      <c r="E372" s="266">
        <v>369</v>
      </c>
      <c r="F372" s="171" t="str">
        <f>Planning!$Q375</f>
        <v/>
      </c>
      <c r="G372" s="348" t="str">
        <f>Planning!$S375</f>
        <v/>
      </c>
      <c r="H372" s="344" t="str">
        <f>IF(AND(Results!$I377&lt;&gt;"",Results!$K377&lt;&gt;"",Results!$F377&lt;&gt;Results!$H377,$F372&lt;&gt;"",$G372&lt;&gt;""),Results!$I377,"")</f>
        <v/>
      </c>
      <c r="I372" s="343" t="str">
        <f>IF(AND(Results!$I377&lt;&gt;"",Results!$K377&lt;&gt;"",Results!$F377&lt;&gt;Results!$H377,$F372&lt;&gt;"",$G372&lt;&gt;""),Results!$K377,"")</f>
        <v/>
      </c>
      <c r="J372" s="344" t="str">
        <f>IF(AND(Results!$L377&lt;&gt;"",Results!$N377&lt;&gt;"",Results!$F377&lt;&gt;Results!$H377,$F372&lt;&gt;"",$G372&lt;&gt;""),Results!$L377,"")</f>
        <v/>
      </c>
      <c r="K372" s="343" t="str">
        <f>IF(AND(Results!$L377&lt;&gt;"",Results!$N377&lt;&gt;"",Results!$F377&lt;&gt;Results!$H377,$F372&lt;&gt;"",$G372&lt;&gt;""),Results!$N377,"")</f>
        <v/>
      </c>
      <c r="L372" s="344" t="str">
        <f>IF(AND(Results!$O377&lt;&gt;"",Results!$Q377&lt;&gt;"",Results!$F377&lt;&gt;Results!$H377,$F372&lt;&gt;"",$G372&lt;&gt;""),Results!$O377,"")</f>
        <v/>
      </c>
      <c r="M372" s="122" t="str">
        <f>IF(AND(Results!$O377&lt;&gt;"",Results!$Q377&lt;&gt;"",Results!$F377&lt;&gt;Results!$H377,$F372&lt;&gt;"",$G372&lt;&gt;""),Results!$Q377,"")</f>
        <v/>
      </c>
      <c r="N372" s="16" t="str">
        <f>IF(Planning!$I375=0,F372&amp;G372,"")</f>
        <v/>
      </c>
      <c r="O372" s="122">
        <f>IF(AND(Results!$Z$6&gt;0,$E372-1&gt;=Results!$Z$6*Calc!$F$26),0,IF(AND(F372&lt;&gt;"",G372&lt;&gt;"",F372&lt;&gt;G372,Results!$R377&lt;&gt;"",Results!$T377&lt;&gt;""),1,0))</f>
        <v>0</v>
      </c>
      <c r="P372" s="122" t="str">
        <f>IF(AND(O372&gt;0,Planning!$I375=0),V372&amp;Language!$E$90&amp;W372,"")</f>
        <v/>
      </c>
      <c r="Q372" s="2" t="str">
        <f>IF(Planning!$I375=1,F372&amp;G372,"")</f>
        <v/>
      </c>
      <c r="R372" s="88" t="str">
        <f>IF(AND(O372&gt;0,Planning!$I375=1),V372&amp;Language!$E$90&amp;W372,"")</f>
        <v/>
      </c>
      <c r="S372" s="122" t="str">
        <f>IF(O372&gt;0,X372&amp;Language!$E$90&amp;Y372,"")</f>
        <v/>
      </c>
      <c r="T372" s="290">
        <f>IF($H372="",0,Results!$U377)</f>
        <v>0</v>
      </c>
      <c r="U372" s="291">
        <f>IF($I372="",0,Results!$V377)</f>
        <v>0</v>
      </c>
      <c r="V372" s="270" t="str">
        <f t="shared" si="10"/>
        <v/>
      </c>
      <c r="W372" s="291" t="str">
        <f t="shared" si="11"/>
        <v/>
      </c>
      <c r="X372" s="270">
        <f>IF($O372=0,0,IF(Results!$R377="",0,Results!$R377))</f>
        <v>0</v>
      </c>
      <c r="Y372" s="291">
        <f>IF($O372=0,0,IF(Results!$T377="",0,Results!$T377))</f>
        <v>0</v>
      </c>
      <c r="Z372" s="270" t="str">
        <f>IF($O372=0,"",IF($X372&gt;$Y372,Settings!$C$4,IF($X372=$Y372,1,0)))</f>
        <v/>
      </c>
      <c r="AA372" s="291" t="str">
        <f>IF($O372=0,"",IF($X372&lt;$Y372,Settings!$C$4,IF($X372=$Y372,1,0)))</f>
        <v/>
      </c>
    </row>
    <row r="373" spans="5:27" x14ac:dyDescent="0.2">
      <c r="E373" s="266">
        <v>370</v>
      </c>
      <c r="F373" s="171" t="str">
        <f>Planning!$Q376</f>
        <v/>
      </c>
      <c r="G373" s="348" t="str">
        <f>Planning!$S376</f>
        <v/>
      </c>
      <c r="H373" s="344" t="str">
        <f>IF(AND(Results!$I378&lt;&gt;"",Results!$K378&lt;&gt;"",Results!$F378&lt;&gt;Results!$H378,$F373&lt;&gt;"",$G373&lt;&gt;""),Results!$I378,"")</f>
        <v/>
      </c>
      <c r="I373" s="343" t="str">
        <f>IF(AND(Results!$I378&lt;&gt;"",Results!$K378&lt;&gt;"",Results!$F378&lt;&gt;Results!$H378,$F373&lt;&gt;"",$G373&lt;&gt;""),Results!$K378,"")</f>
        <v/>
      </c>
      <c r="J373" s="344" t="str">
        <f>IF(AND(Results!$L378&lt;&gt;"",Results!$N378&lt;&gt;"",Results!$F378&lt;&gt;Results!$H378,$F373&lt;&gt;"",$G373&lt;&gt;""),Results!$L378,"")</f>
        <v/>
      </c>
      <c r="K373" s="343" t="str">
        <f>IF(AND(Results!$L378&lt;&gt;"",Results!$N378&lt;&gt;"",Results!$F378&lt;&gt;Results!$H378,$F373&lt;&gt;"",$G373&lt;&gt;""),Results!$N378,"")</f>
        <v/>
      </c>
      <c r="L373" s="344" t="str">
        <f>IF(AND(Results!$O378&lt;&gt;"",Results!$Q378&lt;&gt;"",Results!$F378&lt;&gt;Results!$H378,$F373&lt;&gt;"",$G373&lt;&gt;""),Results!$O378,"")</f>
        <v/>
      </c>
      <c r="M373" s="122" t="str">
        <f>IF(AND(Results!$O378&lt;&gt;"",Results!$Q378&lt;&gt;"",Results!$F378&lt;&gt;Results!$H378,$F373&lt;&gt;"",$G373&lt;&gt;""),Results!$Q378,"")</f>
        <v/>
      </c>
      <c r="N373" s="16" t="str">
        <f>IF(Planning!$I376=0,F373&amp;G373,"")</f>
        <v/>
      </c>
      <c r="O373" s="122">
        <f>IF(AND(Results!$Z$6&gt;0,$E373-1&gt;=Results!$Z$6*Calc!$F$26),0,IF(AND(F373&lt;&gt;"",G373&lt;&gt;"",F373&lt;&gt;G373,Results!$R378&lt;&gt;"",Results!$T378&lt;&gt;""),1,0))</f>
        <v>0</v>
      </c>
      <c r="P373" s="122" t="str">
        <f>IF(AND(O373&gt;0,Planning!$I376=0),V373&amp;Language!$E$90&amp;W373,"")</f>
        <v/>
      </c>
      <c r="Q373" s="2" t="str">
        <f>IF(Planning!$I376=1,F373&amp;G373,"")</f>
        <v/>
      </c>
      <c r="R373" s="88" t="str">
        <f>IF(AND(O373&gt;0,Planning!$I376=1),V373&amp;Language!$E$90&amp;W373,"")</f>
        <v/>
      </c>
      <c r="S373" s="122" t="str">
        <f>IF(O373&gt;0,X373&amp;Language!$E$90&amp;Y373,"")</f>
        <v/>
      </c>
      <c r="T373" s="290">
        <f>IF($H373="",0,Results!$U378)</f>
        <v>0</v>
      </c>
      <c r="U373" s="291">
        <f>IF($I373="",0,Results!$V378)</f>
        <v>0</v>
      </c>
      <c r="V373" s="270" t="str">
        <f t="shared" si="10"/>
        <v/>
      </c>
      <c r="W373" s="291" t="str">
        <f t="shared" si="11"/>
        <v/>
      </c>
      <c r="X373" s="270">
        <f>IF($O373=0,0,IF(Results!$R378="",0,Results!$R378))</f>
        <v>0</v>
      </c>
      <c r="Y373" s="291">
        <f>IF($O373=0,0,IF(Results!$T378="",0,Results!$T378))</f>
        <v>0</v>
      </c>
      <c r="Z373" s="270" t="str">
        <f>IF($O373=0,"",IF($X373&gt;$Y373,Settings!$C$4,IF($X373=$Y373,1,0)))</f>
        <v/>
      </c>
      <c r="AA373" s="291" t="str">
        <f>IF($O373=0,"",IF($X373&lt;$Y373,Settings!$C$4,IF($X373=$Y373,1,0)))</f>
        <v/>
      </c>
    </row>
    <row r="374" spans="5:27" x14ac:dyDescent="0.2">
      <c r="E374" s="266">
        <v>371</v>
      </c>
      <c r="F374" s="171" t="str">
        <f>Planning!$Q377</f>
        <v/>
      </c>
      <c r="G374" s="348" t="str">
        <f>Planning!$S377</f>
        <v/>
      </c>
      <c r="H374" s="344" t="str">
        <f>IF(AND(Results!$I379&lt;&gt;"",Results!$K379&lt;&gt;"",Results!$F379&lt;&gt;Results!$H379,$F374&lt;&gt;"",$G374&lt;&gt;""),Results!$I379,"")</f>
        <v/>
      </c>
      <c r="I374" s="343" t="str">
        <f>IF(AND(Results!$I379&lt;&gt;"",Results!$K379&lt;&gt;"",Results!$F379&lt;&gt;Results!$H379,$F374&lt;&gt;"",$G374&lt;&gt;""),Results!$K379,"")</f>
        <v/>
      </c>
      <c r="J374" s="344" t="str">
        <f>IF(AND(Results!$L379&lt;&gt;"",Results!$N379&lt;&gt;"",Results!$F379&lt;&gt;Results!$H379,$F374&lt;&gt;"",$G374&lt;&gt;""),Results!$L379,"")</f>
        <v/>
      </c>
      <c r="K374" s="343" t="str">
        <f>IF(AND(Results!$L379&lt;&gt;"",Results!$N379&lt;&gt;"",Results!$F379&lt;&gt;Results!$H379,$F374&lt;&gt;"",$G374&lt;&gt;""),Results!$N379,"")</f>
        <v/>
      </c>
      <c r="L374" s="344" t="str">
        <f>IF(AND(Results!$O379&lt;&gt;"",Results!$Q379&lt;&gt;"",Results!$F379&lt;&gt;Results!$H379,$F374&lt;&gt;"",$G374&lt;&gt;""),Results!$O379,"")</f>
        <v/>
      </c>
      <c r="M374" s="122" t="str">
        <f>IF(AND(Results!$O379&lt;&gt;"",Results!$Q379&lt;&gt;"",Results!$F379&lt;&gt;Results!$H379,$F374&lt;&gt;"",$G374&lt;&gt;""),Results!$Q379,"")</f>
        <v/>
      </c>
      <c r="N374" s="16" t="str">
        <f>IF(Planning!$I377=0,F374&amp;G374,"")</f>
        <v/>
      </c>
      <c r="O374" s="122">
        <f>IF(AND(Results!$Z$6&gt;0,$E374-1&gt;=Results!$Z$6*Calc!$F$26),0,IF(AND(F374&lt;&gt;"",G374&lt;&gt;"",F374&lt;&gt;G374,Results!$R379&lt;&gt;"",Results!$T379&lt;&gt;""),1,0))</f>
        <v>0</v>
      </c>
      <c r="P374" s="122" t="str">
        <f>IF(AND(O374&gt;0,Planning!$I377=0),V374&amp;Language!$E$90&amp;W374,"")</f>
        <v/>
      </c>
      <c r="Q374" s="2" t="str">
        <f>IF(Planning!$I377=1,F374&amp;G374,"")</f>
        <v/>
      </c>
      <c r="R374" s="88" t="str">
        <f>IF(AND(O374&gt;0,Planning!$I377=1),V374&amp;Language!$E$90&amp;W374,"")</f>
        <v/>
      </c>
      <c r="S374" s="122" t="str">
        <f>IF(O374&gt;0,X374&amp;Language!$E$90&amp;Y374,"")</f>
        <v/>
      </c>
      <c r="T374" s="290">
        <f>IF($H374="",0,Results!$U379)</f>
        <v>0</v>
      </c>
      <c r="U374" s="291">
        <f>IF($I374="",0,Results!$V379)</f>
        <v>0</v>
      </c>
      <c r="V374" s="270" t="str">
        <f t="shared" si="10"/>
        <v/>
      </c>
      <c r="W374" s="291" t="str">
        <f t="shared" si="11"/>
        <v/>
      </c>
      <c r="X374" s="270">
        <f>IF($O374=0,0,IF(Results!$R379="",0,Results!$R379))</f>
        <v>0</v>
      </c>
      <c r="Y374" s="291">
        <f>IF($O374=0,0,IF(Results!$T379="",0,Results!$T379))</f>
        <v>0</v>
      </c>
      <c r="Z374" s="270" t="str">
        <f>IF($O374=0,"",IF($X374&gt;$Y374,Settings!$C$4,IF($X374=$Y374,1,0)))</f>
        <v/>
      </c>
      <c r="AA374" s="291" t="str">
        <f>IF($O374=0,"",IF($X374&lt;$Y374,Settings!$C$4,IF($X374=$Y374,1,0)))</f>
        <v/>
      </c>
    </row>
    <row r="375" spans="5:27" x14ac:dyDescent="0.2">
      <c r="E375" s="266">
        <v>372</v>
      </c>
      <c r="F375" s="171" t="str">
        <f>Planning!$Q378</f>
        <v/>
      </c>
      <c r="G375" s="348" t="str">
        <f>Planning!$S378</f>
        <v/>
      </c>
      <c r="H375" s="344" t="str">
        <f>IF(AND(Results!$I380&lt;&gt;"",Results!$K380&lt;&gt;"",Results!$F380&lt;&gt;Results!$H380,$F375&lt;&gt;"",$G375&lt;&gt;""),Results!$I380,"")</f>
        <v/>
      </c>
      <c r="I375" s="343" t="str">
        <f>IF(AND(Results!$I380&lt;&gt;"",Results!$K380&lt;&gt;"",Results!$F380&lt;&gt;Results!$H380,$F375&lt;&gt;"",$G375&lt;&gt;""),Results!$K380,"")</f>
        <v/>
      </c>
      <c r="J375" s="344" t="str">
        <f>IF(AND(Results!$L380&lt;&gt;"",Results!$N380&lt;&gt;"",Results!$F380&lt;&gt;Results!$H380,$F375&lt;&gt;"",$G375&lt;&gt;""),Results!$L380,"")</f>
        <v/>
      </c>
      <c r="K375" s="343" t="str">
        <f>IF(AND(Results!$L380&lt;&gt;"",Results!$N380&lt;&gt;"",Results!$F380&lt;&gt;Results!$H380,$F375&lt;&gt;"",$G375&lt;&gt;""),Results!$N380,"")</f>
        <v/>
      </c>
      <c r="L375" s="344" t="str">
        <f>IF(AND(Results!$O380&lt;&gt;"",Results!$Q380&lt;&gt;"",Results!$F380&lt;&gt;Results!$H380,$F375&lt;&gt;"",$G375&lt;&gt;""),Results!$O380,"")</f>
        <v/>
      </c>
      <c r="M375" s="122" t="str">
        <f>IF(AND(Results!$O380&lt;&gt;"",Results!$Q380&lt;&gt;"",Results!$F380&lt;&gt;Results!$H380,$F375&lt;&gt;"",$G375&lt;&gt;""),Results!$Q380,"")</f>
        <v/>
      </c>
      <c r="N375" s="16" t="str">
        <f>IF(Planning!$I378=0,F375&amp;G375,"")</f>
        <v/>
      </c>
      <c r="O375" s="122">
        <f>IF(AND(Results!$Z$6&gt;0,$E375-1&gt;=Results!$Z$6*Calc!$F$26),0,IF(AND(F375&lt;&gt;"",G375&lt;&gt;"",F375&lt;&gt;G375,Results!$R380&lt;&gt;"",Results!$T380&lt;&gt;""),1,0))</f>
        <v>0</v>
      </c>
      <c r="P375" s="122" t="str">
        <f>IF(AND(O375&gt;0,Planning!$I378=0),V375&amp;Language!$E$90&amp;W375,"")</f>
        <v/>
      </c>
      <c r="Q375" s="2" t="str">
        <f>IF(Planning!$I378=1,F375&amp;G375,"")</f>
        <v/>
      </c>
      <c r="R375" s="88" t="str">
        <f>IF(AND(O375&gt;0,Planning!$I378=1),V375&amp;Language!$E$90&amp;W375,"")</f>
        <v/>
      </c>
      <c r="S375" s="122" t="str">
        <f>IF(O375&gt;0,X375&amp;Language!$E$90&amp;Y375,"")</f>
        <v/>
      </c>
      <c r="T375" s="290">
        <f>IF($H375="",0,Results!$U380)</f>
        <v>0</v>
      </c>
      <c r="U375" s="291">
        <f>IF($I375="",0,Results!$V380)</f>
        <v>0</v>
      </c>
      <c r="V375" s="270" t="str">
        <f t="shared" si="10"/>
        <v/>
      </c>
      <c r="W375" s="291" t="str">
        <f t="shared" si="11"/>
        <v/>
      </c>
      <c r="X375" s="270">
        <f>IF($O375=0,0,IF(Results!$R380="",0,Results!$R380))</f>
        <v>0</v>
      </c>
      <c r="Y375" s="291">
        <f>IF($O375=0,0,IF(Results!$T380="",0,Results!$T380))</f>
        <v>0</v>
      </c>
      <c r="Z375" s="270" t="str">
        <f>IF($O375=0,"",IF($X375&gt;$Y375,Settings!$C$4,IF($X375=$Y375,1,0)))</f>
        <v/>
      </c>
      <c r="AA375" s="291" t="str">
        <f>IF($O375=0,"",IF($X375&lt;$Y375,Settings!$C$4,IF($X375=$Y375,1,0)))</f>
        <v/>
      </c>
    </row>
    <row r="376" spans="5:27" x14ac:dyDescent="0.2">
      <c r="E376" s="266">
        <v>373</v>
      </c>
      <c r="F376" s="171" t="str">
        <f>Planning!$Q379</f>
        <v/>
      </c>
      <c r="G376" s="348" t="str">
        <f>Planning!$S379</f>
        <v/>
      </c>
      <c r="H376" s="344" t="str">
        <f>IF(AND(Results!$I381&lt;&gt;"",Results!$K381&lt;&gt;"",Results!$F381&lt;&gt;Results!$H381,$F376&lt;&gt;"",$G376&lt;&gt;""),Results!$I381,"")</f>
        <v/>
      </c>
      <c r="I376" s="343" t="str">
        <f>IF(AND(Results!$I381&lt;&gt;"",Results!$K381&lt;&gt;"",Results!$F381&lt;&gt;Results!$H381,$F376&lt;&gt;"",$G376&lt;&gt;""),Results!$K381,"")</f>
        <v/>
      </c>
      <c r="J376" s="344" t="str">
        <f>IF(AND(Results!$L381&lt;&gt;"",Results!$N381&lt;&gt;"",Results!$F381&lt;&gt;Results!$H381,$F376&lt;&gt;"",$G376&lt;&gt;""),Results!$L381,"")</f>
        <v/>
      </c>
      <c r="K376" s="343" t="str">
        <f>IF(AND(Results!$L381&lt;&gt;"",Results!$N381&lt;&gt;"",Results!$F381&lt;&gt;Results!$H381,$F376&lt;&gt;"",$G376&lt;&gt;""),Results!$N381,"")</f>
        <v/>
      </c>
      <c r="L376" s="344" t="str">
        <f>IF(AND(Results!$O381&lt;&gt;"",Results!$Q381&lt;&gt;"",Results!$F381&lt;&gt;Results!$H381,$F376&lt;&gt;"",$G376&lt;&gt;""),Results!$O381,"")</f>
        <v/>
      </c>
      <c r="M376" s="122" t="str">
        <f>IF(AND(Results!$O381&lt;&gt;"",Results!$Q381&lt;&gt;"",Results!$F381&lt;&gt;Results!$H381,$F376&lt;&gt;"",$G376&lt;&gt;""),Results!$Q381,"")</f>
        <v/>
      </c>
      <c r="N376" s="16" t="str">
        <f>IF(Planning!$I379=0,F376&amp;G376,"")</f>
        <v/>
      </c>
      <c r="O376" s="122">
        <f>IF(AND(Results!$Z$6&gt;0,$E376-1&gt;=Results!$Z$6*Calc!$F$26),0,IF(AND(F376&lt;&gt;"",G376&lt;&gt;"",F376&lt;&gt;G376,Results!$R381&lt;&gt;"",Results!$T381&lt;&gt;""),1,0))</f>
        <v>0</v>
      </c>
      <c r="P376" s="122" t="str">
        <f>IF(AND(O376&gt;0,Planning!$I379=0),V376&amp;Language!$E$90&amp;W376,"")</f>
        <v/>
      </c>
      <c r="Q376" s="2" t="str">
        <f>IF(Planning!$I379=1,F376&amp;G376,"")</f>
        <v/>
      </c>
      <c r="R376" s="88" t="str">
        <f>IF(AND(O376&gt;0,Planning!$I379=1),V376&amp;Language!$E$90&amp;W376,"")</f>
        <v/>
      </c>
      <c r="S376" s="122" t="str">
        <f>IF(O376&gt;0,X376&amp;Language!$E$90&amp;Y376,"")</f>
        <v/>
      </c>
      <c r="T376" s="290">
        <f>IF($H376="",0,Results!$U381)</f>
        <v>0</v>
      </c>
      <c r="U376" s="291">
        <f>IF($I376="",0,Results!$V381)</f>
        <v>0</v>
      </c>
      <c r="V376" s="270" t="str">
        <f t="shared" si="10"/>
        <v/>
      </c>
      <c r="W376" s="291" t="str">
        <f t="shared" si="11"/>
        <v/>
      </c>
      <c r="X376" s="270">
        <f>IF($O376=0,0,IF(Results!$R381="",0,Results!$R381))</f>
        <v>0</v>
      </c>
      <c r="Y376" s="291">
        <f>IF($O376=0,0,IF(Results!$T381="",0,Results!$T381))</f>
        <v>0</v>
      </c>
      <c r="Z376" s="270" t="str">
        <f>IF($O376=0,"",IF($X376&gt;$Y376,Settings!$C$4,IF($X376=$Y376,1,0)))</f>
        <v/>
      </c>
      <c r="AA376" s="291" t="str">
        <f>IF($O376=0,"",IF($X376&lt;$Y376,Settings!$C$4,IF($X376=$Y376,1,0)))</f>
        <v/>
      </c>
    </row>
    <row r="377" spans="5:27" x14ac:dyDescent="0.2">
      <c r="E377" s="266">
        <v>374</v>
      </c>
      <c r="F377" s="171" t="str">
        <f>Planning!$Q380</f>
        <v/>
      </c>
      <c r="G377" s="348" t="str">
        <f>Planning!$S380</f>
        <v/>
      </c>
      <c r="H377" s="344" t="str">
        <f>IF(AND(Results!$I382&lt;&gt;"",Results!$K382&lt;&gt;"",Results!$F382&lt;&gt;Results!$H382,$F377&lt;&gt;"",$G377&lt;&gt;""),Results!$I382,"")</f>
        <v/>
      </c>
      <c r="I377" s="343" t="str">
        <f>IF(AND(Results!$I382&lt;&gt;"",Results!$K382&lt;&gt;"",Results!$F382&lt;&gt;Results!$H382,$F377&lt;&gt;"",$G377&lt;&gt;""),Results!$K382,"")</f>
        <v/>
      </c>
      <c r="J377" s="344" t="str">
        <f>IF(AND(Results!$L382&lt;&gt;"",Results!$N382&lt;&gt;"",Results!$F382&lt;&gt;Results!$H382,$F377&lt;&gt;"",$G377&lt;&gt;""),Results!$L382,"")</f>
        <v/>
      </c>
      <c r="K377" s="343" t="str">
        <f>IF(AND(Results!$L382&lt;&gt;"",Results!$N382&lt;&gt;"",Results!$F382&lt;&gt;Results!$H382,$F377&lt;&gt;"",$G377&lt;&gt;""),Results!$N382,"")</f>
        <v/>
      </c>
      <c r="L377" s="344" t="str">
        <f>IF(AND(Results!$O382&lt;&gt;"",Results!$Q382&lt;&gt;"",Results!$F382&lt;&gt;Results!$H382,$F377&lt;&gt;"",$G377&lt;&gt;""),Results!$O382,"")</f>
        <v/>
      </c>
      <c r="M377" s="122" t="str">
        <f>IF(AND(Results!$O382&lt;&gt;"",Results!$Q382&lt;&gt;"",Results!$F382&lt;&gt;Results!$H382,$F377&lt;&gt;"",$G377&lt;&gt;""),Results!$Q382,"")</f>
        <v/>
      </c>
      <c r="N377" s="16" t="str">
        <f>IF(Planning!$I380=0,F377&amp;G377,"")</f>
        <v/>
      </c>
      <c r="O377" s="122">
        <f>IF(AND(Results!$Z$6&gt;0,$E377-1&gt;=Results!$Z$6*Calc!$F$26),0,IF(AND(F377&lt;&gt;"",G377&lt;&gt;"",F377&lt;&gt;G377,Results!$R382&lt;&gt;"",Results!$T382&lt;&gt;""),1,0))</f>
        <v>0</v>
      </c>
      <c r="P377" s="122" t="str">
        <f>IF(AND(O377&gt;0,Planning!$I380=0),V377&amp;Language!$E$90&amp;W377,"")</f>
        <v/>
      </c>
      <c r="Q377" s="2" t="str">
        <f>IF(Planning!$I380=1,F377&amp;G377,"")</f>
        <v/>
      </c>
      <c r="R377" s="88" t="str">
        <f>IF(AND(O377&gt;0,Planning!$I380=1),V377&amp;Language!$E$90&amp;W377,"")</f>
        <v/>
      </c>
      <c r="S377" s="122" t="str">
        <f>IF(O377&gt;0,X377&amp;Language!$E$90&amp;Y377,"")</f>
        <v/>
      </c>
      <c r="T377" s="290">
        <f>IF($H377="",0,Results!$U382)</f>
        <v>0</v>
      </c>
      <c r="U377" s="291">
        <f>IF($I377="",0,Results!$V382)</f>
        <v>0</v>
      </c>
      <c r="V377" s="270" t="str">
        <f t="shared" si="10"/>
        <v/>
      </c>
      <c r="W377" s="291" t="str">
        <f t="shared" si="11"/>
        <v/>
      </c>
      <c r="X377" s="270">
        <f>IF($O377=0,0,IF(Results!$R382="",0,Results!$R382))</f>
        <v>0</v>
      </c>
      <c r="Y377" s="291">
        <f>IF($O377=0,0,IF(Results!$T382="",0,Results!$T382))</f>
        <v>0</v>
      </c>
      <c r="Z377" s="270" t="str">
        <f>IF($O377=0,"",IF($X377&gt;$Y377,Settings!$C$4,IF($X377=$Y377,1,0)))</f>
        <v/>
      </c>
      <c r="AA377" s="291" t="str">
        <f>IF($O377=0,"",IF($X377&lt;$Y377,Settings!$C$4,IF($X377=$Y377,1,0)))</f>
        <v/>
      </c>
    </row>
    <row r="378" spans="5:27" x14ac:dyDescent="0.2">
      <c r="E378" s="266">
        <v>375</v>
      </c>
      <c r="F378" s="171" t="str">
        <f>Planning!$Q381</f>
        <v/>
      </c>
      <c r="G378" s="348" t="str">
        <f>Planning!$S381</f>
        <v/>
      </c>
      <c r="H378" s="344" t="str">
        <f>IF(AND(Results!$I383&lt;&gt;"",Results!$K383&lt;&gt;"",Results!$F383&lt;&gt;Results!$H383,$F378&lt;&gt;"",$G378&lt;&gt;""),Results!$I383,"")</f>
        <v/>
      </c>
      <c r="I378" s="343" t="str">
        <f>IF(AND(Results!$I383&lt;&gt;"",Results!$K383&lt;&gt;"",Results!$F383&lt;&gt;Results!$H383,$F378&lt;&gt;"",$G378&lt;&gt;""),Results!$K383,"")</f>
        <v/>
      </c>
      <c r="J378" s="344" t="str">
        <f>IF(AND(Results!$L383&lt;&gt;"",Results!$N383&lt;&gt;"",Results!$F383&lt;&gt;Results!$H383,$F378&lt;&gt;"",$G378&lt;&gt;""),Results!$L383,"")</f>
        <v/>
      </c>
      <c r="K378" s="343" t="str">
        <f>IF(AND(Results!$L383&lt;&gt;"",Results!$N383&lt;&gt;"",Results!$F383&lt;&gt;Results!$H383,$F378&lt;&gt;"",$G378&lt;&gt;""),Results!$N383,"")</f>
        <v/>
      </c>
      <c r="L378" s="344" t="str">
        <f>IF(AND(Results!$O383&lt;&gt;"",Results!$Q383&lt;&gt;"",Results!$F383&lt;&gt;Results!$H383,$F378&lt;&gt;"",$G378&lt;&gt;""),Results!$O383,"")</f>
        <v/>
      </c>
      <c r="M378" s="122" t="str">
        <f>IF(AND(Results!$O383&lt;&gt;"",Results!$Q383&lt;&gt;"",Results!$F383&lt;&gt;Results!$H383,$F378&lt;&gt;"",$G378&lt;&gt;""),Results!$Q383,"")</f>
        <v/>
      </c>
      <c r="N378" s="16" t="str">
        <f>IF(Planning!$I381=0,F378&amp;G378,"")</f>
        <v/>
      </c>
      <c r="O378" s="122">
        <f>IF(AND(Results!$Z$6&gt;0,$E378-1&gt;=Results!$Z$6*Calc!$F$26),0,IF(AND(F378&lt;&gt;"",G378&lt;&gt;"",F378&lt;&gt;G378,Results!$R383&lt;&gt;"",Results!$T383&lt;&gt;""),1,0))</f>
        <v>0</v>
      </c>
      <c r="P378" s="122" t="str">
        <f>IF(AND(O378&gt;0,Planning!$I381=0),V378&amp;Language!$E$90&amp;W378,"")</f>
        <v/>
      </c>
      <c r="Q378" s="2" t="str">
        <f>IF(Planning!$I381=1,F378&amp;G378,"")</f>
        <v/>
      </c>
      <c r="R378" s="88" t="str">
        <f>IF(AND(O378&gt;0,Planning!$I381=1),V378&amp;Language!$E$90&amp;W378,"")</f>
        <v/>
      </c>
      <c r="S378" s="122" t="str">
        <f>IF(O378&gt;0,X378&amp;Language!$E$90&amp;Y378,"")</f>
        <v/>
      </c>
      <c r="T378" s="290">
        <f>IF($H378="",0,Results!$U383)</f>
        <v>0</v>
      </c>
      <c r="U378" s="291">
        <f>IF($I378="",0,Results!$V383)</f>
        <v>0</v>
      </c>
      <c r="V378" s="270" t="str">
        <f t="shared" si="10"/>
        <v/>
      </c>
      <c r="W378" s="291" t="str">
        <f t="shared" si="11"/>
        <v/>
      </c>
      <c r="X378" s="270">
        <f>IF($O378=0,0,IF(Results!$R383="",0,Results!$R383))</f>
        <v>0</v>
      </c>
      <c r="Y378" s="291">
        <f>IF($O378=0,0,IF(Results!$T383="",0,Results!$T383))</f>
        <v>0</v>
      </c>
      <c r="Z378" s="270" t="str">
        <f>IF($O378=0,"",IF($X378&gt;$Y378,Settings!$C$4,IF($X378=$Y378,1,0)))</f>
        <v/>
      </c>
      <c r="AA378" s="291" t="str">
        <f>IF($O378=0,"",IF($X378&lt;$Y378,Settings!$C$4,IF($X378=$Y378,1,0)))</f>
        <v/>
      </c>
    </row>
    <row r="379" spans="5:27" x14ac:dyDescent="0.2">
      <c r="E379" s="266">
        <v>376</v>
      </c>
      <c r="F379" s="171" t="str">
        <f>Planning!$Q382</f>
        <v/>
      </c>
      <c r="G379" s="348" t="str">
        <f>Planning!$S382</f>
        <v/>
      </c>
      <c r="H379" s="344" t="str">
        <f>IF(AND(Results!$I384&lt;&gt;"",Results!$K384&lt;&gt;"",Results!$F384&lt;&gt;Results!$H384,$F379&lt;&gt;"",$G379&lt;&gt;""),Results!$I384,"")</f>
        <v/>
      </c>
      <c r="I379" s="343" t="str">
        <f>IF(AND(Results!$I384&lt;&gt;"",Results!$K384&lt;&gt;"",Results!$F384&lt;&gt;Results!$H384,$F379&lt;&gt;"",$G379&lt;&gt;""),Results!$K384,"")</f>
        <v/>
      </c>
      <c r="J379" s="344" t="str">
        <f>IF(AND(Results!$L384&lt;&gt;"",Results!$N384&lt;&gt;"",Results!$F384&lt;&gt;Results!$H384,$F379&lt;&gt;"",$G379&lt;&gt;""),Results!$L384,"")</f>
        <v/>
      </c>
      <c r="K379" s="343" t="str">
        <f>IF(AND(Results!$L384&lt;&gt;"",Results!$N384&lt;&gt;"",Results!$F384&lt;&gt;Results!$H384,$F379&lt;&gt;"",$G379&lt;&gt;""),Results!$N384,"")</f>
        <v/>
      </c>
      <c r="L379" s="344" t="str">
        <f>IF(AND(Results!$O384&lt;&gt;"",Results!$Q384&lt;&gt;"",Results!$F384&lt;&gt;Results!$H384,$F379&lt;&gt;"",$G379&lt;&gt;""),Results!$O384,"")</f>
        <v/>
      </c>
      <c r="M379" s="122" t="str">
        <f>IF(AND(Results!$O384&lt;&gt;"",Results!$Q384&lt;&gt;"",Results!$F384&lt;&gt;Results!$H384,$F379&lt;&gt;"",$G379&lt;&gt;""),Results!$Q384,"")</f>
        <v/>
      </c>
      <c r="N379" s="16" t="str">
        <f>IF(Planning!$I382=0,F379&amp;G379,"")</f>
        <v/>
      </c>
      <c r="O379" s="122">
        <f>IF(AND(Results!$Z$6&gt;0,$E379-1&gt;=Results!$Z$6*Calc!$F$26),0,IF(AND(F379&lt;&gt;"",G379&lt;&gt;"",F379&lt;&gt;G379,Results!$R384&lt;&gt;"",Results!$T384&lt;&gt;""),1,0))</f>
        <v>0</v>
      </c>
      <c r="P379" s="122" t="str">
        <f>IF(AND(O379&gt;0,Planning!$I382=0),V379&amp;Language!$E$90&amp;W379,"")</f>
        <v/>
      </c>
      <c r="Q379" s="2" t="str">
        <f>IF(Planning!$I382=1,F379&amp;G379,"")</f>
        <v/>
      </c>
      <c r="R379" s="88" t="str">
        <f>IF(AND(O379&gt;0,Planning!$I382=1),V379&amp;Language!$E$90&amp;W379,"")</f>
        <v/>
      </c>
      <c r="S379" s="122" t="str">
        <f>IF(O379&gt;0,X379&amp;Language!$E$90&amp;Y379,"")</f>
        <v/>
      </c>
      <c r="T379" s="290">
        <f>IF($H379="",0,Results!$U384)</f>
        <v>0</v>
      </c>
      <c r="U379" s="291">
        <f>IF($I379="",0,Results!$V384)</f>
        <v>0</v>
      </c>
      <c r="V379" s="270" t="str">
        <f t="shared" si="10"/>
        <v/>
      </c>
      <c r="W379" s="291" t="str">
        <f t="shared" si="11"/>
        <v/>
      </c>
      <c r="X379" s="270">
        <f>IF($O379=0,0,IF(Results!$R384="",0,Results!$R384))</f>
        <v>0</v>
      </c>
      <c r="Y379" s="291">
        <f>IF($O379=0,0,IF(Results!$T384="",0,Results!$T384))</f>
        <v>0</v>
      </c>
      <c r="Z379" s="270" t="str">
        <f>IF($O379=0,"",IF($X379&gt;$Y379,Settings!$C$4,IF($X379=$Y379,1,0)))</f>
        <v/>
      </c>
      <c r="AA379" s="291" t="str">
        <f>IF($O379=0,"",IF($X379&lt;$Y379,Settings!$C$4,IF($X379=$Y379,1,0)))</f>
        <v/>
      </c>
    </row>
    <row r="380" spans="5:27" x14ac:dyDescent="0.2">
      <c r="E380" s="266">
        <v>377</v>
      </c>
      <c r="F380" s="171" t="str">
        <f>Planning!$Q383</f>
        <v/>
      </c>
      <c r="G380" s="348" t="str">
        <f>Planning!$S383</f>
        <v/>
      </c>
      <c r="H380" s="344" t="str">
        <f>IF(AND(Results!$I385&lt;&gt;"",Results!$K385&lt;&gt;"",Results!$F385&lt;&gt;Results!$H385,$F380&lt;&gt;"",$G380&lt;&gt;""),Results!$I385,"")</f>
        <v/>
      </c>
      <c r="I380" s="343" t="str">
        <f>IF(AND(Results!$I385&lt;&gt;"",Results!$K385&lt;&gt;"",Results!$F385&lt;&gt;Results!$H385,$F380&lt;&gt;"",$G380&lt;&gt;""),Results!$K385,"")</f>
        <v/>
      </c>
      <c r="J380" s="344" t="str">
        <f>IF(AND(Results!$L385&lt;&gt;"",Results!$N385&lt;&gt;"",Results!$F385&lt;&gt;Results!$H385,$F380&lt;&gt;"",$G380&lt;&gt;""),Results!$L385,"")</f>
        <v/>
      </c>
      <c r="K380" s="343" t="str">
        <f>IF(AND(Results!$L385&lt;&gt;"",Results!$N385&lt;&gt;"",Results!$F385&lt;&gt;Results!$H385,$F380&lt;&gt;"",$G380&lt;&gt;""),Results!$N385,"")</f>
        <v/>
      </c>
      <c r="L380" s="344" t="str">
        <f>IF(AND(Results!$O385&lt;&gt;"",Results!$Q385&lt;&gt;"",Results!$F385&lt;&gt;Results!$H385,$F380&lt;&gt;"",$G380&lt;&gt;""),Results!$O385,"")</f>
        <v/>
      </c>
      <c r="M380" s="122" t="str">
        <f>IF(AND(Results!$O385&lt;&gt;"",Results!$Q385&lt;&gt;"",Results!$F385&lt;&gt;Results!$H385,$F380&lt;&gt;"",$G380&lt;&gt;""),Results!$Q385,"")</f>
        <v/>
      </c>
      <c r="N380" s="16" t="str">
        <f>IF(Planning!$I383=0,F380&amp;G380,"")</f>
        <v/>
      </c>
      <c r="O380" s="122">
        <f>IF(AND(Results!$Z$6&gt;0,$E380-1&gt;=Results!$Z$6*Calc!$F$26),0,IF(AND(F380&lt;&gt;"",G380&lt;&gt;"",F380&lt;&gt;G380,Results!$R385&lt;&gt;"",Results!$T385&lt;&gt;""),1,0))</f>
        <v>0</v>
      </c>
      <c r="P380" s="122" t="str">
        <f>IF(AND(O380&gt;0,Planning!$I383=0),V380&amp;Language!$E$90&amp;W380,"")</f>
        <v/>
      </c>
      <c r="Q380" s="4" t="str">
        <f>IF(Planning!$I383=1,F380&amp;G380,"")</f>
        <v/>
      </c>
      <c r="R380" s="88" t="str">
        <f>IF(AND(O380&gt;0,Planning!$I383=1),V380&amp;Language!$E$90&amp;W380,"")</f>
        <v/>
      </c>
      <c r="S380" s="122" t="str">
        <f>IF(O380&gt;0,X380&amp;Language!$E$90&amp;Y380,"")</f>
        <v/>
      </c>
      <c r="T380" s="290">
        <f>IF($H380="",0,Results!$U385)</f>
        <v>0</v>
      </c>
      <c r="U380" s="291">
        <f>IF($I380="",0,Results!$V385)</f>
        <v>0</v>
      </c>
      <c r="V380" s="350" t="str">
        <f t="shared" si="10"/>
        <v/>
      </c>
      <c r="W380" s="291" t="str">
        <f t="shared" si="11"/>
        <v/>
      </c>
      <c r="X380" s="350">
        <f>IF($O380=0,0,IF(Results!$R385="",0,Results!$R385))</f>
        <v>0</v>
      </c>
      <c r="Y380" s="291">
        <f>IF($O380=0,0,IF(Results!$T385="",0,Results!$T385))</f>
        <v>0</v>
      </c>
      <c r="Z380" s="350" t="str">
        <f>IF($O380=0,"",IF($X380&gt;$Y380,Settings!$C$4,IF($X380=$Y380,1,0)))</f>
        <v/>
      </c>
      <c r="AA380" s="291" t="str">
        <f>IF($O380=0,"",IF($X380&lt;$Y380,Settings!$C$4,IF($X380=$Y380,1,0)))</f>
        <v/>
      </c>
    </row>
    <row r="381" spans="5:27" x14ac:dyDescent="0.2">
      <c r="E381" s="266">
        <v>378</v>
      </c>
      <c r="F381" s="171" t="str">
        <f>Planning!$Q384</f>
        <v/>
      </c>
      <c r="G381" s="348" t="str">
        <f>Planning!$S384</f>
        <v/>
      </c>
      <c r="H381" s="344" t="str">
        <f>IF(AND(Results!$I386&lt;&gt;"",Results!$K386&lt;&gt;"",Results!$F386&lt;&gt;Results!$H386,$F381&lt;&gt;"",$G381&lt;&gt;""),Results!$I386,"")</f>
        <v/>
      </c>
      <c r="I381" s="343" t="str">
        <f>IF(AND(Results!$I386&lt;&gt;"",Results!$K386&lt;&gt;"",Results!$F386&lt;&gt;Results!$H386,$F381&lt;&gt;"",$G381&lt;&gt;""),Results!$K386,"")</f>
        <v/>
      </c>
      <c r="J381" s="344" t="str">
        <f>IF(AND(Results!$L386&lt;&gt;"",Results!$N386&lt;&gt;"",Results!$F386&lt;&gt;Results!$H386,$F381&lt;&gt;"",$G381&lt;&gt;""),Results!$L386,"")</f>
        <v/>
      </c>
      <c r="K381" s="343" t="str">
        <f>IF(AND(Results!$L386&lt;&gt;"",Results!$N386&lt;&gt;"",Results!$F386&lt;&gt;Results!$H386,$F381&lt;&gt;"",$G381&lt;&gt;""),Results!$N386,"")</f>
        <v/>
      </c>
      <c r="L381" s="344" t="str">
        <f>IF(AND(Results!$O386&lt;&gt;"",Results!$Q386&lt;&gt;"",Results!$F386&lt;&gt;Results!$H386,$F381&lt;&gt;"",$G381&lt;&gt;""),Results!$O386,"")</f>
        <v/>
      </c>
      <c r="M381" s="122" t="str">
        <f>IF(AND(Results!$O386&lt;&gt;"",Results!$Q386&lt;&gt;"",Results!$F386&lt;&gt;Results!$H386,$F381&lt;&gt;"",$G381&lt;&gt;""),Results!$Q386,"")</f>
        <v/>
      </c>
      <c r="N381" s="16" t="str">
        <f>IF(Planning!$I384=0,F381&amp;G381,"")</f>
        <v/>
      </c>
      <c r="O381" s="122">
        <f>IF(AND(Results!$Z$6&gt;0,$E381-1&gt;=Results!$Z$6*Calc!$F$26),0,IF(AND(F381&lt;&gt;"",G381&lt;&gt;"",F381&lt;&gt;G381,Results!$R386&lt;&gt;"",Results!$T386&lt;&gt;""),1,0))</f>
        <v>0</v>
      </c>
      <c r="P381" s="122" t="str">
        <f>IF(AND(O381&gt;0,Planning!$I384=0),V381&amp;Language!$E$90&amp;W381,"")</f>
        <v/>
      </c>
      <c r="Q381" s="4" t="str">
        <f>IF(Planning!$I384=1,F381&amp;G381,"")</f>
        <v/>
      </c>
      <c r="R381" s="88" t="str">
        <f>IF(AND(O381&gt;0,Planning!$I384=1),V381&amp;Language!$E$90&amp;W381,"")</f>
        <v/>
      </c>
      <c r="S381" s="395" t="str">
        <f>IF(O381&gt;0,X381&amp;Language!$E$90&amp;Y381,"")</f>
        <v/>
      </c>
      <c r="T381" s="290">
        <f>IF($H381="",0,Results!$U386)</f>
        <v>0</v>
      </c>
      <c r="U381" s="291">
        <f>IF($I381="",0,Results!$V386)</f>
        <v>0</v>
      </c>
      <c r="V381" s="350" t="str">
        <f t="shared" si="10"/>
        <v/>
      </c>
      <c r="W381" s="291" t="str">
        <f t="shared" si="11"/>
        <v/>
      </c>
      <c r="X381" s="350">
        <f>IF($O381=0,0,IF(Results!$R386="",0,Results!$R386))</f>
        <v>0</v>
      </c>
      <c r="Y381" s="291">
        <f>IF($O381=0,0,IF(Results!$T386="",0,Results!$T386))</f>
        <v>0</v>
      </c>
      <c r="Z381" s="350" t="str">
        <f>IF($O381=0,"",IF($X381&gt;$Y381,Settings!$C$4,IF($X381=$Y381,1,0)))</f>
        <v/>
      </c>
      <c r="AA381" s="291" t="str">
        <f>IF($O381=0,"",IF($X381&lt;$Y381,Settings!$C$4,IF($X381=$Y381,1,0)))</f>
        <v/>
      </c>
    </row>
    <row r="382" spans="5:27" x14ac:dyDescent="0.2">
      <c r="E382" s="266">
        <v>379</v>
      </c>
      <c r="F382" s="171" t="str">
        <f>Planning!$Q385</f>
        <v/>
      </c>
      <c r="G382" s="348" t="str">
        <f>Planning!$S385</f>
        <v/>
      </c>
      <c r="H382" s="344" t="str">
        <f>IF(AND(Results!$I387&lt;&gt;"",Results!$K387&lt;&gt;"",Results!$F387&lt;&gt;Results!$H387,$F382&lt;&gt;"",$G382&lt;&gt;""),Results!$I387,"")</f>
        <v/>
      </c>
      <c r="I382" s="343" t="str">
        <f>IF(AND(Results!$I387&lt;&gt;"",Results!$K387&lt;&gt;"",Results!$F387&lt;&gt;Results!$H387,$F382&lt;&gt;"",$G382&lt;&gt;""),Results!$K387,"")</f>
        <v/>
      </c>
      <c r="J382" s="344" t="str">
        <f>IF(AND(Results!$L387&lt;&gt;"",Results!$N387&lt;&gt;"",Results!$F387&lt;&gt;Results!$H387,$F382&lt;&gt;"",$G382&lt;&gt;""),Results!$L387,"")</f>
        <v/>
      </c>
      <c r="K382" s="343" t="str">
        <f>IF(AND(Results!$L387&lt;&gt;"",Results!$N387&lt;&gt;"",Results!$F387&lt;&gt;Results!$H387,$F382&lt;&gt;"",$G382&lt;&gt;""),Results!$N387,"")</f>
        <v/>
      </c>
      <c r="L382" s="344" t="str">
        <f>IF(AND(Results!$O387&lt;&gt;"",Results!$Q387&lt;&gt;"",Results!$F387&lt;&gt;Results!$H387,$F382&lt;&gt;"",$G382&lt;&gt;""),Results!$O387,"")</f>
        <v/>
      </c>
      <c r="M382" s="122" t="str">
        <f>IF(AND(Results!$O387&lt;&gt;"",Results!$Q387&lt;&gt;"",Results!$F387&lt;&gt;Results!$H387,$F382&lt;&gt;"",$G382&lt;&gt;""),Results!$Q387,"")</f>
        <v/>
      </c>
      <c r="N382" s="16" t="str">
        <f>IF(Planning!$I385=0,F382&amp;G382,"")</f>
        <v/>
      </c>
      <c r="O382" s="122">
        <f>IF(AND(Results!$Z$6&gt;0,$E382-1&gt;=Results!$Z$6*Calc!$F$26),0,IF(AND(F382&lt;&gt;"",G382&lt;&gt;"",F382&lt;&gt;G382,Results!$R387&lt;&gt;"",Results!$T387&lt;&gt;""),1,0))</f>
        <v>0</v>
      </c>
      <c r="P382" s="122" t="str">
        <f>IF(AND(O382&gt;0,Planning!$I385=0),V382&amp;Language!$E$90&amp;W382,"")</f>
        <v/>
      </c>
      <c r="Q382" s="4" t="str">
        <f>IF(Planning!$I385=1,F382&amp;G382,"")</f>
        <v/>
      </c>
      <c r="R382" s="88" t="str">
        <f>IF(AND(O382&gt;0,Planning!$I385=1),V382&amp;Language!$E$90&amp;W382,"")</f>
        <v/>
      </c>
      <c r="S382" s="395" t="str">
        <f>IF(O382&gt;0,X382&amp;Language!$E$90&amp;Y382,"")</f>
        <v/>
      </c>
      <c r="T382" s="290">
        <f>IF($H382="",0,Results!$U387)</f>
        <v>0</v>
      </c>
      <c r="U382" s="291">
        <f>IF($I382="",0,Results!$V387)</f>
        <v>0</v>
      </c>
      <c r="V382" s="350" t="str">
        <f t="shared" si="10"/>
        <v/>
      </c>
      <c r="W382" s="291" t="str">
        <f t="shared" si="11"/>
        <v/>
      </c>
      <c r="X382" s="350">
        <f>IF($O382=0,0,IF(Results!$R387="",0,Results!$R387))</f>
        <v>0</v>
      </c>
      <c r="Y382" s="291">
        <f>IF($O382=0,0,IF(Results!$T387="",0,Results!$T387))</f>
        <v>0</v>
      </c>
      <c r="Z382" s="350" t="str">
        <f>IF($O382=0,"",IF($X382&gt;$Y382,Settings!$C$4,IF($X382=$Y382,1,0)))</f>
        <v/>
      </c>
      <c r="AA382" s="291" t="str">
        <f>IF($O382=0,"",IF($X382&lt;$Y382,Settings!$C$4,IF($X382=$Y382,1,0)))</f>
        <v/>
      </c>
    </row>
    <row r="383" spans="5:27" ht="13.5" thickBot="1" x14ac:dyDescent="0.25">
      <c r="E383" s="267">
        <v>380</v>
      </c>
      <c r="F383" s="173" t="str">
        <f>Planning!$Q386</f>
        <v/>
      </c>
      <c r="G383" s="349" t="str">
        <f>Planning!$S386</f>
        <v/>
      </c>
      <c r="H383" s="346" t="str">
        <f>IF(AND(Results!$I388&lt;&gt;"",Results!$K388&lt;&gt;"",Results!$F388&lt;&gt;Results!$H388,$F383&lt;&gt;"",$G383&lt;&gt;""),Results!$I388,"")</f>
        <v/>
      </c>
      <c r="I383" s="345" t="str">
        <f>IF(AND(Results!$I388&lt;&gt;"",Results!$K388&lt;&gt;"",Results!$F388&lt;&gt;Results!$H388,$F383&lt;&gt;"",$G383&lt;&gt;""),Results!$K388,"")</f>
        <v/>
      </c>
      <c r="J383" s="346" t="str">
        <f>IF(AND(Results!$L388&lt;&gt;"",Results!$N388&lt;&gt;"",Results!$F388&lt;&gt;Results!$H388,$F383&lt;&gt;"",$G383&lt;&gt;""),Results!$L388,"")</f>
        <v/>
      </c>
      <c r="K383" s="345" t="str">
        <f>IF(AND(Results!$L388&lt;&gt;"",Results!$N388&lt;&gt;"",Results!$F388&lt;&gt;Results!$H388,$F383&lt;&gt;"",$G383&lt;&gt;""),Results!$N388,"")</f>
        <v/>
      </c>
      <c r="L383" s="346" t="str">
        <f>IF(AND(Results!$O388&lt;&gt;"",Results!$Q388&lt;&gt;"",Results!$F388&lt;&gt;Results!$H388,$F383&lt;&gt;"",$G383&lt;&gt;""),Results!$O388,"")</f>
        <v/>
      </c>
      <c r="M383" s="18" t="str">
        <f>IF(AND(Results!$O388&lt;&gt;"",Results!$Q388&lt;&gt;"",Results!$F388&lt;&gt;Results!$H388,$F383&lt;&gt;"",$G383&lt;&gt;""),Results!$Q388,"")</f>
        <v/>
      </c>
      <c r="N383" s="17" t="str">
        <f>IF(Planning!$I386=0,F383&amp;G383,"")</f>
        <v/>
      </c>
      <c r="O383" s="18">
        <f>IF(AND(Results!$Z$6&gt;0,$E383-1&gt;=Results!$Z$6*Calc!$F$26),0,IF(AND(F383&lt;&gt;"",G383&lt;&gt;"",F383&lt;&gt;G383,Results!$R388&lt;&gt;"",Results!$T388&lt;&gt;""),1,0))</f>
        <v>0</v>
      </c>
      <c r="P383" s="18" t="str">
        <f>IF(AND(O383&gt;0,Planning!$I386=0),V383&amp;Language!$E$90&amp;W383,"")</f>
        <v/>
      </c>
      <c r="Q383" s="176" t="str">
        <f>IF(Planning!$I386=1,F383&amp;G383,"")</f>
        <v/>
      </c>
      <c r="R383" s="177" t="str">
        <f>IF(AND(O383&gt;0,Planning!$I386=1),V383&amp;Language!$E$90&amp;W383,"")</f>
        <v/>
      </c>
      <c r="S383" s="396" t="str">
        <f>IF(O383&gt;0,X383&amp;Language!$E$90&amp;Y383,"")</f>
        <v/>
      </c>
      <c r="T383" s="292">
        <f>IF($H383="",0,Results!$U388)</f>
        <v>0</v>
      </c>
      <c r="U383" s="293">
        <f>IF($I383="",0,Results!$V388)</f>
        <v>0</v>
      </c>
      <c r="V383" s="351" t="str">
        <f t="shared" si="10"/>
        <v/>
      </c>
      <c r="W383" s="293" t="str">
        <f t="shared" si="11"/>
        <v/>
      </c>
      <c r="X383" s="351">
        <f>IF($O383=0,0,IF(Results!$R388="",0,Results!$R388))</f>
        <v>0</v>
      </c>
      <c r="Y383" s="293">
        <f>IF($O383=0,0,IF(Results!$T388="",0,Results!$T388))</f>
        <v>0</v>
      </c>
      <c r="Z383" s="351" t="str">
        <f>IF($O383=0,"",IF($X383&gt;$Y383,Settings!$C$4,IF($X383=$Y383,1,0)))</f>
        <v/>
      </c>
      <c r="AA383" s="293" t="str">
        <f>IF($O383=0,"",IF($X383&lt;$Y383,Settings!$C$4,IF($X383=$Y383,1,0)))</f>
        <v/>
      </c>
    </row>
    <row r="384" spans="5:27" ht="13.5" thickTop="1" x14ac:dyDescent="0.2">
      <c r="I384" s="363"/>
      <c r="J384" s="363"/>
      <c r="K384" s="363"/>
      <c r="L384" s="364"/>
      <c r="M384" s="324" t="s">
        <v>5</v>
      </c>
      <c r="N384" s="16" t="str">
        <f>IF(Planning!$I7=0,G4&amp;F4,"")</f>
        <v>VfL Wolfsburg1. FC Heidenheim 1846</v>
      </c>
      <c r="O384" s="122">
        <f t="shared" ref="O384:O415" si="12">O4</f>
        <v>1</v>
      </c>
      <c r="P384" s="122" t="str">
        <f>IF(AND(O384&gt;0,Planning!$I7=0),W4&amp;Language!$E$90&amp;V4,"")</f>
        <v>58 - 53</v>
      </c>
      <c r="Q384" s="4" t="str">
        <f>IF(Planning!$I7=1,G4&amp;F4,"")</f>
        <v/>
      </c>
      <c r="R384" s="88" t="str">
        <f>IF(AND(O384&gt;0,Planning!$I7=1),W4&amp;Language!$E$90&amp;V4,"")</f>
        <v/>
      </c>
      <c r="S384" s="398" t="str">
        <f>IF(O4&gt;0,Y4&amp;Language!$E$90&amp;X4,"")</f>
        <v>2 - 1</v>
      </c>
    </row>
    <row r="385" spans="9:19" x14ac:dyDescent="0.2">
      <c r="I385" s="365"/>
      <c r="J385" s="365"/>
      <c r="K385" s="365"/>
      <c r="L385" s="366"/>
      <c r="M385" s="324" t="s">
        <v>6</v>
      </c>
      <c r="N385" s="16" t="str">
        <f>IF(Planning!$I8=0,G5&amp;F5,"")</f>
        <v>1. FC KölnVfB Stuttgart</v>
      </c>
      <c r="O385" s="122">
        <f t="shared" si="12"/>
        <v>1</v>
      </c>
      <c r="P385" s="122" t="str">
        <f>IF(AND(O385&gt;0,Planning!$I8=0),W5&amp;Language!$E$90&amp;V5,"")</f>
        <v>42 - 50</v>
      </c>
      <c r="Q385" s="4" t="str">
        <f>IF(Planning!$I8=1,G5&amp;F5,"")</f>
        <v/>
      </c>
      <c r="R385" s="88" t="str">
        <f>IF(AND(O385&gt;0,Planning!$I8=1),W5&amp;Language!$E$90&amp;V5,"")</f>
        <v/>
      </c>
      <c r="S385" s="395" t="str">
        <f>IF(O5&gt;0,Y5&amp;Language!$E$90&amp;X5,"")</f>
        <v>0 - 2</v>
      </c>
    </row>
    <row r="386" spans="9:19" x14ac:dyDescent="0.2">
      <c r="I386" s="365"/>
      <c r="J386" s="365"/>
      <c r="K386" s="365"/>
      <c r="L386" s="366"/>
      <c r="M386" s="324" t="s">
        <v>7</v>
      </c>
      <c r="N386" s="16" t="str">
        <f>IF(Planning!$I9=0,G6&amp;F6,"")</f>
        <v>TSG Hoffenheim1. FC Union Berlin</v>
      </c>
      <c r="O386" s="122">
        <f t="shared" si="12"/>
        <v>1</v>
      </c>
      <c r="P386" s="122" t="str">
        <f>IF(AND(O386&gt;0,Planning!$I9=0),W6&amp;Language!$E$90&amp;V6,"")</f>
        <v>40 - 50</v>
      </c>
      <c r="Q386" s="4" t="str">
        <f>IF(Planning!$I9=1,G6&amp;F6,"")</f>
        <v/>
      </c>
      <c r="R386" s="88" t="str">
        <f>IF(AND(O386&gt;0,Planning!$I9=1),W6&amp;Language!$E$90&amp;V6,"")</f>
        <v/>
      </c>
      <c r="S386" s="395" t="str">
        <f>IF(O6&gt;0,Y6&amp;Language!$E$90&amp;X6,"")</f>
        <v>0 - 2</v>
      </c>
    </row>
    <row r="387" spans="9:19" x14ac:dyDescent="0.2">
      <c r="I387" s="365"/>
      <c r="J387" s="365"/>
      <c r="K387" s="365"/>
      <c r="L387" s="366"/>
      <c r="M387" s="324" t="s">
        <v>8</v>
      </c>
      <c r="N387" s="16" t="str">
        <f>IF(Planning!$I10=0,G7&amp;F7,"")</f>
        <v>1. FSV Mainz 05SV Werder Bremen</v>
      </c>
      <c r="O387" s="122">
        <f t="shared" si="12"/>
        <v>1</v>
      </c>
      <c r="P387" s="122" t="str">
        <f>IF(AND(O387&gt;0,Planning!$I10=0),W7&amp;Language!$E$90&amp;V7,"")</f>
        <v>50 - 31</v>
      </c>
      <c r="Q387" s="4" t="str">
        <f>IF(Planning!$I10=1,G7&amp;F7,"")</f>
        <v/>
      </c>
      <c r="R387" s="88" t="str">
        <f>IF(AND(O387&gt;0,Planning!$I10=1),W7&amp;Language!$E$90&amp;V7,"")</f>
        <v/>
      </c>
      <c r="S387" s="395" t="str">
        <f>IF(O7&gt;0,Y7&amp;Language!$E$90&amp;X7,"")</f>
        <v>2 - 0</v>
      </c>
    </row>
    <row r="388" spans="9:19" x14ac:dyDescent="0.2">
      <c r="I388" s="365"/>
      <c r="J388" s="365"/>
      <c r="K388" s="365"/>
      <c r="L388" s="366"/>
      <c r="M388" s="324" t="s">
        <v>9</v>
      </c>
      <c r="N388" s="16" t="str">
        <f>IF(Planning!$I11=0,G8&amp;F8,"")</f>
        <v>SC FreiburgBayer 04 Leverkusen</v>
      </c>
      <c r="O388" s="7">
        <f t="shared" si="12"/>
        <v>1</v>
      </c>
      <c r="P388" s="7" t="str">
        <f>IF(AND(O388&gt;0,Planning!$I11=0),W8&amp;Language!$E$90&amp;V8,"")</f>
        <v>46 - 50</v>
      </c>
      <c r="Q388" s="2" t="str">
        <f>IF(Planning!$I11=1,G8&amp;F8,"")</f>
        <v/>
      </c>
      <c r="R388" s="88" t="str">
        <f>IF(AND(O388&gt;0,Planning!$I11=1),W8&amp;Language!$E$90&amp;V8,"")</f>
        <v/>
      </c>
      <c r="S388" s="395" t="str">
        <f>IF(O8&gt;0,Y8&amp;Language!$E$90&amp;X8,"")</f>
        <v>0 - 2</v>
      </c>
    </row>
    <row r="389" spans="9:19" x14ac:dyDescent="0.2">
      <c r="I389" s="365"/>
      <c r="J389" s="365"/>
      <c r="K389" s="365"/>
      <c r="L389" s="366"/>
      <c r="M389" s="324" t="s">
        <v>10</v>
      </c>
      <c r="N389" s="16" t="str">
        <f>IF(Planning!$I12=0,G9&amp;F9,"")</f>
        <v>Borussia DortmundRB Leipzig</v>
      </c>
      <c r="O389" s="7">
        <f t="shared" si="12"/>
        <v>1</v>
      </c>
      <c r="P389" s="7" t="str">
        <f>IF(AND(O389&gt;0,Planning!$I12=0),W9&amp;Language!$E$90&amp;V9,"")</f>
        <v>39 - 50</v>
      </c>
      <c r="Q389" s="2" t="str">
        <f>IF(Planning!$I12=1,G9&amp;F9,"")</f>
        <v/>
      </c>
      <c r="R389" s="88" t="str">
        <f>IF(AND(O389&gt;0,Planning!$I12=1),W9&amp;Language!$E$90&amp;V9,"")</f>
        <v/>
      </c>
      <c r="S389" s="395" t="str">
        <f>IF(O9&gt;0,Y9&amp;Language!$E$90&amp;X9,"")</f>
        <v>0 - 2</v>
      </c>
    </row>
    <row r="390" spans="9:19" x14ac:dyDescent="0.2">
      <c r="I390" s="365"/>
      <c r="J390" s="365"/>
      <c r="K390" s="365"/>
      <c r="L390" s="366"/>
      <c r="M390" s="324" t="s">
        <v>13</v>
      </c>
      <c r="N390" s="16" t="str">
        <f>IF(Planning!$I13=0,G10&amp;F10,"")</f>
        <v>Hamburger SVBorussia Mönchengladbach</v>
      </c>
      <c r="O390" s="7">
        <f t="shared" si="12"/>
        <v>1</v>
      </c>
      <c r="P390" s="7" t="str">
        <f>IF(AND(O390&gt;0,Planning!$I13=0),W10&amp;Language!$E$90&amp;V10,"")</f>
        <v>64 - 62</v>
      </c>
      <c r="Q390" s="2" t="str">
        <f>IF(Planning!$I13=1,G10&amp;F10,"")</f>
        <v/>
      </c>
      <c r="R390" s="88" t="str">
        <f>IF(AND(O390&gt;0,Planning!$I13=1),W10&amp;Language!$E$90&amp;V10,"")</f>
        <v/>
      </c>
      <c r="S390" s="395" t="str">
        <f>IF(O10&gt;0,Y10&amp;Language!$E$90&amp;X10,"")</f>
        <v>2 - 1</v>
      </c>
    </row>
    <row r="391" spans="9:19" x14ac:dyDescent="0.2">
      <c r="I391" s="365"/>
      <c r="J391" s="365"/>
      <c r="K391" s="365"/>
      <c r="L391" s="366"/>
      <c r="M391" s="324" t="s">
        <v>14</v>
      </c>
      <c r="N391" s="16" t="str">
        <f>IF(Planning!$I14=0,G11&amp;F11,"")</f>
        <v>Eintracht FrankfurtFC St. Pauli</v>
      </c>
      <c r="O391" s="7">
        <f t="shared" si="12"/>
        <v>1</v>
      </c>
      <c r="P391" s="7" t="str">
        <f>IF(AND(O391&gt;0,Planning!$I14=0),W11&amp;Language!$E$90&amp;V11,"")</f>
        <v>53 - 59</v>
      </c>
      <c r="Q391" s="2" t="str">
        <f>IF(Planning!$I14=1,G11&amp;F11,"")</f>
        <v/>
      </c>
      <c r="R391" s="88" t="str">
        <f>IF(AND(O391&gt;0,Planning!$I14=1),W11&amp;Language!$E$90&amp;V11,"")</f>
        <v/>
      </c>
      <c r="S391" s="395" t="str">
        <f>IF(O11&gt;0,Y11&amp;Language!$E$90&amp;X11,"")</f>
        <v>1 - 2</v>
      </c>
    </row>
    <row r="392" spans="9:19" x14ac:dyDescent="0.2">
      <c r="I392" s="365"/>
      <c r="J392" s="365"/>
      <c r="K392" s="365"/>
      <c r="L392" s="366"/>
      <c r="M392" s="324" t="s">
        <v>15</v>
      </c>
      <c r="N392" s="16" t="str">
        <f>IF(Planning!$I15=0,G12&amp;F12,"")</f>
        <v>FC Bayern MünchenFC Augsburg</v>
      </c>
      <c r="O392" s="7">
        <f t="shared" si="12"/>
        <v>1</v>
      </c>
      <c r="P392" s="7" t="str">
        <f>IF(AND(O392&gt;0,Planning!$I15=0),W12&amp;Language!$E$90&amp;V12,"")</f>
        <v>54 - 58</v>
      </c>
      <c r="Q392" s="2" t="str">
        <f>IF(Planning!$I15=1,G12&amp;F12,"")</f>
        <v/>
      </c>
      <c r="R392" s="88" t="str">
        <f>IF(AND(O392&gt;0,Planning!$I15=1),W12&amp;Language!$E$90&amp;V12,"")</f>
        <v/>
      </c>
      <c r="S392" s="395" t="str">
        <f>IF(O12&gt;0,Y12&amp;Language!$E$90&amp;X12,"")</f>
        <v>1 - 2</v>
      </c>
    </row>
    <row r="393" spans="9:19" x14ac:dyDescent="0.2">
      <c r="I393" s="365"/>
      <c r="J393" s="365"/>
      <c r="K393" s="365"/>
      <c r="L393" s="366"/>
      <c r="M393" s="324" t="s">
        <v>21</v>
      </c>
      <c r="N393" s="16" t="str">
        <f>IF(Planning!$I16=0,G13&amp;F13,"")</f>
        <v>1. FC Heidenheim 1846VfB Stuttgart</v>
      </c>
      <c r="O393" s="7">
        <f t="shared" si="12"/>
        <v>1</v>
      </c>
      <c r="P393" s="7" t="str">
        <f>IF(AND(O393&gt;0,Planning!$I16=0),W13&amp;Language!$E$90&amp;V13,"")</f>
        <v>41 - 50</v>
      </c>
      <c r="Q393" s="2" t="str">
        <f>IF(Planning!$I16=1,G13&amp;F13,"")</f>
        <v/>
      </c>
      <c r="R393" s="88" t="str">
        <f>IF(AND(O393&gt;0,Planning!$I16=1),W13&amp;Language!$E$90&amp;V13,"")</f>
        <v/>
      </c>
      <c r="S393" s="395" t="str">
        <f>IF(O13&gt;0,Y13&amp;Language!$E$90&amp;X13,"")</f>
        <v>0 - 2</v>
      </c>
    </row>
    <row r="394" spans="9:19" x14ac:dyDescent="0.2">
      <c r="I394" s="365"/>
      <c r="J394" s="365"/>
      <c r="K394" s="365"/>
      <c r="L394" s="366"/>
      <c r="M394" s="324" t="s">
        <v>22</v>
      </c>
      <c r="N394" s="16" t="str">
        <f>IF(Planning!$I17=0,G14&amp;F14,"")</f>
        <v>VfL WolfsburgTSG Hoffenheim</v>
      </c>
      <c r="O394" s="7">
        <f t="shared" si="12"/>
        <v>1</v>
      </c>
      <c r="P394" s="7" t="str">
        <f>IF(AND(O394&gt;0,Planning!$I17=0),W14&amp;Language!$E$90&amp;V14,"")</f>
        <v>56 - 62</v>
      </c>
      <c r="Q394" s="2" t="str">
        <f>IF(Planning!$I17=1,G14&amp;F14,"")</f>
        <v/>
      </c>
      <c r="R394" s="88" t="str">
        <f>IF(AND(O394&gt;0,Planning!$I17=1),W14&amp;Language!$E$90&amp;V14,"")</f>
        <v/>
      </c>
      <c r="S394" s="395" t="str">
        <f>IF(O14&gt;0,Y14&amp;Language!$E$90&amp;X14,"")</f>
        <v>1 - 2</v>
      </c>
    </row>
    <row r="395" spans="9:19" x14ac:dyDescent="0.2">
      <c r="I395" s="365"/>
      <c r="J395" s="365"/>
      <c r="K395" s="365"/>
      <c r="L395" s="366"/>
      <c r="M395" s="324" t="s">
        <v>23</v>
      </c>
      <c r="N395" s="16" t="str">
        <f>IF(Planning!$I18=0,G15&amp;F15,"")</f>
        <v>SV Werder Bremen1. FC Köln</v>
      </c>
      <c r="O395" s="7">
        <f t="shared" si="12"/>
        <v>1</v>
      </c>
      <c r="P395" s="7" t="str">
        <f>IF(AND(O395&gt;0,Planning!$I18=0),W15&amp;Language!$E$90&amp;V15,"")</f>
        <v>47 - 52</v>
      </c>
      <c r="Q395" s="2" t="str">
        <f>IF(Planning!$I18=1,G15&amp;F15,"")</f>
        <v/>
      </c>
      <c r="R395" s="88" t="str">
        <f>IF(AND(O395&gt;0,Planning!$I18=1),W15&amp;Language!$E$90&amp;V15,"")</f>
        <v/>
      </c>
      <c r="S395" s="395" t="str">
        <f>IF(O15&gt;0,Y15&amp;Language!$E$90&amp;X15,"")</f>
        <v>0 - 2</v>
      </c>
    </row>
    <row r="396" spans="9:19" x14ac:dyDescent="0.2">
      <c r="I396" s="365"/>
      <c r="J396" s="365"/>
      <c r="K396" s="365"/>
      <c r="L396" s="366"/>
      <c r="M396" s="324" t="s">
        <v>24</v>
      </c>
      <c r="N396" s="16" t="str">
        <f>IF(Planning!$I19=0,G16&amp;F16,"")</f>
        <v>1. FC Union BerlinSC Freiburg</v>
      </c>
      <c r="O396" s="7">
        <f t="shared" si="12"/>
        <v>1</v>
      </c>
      <c r="P396" s="7" t="str">
        <f>IF(AND(O396&gt;0,Planning!$I19=0),W16&amp;Language!$E$90&amp;V16,"")</f>
        <v>50 - 29</v>
      </c>
      <c r="Q396" s="2" t="str">
        <f>IF(Planning!$I19=1,G16&amp;F16,"")</f>
        <v/>
      </c>
      <c r="R396" s="88" t="str">
        <f>IF(AND(O396&gt;0,Planning!$I19=1),W16&amp;Language!$E$90&amp;V16,"")</f>
        <v/>
      </c>
      <c r="S396" s="395" t="str">
        <f>IF(O16&gt;0,Y16&amp;Language!$E$90&amp;X16,"")</f>
        <v>2 - 0</v>
      </c>
    </row>
    <row r="397" spans="9:19" x14ac:dyDescent="0.2">
      <c r="I397" s="365"/>
      <c r="J397" s="365"/>
      <c r="K397" s="365"/>
      <c r="L397" s="366"/>
      <c r="M397" s="324" t="s">
        <v>25</v>
      </c>
      <c r="N397" s="16" t="str">
        <f>IF(Planning!$I20=0,G17&amp;F17,"")</f>
        <v>RB Leipzig1. FSV Mainz 05</v>
      </c>
      <c r="O397" s="7">
        <f t="shared" si="12"/>
        <v>1</v>
      </c>
      <c r="P397" s="7" t="str">
        <f>IF(AND(O397&gt;0,Planning!$I20=0),W17&amp;Language!$E$90&amp;V17,"")</f>
        <v>42 - 50</v>
      </c>
      <c r="Q397" s="2" t="str">
        <f>IF(Planning!$I20=1,G17&amp;F17,"")</f>
        <v/>
      </c>
      <c r="R397" s="88" t="str">
        <f>IF(AND(O397&gt;0,Planning!$I20=1),W17&amp;Language!$E$90&amp;V17,"")</f>
        <v/>
      </c>
      <c r="S397" s="395" t="str">
        <f>IF(O17&gt;0,Y17&amp;Language!$E$90&amp;X17,"")</f>
        <v>0 - 2</v>
      </c>
    </row>
    <row r="398" spans="9:19" x14ac:dyDescent="0.2">
      <c r="I398" s="365"/>
      <c r="J398" s="365"/>
      <c r="K398" s="365"/>
      <c r="L398" s="366"/>
      <c r="M398" s="324" t="s">
        <v>26</v>
      </c>
      <c r="N398" s="16" t="str">
        <f>IF(Planning!$I21=0,G18&amp;F18,"")</f>
        <v>Bayer 04 LeverkusenHamburger SV</v>
      </c>
      <c r="O398" s="7">
        <f t="shared" si="12"/>
        <v>1</v>
      </c>
      <c r="P398" s="7" t="str">
        <f>IF(AND(O398&gt;0,Planning!$I21=0),W18&amp;Language!$E$90&amp;V18,"")</f>
        <v>48 - 52</v>
      </c>
      <c r="Q398" s="2" t="str">
        <f>IF(Planning!$I21=1,G18&amp;F18,"")</f>
        <v/>
      </c>
      <c r="R398" s="88" t="str">
        <f>IF(AND(O398&gt;0,Planning!$I21=1),W18&amp;Language!$E$90&amp;V18,"")</f>
        <v/>
      </c>
      <c r="S398" s="395" t="str">
        <f>IF(O18&gt;0,Y18&amp;Language!$E$90&amp;X18,"")</f>
        <v>0 - 2</v>
      </c>
    </row>
    <row r="399" spans="9:19" x14ac:dyDescent="0.2">
      <c r="I399" s="365"/>
      <c r="J399" s="365"/>
      <c r="K399" s="365"/>
      <c r="L399" s="366"/>
      <c r="M399" s="324" t="s">
        <v>27</v>
      </c>
      <c r="N399" s="16" t="str">
        <f>IF(Planning!$I22=0,G19&amp;F19,"")</f>
        <v>FC St. PauliBorussia Dortmund</v>
      </c>
      <c r="O399" s="7">
        <f t="shared" si="12"/>
        <v>1</v>
      </c>
      <c r="P399" s="7" t="str">
        <f>IF(AND(O399&gt;0,Planning!$I22=0),W19&amp;Language!$E$90&amp;V19,"")</f>
        <v>50 - 41</v>
      </c>
      <c r="Q399" s="2" t="str">
        <f>IF(Planning!$I22=1,G19&amp;F19,"")</f>
        <v/>
      </c>
      <c r="R399" s="88" t="str">
        <f>IF(AND(O399&gt;0,Planning!$I22=1),W19&amp;Language!$E$90&amp;V19,"")</f>
        <v/>
      </c>
      <c r="S399" s="395" t="str">
        <f>IF(O19&gt;0,Y19&amp;Language!$E$90&amp;X19,"")</f>
        <v>2 - 0</v>
      </c>
    </row>
    <row r="400" spans="9:19" x14ac:dyDescent="0.2">
      <c r="I400" s="365"/>
      <c r="J400" s="365"/>
      <c r="K400" s="365"/>
      <c r="L400" s="366"/>
      <c r="M400" s="324" t="s">
        <v>28</v>
      </c>
      <c r="N400" s="16" t="str">
        <f>IF(Planning!$I23=0,G20&amp;F20,"")</f>
        <v>Borussia MönchengladbachFC Bayern München</v>
      </c>
      <c r="O400" s="7">
        <f t="shared" si="12"/>
        <v>1</v>
      </c>
      <c r="P400" s="7" t="str">
        <f>IF(AND(O400&gt;0,Planning!$I23=0),W20&amp;Language!$E$90&amp;V20,"")</f>
        <v>39 - 50</v>
      </c>
      <c r="Q400" s="2" t="str">
        <f>IF(Planning!$I23=1,G20&amp;F20,"")</f>
        <v/>
      </c>
      <c r="R400" s="88" t="str">
        <f>IF(AND(O400&gt;0,Planning!$I23=1),W20&amp;Language!$E$90&amp;V20,"")</f>
        <v/>
      </c>
      <c r="S400" s="395" t="str">
        <f>IF(O20&gt;0,Y20&amp;Language!$E$90&amp;X20,"")</f>
        <v>0 - 2</v>
      </c>
    </row>
    <row r="401" spans="9:19" x14ac:dyDescent="0.2">
      <c r="I401" s="365"/>
      <c r="J401" s="365"/>
      <c r="K401" s="365"/>
      <c r="L401" s="366"/>
      <c r="M401" s="324" t="s">
        <v>29</v>
      </c>
      <c r="N401" s="16" t="str">
        <f>IF(Planning!$I24=0,G21&amp;F21,"")</f>
        <v>FC AugsburgEintracht Frankfurt</v>
      </c>
      <c r="O401" s="7">
        <f t="shared" si="12"/>
        <v>1</v>
      </c>
      <c r="P401" s="7" t="str">
        <f>IF(AND(O401&gt;0,Planning!$I24=0),W21&amp;Language!$E$90&amp;V21,"")</f>
        <v>32 - 50</v>
      </c>
      <c r="Q401" s="2" t="str">
        <f>IF(Planning!$I24=1,G21&amp;F21,"")</f>
        <v/>
      </c>
      <c r="R401" s="88" t="str">
        <f>IF(AND(O401&gt;0,Planning!$I24=1),W21&amp;Language!$E$90&amp;V21,"")</f>
        <v/>
      </c>
      <c r="S401" s="395" t="str">
        <f>IF(O21&gt;0,Y21&amp;Language!$E$90&amp;X21,"")</f>
        <v>0 - 2</v>
      </c>
    </row>
    <row r="402" spans="9:19" x14ac:dyDescent="0.2">
      <c r="I402" s="365"/>
      <c r="J402" s="365"/>
      <c r="K402" s="365"/>
      <c r="L402" s="366"/>
      <c r="M402" s="324" t="s">
        <v>30</v>
      </c>
      <c r="N402" s="16" t="str">
        <f>IF(Planning!$I25=0,G22&amp;F22,"")</f>
        <v>TSG Hoffenheim1. FC Heidenheim 1846</v>
      </c>
      <c r="O402" s="7">
        <f t="shared" si="12"/>
        <v>1</v>
      </c>
      <c r="P402" s="7" t="str">
        <f>IF(AND(O402&gt;0,Planning!$I25=0),W22&amp;Language!$E$90&amp;V22,"")</f>
        <v>41 - 50</v>
      </c>
      <c r="Q402" s="2" t="str">
        <f>IF(Planning!$I25=1,G22&amp;F22,"")</f>
        <v/>
      </c>
      <c r="R402" s="88" t="str">
        <f>IF(AND(O402&gt;0,Planning!$I25=1),W22&amp;Language!$E$90&amp;V22,"")</f>
        <v/>
      </c>
      <c r="S402" s="395" t="str">
        <f>IF(O22&gt;0,Y22&amp;Language!$E$90&amp;X22,"")</f>
        <v>0 - 2</v>
      </c>
    </row>
    <row r="403" spans="9:19" x14ac:dyDescent="0.2">
      <c r="I403" s="365"/>
      <c r="J403" s="365"/>
      <c r="K403" s="365"/>
      <c r="L403" s="366"/>
      <c r="M403" s="324" t="s">
        <v>31</v>
      </c>
      <c r="N403" s="16" t="str">
        <f>IF(Planning!$I26=0,G23&amp;F23,"")</f>
        <v>VfB StuttgartSV Werder Bremen</v>
      </c>
      <c r="O403" s="7">
        <f t="shared" si="12"/>
        <v>1</v>
      </c>
      <c r="P403" s="7" t="str">
        <f>IF(AND(O403&gt;0,Planning!$I26=0),W23&amp;Language!$E$90&amp;V23,"")</f>
        <v>45 - 50</v>
      </c>
      <c r="Q403" s="2" t="str">
        <f>IF(Planning!$I26=1,G23&amp;F23,"")</f>
        <v/>
      </c>
      <c r="R403" s="88" t="str">
        <f>IF(AND(O403&gt;0,Planning!$I26=1),W23&amp;Language!$E$90&amp;V23,"")</f>
        <v/>
      </c>
      <c r="S403" s="395" t="str">
        <f>IF(O23&gt;0,Y23&amp;Language!$E$90&amp;X23,"")</f>
        <v>0 - 2</v>
      </c>
    </row>
    <row r="404" spans="9:19" x14ac:dyDescent="0.2">
      <c r="I404" s="365"/>
      <c r="J404" s="365"/>
      <c r="K404" s="365"/>
      <c r="L404" s="366"/>
      <c r="M404" s="324" t="s">
        <v>32</v>
      </c>
      <c r="N404" s="16" t="str">
        <f>IF(Planning!$I27=0,G24&amp;F24,"")</f>
        <v>SC FreiburgVfL Wolfsburg</v>
      </c>
      <c r="O404" s="7">
        <f t="shared" si="12"/>
        <v>1</v>
      </c>
      <c r="P404" s="7" t="str">
        <f>IF(AND(O404&gt;0,Planning!$I27=0),W24&amp;Language!$E$90&amp;V24,"")</f>
        <v>29 - 50</v>
      </c>
      <c r="Q404" s="2" t="str">
        <f>IF(Planning!$I27=1,G24&amp;F24,"")</f>
        <v/>
      </c>
      <c r="R404" s="88" t="str">
        <f>IF(AND(O404&gt;0,Planning!$I27=1),W24&amp;Language!$E$90&amp;V24,"")</f>
        <v/>
      </c>
      <c r="S404" s="395" t="str">
        <f>IF(O24&gt;0,Y24&amp;Language!$E$90&amp;X24,"")</f>
        <v>0 - 2</v>
      </c>
    </row>
    <row r="405" spans="9:19" x14ac:dyDescent="0.2">
      <c r="I405" s="365"/>
      <c r="J405" s="365"/>
      <c r="K405" s="365"/>
      <c r="L405" s="366"/>
      <c r="M405" s="324" t="s">
        <v>33</v>
      </c>
      <c r="N405" s="16" t="str">
        <f>IF(Planning!$I28=0,G25&amp;F25,"")</f>
        <v>1. FC KölnRB Leipzig</v>
      </c>
      <c r="O405" s="7">
        <f t="shared" si="12"/>
        <v>1</v>
      </c>
      <c r="P405" s="7" t="str">
        <f>IF(AND(O405&gt;0,Planning!$I28=0),W25&amp;Language!$E$90&amp;V25,"")</f>
        <v>58 - 60</v>
      </c>
      <c r="Q405" s="2" t="str">
        <f>IF(Planning!$I28=1,G25&amp;F25,"")</f>
        <v/>
      </c>
      <c r="R405" s="88" t="str">
        <f>IF(AND(O405&gt;0,Planning!$I28=1),W25&amp;Language!$E$90&amp;V25,"")</f>
        <v/>
      </c>
      <c r="S405" s="395" t="str">
        <f>IF(O25&gt;0,Y25&amp;Language!$E$90&amp;X25,"")</f>
        <v>1 - 2</v>
      </c>
    </row>
    <row r="406" spans="9:19" x14ac:dyDescent="0.2">
      <c r="I406" s="365"/>
      <c r="J406" s="365"/>
      <c r="K406" s="365"/>
      <c r="L406" s="366"/>
      <c r="M406" s="324" t="s">
        <v>34</v>
      </c>
      <c r="N406" s="16" t="str">
        <f>IF(Planning!$I29=0,G26&amp;F26,"")</f>
        <v>Hamburger SV1. FC Union Berlin</v>
      </c>
      <c r="O406" s="7">
        <f t="shared" si="12"/>
        <v>1</v>
      </c>
      <c r="P406" s="7" t="str">
        <f>IF(AND(O406&gt;0,Planning!$I29=0),W26&amp;Language!$E$90&amp;V26,"")</f>
        <v>50 - 40</v>
      </c>
      <c r="Q406" s="2" t="str">
        <f>IF(Planning!$I29=1,G26&amp;F26,"")</f>
        <v/>
      </c>
      <c r="R406" s="88" t="str">
        <f>IF(AND(O406&gt;0,Planning!$I29=1),W26&amp;Language!$E$90&amp;V26,"")</f>
        <v/>
      </c>
      <c r="S406" s="395" t="str">
        <f>IF(O26&gt;0,Y26&amp;Language!$E$90&amp;X26,"")</f>
        <v>2 - 0</v>
      </c>
    </row>
    <row r="407" spans="9:19" x14ac:dyDescent="0.2">
      <c r="I407" s="365"/>
      <c r="J407" s="365"/>
      <c r="K407" s="365"/>
      <c r="L407" s="366"/>
      <c r="M407" s="324" t="s">
        <v>35</v>
      </c>
      <c r="N407" s="16" t="str">
        <f>IF(Planning!$I30=0,G27&amp;F27,"")</f>
        <v>1. FSV Mainz 05FC St. Pauli</v>
      </c>
      <c r="O407" s="7">
        <f t="shared" si="12"/>
        <v>1</v>
      </c>
      <c r="P407" s="7" t="str">
        <f>IF(AND(O407&gt;0,Planning!$I30=0),W27&amp;Language!$E$90&amp;V27,"")</f>
        <v>39 - 50</v>
      </c>
      <c r="Q407" s="2" t="str">
        <f>IF(Planning!$I30=1,G27&amp;F27,"")</f>
        <v/>
      </c>
      <c r="R407" s="88" t="str">
        <f>IF(AND(O407&gt;0,Planning!$I30=1),W27&amp;Language!$E$90&amp;V27,"")</f>
        <v/>
      </c>
      <c r="S407" s="395" t="str">
        <f>IF(O27&gt;0,Y27&amp;Language!$E$90&amp;X27,"")</f>
        <v>0 - 2</v>
      </c>
    </row>
    <row r="408" spans="9:19" x14ac:dyDescent="0.2">
      <c r="I408" s="365"/>
      <c r="J408" s="365"/>
      <c r="K408" s="365"/>
      <c r="L408" s="366"/>
      <c r="M408" s="324" t="s">
        <v>36</v>
      </c>
      <c r="N408" s="16" t="str">
        <f>IF(Planning!$I31=0,G28&amp;F28,"")</f>
        <v>FC Bayern MünchenBayer 04 Leverkusen</v>
      </c>
      <c r="O408" s="7">
        <f t="shared" si="12"/>
        <v>1</v>
      </c>
      <c r="P408" s="7" t="str">
        <f>IF(AND(O408&gt;0,Planning!$I31=0),W28&amp;Language!$E$90&amp;V28,"")</f>
        <v>40 - 50</v>
      </c>
      <c r="Q408" s="2" t="str">
        <f>IF(Planning!$I31=1,G28&amp;F28,"")</f>
        <v/>
      </c>
      <c r="R408" s="88" t="str">
        <f>IF(AND(O408&gt;0,Planning!$I31=1),W28&amp;Language!$E$90&amp;V28,"")</f>
        <v/>
      </c>
      <c r="S408" s="395" t="str">
        <f>IF(O28&gt;0,Y28&amp;Language!$E$90&amp;X28,"")</f>
        <v>0 - 2</v>
      </c>
    </row>
    <row r="409" spans="9:19" x14ac:dyDescent="0.2">
      <c r="I409" s="365"/>
      <c r="J409" s="365"/>
      <c r="K409" s="365"/>
      <c r="L409" s="366"/>
      <c r="M409" s="324" t="s">
        <v>37</v>
      </c>
      <c r="N409" s="16" t="str">
        <f>IF(Planning!$I32=0,G29&amp;F29,"")</f>
        <v>Borussia DortmundFC Augsburg</v>
      </c>
      <c r="O409" s="7">
        <f t="shared" si="12"/>
        <v>1</v>
      </c>
      <c r="P409" s="7" t="str">
        <f>IF(AND(O409&gt;0,Planning!$I32=0),W29&amp;Language!$E$90&amp;V29,"")</f>
        <v>40 - 50</v>
      </c>
      <c r="Q409" s="2" t="str">
        <f>IF(Planning!$I32=1,G29&amp;F29,"")</f>
        <v/>
      </c>
      <c r="R409" s="88" t="str">
        <f>IF(AND(O409&gt;0,Planning!$I32=1),W29&amp;Language!$E$90&amp;V29,"")</f>
        <v/>
      </c>
      <c r="S409" s="395" t="str">
        <f>IF(O29&gt;0,Y29&amp;Language!$E$90&amp;X29,"")</f>
        <v>0 - 2</v>
      </c>
    </row>
    <row r="410" spans="9:19" x14ac:dyDescent="0.2">
      <c r="I410" s="365"/>
      <c r="J410" s="365"/>
      <c r="K410" s="365"/>
      <c r="L410" s="366"/>
      <c r="M410" s="324" t="s">
        <v>38</v>
      </c>
      <c r="N410" s="16" t="str">
        <f>IF(Planning!$I33=0,G30&amp;F30,"")</f>
        <v>Eintracht FrankfurtBorussia Mönchengladbach</v>
      </c>
      <c r="O410" s="7">
        <f t="shared" si="12"/>
        <v>1</v>
      </c>
      <c r="P410" s="7" t="str">
        <f>IF(AND(O410&gt;0,Planning!$I33=0),W30&amp;Language!$E$90&amp;V30,"")</f>
        <v>51 - 46</v>
      </c>
      <c r="Q410" s="2" t="str">
        <f>IF(Planning!$I33=1,G30&amp;F30,"")</f>
        <v/>
      </c>
      <c r="R410" s="88" t="str">
        <f>IF(AND(O410&gt;0,Planning!$I33=1),W30&amp;Language!$E$90&amp;V30,"")</f>
        <v/>
      </c>
      <c r="S410" s="395" t="str">
        <f>IF(O30&gt;0,Y30&amp;Language!$E$90&amp;X30,"")</f>
        <v>2 - 0</v>
      </c>
    </row>
    <row r="411" spans="9:19" x14ac:dyDescent="0.2">
      <c r="I411" s="365"/>
      <c r="J411" s="365"/>
      <c r="K411" s="365"/>
      <c r="L411" s="366"/>
      <c r="M411" s="324" t="s">
        <v>39</v>
      </c>
      <c r="N411" s="16" t="str">
        <f>IF(Planning!$I34=0,G31&amp;F31,"")</f>
        <v>1. FC Heidenheim 1846SV Werder Bremen</v>
      </c>
      <c r="O411" s="7">
        <f t="shared" si="12"/>
        <v>1</v>
      </c>
      <c r="P411" s="7" t="str">
        <f>IF(AND(O411&gt;0,Planning!$I34=0),W31&amp;Language!$E$90&amp;V31,"")</f>
        <v>60 - 59</v>
      </c>
      <c r="Q411" s="2" t="str">
        <f>IF(Planning!$I34=1,G31&amp;F31,"")</f>
        <v/>
      </c>
      <c r="R411" s="88" t="str">
        <f>IF(AND(O411&gt;0,Planning!$I34=1),W31&amp;Language!$E$90&amp;V31,"")</f>
        <v/>
      </c>
      <c r="S411" s="395" t="str">
        <f>IF(O31&gt;0,Y31&amp;Language!$E$90&amp;X31,"")</f>
        <v>1 - 2</v>
      </c>
    </row>
    <row r="412" spans="9:19" x14ac:dyDescent="0.2">
      <c r="I412" s="365"/>
      <c r="J412" s="365"/>
      <c r="K412" s="365"/>
      <c r="L412" s="366"/>
      <c r="M412" s="324" t="s">
        <v>40</v>
      </c>
      <c r="N412" s="16" t="str">
        <f>IF(Planning!$I35=0,G32&amp;F32,"")</f>
        <v>TSG HoffenheimSC Freiburg</v>
      </c>
      <c r="O412" s="7">
        <f t="shared" si="12"/>
        <v>1</v>
      </c>
      <c r="P412" s="7" t="str">
        <f>IF(AND(O412&gt;0,Planning!$I35=0),W32&amp;Language!$E$90&amp;V32,"")</f>
        <v>40 - 50</v>
      </c>
      <c r="Q412" s="2" t="str">
        <f>IF(Planning!$I35=1,G32&amp;F32,"")</f>
        <v/>
      </c>
      <c r="R412" s="88" t="str">
        <f>IF(AND(O412&gt;0,Planning!$I35=1),W32&amp;Language!$E$90&amp;V32,"")</f>
        <v/>
      </c>
      <c r="S412" s="395" t="str">
        <f>IF(O32&gt;0,Y32&amp;Language!$E$90&amp;X32,"")</f>
        <v>0 - 2</v>
      </c>
    </row>
    <row r="413" spans="9:19" x14ac:dyDescent="0.2">
      <c r="I413" s="365"/>
      <c r="J413" s="365"/>
      <c r="K413" s="365"/>
      <c r="L413" s="366"/>
      <c r="M413" s="324" t="s">
        <v>41</v>
      </c>
      <c r="N413" s="16" t="str">
        <f>IF(Planning!$I36=0,G33&amp;F33,"")</f>
        <v>RB LeipzigVfB Stuttgart</v>
      </c>
      <c r="O413" s="7">
        <f t="shared" si="12"/>
        <v>1</v>
      </c>
      <c r="P413" s="7" t="str">
        <f>IF(AND(O413&gt;0,Planning!$I36=0),W33&amp;Language!$E$90&amp;V33,"")</f>
        <v>50 - 36</v>
      </c>
      <c r="Q413" s="2" t="str">
        <f>IF(Planning!$I36=1,G33&amp;F33,"")</f>
        <v/>
      </c>
      <c r="R413" s="88" t="str">
        <f>IF(AND(O413&gt;0,Planning!$I36=1),W33&amp;Language!$E$90&amp;V33,"")</f>
        <v/>
      </c>
      <c r="S413" s="395" t="str">
        <f>IF(O33&gt;0,Y33&amp;Language!$E$90&amp;X33,"")</f>
        <v>2 - 0</v>
      </c>
    </row>
    <row r="414" spans="9:19" x14ac:dyDescent="0.2">
      <c r="I414" s="365"/>
      <c r="J414" s="365"/>
      <c r="K414" s="365"/>
      <c r="L414" s="366"/>
      <c r="M414" s="324" t="s">
        <v>42</v>
      </c>
      <c r="N414" s="16" t="str">
        <f>IF(Planning!$I37=0,G34&amp;F34,"")</f>
        <v>VfL WolfsburgHamburger SV</v>
      </c>
      <c r="O414" s="7">
        <f t="shared" si="12"/>
        <v>1</v>
      </c>
      <c r="P414" s="7" t="str">
        <f>IF(AND(O414&gt;0,Planning!$I37=0),W34&amp;Language!$E$90&amp;V34,"")</f>
        <v>43 - 50</v>
      </c>
      <c r="Q414" s="2" t="str">
        <f>IF(Planning!$I37=1,G34&amp;F34,"")</f>
        <v/>
      </c>
      <c r="R414" s="88" t="str">
        <f>IF(AND(O414&gt;0,Planning!$I37=1),W34&amp;Language!$E$90&amp;V34,"")</f>
        <v/>
      </c>
      <c r="S414" s="395" t="str">
        <f>IF(O34&gt;0,Y34&amp;Language!$E$90&amp;X34,"")</f>
        <v>0 - 2</v>
      </c>
    </row>
    <row r="415" spans="9:19" x14ac:dyDescent="0.2">
      <c r="I415" s="365"/>
      <c r="J415" s="365"/>
      <c r="K415" s="365"/>
      <c r="L415" s="366"/>
      <c r="M415" s="324" t="s">
        <v>43</v>
      </c>
      <c r="N415" s="16" t="str">
        <f>IF(Planning!$I38=0,G35&amp;F35,"")</f>
        <v>FC St. Pauli1. FC Köln</v>
      </c>
      <c r="O415" s="7">
        <f t="shared" si="12"/>
        <v>1</v>
      </c>
      <c r="P415" s="7" t="str">
        <f>IF(AND(O415&gt;0,Planning!$I38=0),W35&amp;Language!$E$90&amp;V35,"")</f>
        <v>50 - 29</v>
      </c>
      <c r="Q415" s="2" t="str">
        <f>IF(Planning!$I38=1,G35&amp;F35,"")</f>
        <v/>
      </c>
      <c r="R415" s="88" t="str">
        <f>IF(AND(O415&gt;0,Planning!$I38=1),W35&amp;Language!$E$90&amp;V35,"")</f>
        <v/>
      </c>
      <c r="S415" s="395" t="str">
        <f>IF(O35&gt;0,Y35&amp;Language!$E$90&amp;X35,"")</f>
        <v>2 - 0</v>
      </c>
    </row>
    <row r="416" spans="9:19" x14ac:dyDescent="0.2">
      <c r="I416" s="365"/>
      <c r="J416" s="365"/>
      <c r="K416" s="365"/>
      <c r="L416" s="366"/>
      <c r="M416" s="324" t="s">
        <v>44</v>
      </c>
      <c r="N416" s="16" t="str">
        <f>IF(Planning!$I39=0,G36&amp;F36,"")</f>
        <v>1. FC Union BerlinFC Bayern München</v>
      </c>
      <c r="O416" s="7">
        <f t="shared" ref="O416:O447" si="13">O36</f>
        <v>1</v>
      </c>
      <c r="P416" s="7" t="str">
        <f>IF(AND(O416&gt;0,Planning!$I39=0),W36&amp;Language!$E$90&amp;V36,"")</f>
        <v>60 - 61</v>
      </c>
      <c r="Q416" s="2" t="str">
        <f>IF(Planning!$I39=1,G36&amp;F36,"")</f>
        <v/>
      </c>
      <c r="R416" s="88" t="str">
        <f>IF(AND(O416&gt;0,Planning!$I39=1),W36&amp;Language!$E$90&amp;V36,"")</f>
        <v/>
      </c>
      <c r="S416" s="395" t="str">
        <f>IF(O36&gt;0,Y36&amp;Language!$E$90&amp;X36,"")</f>
        <v>1 - 2</v>
      </c>
    </row>
    <row r="417" spans="9:19" x14ac:dyDescent="0.2">
      <c r="I417" s="365"/>
      <c r="J417" s="365"/>
      <c r="K417" s="365"/>
      <c r="L417" s="366"/>
      <c r="M417" s="324" t="s">
        <v>45</v>
      </c>
      <c r="N417" s="16" t="str">
        <f>IF(Planning!$I40=0,G37&amp;F37,"")</f>
        <v>FC Augsburg1. FSV Mainz 05</v>
      </c>
      <c r="O417" s="7">
        <f t="shared" si="13"/>
        <v>1</v>
      </c>
      <c r="P417" s="7" t="str">
        <f>IF(AND(O417&gt;0,Planning!$I40=0),W37&amp;Language!$E$90&amp;V37,"")</f>
        <v>50 - 45</v>
      </c>
      <c r="Q417" s="2" t="str">
        <f>IF(Planning!$I40=1,G37&amp;F37,"")</f>
        <v/>
      </c>
      <c r="R417" s="88" t="str">
        <f>IF(AND(O417&gt;0,Planning!$I40=1),W37&amp;Language!$E$90&amp;V37,"")</f>
        <v/>
      </c>
      <c r="S417" s="395" t="str">
        <f>IF(O37&gt;0,Y37&amp;Language!$E$90&amp;X37,"")</f>
        <v>2 - 0</v>
      </c>
    </row>
    <row r="418" spans="9:19" x14ac:dyDescent="0.2">
      <c r="I418" s="365"/>
      <c r="J418" s="365"/>
      <c r="K418" s="365"/>
      <c r="L418" s="366"/>
      <c r="M418" s="324" t="s">
        <v>46</v>
      </c>
      <c r="N418" s="16" t="str">
        <f>IF(Planning!$I41=0,G38&amp;F38,"")</f>
        <v>Bayer 04 LeverkusenEintracht Frankfurt</v>
      </c>
      <c r="O418" s="7">
        <f t="shared" si="13"/>
        <v>1</v>
      </c>
      <c r="P418" s="7" t="str">
        <f>IF(AND(O418&gt;0,Planning!$I41=0),W38&amp;Language!$E$90&amp;V38,"")</f>
        <v>50 - 40</v>
      </c>
      <c r="Q418" s="2" t="str">
        <f>IF(Planning!$I41=1,G38&amp;F38,"")</f>
        <v/>
      </c>
      <c r="R418" s="88" t="str">
        <f>IF(AND(O418&gt;0,Planning!$I41=1),W38&amp;Language!$E$90&amp;V38,"")</f>
        <v/>
      </c>
      <c r="S418" s="395" t="str">
        <f>IF(O38&gt;0,Y38&amp;Language!$E$90&amp;X38,"")</f>
        <v>2 - 0</v>
      </c>
    </row>
    <row r="419" spans="9:19" x14ac:dyDescent="0.2">
      <c r="I419" s="365"/>
      <c r="J419" s="365"/>
      <c r="K419" s="365"/>
      <c r="L419" s="366"/>
      <c r="M419" s="324" t="s">
        <v>47</v>
      </c>
      <c r="N419" s="16" t="str">
        <f>IF(Planning!$I42=0,G39&amp;F39,"")</f>
        <v>Borussia MönchengladbachBorussia Dortmund</v>
      </c>
      <c r="O419" s="7">
        <f t="shared" si="13"/>
        <v>1</v>
      </c>
      <c r="P419" s="7" t="str">
        <f>IF(AND(O419&gt;0,Planning!$I42=0),W39&amp;Language!$E$90&amp;V39,"")</f>
        <v>39 - 50</v>
      </c>
      <c r="Q419" s="2" t="str">
        <f>IF(Planning!$I42=1,G39&amp;F39,"")</f>
        <v/>
      </c>
      <c r="R419" s="88" t="str">
        <f>IF(AND(O419&gt;0,Planning!$I42=1),W39&amp;Language!$E$90&amp;V39,"")</f>
        <v/>
      </c>
      <c r="S419" s="395" t="str">
        <f>IF(O39&gt;0,Y39&amp;Language!$E$90&amp;X39,"")</f>
        <v>0 - 2</v>
      </c>
    </row>
    <row r="420" spans="9:19" x14ac:dyDescent="0.2">
      <c r="I420" s="365"/>
      <c r="J420" s="365"/>
      <c r="K420" s="365"/>
      <c r="L420" s="366"/>
      <c r="M420" s="324" t="s">
        <v>54</v>
      </c>
      <c r="N420" s="16" t="str">
        <f>IF(Planning!$I43=0,G40&amp;F40,"")</f>
        <v>SC Freiburg1. FC Heidenheim 1846</v>
      </c>
      <c r="O420" s="7">
        <f t="shared" si="13"/>
        <v>1</v>
      </c>
      <c r="P420" s="7" t="str">
        <f>IF(AND(O420&gt;0,Planning!$I43=0),W40&amp;Language!$E$90&amp;V40,"")</f>
        <v>46 - 50</v>
      </c>
      <c r="Q420" s="2" t="str">
        <f>IF(Planning!$I43=1,G40&amp;F40,"")</f>
        <v/>
      </c>
      <c r="R420" s="88" t="str">
        <f>IF(AND(O420&gt;0,Planning!$I43=1),W40&amp;Language!$E$90&amp;V40,"")</f>
        <v/>
      </c>
      <c r="S420" s="395" t="str">
        <f>IF(O40&gt;0,Y40&amp;Language!$E$90&amp;X40,"")</f>
        <v>0 - 2</v>
      </c>
    </row>
    <row r="421" spans="9:19" x14ac:dyDescent="0.2">
      <c r="I421" s="365"/>
      <c r="J421" s="365"/>
      <c r="K421" s="365"/>
      <c r="L421" s="366"/>
      <c r="M421" s="324" t="s">
        <v>55</v>
      </c>
      <c r="N421" s="16" t="str">
        <f>IF(Planning!$I44=0,G41&amp;F41,"")</f>
        <v>SV Werder BremenRB Leipzig</v>
      </c>
      <c r="O421" s="7">
        <f t="shared" si="13"/>
        <v>1</v>
      </c>
      <c r="P421" s="7" t="str">
        <f>IF(AND(O421&gt;0,Planning!$I44=0),W41&amp;Language!$E$90&amp;V41,"")</f>
        <v>37 - 50</v>
      </c>
      <c r="Q421" s="2" t="str">
        <f>IF(Planning!$I44=1,G41&amp;F41,"")</f>
        <v/>
      </c>
      <c r="R421" s="88" t="str">
        <f>IF(AND(O421&gt;0,Planning!$I44=1),W41&amp;Language!$E$90&amp;V41,"")</f>
        <v/>
      </c>
      <c r="S421" s="395" t="str">
        <f>IF(O41&gt;0,Y41&amp;Language!$E$90&amp;X41,"")</f>
        <v>0 - 2</v>
      </c>
    </row>
    <row r="422" spans="9:19" x14ac:dyDescent="0.2">
      <c r="I422" s="365"/>
      <c r="J422" s="365"/>
      <c r="K422" s="365"/>
      <c r="L422" s="366"/>
      <c r="M422" s="324" t="s">
        <v>56</v>
      </c>
      <c r="N422" s="16" t="str">
        <f>IF(Planning!$I45=0,G42&amp;F42,"")</f>
        <v>Hamburger SVTSG Hoffenheim</v>
      </c>
      <c r="O422" s="7">
        <f t="shared" si="13"/>
        <v>1</v>
      </c>
      <c r="P422" s="7" t="str">
        <f>IF(AND(O422&gt;0,Planning!$I45=0),W42&amp;Language!$E$90&amp;V42,"")</f>
        <v>41 - 50</v>
      </c>
      <c r="Q422" s="2" t="str">
        <f>IF(Planning!$I45=1,G42&amp;F42,"")</f>
        <v/>
      </c>
      <c r="R422" s="88" t="str">
        <f>IF(AND(O422&gt;0,Planning!$I45=1),W42&amp;Language!$E$90&amp;V42,"")</f>
        <v/>
      </c>
      <c r="S422" s="395" t="str">
        <f>IF(O42&gt;0,Y42&amp;Language!$E$90&amp;X42,"")</f>
        <v>0 - 2</v>
      </c>
    </row>
    <row r="423" spans="9:19" x14ac:dyDescent="0.2">
      <c r="I423" s="365"/>
      <c r="J423" s="365"/>
      <c r="K423" s="365"/>
      <c r="L423" s="366"/>
      <c r="M423" s="324" t="s">
        <v>57</v>
      </c>
      <c r="N423" s="16" t="str">
        <f>IF(Planning!$I46=0,G43&amp;F43,"")</f>
        <v>VfB StuttgartFC St. Pauli</v>
      </c>
      <c r="O423" s="7">
        <f t="shared" si="13"/>
        <v>1</v>
      </c>
      <c r="P423" s="7" t="str">
        <f>IF(AND(O423&gt;0,Planning!$I46=0),W43&amp;Language!$E$90&amp;V43,"")</f>
        <v>50 - 39</v>
      </c>
      <c r="Q423" s="2" t="str">
        <f>IF(Planning!$I46=1,G43&amp;F43,"")</f>
        <v/>
      </c>
      <c r="R423" s="88" t="str">
        <f>IF(AND(O423&gt;0,Planning!$I46=1),W43&amp;Language!$E$90&amp;V43,"")</f>
        <v/>
      </c>
      <c r="S423" s="395" t="str">
        <f>IF(O43&gt;0,Y43&amp;Language!$E$90&amp;X43,"")</f>
        <v>2 - 0</v>
      </c>
    </row>
    <row r="424" spans="9:19" x14ac:dyDescent="0.2">
      <c r="I424" s="365"/>
      <c r="J424" s="365"/>
      <c r="K424" s="365"/>
      <c r="L424" s="366"/>
      <c r="M424" s="324" t="s">
        <v>58</v>
      </c>
      <c r="N424" s="16" t="str">
        <f>IF(Planning!$I47=0,G44&amp;F44,"")</f>
        <v>FC Bayern MünchenVfL Wolfsburg</v>
      </c>
      <c r="O424" s="7">
        <f t="shared" si="13"/>
        <v>1</v>
      </c>
      <c r="P424" s="7" t="str">
        <f>IF(AND(O424&gt;0,Planning!$I47=0),W44&amp;Language!$E$90&amp;V44,"")</f>
        <v>50 - 39</v>
      </c>
      <c r="Q424" s="2" t="str">
        <f>IF(Planning!$I47=1,G44&amp;F44,"")</f>
        <v/>
      </c>
      <c r="R424" s="88" t="str">
        <f>IF(AND(O424&gt;0,Planning!$I47=1),W44&amp;Language!$E$90&amp;V44,"")</f>
        <v/>
      </c>
      <c r="S424" s="395" t="str">
        <f>IF(O44&gt;0,Y44&amp;Language!$E$90&amp;X44,"")</f>
        <v>2 - 0</v>
      </c>
    </row>
    <row r="425" spans="9:19" x14ac:dyDescent="0.2">
      <c r="I425" s="365"/>
      <c r="J425" s="365"/>
      <c r="K425" s="365"/>
      <c r="L425" s="366"/>
      <c r="M425" s="324" t="s">
        <v>59</v>
      </c>
      <c r="N425" s="16" t="str">
        <f>IF(Planning!$I48=0,G45&amp;F45,"")</f>
        <v>1. FC KölnFC Augsburg</v>
      </c>
      <c r="O425" s="7">
        <f t="shared" si="13"/>
        <v>1</v>
      </c>
      <c r="P425" s="7" t="str">
        <f>IF(AND(O425&gt;0,Planning!$I48=0),W45&amp;Language!$E$90&amp;V45,"")</f>
        <v>61 - 55</v>
      </c>
      <c r="Q425" s="2" t="str">
        <f>IF(Planning!$I48=1,G45&amp;F45,"")</f>
        <v/>
      </c>
      <c r="R425" s="88" t="str">
        <f>IF(AND(O425&gt;0,Planning!$I48=1),W45&amp;Language!$E$90&amp;V45,"")</f>
        <v/>
      </c>
      <c r="S425" s="395" t="str">
        <f>IF(O45&gt;0,Y45&amp;Language!$E$90&amp;X45,"")</f>
        <v>2 - 1</v>
      </c>
    </row>
    <row r="426" spans="9:19" x14ac:dyDescent="0.2">
      <c r="I426" s="365"/>
      <c r="J426" s="365"/>
      <c r="K426" s="365"/>
      <c r="L426" s="366"/>
      <c r="M426" s="324" t="s">
        <v>60</v>
      </c>
      <c r="N426" s="16" t="str">
        <f>IF(Planning!$I49=0,G46&amp;F46,"")</f>
        <v>Eintracht Frankfurt1. FC Union Berlin</v>
      </c>
      <c r="O426" s="7">
        <f t="shared" si="13"/>
        <v>1</v>
      </c>
      <c r="P426" s="7" t="str">
        <f>IF(AND(O426&gt;0,Planning!$I49=0),W46&amp;Language!$E$90&amp;V46,"")</f>
        <v>50 - 40</v>
      </c>
      <c r="Q426" s="2" t="str">
        <f>IF(Planning!$I49=1,G46&amp;F46,"")</f>
        <v/>
      </c>
      <c r="R426" s="88" t="str">
        <f>IF(AND(O426&gt;0,Planning!$I49=1),W46&amp;Language!$E$90&amp;V46,"")</f>
        <v/>
      </c>
      <c r="S426" s="395" t="str">
        <f>IF(O46&gt;0,Y46&amp;Language!$E$90&amp;X46,"")</f>
        <v>2 - 0</v>
      </c>
    </row>
    <row r="427" spans="9:19" x14ac:dyDescent="0.2">
      <c r="I427" s="365"/>
      <c r="J427" s="365"/>
      <c r="K427" s="365"/>
      <c r="L427" s="366"/>
      <c r="M427" s="324" t="s">
        <v>61</v>
      </c>
      <c r="N427" s="16" t="str">
        <f>IF(Planning!$I50=0,G47&amp;F47,"")</f>
        <v>1. FSV Mainz 05Borussia Mönchengladbach</v>
      </c>
      <c r="O427" s="7">
        <f t="shared" si="13"/>
        <v>1</v>
      </c>
      <c r="P427" s="7" t="str">
        <f>IF(AND(O427&gt;0,Planning!$I50=0),W47&amp;Language!$E$90&amp;V47,"")</f>
        <v>50 - 39</v>
      </c>
      <c r="Q427" s="2" t="str">
        <f>IF(Planning!$I50=1,G47&amp;F47,"")</f>
        <v/>
      </c>
      <c r="R427" s="88" t="str">
        <f>IF(AND(O427&gt;0,Planning!$I50=1),W47&amp;Language!$E$90&amp;V47,"")</f>
        <v/>
      </c>
      <c r="S427" s="395" t="str">
        <f>IF(O47&gt;0,Y47&amp;Language!$E$90&amp;X47,"")</f>
        <v>2 - 0</v>
      </c>
    </row>
    <row r="428" spans="9:19" x14ac:dyDescent="0.2">
      <c r="I428" s="365"/>
      <c r="J428" s="365"/>
      <c r="K428" s="365"/>
      <c r="L428" s="366"/>
      <c r="M428" s="324" t="s">
        <v>62</v>
      </c>
      <c r="N428" s="16" t="str">
        <f>IF(Planning!$I51=0,G48&amp;F48,"")</f>
        <v>Borussia DortmundBayer 04 Leverkusen</v>
      </c>
      <c r="O428" s="7">
        <f t="shared" si="13"/>
        <v>1</v>
      </c>
      <c r="P428" s="7" t="str">
        <f>IF(AND(O428&gt;0,Planning!$I51=0),W48&amp;Language!$E$90&amp;V48,"")</f>
        <v>50 - 26</v>
      </c>
      <c r="Q428" s="2" t="str">
        <f>IF(Planning!$I51=1,G48&amp;F48,"")</f>
        <v/>
      </c>
      <c r="R428" s="88" t="str">
        <f>IF(AND(O428&gt;0,Planning!$I51=1),W48&amp;Language!$E$90&amp;V48,"")</f>
        <v/>
      </c>
      <c r="S428" s="395" t="str">
        <f>IF(O48&gt;0,Y48&amp;Language!$E$90&amp;X48,"")</f>
        <v>2 - 0</v>
      </c>
    </row>
    <row r="429" spans="9:19" x14ac:dyDescent="0.2">
      <c r="I429" s="365"/>
      <c r="J429" s="365"/>
      <c r="K429" s="365"/>
      <c r="L429" s="366"/>
      <c r="M429" s="324" t="s">
        <v>63</v>
      </c>
      <c r="N429" s="16" t="str">
        <f>IF(Planning!$I52=0,G49&amp;F49,"")</f>
        <v>1. FC Heidenheim 1846RB Leipzig</v>
      </c>
      <c r="O429" s="7">
        <f t="shared" si="13"/>
        <v>0</v>
      </c>
      <c r="P429" s="7" t="str">
        <f>IF(AND(O429&gt;0,Planning!$I52=0),W49&amp;Language!$E$90&amp;V49,"")</f>
        <v/>
      </c>
      <c r="Q429" s="2" t="str">
        <f>IF(Planning!$I52=1,G49&amp;F49,"")</f>
        <v/>
      </c>
      <c r="R429" s="88" t="str">
        <f>IF(AND(O429&gt;0,Planning!$I52=1),W49&amp;Language!$E$90&amp;V49,"")</f>
        <v/>
      </c>
      <c r="S429" s="395" t="str">
        <f>IF(O49&gt;0,Y49&amp;Language!$E$90&amp;X49,"")</f>
        <v/>
      </c>
    </row>
    <row r="430" spans="9:19" x14ac:dyDescent="0.2">
      <c r="I430" s="365"/>
      <c r="J430" s="365"/>
      <c r="K430" s="365"/>
      <c r="L430" s="366"/>
      <c r="M430" s="324" t="s">
        <v>64</v>
      </c>
      <c r="N430" s="16" t="str">
        <f>IF(Planning!$I53=0,G50&amp;F50,"")</f>
        <v>SC FreiburgHamburger SV</v>
      </c>
      <c r="O430" s="7">
        <f t="shared" si="13"/>
        <v>0</v>
      </c>
      <c r="P430" s="7" t="str">
        <f>IF(AND(O430&gt;0,Planning!$I53=0),W50&amp;Language!$E$90&amp;V50,"")</f>
        <v/>
      </c>
      <c r="Q430" s="2" t="str">
        <f>IF(Planning!$I53=1,G50&amp;F50,"")</f>
        <v/>
      </c>
      <c r="R430" s="88" t="str">
        <f>IF(AND(O430&gt;0,Planning!$I53=1),W50&amp;Language!$E$90&amp;V50,"")</f>
        <v/>
      </c>
      <c r="S430" s="395" t="str">
        <f>IF(O50&gt;0,Y50&amp;Language!$E$90&amp;X50,"")</f>
        <v/>
      </c>
    </row>
    <row r="431" spans="9:19" x14ac:dyDescent="0.2">
      <c r="I431" s="365"/>
      <c r="J431" s="365"/>
      <c r="K431" s="365"/>
      <c r="L431" s="366"/>
      <c r="M431" s="324" t="s">
        <v>65</v>
      </c>
      <c r="N431" s="16" t="str">
        <f>IF(Planning!$I54=0,G51&amp;F51,"")</f>
        <v>FC St. PauliSV Werder Bremen</v>
      </c>
      <c r="O431" s="7">
        <f t="shared" si="13"/>
        <v>0</v>
      </c>
      <c r="P431" s="7" t="str">
        <f>IF(AND(O431&gt;0,Planning!$I54=0),W51&amp;Language!$E$90&amp;V51,"")</f>
        <v/>
      </c>
      <c r="Q431" s="2" t="str">
        <f>IF(Planning!$I54=1,G51&amp;F51,"")</f>
        <v/>
      </c>
      <c r="R431" s="88" t="str">
        <f>IF(AND(O431&gt;0,Planning!$I54=1),W51&amp;Language!$E$90&amp;V51,"")</f>
        <v/>
      </c>
      <c r="S431" s="395" t="str">
        <f>IF(O51&gt;0,Y51&amp;Language!$E$90&amp;X51,"")</f>
        <v/>
      </c>
    </row>
    <row r="432" spans="9:19" x14ac:dyDescent="0.2">
      <c r="I432" s="365"/>
      <c r="J432" s="365"/>
      <c r="K432" s="365"/>
      <c r="L432" s="366"/>
      <c r="M432" s="324" t="s">
        <v>66</v>
      </c>
      <c r="N432" s="16" t="str">
        <f>IF(Planning!$I55=0,G52&amp;F52,"")</f>
        <v>TSG HoffenheimFC Bayern München</v>
      </c>
      <c r="O432" s="7">
        <f t="shared" si="13"/>
        <v>0</v>
      </c>
      <c r="P432" s="7" t="str">
        <f>IF(AND(O432&gt;0,Planning!$I55=0),W52&amp;Language!$E$90&amp;V52,"")</f>
        <v/>
      </c>
      <c r="Q432" s="2" t="str">
        <f>IF(Planning!$I55=1,G52&amp;F52,"")</f>
        <v/>
      </c>
      <c r="R432" s="88" t="str">
        <f>IF(AND(O432&gt;0,Planning!$I55=1),W52&amp;Language!$E$90&amp;V52,"")</f>
        <v/>
      </c>
      <c r="S432" s="395" t="str">
        <f>IF(O52&gt;0,Y52&amp;Language!$E$90&amp;X52,"")</f>
        <v/>
      </c>
    </row>
    <row r="433" spans="9:19" x14ac:dyDescent="0.2">
      <c r="I433" s="365"/>
      <c r="J433" s="365"/>
      <c r="K433" s="365"/>
      <c r="L433" s="366"/>
      <c r="M433" s="324" t="s">
        <v>67</v>
      </c>
      <c r="N433" s="16" t="str">
        <f>IF(Planning!$I56=0,G53&amp;F53,"")</f>
        <v>FC AugsburgVfB Stuttgart</v>
      </c>
      <c r="O433" s="7">
        <f t="shared" si="13"/>
        <v>0</v>
      </c>
      <c r="P433" s="7" t="str">
        <f>IF(AND(O433&gt;0,Planning!$I56=0),W53&amp;Language!$E$90&amp;V53,"")</f>
        <v/>
      </c>
      <c r="Q433" s="2" t="str">
        <f>IF(Planning!$I56=1,G53&amp;F53,"")</f>
        <v/>
      </c>
      <c r="R433" s="88" t="str">
        <f>IF(AND(O433&gt;0,Planning!$I56=1),W53&amp;Language!$E$90&amp;V53,"")</f>
        <v/>
      </c>
      <c r="S433" s="395" t="str">
        <f>IF(O53&gt;0,Y53&amp;Language!$E$90&amp;X53,"")</f>
        <v/>
      </c>
    </row>
    <row r="434" spans="9:19" x14ac:dyDescent="0.2">
      <c r="I434" s="365"/>
      <c r="J434" s="365"/>
      <c r="K434" s="365"/>
      <c r="L434" s="366"/>
      <c r="M434" s="324" t="s">
        <v>68</v>
      </c>
      <c r="N434" s="16" t="str">
        <f>IF(Planning!$I57=0,G54&amp;F54,"")</f>
        <v>VfL WolfsburgEintracht Frankfurt</v>
      </c>
      <c r="O434" s="7">
        <f t="shared" si="13"/>
        <v>0</v>
      </c>
      <c r="P434" s="7" t="str">
        <f>IF(AND(O434&gt;0,Planning!$I57=0),W54&amp;Language!$E$90&amp;V54,"")</f>
        <v/>
      </c>
      <c r="Q434" s="2" t="str">
        <f>IF(Planning!$I57=1,G54&amp;F54,"")</f>
        <v/>
      </c>
      <c r="R434" s="88" t="str">
        <f>IF(AND(O434&gt;0,Planning!$I57=1),W54&amp;Language!$E$90&amp;V54,"")</f>
        <v/>
      </c>
      <c r="S434" s="395" t="str">
        <f>IF(O54&gt;0,Y54&amp;Language!$E$90&amp;X54,"")</f>
        <v/>
      </c>
    </row>
    <row r="435" spans="9:19" x14ac:dyDescent="0.2">
      <c r="I435" s="365"/>
      <c r="J435" s="365"/>
      <c r="K435" s="365"/>
      <c r="L435" s="366"/>
      <c r="M435" s="324" t="s">
        <v>69</v>
      </c>
      <c r="N435" s="16" t="str">
        <f>IF(Planning!$I58=0,G55&amp;F55,"")</f>
        <v>Borussia Mönchengladbach1. FC Köln</v>
      </c>
      <c r="O435" s="7">
        <f t="shared" si="13"/>
        <v>0</v>
      </c>
      <c r="P435" s="7" t="str">
        <f>IF(AND(O435&gt;0,Planning!$I58=0),W55&amp;Language!$E$90&amp;V55,"")</f>
        <v/>
      </c>
      <c r="Q435" s="2" t="str">
        <f>IF(Planning!$I58=1,G55&amp;F55,"")</f>
        <v/>
      </c>
      <c r="R435" s="88" t="str">
        <f>IF(AND(O435&gt;0,Planning!$I58=1),W55&amp;Language!$E$90&amp;V55,"")</f>
        <v/>
      </c>
      <c r="S435" s="395" t="str">
        <f>IF(O55&gt;0,Y55&amp;Language!$E$90&amp;X55,"")</f>
        <v/>
      </c>
    </row>
    <row r="436" spans="9:19" x14ac:dyDescent="0.2">
      <c r="I436" s="365"/>
      <c r="J436" s="365"/>
      <c r="K436" s="365"/>
      <c r="L436" s="366"/>
      <c r="M436" s="324" t="s">
        <v>70</v>
      </c>
      <c r="N436" s="16" t="str">
        <f>IF(Planning!$I59=0,G56&amp;F56,"")</f>
        <v>1. FC Union BerlinBorussia Dortmund</v>
      </c>
      <c r="O436" s="7">
        <f t="shared" si="13"/>
        <v>0</v>
      </c>
      <c r="P436" s="7" t="str">
        <f>IF(AND(O436&gt;0,Planning!$I59=0),W56&amp;Language!$E$90&amp;V56,"")</f>
        <v/>
      </c>
      <c r="Q436" s="2" t="str">
        <f>IF(Planning!$I59=1,G56&amp;F56,"")</f>
        <v/>
      </c>
      <c r="R436" s="88" t="str">
        <f>IF(AND(O436&gt;0,Planning!$I59=1),W56&amp;Language!$E$90&amp;V56,"")</f>
        <v/>
      </c>
      <c r="S436" s="395" t="str">
        <f>IF(O56&gt;0,Y56&amp;Language!$E$90&amp;X56,"")</f>
        <v/>
      </c>
    </row>
    <row r="437" spans="9:19" x14ac:dyDescent="0.2">
      <c r="I437" s="365"/>
      <c r="J437" s="365"/>
      <c r="K437" s="365"/>
      <c r="L437" s="366"/>
      <c r="M437" s="324" t="s">
        <v>71</v>
      </c>
      <c r="N437" s="16" t="str">
        <f>IF(Planning!$I60=0,G57&amp;F57,"")</f>
        <v>Bayer 04 Leverkusen1. FSV Mainz 05</v>
      </c>
      <c r="O437" s="7">
        <f t="shared" si="13"/>
        <v>0</v>
      </c>
      <c r="P437" s="7" t="str">
        <f>IF(AND(O437&gt;0,Planning!$I60=0),W57&amp;Language!$E$90&amp;V57,"")</f>
        <v/>
      </c>
      <c r="Q437" s="2" t="str">
        <f>IF(Planning!$I60=1,G57&amp;F57,"")</f>
        <v/>
      </c>
      <c r="R437" s="88" t="str">
        <f>IF(AND(O437&gt;0,Planning!$I60=1),W57&amp;Language!$E$90&amp;V57,"")</f>
        <v/>
      </c>
      <c r="S437" s="395" t="str">
        <f>IF(O57&gt;0,Y57&amp;Language!$E$90&amp;X57,"")</f>
        <v/>
      </c>
    </row>
    <row r="438" spans="9:19" x14ac:dyDescent="0.2">
      <c r="I438" s="365"/>
      <c r="J438" s="365"/>
      <c r="K438" s="365"/>
      <c r="L438" s="366"/>
      <c r="M438" s="324" t="s">
        <v>72</v>
      </c>
      <c r="N438" s="16" t="str">
        <f>IF(Planning!$I61=0,G58&amp;F58,"")</f>
        <v>Hamburger SV1. FC Heidenheim 1846</v>
      </c>
      <c r="O438" s="7">
        <f t="shared" si="13"/>
        <v>0</v>
      </c>
      <c r="P438" s="7" t="str">
        <f>IF(AND(O438&gt;0,Planning!$I61=0),W58&amp;Language!$E$90&amp;V58,"")</f>
        <v/>
      </c>
      <c r="Q438" s="2" t="str">
        <f>IF(Planning!$I61=1,G58&amp;F58,"")</f>
        <v/>
      </c>
      <c r="R438" s="88" t="str">
        <f>IF(AND(O438&gt;0,Planning!$I61=1),W58&amp;Language!$E$90&amp;V58,"")</f>
        <v/>
      </c>
      <c r="S438" s="395" t="str">
        <f>IF(O58&gt;0,Y58&amp;Language!$E$90&amp;X58,"")</f>
        <v/>
      </c>
    </row>
    <row r="439" spans="9:19" x14ac:dyDescent="0.2">
      <c r="I439" s="365"/>
      <c r="J439" s="365"/>
      <c r="K439" s="365"/>
      <c r="L439" s="366"/>
      <c r="M439" s="324" t="s">
        <v>73</v>
      </c>
      <c r="N439" s="16" t="str">
        <f>IF(Planning!$I62=0,G59&amp;F59,"")</f>
        <v>RB LeipzigFC St. Pauli</v>
      </c>
      <c r="O439" s="7">
        <f t="shared" si="13"/>
        <v>0</v>
      </c>
      <c r="P439" s="7" t="str">
        <f>IF(AND(O439&gt;0,Planning!$I62=0),W59&amp;Language!$E$90&amp;V59,"")</f>
        <v/>
      </c>
      <c r="Q439" s="2" t="str">
        <f>IF(Planning!$I62=1,G59&amp;F59,"")</f>
        <v/>
      </c>
      <c r="R439" s="88" t="str">
        <f>IF(AND(O439&gt;0,Planning!$I62=1),W59&amp;Language!$E$90&amp;V59,"")</f>
        <v/>
      </c>
      <c r="S439" s="395" t="str">
        <f>IF(O59&gt;0,Y59&amp;Language!$E$90&amp;X59,"")</f>
        <v/>
      </c>
    </row>
    <row r="440" spans="9:19" x14ac:dyDescent="0.2">
      <c r="I440" s="365"/>
      <c r="J440" s="365"/>
      <c r="K440" s="365"/>
      <c r="L440" s="366"/>
      <c r="M440" s="324" t="s">
        <v>74</v>
      </c>
      <c r="N440" s="16" t="str">
        <f>IF(Planning!$I63=0,G60&amp;F60,"")</f>
        <v>FC Bayern MünchenSC Freiburg</v>
      </c>
      <c r="O440" s="7">
        <f t="shared" si="13"/>
        <v>0</v>
      </c>
      <c r="P440" s="7" t="str">
        <f>IF(AND(O440&gt;0,Planning!$I63=0),W60&amp;Language!$E$90&amp;V60,"")</f>
        <v/>
      </c>
      <c r="Q440" s="2" t="str">
        <f>IF(Planning!$I63=1,G60&amp;F60,"")</f>
        <v/>
      </c>
      <c r="R440" s="88" t="str">
        <f>IF(AND(O440&gt;0,Planning!$I63=1),W60&amp;Language!$E$90&amp;V60,"")</f>
        <v/>
      </c>
      <c r="S440" s="395" t="str">
        <f>IF(O60&gt;0,Y60&amp;Language!$E$90&amp;X60,"")</f>
        <v/>
      </c>
    </row>
    <row r="441" spans="9:19" x14ac:dyDescent="0.2">
      <c r="I441" s="365"/>
      <c r="J441" s="365"/>
      <c r="K441" s="365"/>
      <c r="L441" s="366"/>
      <c r="M441" s="324" t="s">
        <v>75</v>
      </c>
      <c r="N441" s="16" t="str">
        <f>IF(Planning!$I64=0,G61&amp;F61,"")</f>
        <v>SV Werder BremenFC Augsburg</v>
      </c>
      <c r="O441" s="7">
        <f t="shared" si="13"/>
        <v>0</v>
      </c>
      <c r="P441" s="7" t="str">
        <f>IF(AND(O441&gt;0,Planning!$I64=0),W61&amp;Language!$E$90&amp;V61,"")</f>
        <v/>
      </c>
      <c r="Q441" s="2" t="str">
        <f>IF(Planning!$I64=1,G61&amp;F61,"")</f>
        <v/>
      </c>
      <c r="R441" s="88" t="str">
        <f>IF(AND(O441&gt;0,Planning!$I64=1),W61&amp;Language!$E$90&amp;V61,"")</f>
        <v/>
      </c>
      <c r="S441" s="395" t="str">
        <f>IF(O61&gt;0,Y61&amp;Language!$E$90&amp;X61,"")</f>
        <v/>
      </c>
    </row>
    <row r="442" spans="9:19" x14ac:dyDescent="0.2">
      <c r="I442" s="365"/>
      <c r="J442" s="365"/>
      <c r="K442" s="365"/>
      <c r="L442" s="366"/>
      <c r="M442" s="324" t="s">
        <v>76</v>
      </c>
      <c r="N442" s="16" t="str">
        <f>IF(Planning!$I65=0,G62&amp;F62,"")</f>
        <v>Eintracht FrankfurtTSG Hoffenheim</v>
      </c>
      <c r="O442" s="7">
        <f t="shared" si="13"/>
        <v>0</v>
      </c>
      <c r="P442" s="7" t="str">
        <f>IF(AND(O442&gt;0,Planning!$I65=0),W62&amp;Language!$E$90&amp;V62,"")</f>
        <v/>
      </c>
      <c r="Q442" s="2" t="str">
        <f>IF(Planning!$I65=1,G62&amp;F62,"")</f>
        <v/>
      </c>
      <c r="R442" s="88" t="str">
        <f>IF(AND(O442&gt;0,Planning!$I65=1),W62&amp;Language!$E$90&amp;V62,"")</f>
        <v/>
      </c>
      <c r="S442" s="395" t="str">
        <f>IF(O62&gt;0,Y62&amp;Language!$E$90&amp;X62,"")</f>
        <v/>
      </c>
    </row>
    <row r="443" spans="9:19" x14ac:dyDescent="0.2">
      <c r="I443" s="365"/>
      <c r="J443" s="365"/>
      <c r="K443" s="365"/>
      <c r="L443" s="366"/>
      <c r="M443" s="324" t="s">
        <v>77</v>
      </c>
      <c r="N443" s="16" t="str">
        <f>IF(Planning!$I66=0,G63&amp;F63,"")</f>
        <v>VfB StuttgartBorussia Mönchengladbach</v>
      </c>
      <c r="O443" s="7">
        <f t="shared" si="13"/>
        <v>0</v>
      </c>
      <c r="P443" s="7" t="str">
        <f>IF(AND(O443&gt;0,Planning!$I66=0),W63&amp;Language!$E$90&amp;V63,"")</f>
        <v/>
      </c>
      <c r="Q443" s="2" t="str">
        <f>IF(Planning!$I66=1,G63&amp;F63,"")</f>
        <v/>
      </c>
      <c r="R443" s="88" t="str">
        <f>IF(AND(O443&gt;0,Planning!$I66=1),W63&amp;Language!$E$90&amp;V63,"")</f>
        <v/>
      </c>
      <c r="S443" s="395" t="str">
        <f>IF(O63&gt;0,Y63&amp;Language!$E$90&amp;X63,"")</f>
        <v/>
      </c>
    </row>
    <row r="444" spans="9:19" x14ac:dyDescent="0.2">
      <c r="I444" s="365"/>
      <c r="J444" s="365"/>
      <c r="K444" s="365"/>
      <c r="L444" s="366"/>
      <c r="M444" s="324" t="s">
        <v>78</v>
      </c>
      <c r="N444" s="16" t="str">
        <f>IF(Planning!$I67=0,G64&amp;F64,"")</f>
        <v>Borussia DortmundVfL Wolfsburg</v>
      </c>
      <c r="O444" s="7">
        <f t="shared" si="13"/>
        <v>0</v>
      </c>
      <c r="P444" s="7" t="str">
        <f>IF(AND(O444&gt;0,Planning!$I67=0),W64&amp;Language!$E$90&amp;V64,"")</f>
        <v/>
      </c>
      <c r="Q444" s="2" t="str">
        <f>IF(Planning!$I67=1,G64&amp;F64,"")</f>
        <v/>
      </c>
      <c r="R444" s="88" t="str">
        <f>IF(AND(O444&gt;0,Planning!$I67=1),W64&amp;Language!$E$90&amp;V64,"")</f>
        <v/>
      </c>
      <c r="S444" s="395" t="str">
        <f>IF(O64&gt;0,Y64&amp;Language!$E$90&amp;X64,"")</f>
        <v/>
      </c>
    </row>
    <row r="445" spans="9:19" x14ac:dyDescent="0.2">
      <c r="I445" s="365"/>
      <c r="J445" s="365"/>
      <c r="K445" s="365"/>
      <c r="L445" s="366"/>
      <c r="M445" s="324" t="s">
        <v>79</v>
      </c>
      <c r="N445" s="16" t="str">
        <f>IF(Planning!$I68=0,G65&amp;F65,"")</f>
        <v>1. FC KölnBayer 04 Leverkusen</v>
      </c>
      <c r="O445" s="7">
        <f t="shared" si="13"/>
        <v>0</v>
      </c>
      <c r="P445" s="7" t="str">
        <f>IF(AND(O445&gt;0,Planning!$I68=0),W65&amp;Language!$E$90&amp;V65,"")</f>
        <v/>
      </c>
      <c r="Q445" s="2" t="str">
        <f>IF(Planning!$I68=1,G65&amp;F65,"")</f>
        <v/>
      </c>
      <c r="R445" s="88" t="str">
        <f>IF(AND(O445&gt;0,Planning!$I68=1),W65&amp;Language!$E$90&amp;V65,"")</f>
        <v/>
      </c>
      <c r="S445" s="395" t="str">
        <f>IF(O65&gt;0,Y65&amp;Language!$E$90&amp;X65,"")</f>
        <v/>
      </c>
    </row>
    <row r="446" spans="9:19" x14ac:dyDescent="0.2">
      <c r="I446" s="365"/>
      <c r="J446" s="365"/>
      <c r="K446" s="365"/>
      <c r="L446" s="366"/>
      <c r="M446" s="324" t="s">
        <v>80</v>
      </c>
      <c r="N446" s="16" t="str">
        <f>IF(Planning!$I69=0,G66&amp;F66,"")</f>
        <v>1. FSV Mainz 051. FC Union Berlin</v>
      </c>
      <c r="O446" s="7">
        <f t="shared" si="13"/>
        <v>0</v>
      </c>
      <c r="P446" s="7" t="str">
        <f>IF(AND(O446&gt;0,Planning!$I69=0),W66&amp;Language!$E$90&amp;V66,"")</f>
        <v/>
      </c>
      <c r="Q446" s="2" t="str">
        <f>IF(Planning!$I69=1,G66&amp;F66,"")</f>
        <v/>
      </c>
      <c r="R446" s="88" t="str">
        <f>IF(AND(O446&gt;0,Planning!$I69=1),W66&amp;Language!$E$90&amp;V66,"")</f>
        <v/>
      </c>
      <c r="S446" s="395" t="str">
        <f>IF(O66&gt;0,Y66&amp;Language!$E$90&amp;X66,"")</f>
        <v/>
      </c>
    </row>
    <row r="447" spans="9:19" x14ac:dyDescent="0.2">
      <c r="I447" s="365"/>
      <c r="J447" s="365"/>
      <c r="K447" s="365"/>
      <c r="L447" s="366"/>
      <c r="M447" s="324" t="s">
        <v>81</v>
      </c>
      <c r="N447" s="16" t="str">
        <f>IF(Planning!$I70=0,G67&amp;F67,"")</f>
        <v>1. FC Heidenheim 1846FC St. Pauli</v>
      </c>
      <c r="O447" s="7">
        <f t="shared" si="13"/>
        <v>0</v>
      </c>
      <c r="P447" s="7" t="str">
        <f>IF(AND(O447&gt;0,Planning!$I70=0),W67&amp;Language!$E$90&amp;V67,"")</f>
        <v/>
      </c>
      <c r="Q447" s="2" t="str">
        <f>IF(Planning!$I70=1,G67&amp;F67,"")</f>
        <v/>
      </c>
      <c r="R447" s="88" t="str">
        <f>IF(AND(O447&gt;0,Planning!$I70=1),W67&amp;Language!$E$90&amp;V67,"")</f>
        <v/>
      </c>
      <c r="S447" s="395" t="str">
        <f>IF(O67&gt;0,Y67&amp;Language!$E$90&amp;X67,"")</f>
        <v/>
      </c>
    </row>
    <row r="448" spans="9:19" x14ac:dyDescent="0.2">
      <c r="I448" s="365"/>
      <c r="J448" s="365"/>
      <c r="K448" s="365"/>
      <c r="L448" s="366"/>
      <c r="M448" s="324" t="s">
        <v>82</v>
      </c>
      <c r="N448" s="16" t="str">
        <f>IF(Planning!$I71=0,G68&amp;F68,"")</f>
        <v>Hamburger SVFC Bayern München</v>
      </c>
      <c r="O448" s="7">
        <f t="shared" ref="O448:O454" si="14">O68</f>
        <v>0</v>
      </c>
      <c r="P448" s="7" t="str">
        <f>IF(AND(O448&gt;0,Planning!$I71=0),W68&amp;Language!$E$90&amp;V68,"")</f>
        <v/>
      </c>
      <c r="Q448" s="2" t="str">
        <f>IF(Planning!$I71=1,G68&amp;F68,"")</f>
        <v/>
      </c>
      <c r="R448" s="88" t="str">
        <f>IF(AND(O448&gt;0,Planning!$I71=1),W68&amp;Language!$E$90&amp;V68,"")</f>
        <v/>
      </c>
      <c r="S448" s="395" t="str">
        <f>IF(O68&gt;0,Y68&amp;Language!$E$90&amp;X68,"")</f>
        <v/>
      </c>
    </row>
    <row r="449" spans="9:19" x14ac:dyDescent="0.2">
      <c r="I449" s="365"/>
      <c r="J449" s="365"/>
      <c r="K449" s="365"/>
      <c r="L449" s="366"/>
      <c r="M449" s="324" t="s">
        <v>83</v>
      </c>
      <c r="N449" s="16" t="str">
        <f>IF(Planning!$I72=0,G69&amp;F69,"")</f>
        <v>FC AugsburgRB Leipzig</v>
      </c>
      <c r="O449" s="7">
        <f t="shared" si="14"/>
        <v>0</v>
      </c>
      <c r="P449" s="7" t="str">
        <f>IF(AND(O449&gt;0,Planning!$I72=0),W69&amp;Language!$E$90&amp;V69,"")</f>
        <v/>
      </c>
      <c r="Q449" s="2" t="str">
        <f>IF(Planning!$I72=1,G69&amp;F69,"")</f>
        <v/>
      </c>
      <c r="R449" s="88" t="str">
        <f>IF(AND(O449&gt;0,Planning!$I72=1),W69&amp;Language!$E$90&amp;V69,"")</f>
        <v/>
      </c>
      <c r="S449" s="395" t="str">
        <f>IF(O69&gt;0,Y69&amp;Language!$E$90&amp;X69,"")</f>
        <v/>
      </c>
    </row>
    <row r="450" spans="9:19" x14ac:dyDescent="0.2">
      <c r="I450" s="365"/>
      <c r="J450" s="365"/>
      <c r="K450" s="365"/>
      <c r="L450" s="366"/>
      <c r="M450" s="324" t="s">
        <v>84</v>
      </c>
      <c r="N450" s="16" t="str">
        <f>IF(Planning!$I73=0,G70&amp;F70,"")</f>
        <v>SC FreiburgEintracht Frankfurt</v>
      </c>
      <c r="O450" s="7">
        <f t="shared" si="14"/>
        <v>0</v>
      </c>
      <c r="P450" s="7" t="str">
        <f>IF(AND(O450&gt;0,Planning!$I73=0),W70&amp;Language!$E$90&amp;V70,"")</f>
        <v/>
      </c>
      <c r="Q450" s="2" t="str">
        <f>IF(Planning!$I73=1,G70&amp;F70,"")</f>
        <v/>
      </c>
      <c r="R450" s="88" t="str">
        <f>IF(AND(O450&gt;0,Planning!$I73=1),W70&amp;Language!$E$90&amp;V70,"")</f>
        <v/>
      </c>
      <c r="S450" s="395" t="str">
        <f>IF(O70&gt;0,Y70&amp;Language!$E$90&amp;X70,"")</f>
        <v/>
      </c>
    </row>
    <row r="451" spans="9:19" x14ac:dyDescent="0.2">
      <c r="I451" s="365"/>
      <c r="J451" s="365"/>
      <c r="K451" s="365"/>
      <c r="L451" s="366"/>
      <c r="M451" s="324" t="s">
        <v>85</v>
      </c>
      <c r="N451" s="16" t="str">
        <f>IF(Planning!$I74=0,G71&amp;F71,"")</f>
        <v>Borussia MönchengladbachSV Werder Bremen</v>
      </c>
      <c r="O451" s="7">
        <f t="shared" si="14"/>
        <v>0</v>
      </c>
      <c r="P451" s="7" t="str">
        <f>IF(AND(O451&gt;0,Planning!$I74=0),W71&amp;Language!$E$90&amp;V71,"")</f>
        <v/>
      </c>
      <c r="Q451" s="2" t="str">
        <f>IF(Planning!$I74=1,G71&amp;F71,"")</f>
        <v/>
      </c>
      <c r="R451" s="88" t="str">
        <f>IF(AND(O451&gt;0,Planning!$I74=1),W71&amp;Language!$E$90&amp;V71,"")</f>
        <v/>
      </c>
      <c r="S451" s="395" t="str">
        <f>IF(O71&gt;0,Y71&amp;Language!$E$90&amp;X71,"")</f>
        <v/>
      </c>
    </row>
    <row r="452" spans="9:19" x14ac:dyDescent="0.2">
      <c r="I452" s="365"/>
      <c r="J452" s="365"/>
      <c r="K452" s="365"/>
      <c r="L452" s="366"/>
      <c r="M452" s="324" t="s">
        <v>86</v>
      </c>
      <c r="N452" s="16" t="str">
        <f>IF(Planning!$I75=0,G72&amp;F72,"")</f>
        <v>TSG HoffenheimBorussia Dortmund</v>
      </c>
      <c r="O452" s="7">
        <f t="shared" si="14"/>
        <v>0</v>
      </c>
      <c r="P452" s="7" t="str">
        <f>IF(AND(O452&gt;0,Planning!$I75=0),W72&amp;Language!$E$90&amp;V72,"")</f>
        <v/>
      </c>
      <c r="Q452" s="2" t="str">
        <f>IF(Planning!$I75=1,G72&amp;F72,"")</f>
        <v/>
      </c>
      <c r="R452" s="88" t="str">
        <f>IF(AND(O452&gt;0,Planning!$I75=1),W72&amp;Language!$E$90&amp;V72,"")</f>
        <v/>
      </c>
      <c r="S452" s="395" t="str">
        <f>IF(O72&gt;0,Y72&amp;Language!$E$90&amp;X72,"")</f>
        <v/>
      </c>
    </row>
    <row r="453" spans="9:19" x14ac:dyDescent="0.2">
      <c r="I453" s="365"/>
      <c r="J453" s="365"/>
      <c r="K453" s="365"/>
      <c r="L453" s="366"/>
      <c r="M453" s="324" t="s">
        <v>87</v>
      </c>
      <c r="N453" s="16" t="str">
        <f>IF(Planning!$I76=0,G73&amp;F73,"")</f>
        <v>Bayer 04 LeverkusenVfB Stuttgart</v>
      </c>
      <c r="O453" s="7">
        <f t="shared" si="14"/>
        <v>0</v>
      </c>
      <c r="P453" s="7" t="str">
        <f>IF(AND(O453&gt;0,Planning!$I76=0),W73&amp;Language!$E$90&amp;V73,"")</f>
        <v/>
      </c>
      <c r="Q453" s="2" t="str">
        <f>IF(Planning!$I76=1,G73&amp;F73,"")</f>
        <v/>
      </c>
      <c r="R453" s="88" t="str">
        <f>IF(AND(O453&gt;0,Planning!$I76=1),W73&amp;Language!$E$90&amp;V73,"")</f>
        <v/>
      </c>
      <c r="S453" s="395" t="str">
        <f>IF(O73&gt;0,Y73&amp;Language!$E$90&amp;X73,"")</f>
        <v/>
      </c>
    </row>
    <row r="454" spans="9:19" x14ac:dyDescent="0.2">
      <c r="I454" s="365"/>
      <c r="J454" s="365"/>
      <c r="K454" s="365"/>
      <c r="L454" s="366"/>
      <c r="M454" s="324" t="s">
        <v>88</v>
      </c>
      <c r="N454" s="16" t="str">
        <f>IF(Planning!$I77=0,G74&amp;F74,"")</f>
        <v>VfL Wolfsburg1. FSV Mainz 05</v>
      </c>
      <c r="O454" s="7">
        <f t="shared" si="14"/>
        <v>0</v>
      </c>
      <c r="P454" s="7" t="str">
        <f>IF(AND(O454&gt;0,Planning!$I77=0),W74&amp;Language!$E$90&amp;V74,"")</f>
        <v/>
      </c>
      <c r="Q454" s="2" t="str">
        <f>IF(Planning!$I77=1,G74&amp;F74,"")</f>
        <v/>
      </c>
      <c r="R454" s="88" t="str">
        <f>IF(AND(O454&gt;0,Planning!$I77=1),W74&amp;Language!$E$90&amp;V74,"")</f>
        <v/>
      </c>
      <c r="S454" s="395" t="str">
        <f>IF(O74&gt;0,Y74&amp;Language!$E$90&amp;X74,"")</f>
        <v/>
      </c>
    </row>
    <row r="455" spans="9:19" x14ac:dyDescent="0.2">
      <c r="I455" s="365"/>
      <c r="J455" s="365"/>
      <c r="K455" s="365"/>
      <c r="L455" s="366"/>
      <c r="M455" s="324" t="s">
        <v>89</v>
      </c>
      <c r="N455" s="16" t="str">
        <f>IF(Planning!$I78=0,G75&amp;F75,"")</f>
        <v>1. FC Union Berlin1. FC Köln</v>
      </c>
      <c r="O455" s="122">
        <f t="shared" ref="O455:O518" si="15">O75</f>
        <v>0</v>
      </c>
      <c r="P455" s="122" t="str">
        <f>IF(AND(O455&gt;0,Planning!$I78=0),W75&amp;Language!$E$90&amp;V75,"")</f>
        <v/>
      </c>
      <c r="Q455" s="2" t="str">
        <f>IF(Planning!$I78=1,G75&amp;F75,"")</f>
        <v/>
      </c>
      <c r="R455" s="88" t="str">
        <f>IF(AND(O455&gt;0,Planning!$I78=1),W75&amp;Language!$E$90&amp;V75,"")</f>
        <v/>
      </c>
      <c r="S455" s="395" t="str">
        <f>IF(O75&gt;0,Y75&amp;Language!$E$90&amp;X75,"")</f>
        <v/>
      </c>
    </row>
    <row r="456" spans="9:19" x14ac:dyDescent="0.2">
      <c r="I456" s="365"/>
      <c r="J456" s="365"/>
      <c r="K456" s="365"/>
      <c r="L456" s="366"/>
      <c r="M456" s="324" t="s">
        <v>154</v>
      </c>
      <c r="N456" s="16" t="str">
        <f>IF(Planning!$I79=0,G76&amp;F76,"")</f>
        <v>FC Bayern München1. FC Heidenheim 1846</v>
      </c>
      <c r="O456" s="122">
        <f t="shared" si="15"/>
        <v>0</v>
      </c>
      <c r="P456" s="122" t="str">
        <f>IF(AND(O456&gt;0,Planning!$I79=0),W76&amp;Language!$E$90&amp;V76,"")</f>
        <v/>
      </c>
      <c r="Q456" s="2" t="str">
        <f>IF(Planning!$I79=1,G76&amp;F76,"")</f>
        <v/>
      </c>
      <c r="R456" s="88" t="str">
        <f>IF(AND(O456&gt;0,Planning!$I79=1),W76&amp;Language!$E$90&amp;V76,"")</f>
        <v/>
      </c>
      <c r="S456" s="395" t="str">
        <f>IF(O76&gt;0,Y76&amp;Language!$E$90&amp;X76,"")</f>
        <v/>
      </c>
    </row>
    <row r="457" spans="9:19" x14ac:dyDescent="0.2">
      <c r="I457" s="365"/>
      <c r="J457" s="365"/>
      <c r="K457" s="365"/>
      <c r="L457" s="366"/>
      <c r="M457" s="324" t="s">
        <v>155</v>
      </c>
      <c r="N457" s="16" t="str">
        <f>IF(Planning!$I80=0,G77&amp;F77,"")</f>
        <v>FC St. PauliFC Augsburg</v>
      </c>
      <c r="O457" s="122">
        <f t="shared" si="15"/>
        <v>0</v>
      </c>
      <c r="P457" s="122" t="str">
        <f>IF(AND(O457&gt;0,Planning!$I80=0),W77&amp;Language!$E$90&amp;V77,"")</f>
        <v/>
      </c>
      <c r="Q457" s="2" t="str">
        <f>IF(Planning!$I80=1,G77&amp;F77,"")</f>
        <v/>
      </c>
      <c r="R457" s="88" t="str">
        <f>IF(AND(O457&gt;0,Planning!$I80=1),W77&amp;Language!$E$90&amp;V77,"")</f>
        <v/>
      </c>
      <c r="S457" s="395" t="str">
        <f>IF(O77&gt;0,Y77&amp;Language!$E$90&amp;X77,"")</f>
        <v/>
      </c>
    </row>
    <row r="458" spans="9:19" x14ac:dyDescent="0.2">
      <c r="I458" s="365"/>
      <c r="J458" s="365"/>
      <c r="K458" s="365"/>
      <c r="L458" s="366"/>
      <c r="M458" s="324" t="s">
        <v>156</v>
      </c>
      <c r="N458" s="16" t="str">
        <f>IF(Planning!$I81=0,G78&amp;F78,"")</f>
        <v>Eintracht FrankfurtHamburger SV</v>
      </c>
      <c r="O458" s="122">
        <f t="shared" si="15"/>
        <v>0</v>
      </c>
      <c r="P458" s="122" t="str">
        <f>IF(AND(O458&gt;0,Planning!$I81=0),W78&amp;Language!$E$90&amp;V78,"")</f>
        <v/>
      </c>
      <c r="Q458" s="2" t="str">
        <f>IF(Planning!$I81=1,G78&amp;F78,"")</f>
        <v/>
      </c>
      <c r="R458" s="88" t="str">
        <f>IF(AND(O458&gt;0,Planning!$I81=1),W78&amp;Language!$E$90&amp;V78,"")</f>
        <v/>
      </c>
      <c r="S458" s="395" t="str">
        <f>IF(O78&gt;0,Y78&amp;Language!$E$90&amp;X78,"")</f>
        <v/>
      </c>
    </row>
    <row r="459" spans="9:19" x14ac:dyDescent="0.2">
      <c r="I459" s="365"/>
      <c r="J459" s="365"/>
      <c r="K459" s="365"/>
      <c r="L459" s="366"/>
      <c r="M459" s="324" t="s">
        <v>157</v>
      </c>
      <c r="N459" s="16" t="str">
        <f>IF(Planning!$I82=0,G79&amp;F79,"")</f>
        <v>RB LeipzigBorussia Mönchengladbach</v>
      </c>
      <c r="O459" s="122">
        <f t="shared" si="15"/>
        <v>0</v>
      </c>
      <c r="P459" s="122" t="str">
        <f>IF(AND(O459&gt;0,Planning!$I82=0),W79&amp;Language!$E$90&amp;V79,"")</f>
        <v/>
      </c>
      <c r="Q459" s="2" t="str">
        <f>IF(Planning!$I82=1,G79&amp;F79,"")</f>
        <v/>
      </c>
      <c r="R459" s="88" t="str">
        <f>IF(AND(O459&gt;0,Planning!$I82=1),W79&amp;Language!$E$90&amp;V79,"")</f>
        <v/>
      </c>
      <c r="S459" s="395" t="str">
        <f>IF(O79&gt;0,Y79&amp;Language!$E$90&amp;X79,"")</f>
        <v/>
      </c>
    </row>
    <row r="460" spans="9:19" x14ac:dyDescent="0.2">
      <c r="I460" s="365"/>
      <c r="J460" s="365"/>
      <c r="K460" s="365"/>
      <c r="L460" s="366"/>
      <c r="M460" s="324" t="s">
        <v>158</v>
      </c>
      <c r="N460" s="16" t="str">
        <f>IF(Planning!$I83=0,G80&amp;F80,"")</f>
        <v>Borussia DortmundSC Freiburg</v>
      </c>
      <c r="O460" s="122">
        <f t="shared" si="15"/>
        <v>0</v>
      </c>
      <c r="P460" s="122" t="str">
        <f>IF(AND(O460&gt;0,Planning!$I83=0),W80&amp;Language!$E$90&amp;V80,"")</f>
        <v/>
      </c>
      <c r="Q460" s="2" t="str">
        <f>IF(Planning!$I83=1,G80&amp;F80,"")</f>
        <v/>
      </c>
      <c r="R460" s="88" t="str">
        <f>IF(AND(O460&gt;0,Planning!$I83=1),W80&amp;Language!$E$90&amp;V80,"")</f>
        <v/>
      </c>
      <c r="S460" s="395" t="str">
        <f>IF(O80&gt;0,Y80&amp;Language!$E$90&amp;X80,"")</f>
        <v/>
      </c>
    </row>
    <row r="461" spans="9:19" x14ac:dyDescent="0.2">
      <c r="I461" s="365"/>
      <c r="J461" s="365"/>
      <c r="K461" s="365"/>
      <c r="L461" s="366"/>
      <c r="M461" s="324" t="s">
        <v>159</v>
      </c>
      <c r="N461" s="16" t="str">
        <f>IF(Planning!$I84=0,G81&amp;F81,"")</f>
        <v>SV Werder BremenBayer 04 Leverkusen</v>
      </c>
      <c r="O461" s="122">
        <f t="shared" si="15"/>
        <v>0</v>
      </c>
      <c r="P461" s="122" t="str">
        <f>IF(AND(O461&gt;0,Planning!$I84=0),W81&amp;Language!$E$90&amp;V81,"")</f>
        <v/>
      </c>
      <c r="Q461" s="2" t="str">
        <f>IF(Planning!$I84=1,G81&amp;F81,"")</f>
        <v/>
      </c>
      <c r="R461" s="88" t="str">
        <f>IF(AND(O461&gt;0,Planning!$I84=1),W81&amp;Language!$E$90&amp;V81,"")</f>
        <v/>
      </c>
      <c r="S461" s="395" t="str">
        <f>IF(O81&gt;0,Y81&amp;Language!$E$90&amp;X81,"")</f>
        <v/>
      </c>
    </row>
    <row r="462" spans="9:19" x14ac:dyDescent="0.2">
      <c r="I462" s="365"/>
      <c r="J462" s="365"/>
      <c r="K462" s="365"/>
      <c r="L462" s="366"/>
      <c r="M462" s="324" t="s">
        <v>160</v>
      </c>
      <c r="N462" s="16" t="str">
        <f>IF(Planning!$I85=0,G82&amp;F82,"")</f>
        <v>1. FSV Mainz 05TSG Hoffenheim</v>
      </c>
      <c r="O462" s="122">
        <f t="shared" si="15"/>
        <v>0</v>
      </c>
      <c r="P462" s="122" t="str">
        <f>IF(AND(O462&gt;0,Planning!$I85=0),W82&amp;Language!$E$90&amp;V82,"")</f>
        <v/>
      </c>
      <c r="Q462" s="2" t="str">
        <f>IF(Planning!$I85=1,G82&amp;F82,"")</f>
        <v/>
      </c>
      <c r="R462" s="88" t="str">
        <f>IF(AND(O462&gt;0,Planning!$I85=1),W82&amp;Language!$E$90&amp;V82,"")</f>
        <v/>
      </c>
      <c r="S462" s="395" t="str">
        <f>IF(O82&gt;0,Y82&amp;Language!$E$90&amp;X82,"")</f>
        <v/>
      </c>
    </row>
    <row r="463" spans="9:19" x14ac:dyDescent="0.2">
      <c r="I463" s="365"/>
      <c r="J463" s="365"/>
      <c r="K463" s="365"/>
      <c r="L463" s="366"/>
      <c r="M463" s="324" t="s">
        <v>161</v>
      </c>
      <c r="N463" s="16" t="str">
        <f>IF(Planning!$I86=0,G83&amp;F83,"")</f>
        <v>VfB Stuttgart1. FC Union Berlin</v>
      </c>
      <c r="O463" s="122">
        <f t="shared" si="15"/>
        <v>0</v>
      </c>
      <c r="P463" s="122" t="str">
        <f>IF(AND(O463&gt;0,Planning!$I86=0),W83&amp;Language!$E$90&amp;V83,"")</f>
        <v/>
      </c>
      <c r="Q463" s="2" t="str">
        <f>IF(Planning!$I86=1,G83&amp;F83,"")</f>
        <v/>
      </c>
      <c r="R463" s="88" t="str">
        <f>IF(AND(O463&gt;0,Planning!$I86=1),W83&amp;Language!$E$90&amp;V83,"")</f>
        <v/>
      </c>
      <c r="S463" s="395" t="str">
        <f>IF(O83&gt;0,Y83&amp;Language!$E$90&amp;X83,"")</f>
        <v/>
      </c>
    </row>
    <row r="464" spans="9:19" x14ac:dyDescent="0.2">
      <c r="I464" s="365"/>
      <c r="J464" s="365"/>
      <c r="K464" s="365"/>
      <c r="L464" s="366"/>
      <c r="M464" s="324" t="s">
        <v>162</v>
      </c>
      <c r="N464" s="16" t="str">
        <f>IF(Planning!$I87=0,G84&amp;F84,"")</f>
        <v>1. FC KölnVfL Wolfsburg</v>
      </c>
      <c r="O464" s="122">
        <f t="shared" si="15"/>
        <v>0</v>
      </c>
      <c r="P464" s="122" t="str">
        <f>IF(AND(O464&gt;0,Planning!$I87=0),W84&amp;Language!$E$90&amp;V84,"")</f>
        <v/>
      </c>
      <c r="Q464" s="2" t="str">
        <f>IF(Planning!$I87=1,G84&amp;F84,"")</f>
        <v/>
      </c>
      <c r="R464" s="88" t="str">
        <f>IF(AND(O464&gt;0,Planning!$I87=1),W84&amp;Language!$E$90&amp;V84,"")</f>
        <v/>
      </c>
      <c r="S464" s="395" t="str">
        <f>IF(O84&gt;0,Y84&amp;Language!$E$90&amp;X84,"")</f>
        <v/>
      </c>
    </row>
    <row r="465" spans="9:19" x14ac:dyDescent="0.2">
      <c r="I465" s="365"/>
      <c r="J465" s="365"/>
      <c r="K465" s="365"/>
      <c r="L465" s="366"/>
      <c r="M465" s="324" t="s">
        <v>163</v>
      </c>
      <c r="N465" s="16" t="str">
        <f>IF(Planning!$I88=0,G85&amp;F85,"")</f>
        <v>1. FC Heidenheim 1846FC Augsburg</v>
      </c>
      <c r="O465" s="122">
        <f t="shared" si="15"/>
        <v>0</v>
      </c>
      <c r="P465" s="122" t="str">
        <f>IF(AND(O465&gt;0,Planning!$I88=0),W85&amp;Language!$E$90&amp;V85,"")</f>
        <v/>
      </c>
      <c r="Q465" s="2" t="str">
        <f>IF(Planning!$I88=1,G85&amp;F85,"")</f>
        <v/>
      </c>
      <c r="R465" s="88" t="str">
        <f>IF(AND(O465&gt;0,Planning!$I88=1),W85&amp;Language!$E$90&amp;V85,"")</f>
        <v/>
      </c>
      <c r="S465" s="395" t="str">
        <f>IF(O85&gt;0,Y85&amp;Language!$E$90&amp;X85,"")</f>
        <v/>
      </c>
    </row>
    <row r="466" spans="9:19" x14ac:dyDescent="0.2">
      <c r="I466" s="365"/>
      <c r="J466" s="365"/>
      <c r="K466" s="365"/>
      <c r="L466" s="366"/>
      <c r="M466" s="324" t="s">
        <v>164</v>
      </c>
      <c r="N466" s="16" t="str">
        <f>IF(Planning!$I89=0,G86&amp;F86,"")</f>
        <v>FC Bayern MünchenEintracht Frankfurt</v>
      </c>
      <c r="O466" s="122">
        <f t="shared" si="15"/>
        <v>0</v>
      </c>
      <c r="P466" s="122" t="str">
        <f>IF(AND(O466&gt;0,Planning!$I89=0),W86&amp;Language!$E$90&amp;V86,"")</f>
        <v/>
      </c>
      <c r="Q466" s="2" t="str">
        <f>IF(Planning!$I89=1,G86&amp;F86,"")</f>
        <v/>
      </c>
      <c r="R466" s="88" t="str">
        <f>IF(AND(O466&gt;0,Planning!$I89=1),W86&amp;Language!$E$90&amp;V86,"")</f>
        <v/>
      </c>
      <c r="S466" s="395" t="str">
        <f>IF(O86&gt;0,Y86&amp;Language!$E$90&amp;X86,"")</f>
        <v/>
      </c>
    </row>
    <row r="467" spans="9:19" x14ac:dyDescent="0.2">
      <c r="I467" s="365"/>
      <c r="J467" s="365"/>
      <c r="K467" s="365"/>
      <c r="L467" s="366"/>
      <c r="M467" s="324" t="s">
        <v>165</v>
      </c>
      <c r="N467" s="16" t="str">
        <f>IF(Planning!$I90=0,G87&amp;F87,"")</f>
        <v>Borussia MönchengladbachFC St. Pauli</v>
      </c>
      <c r="O467" s="122">
        <f t="shared" si="15"/>
        <v>0</v>
      </c>
      <c r="P467" s="122" t="str">
        <f>IF(AND(O467&gt;0,Planning!$I90=0),W87&amp;Language!$E$90&amp;V87,"")</f>
        <v/>
      </c>
      <c r="Q467" s="2" t="str">
        <f>IF(Planning!$I90=1,G87&amp;F87,"")</f>
        <v/>
      </c>
      <c r="R467" s="88" t="str">
        <f>IF(AND(O467&gt;0,Planning!$I90=1),W87&amp;Language!$E$90&amp;V87,"")</f>
        <v/>
      </c>
      <c r="S467" s="395" t="str">
        <f>IF(O87&gt;0,Y87&amp;Language!$E$90&amp;X87,"")</f>
        <v/>
      </c>
    </row>
    <row r="468" spans="9:19" x14ac:dyDescent="0.2">
      <c r="I468" s="365"/>
      <c r="J468" s="365"/>
      <c r="K468" s="365"/>
      <c r="L468" s="366"/>
      <c r="M468" s="324" t="s">
        <v>166</v>
      </c>
      <c r="N468" s="16" t="str">
        <f>IF(Planning!$I91=0,G88&amp;F88,"")</f>
        <v>Hamburger SVBorussia Dortmund</v>
      </c>
      <c r="O468" s="122">
        <f t="shared" si="15"/>
        <v>0</v>
      </c>
      <c r="P468" s="122" t="str">
        <f>IF(AND(O468&gt;0,Planning!$I91=0),W88&amp;Language!$E$90&amp;V88,"")</f>
        <v/>
      </c>
      <c r="Q468" s="2" t="str">
        <f>IF(Planning!$I91=1,G88&amp;F88,"")</f>
        <v/>
      </c>
      <c r="R468" s="88" t="str">
        <f>IF(AND(O468&gt;0,Planning!$I91=1),W88&amp;Language!$E$90&amp;V88,"")</f>
        <v/>
      </c>
      <c r="S468" s="395" t="str">
        <f>IF(O88&gt;0,Y88&amp;Language!$E$90&amp;X88,"")</f>
        <v/>
      </c>
    </row>
    <row r="469" spans="9:19" x14ac:dyDescent="0.2">
      <c r="I469" s="365"/>
      <c r="J469" s="365"/>
      <c r="K469" s="365"/>
      <c r="L469" s="366"/>
      <c r="M469" s="324" t="s">
        <v>167</v>
      </c>
      <c r="N469" s="16" t="str">
        <f>IF(Planning!$I92=0,G89&amp;F89,"")</f>
        <v>Bayer 04 LeverkusenRB Leipzig</v>
      </c>
      <c r="O469" s="122">
        <f t="shared" si="15"/>
        <v>0</v>
      </c>
      <c r="P469" s="122" t="str">
        <f>IF(AND(O469&gt;0,Planning!$I92=0),W89&amp;Language!$E$90&amp;V89,"")</f>
        <v/>
      </c>
      <c r="Q469" s="2" t="str">
        <f>IF(Planning!$I92=1,G89&amp;F89,"")</f>
        <v/>
      </c>
      <c r="R469" s="88" t="str">
        <f>IF(AND(O469&gt;0,Planning!$I92=1),W89&amp;Language!$E$90&amp;V89,"")</f>
        <v/>
      </c>
      <c r="S469" s="395" t="str">
        <f>IF(O89&gt;0,Y89&amp;Language!$E$90&amp;X89,"")</f>
        <v/>
      </c>
    </row>
    <row r="470" spans="9:19" x14ac:dyDescent="0.2">
      <c r="I470" s="365"/>
      <c r="J470" s="365"/>
      <c r="K470" s="365"/>
      <c r="L470" s="366"/>
      <c r="M470" s="324" t="s">
        <v>168</v>
      </c>
      <c r="N470" s="16" t="str">
        <f>IF(Planning!$I93=0,G90&amp;F90,"")</f>
        <v>SC Freiburg1. FSV Mainz 05</v>
      </c>
      <c r="O470" s="122">
        <f t="shared" si="15"/>
        <v>0</v>
      </c>
      <c r="P470" s="122" t="str">
        <f>IF(AND(O470&gt;0,Planning!$I93=0),W90&amp;Language!$E$90&amp;V90,"")</f>
        <v/>
      </c>
      <c r="Q470" s="2" t="str">
        <f>IF(Planning!$I93=1,G90&amp;F90,"")</f>
        <v/>
      </c>
      <c r="R470" s="88" t="str">
        <f>IF(AND(O470&gt;0,Planning!$I93=1),W90&amp;Language!$E$90&amp;V90,"")</f>
        <v/>
      </c>
      <c r="S470" s="395" t="str">
        <f>IF(O90&gt;0,Y90&amp;Language!$E$90&amp;X90,"")</f>
        <v/>
      </c>
    </row>
    <row r="471" spans="9:19" x14ac:dyDescent="0.2">
      <c r="I471" s="365"/>
      <c r="J471" s="365"/>
      <c r="K471" s="365"/>
      <c r="L471" s="366"/>
      <c r="M471" s="324" t="s">
        <v>169</v>
      </c>
      <c r="N471" s="16" t="str">
        <f>IF(Planning!$I94=0,G91&amp;F91,"")</f>
        <v>1. FC Union BerlinSV Werder Bremen</v>
      </c>
      <c r="O471" s="122">
        <f t="shared" si="15"/>
        <v>0</v>
      </c>
      <c r="P471" s="122" t="str">
        <f>IF(AND(O471&gt;0,Planning!$I94=0),W91&amp;Language!$E$90&amp;V91,"")</f>
        <v/>
      </c>
      <c r="Q471" s="2" t="str">
        <f>IF(Planning!$I94=1,G91&amp;F91,"")</f>
        <v/>
      </c>
      <c r="R471" s="88" t="str">
        <f>IF(AND(O471&gt;0,Planning!$I94=1),W91&amp;Language!$E$90&amp;V91,"")</f>
        <v/>
      </c>
      <c r="S471" s="395" t="str">
        <f>IF(O91&gt;0,Y91&amp;Language!$E$90&amp;X91,"")</f>
        <v/>
      </c>
    </row>
    <row r="472" spans="9:19" x14ac:dyDescent="0.2">
      <c r="I472" s="365"/>
      <c r="J472" s="365"/>
      <c r="K472" s="365"/>
      <c r="L472" s="366"/>
      <c r="M472" s="324" t="s">
        <v>170</v>
      </c>
      <c r="N472" s="16" t="str">
        <f>IF(Planning!$I95=0,G92&amp;F92,"")</f>
        <v>TSG Hoffenheim1. FC Köln</v>
      </c>
      <c r="O472" s="122">
        <f t="shared" si="15"/>
        <v>0</v>
      </c>
      <c r="P472" s="122" t="str">
        <f>IF(AND(O472&gt;0,Planning!$I95=0),W92&amp;Language!$E$90&amp;V92,"")</f>
        <v/>
      </c>
      <c r="Q472" s="2" t="str">
        <f>IF(Planning!$I95=1,G92&amp;F92,"")</f>
        <v/>
      </c>
      <c r="R472" s="88" t="str">
        <f>IF(AND(O472&gt;0,Planning!$I95=1),W92&amp;Language!$E$90&amp;V92,"")</f>
        <v/>
      </c>
      <c r="S472" s="395" t="str">
        <f>IF(O92&gt;0,Y92&amp;Language!$E$90&amp;X92,"")</f>
        <v/>
      </c>
    </row>
    <row r="473" spans="9:19" x14ac:dyDescent="0.2">
      <c r="I473" s="365"/>
      <c r="J473" s="365"/>
      <c r="K473" s="365"/>
      <c r="L473" s="366"/>
      <c r="M473" s="324" t="s">
        <v>171</v>
      </c>
      <c r="N473" s="16" t="str">
        <f>IF(Planning!$I96=0,G93&amp;F93,"")</f>
        <v>VfL WolfsburgVfB Stuttgart</v>
      </c>
      <c r="O473" s="122">
        <f t="shared" si="15"/>
        <v>0</v>
      </c>
      <c r="P473" s="122" t="str">
        <f>IF(AND(O473&gt;0,Planning!$I96=0),W93&amp;Language!$E$90&amp;V93,"")</f>
        <v/>
      </c>
      <c r="Q473" s="2" t="str">
        <f>IF(Planning!$I96=1,G93&amp;F93,"")</f>
        <v/>
      </c>
      <c r="R473" s="88" t="str">
        <f>IF(AND(O473&gt;0,Planning!$I96=1),W93&amp;Language!$E$90&amp;V93,"")</f>
        <v/>
      </c>
      <c r="S473" s="395" t="str">
        <f>IF(O93&gt;0,Y93&amp;Language!$E$90&amp;X93,"")</f>
        <v/>
      </c>
    </row>
    <row r="474" spans="9:19" x14ac:dyDescent="0.2">
      <c r="I474" s="365"/>
      <c r="J474" s="365"/>
      <c r="K474" s="365"/>
      <c r="L474" s="366"/>
      <c r="M474" s="324" t="s">
        <v>172</v>
      </c>
      <c r="N474" s="16" t="str">
        <f>IF(Planning!$I97=0,G94&amp;F94,"")</f>
        <v>Eintracht Frankfurt1. FC Heidenheim 1846</v>
      </c>
      <c r="O474" s="122">
        <f t="shared" si="15"/>
        <v>0</v>
      </c>
      <c r="P474" s="122" t="str">
        <f>IF(AND(O474&gt;0,Planning!$I97=0),W94&amp;Language!$E$90&amp;V94,"")</f>
        <v/>
      </c>
      <c r="Q474" s="2" t="str">
        <f>IF(Planning!$I97=1,G94&amp;F94,"")</f>
        <v/>
      </c>
      <c r="R474" s="88" t="str">
        <f>IF(AND(O474&gt;0,Planning!$I97=1),W94&amp;Language!$E$90&amp;V94,"")</f>
        <v/>
      </c>
      <c r="S474" s="395" t="str">
        <f>IF(O94&gt;0,Y94&amp;Language!$E$90&amp;X94,"")</f>
        <v/>
      </c>
    </row>
    <row r="475" spans="9:19" x14ac:dyDescent="0.2">
      <c r="I475" s="365"/>
      <c r="J475" s="365"/>
      <c r="K475" s="365"/>
      <c r="L475" s="366"/>
      <c r="M475" s="324" t="s">
        <v>173</v>
      </c>
      <c r="N475" s="16" t="str">
        <f>IF(Planning!$I98=0,G95&amp;F95,"")</f>
        <v>FC AugsburgBorussia Mönchengladbach</v>
      </c>
      <c r="O475" s="122">
        <f t="shared" si="15"/>
        <v>0</v>
      </c>
      <c r="P475" s="122" t="str">
        <f>IF(AND(O475&gt;0,Planning!$I98=0),W95&amp;Language!$E$90&amp;V95,"")</f>
        <v/>
      </c>
      <c r="Q475" s="2" t="str">
        <f>IF(Planning!$I98=1,G95&amp;F95,"")</f>
        <v/>
      </c>
      <c r="R475" s="88" t="str">
        <f>IF(AND(O475&gt;0,Planning!$I98=1),W95&amp;Language!$E$90&amp;V95,"")</f>
        <v/>
      </c>
      <c r="S475" s="395" t="str">
        <f>IF(O95&gt;0,Y95&amp;Language!$E$90&amp;X95,"")</f>
        <v/>
      </c>
    </row>
    <row r="476" spans="9:19" x14ac:dyDescent="0.2">
      <c r="I476" s="365"/>
      <c r="J476" s="365"/>
      <c r="K476" s="365"/>
      <c r="L476" s="366"/>
      <c r="M476" s="324" t="s">
        <v>174</v>
      </c>
      <c r="N476" s="16" t="str">
        <f>IF(Planning!$I99=0,G96&amp;F96,"")</f>
        <v>Borussia DortmundFC Bayern München</v>
      </c>
      <c r="O476" s="122">
        <f t="shared" si="15"/>
        <v>0</v>
      </c>
      <c r="P476" s="122" t="str">
        <f>IF(AND(O476&gt;0,Planning!$I99=0),W96&amp;Language!$E$90&amp;V96,"")</f>
        <v/>
      </c>
      <c r="Q476" s="2" t="str">
        <f>IF(Planning!$I99=1,G96&amp;F96,"")</f>
        <v/>
      </c>
      <c r="R476" s="88" t="str">
        <f>IF(AND(O476&gt;0,Planning!$I99=1),W96&amp;Language!$E$90&amp;V96,"")</f>
        <v/>
      </c>
      <c r="S476" s="395" t="str">
        <f>IF(O96&gt;0,Y96&amp;Language!$E$90&amp;X96,"")</f>
        <v/>
      </c>
    </row>
    <row r="477" spans="9:19" x14ac:dyDescent="0.2">
      <c r="I477" s="365"/>
      <c r="J477" s="365"/>
      <c r="K477" s="365"/>
      <c r="L477" s="366"/>
      <c r="M477" s="324" t="s">
        <v>175</v>
      </c>
      <c r="N477" s="16" t="str">
        <f>IF(Planning!$I100=0,G97&amp;F97,"")</f>
        <v>FC St. PauliBayer 04 Leverkusen</v>
      </c>
      <c r="O477" s="122">
        <f t="shared" si="15"/>
        <v>0</v>
      </c>
      <c r="P477" s="122" t="str">
        <f>IF(AND(O477&gt;0,Planning!$I100=0),W97&amp;Language!$E$90&amp;V97,"")</f>
        <v/>
      </c>
      <c r="Q477" s="2" t="str">
        <f>IF(Planning!$I100=1,G97&amp;F97,"")</f>
        <v/>
      </c>
      <c r="R477" s="88" t="str">
        <f>IF(AND(O477&gt;0,Planning!$I100=1),W97&amp;Language!$E$90&amp;V97,"")</f>
        <v/>
      </c>
      <c r="S477" s="395" t="str">
        <f>IF(O97&gt;0,Y97&amp;Language!$E$90&amp;X97,"")</f>
        <v/>
      </c>
    </row>
    <row r="478" spans="9:19" x14ac:dyDescent="0.2">
      <c r="I478" s="365"/>
      <c r="J478" s="365"/>
      <c r="K478" s="365"/>
      <c r="L478" s="366"/>
      <c r="M478" s="324" t="s">
        <v>176</v>
      </c>
      <c r="N478" s="16" t="str">
        <f>IF(Planning!$I101=0,G98&amp;F98,"")</f>
        <v>1. FSV Mainz 05Hamburger SV</v>
      </c>
      <c r="O478" s="122">
        <f t="shared" si="15"/>
        <v>0</v>
      </c>
      <c r="P478" s="122" t="str">
        <f>IF(AND(O478&gt;0,Planning!$I101=0),W98&amp;Language!$E$90&amp;V98,"")</f>
        <v/>
      </c>
      <c r="Q478" s="2" t="str">
        <f>IF(Planning!$I101=1,G98&amp;F98,"")</f>
        <v/>
      </c>
      <c r="R478" s="88" t="str">
        <f>IF(AND(O478&gt;0,Planning!$I101=1),W98&amp;Language!$E$90&amp;V98,"")</f>
        <v/>
      </c>
      <c r="S478" s="395" t="str">
        <f>IF(O98&gt;0,Y98&amp;Language!$E$90&amp;X98,"")</f>
        <v/>
      </c>
    </row>
    <row r="479" spans="9:19" x14ac:dyDescent="0.2">
      <c r="I479" s="365"/>
      <c r="J479" s="365"/>
      <c r="K479" s="365"/>
      <c r="L479" s="366"/>
      <c r="M479" s="324" t="s">
        <v>177</v>
      </c>
      <c r="N479" s="16" t="str">
        <f>IF(Planning!$I102=0,G99&amp;F99,"")</f>
        <v>RB Leipzig1. FC Union Berlin</v>
      </c>
      <c r="O479" s="122">
        <f t="shared" si="15"/>
        <v>0</v>
      </c>
      <c r="P479" s="122" t="str">
        <f>IF(AND(O479&gt;0,Planning!$I102=0),W99&amp;Language!$E$90&amp;V99,"")</f>
        <v/>
      </c>
      <c r="Q479" s="2" t="str">
        <f>IF(Planning!$I102=1,G99&amp;F99,"")</f>
        <v/>
      </c>
      <c r="R479" s="88" t="str">
        <f>IF(AND(O479&gt;0,Planning!$I102=1),W99&amp;Language!$E$90&amp;V99,"")</f>
        <v/>
      </c>
      <c r="S479" s="395" t="str">
        <f>IF(O99&gt;0,Y99&amp;Language!$E$90&amp;X99,"")</f>
        <v/>
      </c>
    </row>
    <row r="480" spans="9:19" x14ac:dyDescent="0.2">
      <c r="I480" s="365"/>
      <c r="J480" s="365"/>
      <c r="K480" s="365"/>
      <c r="L480" s="366"/>
      <c r="M480" s="324" t="s">
        <v>178</v>
      </c>
      <c r="N480" s="16" t="str">
        <f>IF(Planning!$I103=0,G100&amp;F100,"")</f>
        <v>1. FC KölnSC Freiburg</v>
      </c>
      <c r="O480" s="122">
        <f t="shared" si="15"/>
        <v>0</v>
      </c>
      <c r="P480" s="122" t="str">
        <f>IF(AND(O480&gt;0,Planning!$I103=0),W100&amp;Language!$E$90&amp;V100,"")</f>
        <v/>
      </c>
      <c r="Q480" s="2" t="str">
        <f>IF(Planning!$I103=1,G100&amp;F100,"")</f>
        <v/>
      </c>
      <c r="R480" s="88" t="str">
        <f>IF(AND(O480&gt;0,Planning!$I103=1),W100&amp;Language!$E$90&amp;V100,"")</f>
        <v/>
      </c>
      <c r="S480" s="395" t="str">
        <f>IF(O100&gt;0,Y100&amp;Language!$E$90&amp;X100,"")</f>
        <v/>
      </c>
    </row>
    <row r="481" spans="9:19" x14ac:dyDescent="0.2">
      <c r="I481" s="365"/>
      <c r="J481" s="365"/>
      <c r="K481" s="365"/>
      <c r="L481" s="366"/>
      <c r="M481" s="324" t="s">
        <v>179</v>
      </c>
      <c r="N481" s="16" t="str">
        <f>IF(Planning!$I104=0,G101&amp;F101,"")</f>
        <v>SV Werder BremenVfL Wolfsburg</v>
      </c>
      <c r="O481" s="122">
        <f t="shared" si="15"/>
        <v>0</v>
      </c>
      <c r="P481" s="122" t="str">
        <f>IF(AND(O481&gt;0,Planning!$I104=0),W101&amp;Language!$E$90&amp;V101,"")</f>
        <v/>
      </c>
      <c r="Q481" s="2" t="str">
        <f>IF(Planning!$I104=1,G101&amp;F101,"")</f>
        <v/>
      </c>
      <c r="R481" s="88" t="str">
        <f>IF(AND(O481&gt;0,Planning!$I104=1),W101&amp;Language!$E$90&amp;V101,"")</f>
        <v/>
      </c>
      <c r="S481" s="395" t="str">
        <f>IF(O101&gt;0,Y101&amp;Language!$E$90&amp;X101,"")</f>
        <v/>
      </c>
    </row>
    <row r="482" spans="9:19" x14ac:dyDescent="0.2">
      <c r="I482" s="365"/>
      <c r="J482" s="365"/>
      <c r="K482" s="365"/>
      <c r="L482" s="366"/>
      <c r="M482" s="324" t="s">
        <v>180</v>
      </c>
      <c r="N482" s="16" t="str">
        <f>IF(Planning!$I105=0,G102&amp;F102,"")</f>
        <v>VfB StuttgartTSG Hoffenheim</v>
      </c>
      <c r="O482" s="122">
        <f t="shared" si="15"/>
        <v>0</v>
      </c>
      <c r="P482" s="122" t="str">
        <f>IF(AND(O482&gt;0,Planning!$I105=0),W102&amp;Language!$E$90&amp;V102,"")</f>
        <v/>
      </c>
      <c r="Q482" s="2" t="str">
        <f>IF(Planning!$I105=1,G102&amp;F102,"")</f>
        <v/>
      </c>
      <c r="R482" s="88" t="str">
        <f>IF(AND(O482&gt;0,Planning!$I105=1),W102&amp;Language!$E$90&amp;V102,"")</f>
        <v/>
      </c>
      <c r="S482" s="395" t="str">
        <f>IF(O102&gt;0,Y102&amp;Language!$E$90&amp;X102,"")</f>
        <v/>
      </c>
    </row>
    <row r="483" spans="9:19" x14ac:dyDescent="0.2">
      <c r="I483" s="365"/>
      <c r="J483" s="365"/>
      <c r="K483" s="365"/>
      <c r="L483" s="366"/>
      <c r="M483" s="324" t="s">
        <v>181</v>
      </c>
      <c r="N483" s="16" t="str">
        <f>IF(Planning!$I106=0,G103&amp;F103,"")</f>
        <v>1. FC Heidenheim 1846Borussia Mönchengladbach</v>
      </c>
      <c r="O483" s="122">
        <f t="shared" si="15"/>
        <v>0</v>
      </c>
      <c r="P483" s="122" t="str">
        <f>IF(AND(O483&gt;0,Planning!$I106=0),W103&amp;Language!$E$90&amp;V103,"")</f>
        <v/>
      </c>
      <c r="Q483" s="2" t="str">
        <f>IF(Planning!$I106=1,G103&amp;F103,"")</f>
        <v/>
      </c>
      <c r="R483" s="88" t="str">
        <f>IF(AND(O483&gt;0,Planning!$I106=1),W103&amp;Language!$E$90&amp;V103,"")</f>
        <v/>
      </c>
      <c r="S483" s="395" t="str">
        <f>IF(O103&gt;0,Y103&amp;Language!$E$90&amp;X103,"")</f>
        <v/>
      </c>
    </row>
    <row r="484" spans="9:19" x14ac:dyDescent="0.2">
      <c r="I484" s="365"/>
      <c r="J484" s="365"/>
      <c r="K484" s="365"/>
      <c r="L484" s="366"/>
      <c r="M484" s="324" t="s">
        <v>182</v>
      </c>
      <c r="N484" s="16" t="str">
        <f>IF(Planning!$I107=0,G104&amp;F104,"")</f>
        <v>Eintracht FrankfurtBorussia Dortmund</v>
      </c>
      <c r="O484" s="122">
        <f t="shared" si="15"/>
        <v>0</v>
      </c>
      <c r="P484" s="122" t="str">
        <f>IF(AND(O484&gt;0,Planning!$I107=0),W104&amp;Language!$E$90&amp;V104,"")</f>
        <v/>
      </c>
      <c r="Q484" s="2" t="str">
        <f>IF(Planning!$I107=1,G104&amp;F104,"")</f>
        <v/>
      </c>
      <c r="R484" s="88" t="str">
        <f>IF(AND(O484&gt;0,Planning!$I107=1),W104&amp;Language!$E$90&amp;V104,"")</f>
        <v/>
      </c>
      <c r="S484" s="395" t="str">
        <f>IF(O104&gt;0,Y104&amp;Language!$E$90&amp;X104,"")</f>
        <v/>
      </c>
    </row>
    <row r="485" spans="9:19" x14ac:dyDescent="0.2">
      <c r="I485" s="365"/>
      <c r="J485" s="365"/>
      <c r="K485" s="365"/>
      <c r="L485" s="366"/>
      <c r="M485" s="324" t="s">
        <v>183</v>
      </c>
      <c r="N485" s="16" t="str">
        <f>IF(Planning!$I108=0,G105&amp;F105,"")</f>
        <v>Bayer 04 LeverkusenFC Augsburg</v>
      </c>
      <c r="O485" s="122">
        <f t="shared" si="15"/>
        <v>0</v>
      </c>
      <c r="P485" s="122" t="str">
        <f>IF(AND(O485&gt;0,Planning!$I108=0),W105&amp;Language!$E$90&amp;V105,"")</f>
        <v/>
      </c>
      <c r="Q485" s="2" t="str">
        <f>IF(Planning!$I108=1,G105&amp;F105,"")</f>
        <v/>
      </c>
      <c r="R485" s="88" t="str">
        <f>IF(AND(O485&gt;0,Planning!$I108=1),W105&amp;Language!$E$90&amp;V105,"")</f>
        <v/>
      </c>
      <c r="S485" s="395" t="str">
        <f>IF(O105&gt;0,Y105&amp;Language!$E$90&amp;X105,"")</f>
        <v/>
      </c>
    </row>
    <row r="486" spans="9:19" x14ac:dyDescent="0.2">
      <c r="I486" s="365"/>
      <c r="J486" s="365"/>
      <c r="K486" s="365"/>
      <c r="L486" s="366"/>
      <c r="M486" s="324" t="s">
        <v>184</v>
      </c>
      <c r="N486" s="16" t="str">
        <f>IF(Planning!$I109=0,G106&amp;F106,"")</f>
        <v>FC Bayern München1. FSV Mainz 05</v>
      </c>
      <c r="O486" s="122">
        <f t="shared" si="15"/>
        <v>0</v>
      </c>
      <c r="P486" s="122" t="str">
        <f>IF(AND(O486&gt;0,Planning!$I109=0),W106&amp;Language!$E$90&amp;V106,"")</f>
        <v/>
      </c>
      <c r="Q486" s="2" t="str">
        <f>IF(Planning!$I109=1,G106&amp;F106,"")</f>
        <v/>
      </c>
      <c r="R486" s="88" t="str">
        <f>IF(AND(O486&gt;0,Planning!$I109=1),W106&amp;Language!$E$90&amp;V106,"")</f>
        <v/>
      </c>
      <c r="S486" s="395" t="str">
        <f>IF(O106&gt;0,Y106&amp;Language!$E$90&amp;X106,"")</f>
        <v/>
      </c>
    </row>
    <row r="487" spans="9:19" x14ac:dyDescent="0.2">
      <c r="I487" s="365"/>
      <c r="J487" s="365"/>
      <c r="K487" s="365"/>
      <c r="L487" s="366"/>
      <c r="M487" s="324" t="s">
        <v>185</v>
      </c>
      <c r="N487" s="16" t="str">
        <f>IF(Planning!$I110=0,G107&amp;F107,"")</f>
        <v>1. FC Union BerlinFC St. Pauli</v>
      </c>
      <c r="O487" s="122">
        <f t="shared" si="15"/>
        <v>0</v>
      </c>
      <c r="P487" s="122" t="str">
        <f>IF(AND(O487&gt;0,Planning!$I110=0),W107&amp;Language!$E$90&amp;V107,"")</f>
        <v/>
      </c>
      <c r="Q487" s="2" t="str">
        <f>IF(Planning!$I110=1,G107&amp;F107,"")</f>
        <v/>
      </c>
      <c r="R487" s="88" t="str">
        <f>IF(AND(O487&gt;0,Planning!$I110=1),W107&amp;Language!$E$90&amp;V107,"")</f>
        <v/>
      </c>
      <c r="S487" s="395" t="str">
        <f>IF(O107&gt;0,Y107&amp;Language!$E$90&amp;X107,"")</f>
        <v/>
      </c>
    </row>
    <row r="488" spans="9:19" x14ac:dyDescent="0.2">
      <c r="I488" s="365"/>
      <c r="J488" s="365"/>
      <c r="K488" s="365"/>
      <c r="L488" s="366"/>
      <c r="M488" s="324" t="s">
        <v>186</v>
      </c>
      <c r="N488" s="16" t="str">
        <f>IF(Planning!$I111=0,G108&amp;F108,"")</f>
        <v>Hamburger SV1. FC Köln</v>
      </c>
      <c r="O488" s="122">
        <f t="shared" si="15"/>
        <v>0</v>
      </c>
      <c r="P488" s="122" t="str">
        <f>IF(AND(O488&gt;0,Planning!$I111=0),W108&amp;Language!$E$90&amp;V108,"")</f>
        <v/>
      </c>
      <c r="Q488" s="2" t="str">
        <f>IF(Planning!$I111=1,G108&amp;F108,"")</f>
        <v/>
      </c>
      <c r="R488" s="88" t="str">
        <f>IF(AND(O488&gt;0,Planning!$I111=1),W108&amp;Language!$E$90&amp;V108,"")</f>
        <v/>
      </c>
      <c r="S488" s="395" t="str">
        <f>IF(O108&gt;0,Y108&amp;Language!$E$90&amp;X108,"")</f>
        <v/>
      </c>
    </row>
    <row r="489" spans="9:19" x14ac:dyDescent="0.2">
      <c r="I489" s="365"/>
      <c r="J489" s="365"/>
      <c r="K489" s="365"/>
      <c r="L489" s="366"/>
      <c r="M489" s="324" t="s">
        <v>187</v>
      </c>
      <c r="N489" s="16" t="str">
        <f>IF(Planning!$I112=0,G109&amp;F109,"")</f>
        <v>VfL WolfsburgRB Leipzig</v>
      </c>
      <c r="O489" s="122">
        <f t="shared" si="15"/>
        <v>0</v>
      </c>
      <c r="P489" s="122" t="str">
        <f>IF(AND(O489&gt;0,Planning!$I112=0),W109&amp;Language!$E$90&amp;V109,"")</f>
        <v/>
      </c>
      <c r="Q489" s="2" t="str">
        <f>IF(Planning!$I112=1,G109&amp;F109,"")</f>
        <v/>
      </c>
      <c r="R489" s="88" t="str">
        <f>IF(AND(O489&gt;0,Planning!$I112=1),W109&amp;Language!$E$90&amp;V109,"")</f>
        <v/>
      </c>
      <c r="S489" s="395" t="str">
        <f>IF(O109&gt;0,Y109&amp;Language!$E$90&amp;X109,"")</f>
        <v/>
      </c>
    </row>
    <row r="490" spans="9:19" x14ac:dyDescent="0.2">
      <c r="I490" s="365"/>
      <c r="J490" s="365"/>
      <c r="K490" s="365"/>
      <c r="L490" s="366"/>
      <c r="M490" s="324" t="s">
        <v>188</v>
      </c>
      <c r="N490" s="16" t="str">
        <f>IF(Planning!$I113=0,G110&amp;F110,"")</f>
        <v>SC FreiburgVfB Stuttgart</v>
      </c>
      <c r="O490" s="122">
        <f t="shared" si="15"/>
        <v>0</v>
      </c>
      <c r="P490" s="122" t="str">
        <f>IF(AND(O490&gt;0,Planning!$I113=0),W110&amp;Language!$E$90&amp;V110,"")</f>
        <v/>
      </c>
      <c r="Q490" s="2" t="str">
        <f>IF(Planning!$I113=1,G110&amp;F110,"")</f>
        <v/>
      </c>
      <c r="R490" s="88" t="str">
        <f>IF(AND(O490&gt;0,Planning!$I113=1),W110&amp;Language!$E$90&amp;V110,"")</f>
        <v/>
      </c>
      <c r="S490" s="395" t="str">
        <f>IF(O110&gt;0,Y110&amp;Language!$E$90&amp;X110,"")</f>
        <v/>
      </c>
    </row>
    <row r="491" spans="9:19" x14ac:dyDescent="0.2">
      <c r="I491" s="365"/>
      <c r="J491" s="365"/>
      <c r="K491" s="365"/>
      <c r="L491" s="366"/>
      <c r="M491" s="324" t="s">
        <v>189</v>
      </c>
      <c r="N491" s="16" t="str">
        <f>IF(Planning!$I114=0,G111&amp;F111,"")</f>
        <v>TSG HoffenheimSV Werder Bremen</v>
      </c>
      <c r="O491" s="122">
        <f t="shared" si="15"/>
        <v>0</v>
      </c>
      <c r="P491" s="122" t="str">
        <f>IF(AND(O491&gt;0,Planning!$I114=0),W111&amp;Language!$E$90&amp;V111,"")</f>
        <v/>
      </c>
      <c r="Q491" s="2" t="str">
        <f>IF(Planning!$I114=1,G111&amp;F111,"")</f>
        <v/>
      </c>
      <c r="R491" s="88" t="str">
        <f>IF(AND(O491&gt;0,Planning!$I114=1),W111&amp;Language!$E$90&amp;V111,"")</f>
        <v/>
      </c>
      <c r="S491" s="395" t="str">
        <f>IF(O111&gt;0,Y111&amp;Language!$E$90&amp;X111,"")</f>
        <v/>
      </c>
    </row>
    <row r="492" spans="9:19" x14ac:dyDescent="0.2">
      <c r="I492" s="365"/>
      <c r="J492" s="365"/>
      <c r="K492" s="365"/>
      <c r="L492" s="366"/>
      <c r="M492" s="324" t="s">
        <v>190</v>
      </c>
      <c r="N492" s="16" t="str">
        <f>IF(Planning!$I115=0,G112&amp;F112,"")</f>
        <v>Borussia Dortmund1. FC Heidenheim 1846</v>
      </c>
      <c r="O492" s="122">
        <f t="shared" si="15"/>
        <v>0</v>
      </c>
      <c r="P492" s="122" t="str">
        <f>IF(AND(O492&gt;0,Planning!$I115=0),W112&amp;Language!$E$90&amp;V112,"")</f>
        <v/>
      </c>
      <c r="Q492" s="2" t="str">
        <f>IF(Planning!$I115=1,G112&amp;F112,"")</f>
        <v/>
      </c>
      <c r="R492" s="88" t="str">
        <f>IF(AND(O492&gt;0,Planning!$I115=1),W112&amp;Language!$E$90&amp;V112,"")</f>
        <v/>
      </c>
      <c r="S492" s="395" t="str">
        <f>IF(O112&gt;0,Y112&amp;Language!$E$90&amp;X112,"")</f>
        <v/>
      </c>
    </row>
    <row r="493" spans="9:19" x14ac:dyDescent="0.2">
      <c r="I493" s="365"/>
      <c r="J493" s="365"/>
      <c r="K493" s="365"/>
      <c r="L493" s="366"/>
      <c r="M493" s="324" t="s">
        <v>191</v>
      </c>
      <c r="N493" s="16" t="str">
        <f>IF(Planning!$I116=0,G113&amp;F113,"")</f>
        <v>Borussia MönchengladbachBayer 04 Leverkusen</v>
      </c>
      <c r="O493" s="122">
        <f t="shared" si="15"/>
        <v>0</v>
      </c>
      <c r="P493" s="122" t="str">
        <f>IF(AND(O493&gt;0,Planning!$I116=0),W113&amp;Language!$E$90&amp;V113,"")</f>
        <v/>
      </c>
      <c r="Q493" s="2" t="str">
        <f>IF(Planning!$I116=1,G113&amp;F113,"")</f>
        <v/>
      </c>
      <c r="R493" s="88" t="str">
        <f>IF(AND(O493&gt;0,Planning!$I116=1),W113&amp;Language!$E$90&amp;V113,"")</f>
        <v/>
      </c>
      <c r="S493" s="395" t="str">
        <f>IF(O113&gt;0,Y113&amp;Language!$E$90&amp;X113,"")</f>
        <v/>
      </c>
    </row>
    <row r="494" spans="9:19" x14ac:dyDescent="0.2">
      <c r="I494" s="365"/>
      <c r="J494" s="365"/>
      <c r="K494" s="365"/>
      <c r="L494" s="366"/>
      <c r="M494" s="324" t="s">
        <v>192</v>
      </c>
      <c r="N494" s="16" t="str">
        <f>IF(Planning!$I117=0,G114&amp;F114,"")</f>
        <v>1. FSV Mainz 05Eintracht Frankfurt</v>
      </c>
      <c r="O494" s="122">
        <f t="shared" si="15"/>
        <v>0</v>
      </c>
      <c r="P494" s="122" t="str">
        <f>IF(AND(O494&gt;0,Planning!$I117=0),W114&amp;Language!$E$90&amp;V114,"")</f>
        <v/>
      </c>
      <c r="Q494" s="2" t="str">
        <f>IF(Planning!$I117=1,G114&amp;F114,"")</f>
        <v/>
      </c>
      <c r="R494" s="88" t="str">
        <f>IF(AND(O494&gt;0,Planning!$I117=1),W114&amp;Language!$E$90&amp;V114,"")</f>
        <v/>
      </c>
      <c r="S494" s="395" t="str">
        <f>IF(O114&gt;0,Y114&amp;Language!$E$90&amp;X114,"")</f>
        <v/>
      </c>
    </row>
    <row r="495" spans="9:19" x14ac:dyDescent="0.2">
      <c r="I495" s="365"/>
      <c r="J495" s="365"/>
      <c r="K495" s="365"/>
      <c r="L495" s="366"/>
      <c r="M495" s="324" t="s">
        <v>193</v>
      </c>
      <c r="N495" s="16" t="str">
        <f>IF(Planning!$I118=0,G115&amp;F115,"")</f>
        <v>FC Augsburg1. FC Union Berlin</v>
      </c>
      <c r="O495" s="122">
        <f t="shared" si="15"/>
        <v>0</v>
      </c>
      <c r="P495" s="122" t="str">
        <f>IF(AND(O495&gt;0,Planning!$I118=0),W115&amp;Language!$E$90&amp;V115,"")</f>
        <v/>
      </c>
      <c r="Q495" s="2" t="str">
        <f>IF(Planning!$I118=1,G115&amp;F115,"")</f>
        <v/>
      </c>
      <c r="R495" s="88" t="str">
        <f>IF(AND(O495&gt;0,Planning!$I118=1),W115&amp;Language!$E$90&amp;V115,"")</f>
        <v/>
      </c>
      <c r="S495" s="395" t="str">
        <f>IF(O115&gt;0,Y115&amp;Language!$E$90&amp;X115,"")</f>
        <v/>
      </c>
    </row>
    <row r="496" spans="9:19" x14ac:dyDescent="0.2">
      <c r="I496" s="365"/>
      <c r="J496" s="365"/>
      <c r="K496" s="365"/>
      <c r="L496" s="366"/>
      <c r="M496" s="324" t="s">
        <v>194</v>
      </c>
      <c r="N496" s="16" t="str">
        <f>IF(Planning!$I119=0,G116&amp;F116,"")</f>
        <v>1. FC KölnFC Bayern München</v>
      </c>
      <c r="O496" s="122">
        <f t="shared" si="15"/>
        <v>0</v>
      </c>
      <c r="P496" s="122" t="str">
        <f>IF(AND(O496&gt;0,Planning!$I119=0),W116&amp;Language!$E$90&amp;V116,"")</f>
        <v/>
      </c>
      <c r="Q496" s="2" t="str">
        <f>IF(Planning!$I119=1,G116&amp;F116,"")</f>
        <v/>
      </c>
      <c r="R496" s="88" t="str">
        <f>IF(AND(O496&gt;0,Planning!$I119=1),W116&amp;Language!$E$90&amp;V116,"")</f>
        <v/>
      </c>
      <c r="S496" s="395" t="str">
        <f>IF(O116&gt;0,Y116&amp;Language!$E$90&amp;X116,"")</f>
        <v/>
      </c>
    </row>
    <row r="497" spans="9:19" x14ac:dyDescent="0.2">
      <c r="I497" s="365"/>
      <c r="J497" s="365"/>
      <c r="K497" s="365"/>
      <c r="L497" s="366"/>
      <c r="M497" s="324" t="s">
        <v>195</v>
      </c>
      <c r="N497" s="16" t="str">
        <f>IF(Planning!$I120=0,G117&amp;F117,"")</f>
        <v>FC St. PauliVfL Wolfsburg</v>
      </c>
      <c r="O497" s="122">
        <f t="shared" si="15"/>
        <v>0</v>
      </c>
      <c r="P497" s="122" t="str">
        <f>IF(AND(O497&gt;0,Planning!$I120=0),W117&amp;Language!$E$90&amp;V117,"")</f>
        <v/>
      </c>
      <c r="Q497" s="2" t="str">
        <f>IF(Planning!$I120=1,G117&amp;F117,"")</f>
        <v/>
      </c>
      <c r="R497" s="88" t="str">
        <f>IF(AND(O497&gt;0,Planning!$I120=1),W117&amp;Language!$E$90&amp;V117,"")</f>
        <v/>
      </c>
      <c r="S497" s="395" t="str">
        <f>IF(O117&gt;0,Y117&amp;Language!$E$90&amp;X117,"")</f>
        <v/>
      </c>
    </row>
    <row r="498" spans="9:19" x14ac:dyDescent="0.2">
      <c r="I498" s="365"/>
      <c r="J498" s="365"/>
      <c r="K498" s="365"/>
      <c r="L498" s="366"/>
      <c r="M498" s="324" t="s">
        <v>196</v>
      </c>
      <c r="N498" s="16" t="str">
        <f>IF(Planning!$I121=0,G118&amp;F118,"")</f>
        <v>VfB StuttgartHamburger SV</v>
      </c>
      <c r="O498" s="122">
        <f t="shared" si="15"/>
        <v>0</v>
      </c>
      <c r="P498" s="122" t="str">
        <f>IF(AND(O498&gt;0,Planning!$I121=0),W118&amp;Language!$E$90&amp;V118,"")</f>
        <v/>
      </c>
      <c r="Q498" s="2" t="str">
        <f>IF(Planning!$I121=1,G118&amp;F118,"")</f>
        <v/>
      </c>
      <c r="R498" s="88" t="str">
        <f>IF(AND(O498&gt;0,Planning!$I121=1),W118&amp;Language!$E$90&amp;V118,"")</f>
        <v/>
      </c>
      <c r="S498" s="395" t="str">
        <f>IF(O118&gt;0,Y118&amp;Language!$E$90&amp;X118,"")</f>
        <v/>
      </c>
    </row>
    <row r="499" spans="9:19" x14ac:dyDescent="0.2">
      <c r="I499" s="365"/>
      <c r="J499" s="365"/>
      <c r="K499" s="365"/>
      <c r="L499" s="366"/>
      <c r="M499" s="324" t="s">
        <v>197</v>
      </c>
      <c r="N499" s="16" t="str">
        <f>IF(Planning!$I122=0,G119&amp;F119,"")</f>
        <v>RB LeipzigTSG Hoffenheim</v>
      </c>
      <c r="O499" s="122">
        <f t="shared" si="15"/>
        <v>0</v>
      </c>
      <c r="P499" s="122" t="str">
        <f>IF(AND(O499&gt;0,Planning!$I122=0),W119&amp;Language!$E$90&amp;V119,"")</f>
        <v/>
      </c>
      <c r="Q499" s="2" t="str">
        <f>IF(Planning!$I122=1,G119&amp;F119,"")</f>
        <v/>
      </c>
      <c r="R499" s="88" t="str">
        <f>IF(AND(O499&gt;0,Planning!$I122=1),W119&amp;Language!$E$90&amp;V119,"")</f>
        <v/>
      </c>
      <c r="S499" s="395" t="str">
        <f>IF(O119&gt;0,Y119&amp;Language!$E$90&amp;X119,"")</f>
        <v/>
      </c>
    </row>
    <row r="500" spans="9:19" x14ac:dyDescent="0.2">
      <c r="I500" s="365"/>
      <c r="J500" s="365"/>
      <c r="K500" s="365"/>
      <c r="L500" s="366"/>
      <c r="M500" s="324" t="s">
        <v>198</v>
      </c>
      <c r="N500" s="16" t="str">
        <f>IF(Planning!$I123=0,G120&amp;F120,"")</f>
        <v>SV Werder BremenSC Freiburg</v>
      </c>
      <c r="O500" s="122">
        <f t="shared" si="15"/>
        <v>0</v>
      </c>
      <c r="P500" s="122" t="str">
        <f>IF(AND(O500&gt;0,Planning!$I123=0),W120&amp;Language!$E$90&amp;V120,"")</f>
        <v/>
      </c>
      <c r="Q500" s="2" t="str">
        <f>IF(Planning!$I123=1,G120&amp;F120,"")</f>
        <v/>
      </c>
      <c r="R500" s="88" t="str">
        <f>IF(AND(O500&gt;0,Planning!$I123=1),W120&amp;Language!$E$90&amp;V120,"")</f>
        <v/>
      </c>
      <c r="S500" s="395" t="str">
        <f>IF(O120&gt;0,Y120&amp;Language!$E$90&amp;X120,"")</f>
        <v/>
      </c>
    </row>
    <row r="501" spans="9:19" x14ac:dyDescent="0.2">
      <c r="I501" s="365"/>
      <c r="J501" s="365"/>
      <c r="K501" s="365"/>
      <c r="L501" s="366"/>
      <c r="M501" s="324" t="s">
        <v>199</v>
      </c>
      <c r="N501" s="16" t="str">
        <f>IF(Planning!$I124=0,G121&amp;F121,"")</f>
        <v>1. FC Heidenheim 1846Bayer 04 Leverkusen</v>
      </c>
      <c r="O501" s="122">
        <f t="shared" si="15"/>
        <v>0</v>
      </c>
      <c r="P501" s="122" t="str">
        <f>IF(AND(O501&gt;0,Planning!$I124=0),W121&amp;Language!$E$90&amp;V121,"")</f>
        <v/>
      </c>
      <c r="Q501" s="2" t="str">
        <f>IF(Planning!$I124=1,G121&amp;F121,"")</f>
        <v/>
      </c>
      <c r="R501" s="88" t="str">
        <f>IF(AND(O501&gt;0,Planning!$I124=1),W121&amp;Language!$E$90&amp;V121,"")</f>
        <v/>
      </c>
      <c r="S501" s="395" t="str">
        <f>IF(O121&gt;0,Y121&amp;Language!$E$90&amp;X121,"")</f>
        <v/>
      </c>
    </row>
    <row r="502" spans="9:19" x14ac:dyDescent="0.2">
      <c r="I502" s="365"/>
      <c r="J502" s="365"/>
      <c r="K502" s="365"/>
      <c r="L502" s="366"/>
      <c r="M502" s="324" t="s">
        <v>200</v>
      </c>
      <c r="N502" s="16" t="str">
        <f>IF(Planning!$I125=0,G122&amp;F122,"")</f>
        <v>Borussia Dortmund1. FSV Mainz 05</v>
      </c>
      <c r="O502" s="122">
        <f t="shared" si="15"/>
        <v>0</v>
      </c>
      <c r="P502" s="122" t="str">
        <f>IF(AND(O502&gt;0,Planning!$I125=0),W122&amp;Language!$E$90&amp;V122,"")</f>
        <v/>
      </c>
      <c r="Q502" s="2" t="str">
        <f>IF(Planning!$I125=1,G122&amp;F122,"")</f>
        <v/>
      </c>
      <c r="R502" s="88" t="str">
        <f>IF(AND(O502&gt;0,Planning!$I125=1),W122&amp;Language!$E$90&amp;V122,"")</f>
        <v/>
      </c>
      <c r="S502" s="395" t="str">
        <f>IF(O122&gt;0,Y122&amp;Language!$E$90&amp;X122,"")</f>
        <v/>
      </c>
    </row>
    <row r="503" spans="9:19" x14ac:dyDescent="0.2">
      <c r="I503" s="365"/>
      <c r="J503" s="365"/>
      <c r="K503" s="365"/>
      <c r="L503" s="366"/>
      <c r="M503" s="324" t="s">
        <v>201</v>
      </c>
      <c r="N503" s="16" t="str">
        <f>IF(Planning!$I126=0,G123&amp;F123,"")</f>
        <v>1. FC Union BerlinBorussia Mönchengladbach</v>
      </c>
      <c r="O503" s="122">
        <f t="shared" si="15"/>
        <v>0</v>
      </c>
      <c r="P503" s="122" t="str">
        <f>IF(AND(O503&gt;0,Planning!$I126=0),W123&amp;Language!$E$90&amp;V123,"")</f>
        <v/>
      </c>
      <c r="Q503" s="2" t="str">
        <f>IF(Planning!$I126=1,G123&amp;F123,"")</f>
        <v/>
      </c>
      <c r="R503" s="88" t="str">
        <f>IF(AND(O503&gt;0,Planning!$I126=1),W123&amp;Language!$E$90&amp;V123,"")</f>
        <v/>
      </c>
      <c r="S503" s="395" t="str">
        <f>IF(O123&gt;0,Y123&amp;Language!$E$90&amp;X123,"")</f>
        <v/>
      </c>
    </row>
    <row r="504" spans="9:19" x14ac:dyDescent="0.2">
      <c r="I504" s="365"/>
      <c r="J504" s="365"/>
      <c r="K504" s="365"/>
      <c r="L504" s="366"/>
      <c r="M504" s="324" t="s">
        <v>202</v>
      </c>
      <c r="N504" s="16" t="str">
        <f>IF(Planning!$I127=0,G124&amp;F124,"")</f>
        <v>Eintracht Frankfurt1. FC Köln</v>
      </c>
      <c r="O504" s="122">
        <f t="shared" si="15"/>
        <v>0</v>
      </c>
      <c r="P504" s="122" t="str">
        <f>IF(AND(O504&gt;0,Planning!$I127=0),W124&amp;Language!$E$90&amp;V124,"")</f>
        <v/>
      </c>
      <c r="Q504" s="2" t="str">
        <f>IF(Planning!$I127=1,G124&amp;F124,"")</f>
        <v/>
      </c>
      <c r="R504" s="88" t="str">
        <f>IF(AND(O504&gt;0,Planning!$I127=1),W124&amp;Language!$E$90&amp;V124,"")</f>
        <v/>
      </c>
      <c r="S504" s="395" t="str">
        <f>IF(O124&gt;0,Y124&amp;Language!$E$90&amp;X124,"")</f>
        <v/>
      </c>
    </row>
    <row r="505" spans="9:19" x14ac:dyDescent="0.2">
      <c r="I505" s="365"/>
      <c r="J505" s="365"/>
      <c r="K505" s="365"/>
      <c r="L505" s="366"/>
      <c r="M505" s="324" t="s">
        <v>203</v>
      </c>
      <c r="N505" s="16" t="str">
        <f>IF(Planning!$I128=0,G125&amp;F125,"")</f>
        <v>VfL WolfsburgFC Augsburg</v>
      </c>
      <c r="O505" s="122">
        <f t="shared" si="15"/>
        <v>0</v>
      </c>
      <c r="P505" s="122" t="str">
        <f>IF(AND(O505&gt;0,Planning!$I128=0),W125&amp;Language!$E$90&amp;V125,"")</f>
        <v/>
      </c>
      <c r="Q505" s="2" t="str">
        <f>IF(Planning!$I128=1,G125&amp;F125,"")</f>
        <v/>
      </c>
      <c r="R505" s="88" t="str">
        <f>IF(AND(O505&gt;0,Planning!$I128=1),W125&amp;Language!$E$90&amp;V125,"")</f>
        <v/>
      </c>
      <c r="S505" s="395" t="str">
        <f>IF(O125&gt;0,Y125&amp;Language!$E$90&amp;X125,"")</f>
        <v/>
      </c>
    </row>
    <row r="506" spans="9:19" x14ac:dyDescent="0.2">
      <c r="I506" s="365"/>
      <c r="J506" s="365"/>
      <c r="K506" s="365"/>
      <c r="L506" s="366"/>
      <c r="M506" s="324" t="s">
        <v>204</v>
      </c>
      <c r="N506" s="16" t="str">
        <f>IF(Planning!$I129=0,G126&amp;F126,"")</f>
        <v>FC Bayern MünchenVfB Stuttgart</v>
      </c>
      <c r="O506" s="122">
        <f t="shared" si="15"/>
        <v>0</v>
      </c>
      <c r="P506" s="122" t="str">
        <f>IF(AND(O506&gt;0,Planning!$I129=0),W126&amp;Language!$E$90&amp;V126,"")</f>
        <v/>
      </c>
      <c r="Q506" s="2" t="str">
        <f>IF(Planning!$I129=1,G126&amp;F126,"")</f>
        <v/>
      </c>
      <c r="R506" s="88" t="str">
        <f>IF(AND(O506&gt;0,Planning!$I129=1),W126&amp;Language!$E$90&amp;V126,"")</f>
        <v/>
      </c>
      <c r="S506" s="395" t="str">
        <f>IF(O126&gt;0,Y126&amp;Language!$E$90&amp;X126,"")</f>
        <v/>
      </c>
    </row>
    <row r="507" spans="9:19" x14ac:dyDescent="0.2">
      <c r="I507" s="365"/>
      <c r="J507" s="365"/>
      <c r="K507" s="365"/>
      <c r="L507" s="366"/>
      <c r="M507" s="324" t="s">
        <v>205</v>
      </c>
      <c r="N507" s="16" t="str">
        <f>IF(Planning!$I130=0,G127&amp;F127,"")</f>
        <v>TSG HoffenheimFC St. Pauli</v>
      </c>
      <c r="O507" s="122">
        <f t="shared" si="15"/>
        <v>0</v>
      </c>
      <c r="P507" s="122" t="str">
        <f>IF(AND(O507&gt;0,Planning!$I130=0),W127&amp;Language!$E$90&amp;V127,"")</f>
        <v/>
      </c>
      <c r="Q507" s="2" t="str">
        <f>IF(Planning!$I130=1,G127&amp;F127,"")</f>
        <v/>
      </c>
      <c r="R507" s="88" t="str">
        <f>IF(AND(O507&gt;0,Planning!$I130=1),W127&amp;Language!$E$90&amp;V127,"")</f>
        <v/>
      </c>
      <c r="S507" s="395" t="str">
        <f>IF(O127&gt;0,Y127&amp;Language!$E$90&amp;X127,"")</f>
        <v/>
      </c>
    </row>
    <row r="508" spans="9:19" x14ac:dyDescent="0.2">
      <c r="I508" s="365"/>
      <c r="J508" s="365"/>
      <c r="K508" s="365"/>
      <c r="L508" s="366"/>
      <c r="M508" s="324" t="s">
        <v>206</v>
      </c>
      <c r="N508" s="16" t="str">
        <f>IF(Planning!$I131=0,G128&amp;F128,"")</f>
        <v>Hamburger SVSV Werder Bremen</v>
      </c>
      <c r="O508" s="122">
        <f t="shared" si="15"/>
        <v>0</v>
      </c>
      <c r="P508" s="122" t="str">
        <f>IF(AND(O508&gt;0,Planning!$I131=0),W128&amp;Language!$E$90&amp;V128,"")</f>
        <v/>
      </c>
      <c r="Q508" s="2" t="str">
        <f>IF(Planning!$I131=1,G128&amp;F128,"")</f>
        <v/>
      </c>
      <c r="R508" s="88" t="str">
        <f>IF(AND(O508&gt;0,Planning!$I131=1),W128&amp;Language!$E$90&amp;V128,"")</f>
        <v/>
      </c>
      <c r="S508" s="395" t="str">
        <f>IF(O128&gt;0,Y128&amp;Language!$E$90&amp;X128,"")</f>
        <v/>
      </c>
    </row>
    <row r="509" spans="9:19" x14ac:dyDescent="0.2">
      <c r="I509" s="365"/>
      <c r="J509" s="365"/>
      <c r="K509" s="365"/>
      <c r="L509" s="366"/>
      <c r="M509" s="324" t="s">
        <v>207</v>
      </c>
      <c r="N509" s="16" t="str">
        <f>IF(Planning!$I132=0,G129&amp;F129,"")</f>
        <v>SC FreiburgRB Leipzig</v>
      </c>
      <c r="O509" s="122">
        <f t="shared" si="15"/>
        <v>0</v>
      </c>
      <c r="P509" s="122" t="str">
        <f>IF(AND(O509&gt;0,Planning!$I132=0),W129&amp;Language!$E$90&amp;V129,"")</f>
        <v/>
      </c>
      <c r="Q509" s="2" t="str">
        <f>IF(Planning!$I132=1,G129&amp;F129,"")</f>
        <v/>
      </c>
      <c r="R509" s="88" t="str">
        <f>IF(AND(O509&gt;0,Planning!$I132=1),W129&amp;Language!$E$90&amp;V129,"")</f>
        <v/>
      </c>
      <c r="S509" s="395" t="str">
        <f>IF(O129&gt;0,Y129&amp;Language!$E$90&amp;X129,"")</f>
        <v/>
      </c>
    </row>
    <row r="510" spans="9:19" x14ac:dyDescent="0.2">
      <c r="I510" s="365"/>
      <c r="J510" s="365"/>
      <c r="K510" s="365"/>
      <c r="L510" s="366"/>
      <c r="M510" s="324" t="s">
        <v>208</v>
      </c>
      <c r="N510" s="16" t="str">
        <f>IF(Planning!$I133=0,G130&amp;F130,"")</f>
        <v>1. FSV Mainz 051. FC Heidenheim 1846</v>
      </c>
      <c r="O510" s="122">
        <f t="shared" si="15"/>
        <v>0</v>
      </c>
      <c r="P510" s="122" t="str">
        <f>IF(AND(O510&gt;0,Planning!$I133=0),W130&amp;Language!$E$90&amp;V130,"")</f>
        <v/>
      </c>
      <c r="Q510" s="2" t="str">
        <f>IF(Planning!$I133=1,G130&amp;F130,"")</f>
        <v/>
      </c>
      <c r="R510" s="88" t="str">
        <f>IF(AND(O510&gt;0,Planning!$I133=1),W130&amp;Language!$E$90&amp;V130,"")</f>
        <v/>
      </c>
      <c r="S510" s="395" t="str">
        <f>IF(O130&gt;0,Y130&amp;Language!$E$90&amp;X130,"")</f>
        <v/>
      </c>
    </row>
    <row r="511" spans="9:19" x14ac:dyDescent="0.2">
      <c r="I511" s="365"/>
      <c r="J511" s="365"/>
      <c r="K511" s="365"/>
      <c r="L511" s="366"/>
      <c r="M511" s="324" t="s">
        <v>209</v>
      </c>
      <c r="N511" s="16" t="str">
        <f>IF(Planning!$I134=0,G131&amp;F131,"")</f>
        <v>Bayer 04 Leverkusen1. FC Union Berlin</v>
      </c>
      <c r="O511" s="122">
        <f t="shared" si="15"/>
        <v>0</v>
      </c>
      <c r="P511" s="122" t="str">
        <f>IF(AND(O511&gt;0,Planning!$I134=0),W131&amp;Language!$E$90&amp;V131,"")</f>
        <v/>
      </c>
      <c r="Q511" s="2" t="str">
        <f>IF(Planning!$I134=1,G131&amp;F131,"")</f>
        <v/>
      </c>
      <c r="R511" s="88" t="str">
        <f>IF(AND(O511&gt;0,Planning!$I134=1),W131&amp;Language!$E$90&amp;V131,"")</f>
        <v/>
      </c>
      <c r="S511" s="395" t="str">
        <f>IF(O131&gt;0,Y131&amp;Language!$E$90&amp;X131,"")</f>
        <v/>
      </c>
    </row>
    <row r="512" spans="9:19" x14ac:dyDescent="0.2">
      <c r="I512" s="365"/>
      <c r="J512" s="365"/>
      <c r="K512" s="365"/>
      <c r="L512" s="366"/>
      <c r="M512" s="324" t="s">
        <v>210</v>
      </c>
      <c r="N512" s="16" t="str">
        <f>IF(Planning!$I135=0,G132&amp;F132,"")</f>
        <v>1. FC KölnBorussia Dortmund</v>
      </c>
      <c r="O512" s="122">
        <f t="shared" si="15"/>
        <v>0</v>
      </c>
      <c r="P512" s="122" t="str">
        <f>IF(AND(O512&gt;0,Planning!$I135=0),W132&amp;Language!$E$90&amp;V132,"")</f>
        <v/>
      </c>
      <c r="Q512" s="2" t="str">
        <f>IF(Planning!$I135=1,G132&amp;F132,"")</f>
        <v/>
      </c>
      <c r="R512" s="88" t="str">
        <f>IF(AND(O512&gt;0,Planning!$I135=1),W132&amp;Language!$E$90&amp;V132,"")</f>
        <v/>
      </c>
      <c r="S512" s="395" t="str">
        <f>IF(O132&gt;0,Y132&amp;Language!$E$90&amp;X132,"")</f>
        <v/>
      </c>
    </row>
    <row r="513" spans="9:19" x14ac:dyDescent="0.2">
      <c r="I513" s="365"/>
      <c r="J513" s="365"/>
      <c r="K513" s="365"/>
      <c r="L513" s="366"/>
      <c r="M513" s="324" t="s">
        <v>211</v>
      </c>
      <c r="N513" s="16" t="str">
        <f>IF(Planning!$I136=0,G133&amp;F133,"")</f>
        <v>Borussia MönchengladbachVfL Wolfsburg</v>
      </c>
      <c r="O513" s="122">
        <f t="shared" si="15"/>
        <v>0</v>
      </c>
      <c r="P513" s="122" t="str">
        <f>IF(AND(O513&gt;0,Planning!$I136=0),W133&amp;Language!$E$90&amp;V133,"")</f>
        <v/>
      </c>
      <c r="Q513" s="2" t="str">
        <f>IF(Planning!$I136=1,G133&amp;F133,"")</f>
        <v/>
      </c>
      <c r="R513" s="88" t="str">
        <f>IF(AND(O513&gt;0,Planning!$I136=1),W133&amp;Language!$E$90&amp;V133,"")</f>
        <v/>
      </c>
      <c r="S513" s="395" t="str">
        <f>IF(O133&gt;0,Y133&amp;Language!$E$90&amp;X133,"")</f>
        <v/>
      </c>
    </row>
    <row r="514" spans="9:19" x14ac:dyDescent="0.2">
      <c r="I514" s="365"/>
      <c r="J514" s="365"/>
      <c r="K514" s="365"/>
      <c r="L514" s="366"/>
      <c r="M514" s="324" t="s">
        <v>212</v>
      </c>
      <c r="N514" s="16" t="str">
        <f>IF(Planning!$I137=0,G134&amp;F134,"")</f>
        <v>VfB StuttgartEintracht Frankfurt</v>
      </c>
      <c r="O514" s="122">
        <f t="shared" si="15"/>
        <v>0</v>
      </c>
      <c r="P514" s="122" t="str">
        <f>IF(AND(O514&gt;0,Planning!$I137=0),W134&amp;Language!$E$90&amp;V134,"")</f>
        <v/>
      </c>
      <c r="Q514" s="2" t="str">
        <f>IF(Planning!$I137=1,G134&amp;F134,"")</f>
        <v/>
      </c>
      <c r="R514" s="88" t="str">
        <f>IF(AND(O514&gt;0,Planning!$I137=1),W134&amp;Language!$E$90&amp;V134,"")</f>
        <v/>
      </c>
      <c r="S514" s="395" t="str">
        <f>IF(O134&gt;0,Y134&amp;Language!$E$90&amp;X134,"")</f>
        <v/>
      </c>
    </row>
    <row r="515" spans="9:19" x14ac:dyDescent="0.2">
      <c r="I515" s="365"/>
      <c r="J515" s="365"/>
      <c r="K515" s="365"/>
      <c r="L515" s="366"/>
      <c r="M515" s="324" t="s">
        <v>213</v>
      </c>
      <c r="N515" s="16" t="str">
        <f>IF(Planning!$I138=0,G135&amp;F135,"")</f>
        <v>FC AugsburgTSG Hoffenheim</v>
      </c>
      <c r="O515" s="122">
        <f t="shared" si="15"/>
        <v>0</v>
      </c>
      <c r="P515" s="122" t="str">
        <f>IF(AND(O515&gt;0,Planning!$I138=0),W135&amp;Language!$E$90&amp;V135,"")</f>
        <v/>
      </c>
      <c r="Q515" s="2" t="str">
        <f>IF(Planning!$I138=1,G135&amp;F135,"")</f>
        <v/>
      </c>
      <c r="R515" s="88" t="str">
        <f>IF(AND(O515&gt;0,Planning!$I138=1),W135&amp;Language!$E$90&amp;V135,"")</f>
        <v/>
      </c>
      <c r="S515" s="395" t="str">
        <f>IF(O135&gt;0,Y135&amp;Language!$E$90&amp;X135,"")</f>
        <v/>
      </c>
    </row>
    <row r="516" spans="9:19" x14ac:dyDescent="0.2">
      <c r="I516" s="365"/>
      <c r="J516" s="365"/>
      <c r="K516" s="365"/>
      <c r="L516" s="366"/>
      <c r="M516" s="324" t="s">
        <v>214</v>
      </c>
      <c r="N516" s="16" t="str">
        <f>IF(Planning!$I139=0,G136&amp;F136,"")</f>
        <v>SV Werder BremenFC Bayern München</v>
      </c>
      <c r="O516" s="122">
        <f t="shared" si="15"/>
        <v>0</v>
      </c>
      <c r="P516" s="122" t="str">
        <f>IF(AND(O516&gt;0,Planning!$I139=0),W136&amp;Language!$E$90&amp;V136,"")</f>
        <v/>
      </c>
      <c r="Q516" s="2" t="str">
        <f>IF(Planning!$I139=1,G136&amp;F136,"")</f>
        <v/>
      </c>
      <c r="R516" s="88" t="str">
        <f>IF(AND(O516&gt;0,Planning!$I139=1),W136&amp;Language!$E$90&amp;V136,"")</f>
        <v/>
      </c>
      <c r="S516" s="395" t="str">
        <f>IF(O136&gt;0,Y136&amp;Language!$E$90&amp;X136,"")</f>
        <v/>
      </c>
    </row>
    <row r="517" spans="9:19" x14ac:dyDescent="0.2">
      <c r="I517" s="365"/>
      <c r="J517" s="365"/>
      <c r="K517" s="365"/>
      <c r="L517" s="366"/>
      <c r="M517" s="324" t="s">
        <v>215</v>
      </c>
      <c r="N517" s="16" t="str">
        <f>IF(Planning!$I140=0,G137&amp;F137,"")</f>
        <v>FC St. PauliSC Freiburg</v>
      </c>
      <c r="O517" s="122">
        <f t="shared" si="15"/>
        <v>0</v>
      </c>
      <c r="P517" s="122" t="str">
        <f>IF(AND(O517&gt;0,Planning!$I140=0),W137&amp;Language!$E$90&amp;V137,"")</f>
        <v/>
      </c>
      <c r="Q517" s="2" t="str">
        <f>IF(Planning!$I140=1,G137&amp;F137,"")</f>
        <v/>
      </c>
      <c r="R517" s="88" t="str">
        <f>IF(AND(O517&gt;0,Planning!$I140=1),W137&amp;Language!$E$90&amp;V137,"")</f>
        <v/>
      </c>
      <c r="S517" s="395" t="str">
        <f>IF(O137&gt;0,Y137&amp;Language!$E$90&amp;X137,"")</f>
        <v/>
      </c>
    </row>
    <row r="518" spans="9:19" x14ac:dyDescent="0.2">
      <c r="I518" s="365"/>
      <c r="J518" s="365"/>
      <c r="K518" s="365"/>
      <c r="L518" s="366"/>
      <c r="M518" s="324" t="s">
        <v>216</v>
      </c>
      <c r="N518" s="16" t="str">
        <f>IF(Planning!$I141=0,G138&amp;F138,"")</f>
        <v>RB LeipzigHamburger SV</v>
      </c>
      <c r="O518" s="122">
        <f t="shared" si="15"/>
        <v>0</v>
      </c>
      <c r="P518" s="122" t="str">
        <f>IF(AND(O518&gt;0,Planning!$I141=0),W138&amp;Language!$E$90&amp;V138,"")</f>
        <v/>
      </c>
      <c r="Q518" s="2" t="str">
        <f>IF(Planning!$I141=1,G138&amp;F138,"")</f>
        <v/>
      </c>
      <c r="R518" s="88" t="str">
        <f>IF(AND(O518&gt;0,Planning!$I141=1),W138&amp;Language!$E$90&amp;V138,"")</f>
        <v/>
      </c>
      <c r="S518" s="395" t="str">
        <f>IF(O138&gt;0,Y138&amp;Language!$E$90&amp;X138,"")</f>
        <v/>
      </c>
    </row>
    <row r="519" spans="9:19" x14ac:dyDescent="0.2">
      <c r="I519" s="365"/>
      <c r="J519" s="365"/>
      <c r="K519" s="365"/>
      <c r="L519" s="366"/>
      <c r="M519" s="324" t="s">
        <v>217</v>
      </c>
      <c r="N519" s="16" t="str">
        <f>IF(Planning!$I142=0,G139&amp;F139,"")</f>
        <v>1. FC Heidenheim 18461. FC Union Berlin</v>
      </c>
      <c r="O519" s="122">
        <f t="shared" ref="O519:O582" si="16">O139</f>
        <v>0</v>
      </c>
      <c r="P519" s="122" t="str">
        <f>IF(AND(O519&gt;0,Planning!$I142=0),W139&amp;Language!$E$90&amp;V139,"")</f>
        <v/>
      </c>
      <c r="Q519" s="2" t="str">
        <f>IF(Planning!$I142=1,G139&amp;F139,"")</f>
        <v/>
      </c>
      <c r="R519" s="88" t="str">
        <f>IF(AND(O519&gt;0,Planning!$I142=1),W139&amp;Language!$E$90&amp;V139,"")</f>
        <v/>
      </c>
      <c r="S519" s="395" t="str">
        <f>IF(O139&gt;0,Y139&amp;Language!$E$90&amp;X139,"")</f>
        <v/>
      </c>
    </row>
    <row r="520" spans="9:19" x14ac:dyDescent="0.2">
      <c r="I520" s="365"/>
      <c r="J520" s="365"/>
      <c r="K520" s="365"/>
      <c r="L520" s="366"/>
      <c r="M520" s="324" t="s">
        <v>218</v>
      </c>
      <c r="N520" s="16" t="str">
        <f>IF(Planning!$I143=0,G140&amp;F140,"")</f>
        <v>1. FSV Mainz 051. FC Köln</v>
      </c>
      <c r="O520" s="122">
        <f t="shared" si="16"/>
        <v>0</v>
      </c>
      <c r="P520" s="122" t="str">
        <f>IF(AND(O520&gt;0,Planning!$I143=0),W140&amp;Language!$E$90&amp;V140,"")</f>
        <v/>
      </c>
      <c r="Q520" s="2" t="str">
        <f>IF(Planning!$I143=1,G140&amp;F140,"")</f>
        <v/>
      </c>
      <c r="R520" s="88" t="str">
        <f>IF(AND(O520&gt;0,Planning!$I143=1),W140&amp;Language!$E$90&amp;V140,"")</f>
        <v/>
      </c>
      <c r="S520" s="395" t="str">
        <f>IF(O140&gt;0,Y140&amp;Language!$E$90&amp;X140,"")</f>
        <v/>
      </c>
    </row>
    <row r="521" spans="9:19" x14ac:dyDescent="0.2">
      <c r="I521" s="365"/>
      <c r="J521" s="365"/>
      <c r="K521" s="365"/>
      <c r="L521" s="366"/>
      <c r="M521" s="324" t="s">
        <v>219</v>
      </c>
      <c r="N521" s="16" t="str">
        <f>IF(Planning!$I144=0,G141&amp;F141,"")</f>
        <v>VfL WolfsburgBayer 04 Leverkusen</v>
      </c>
      <c r="O521" s="122">
        <f t="shared" si="16"/>
        <v>0</v>
      </c>
      <c r="P521" s="122" t="str">
        <f>IF(AND(O521&gt;0,Planning!$I144=0),W141&amp;Language!$E$90&amp;V141,"")</f>
        <v/>
      </c>
      <c r="Q521" s="2" t="str">
        <f>IF(Planning!$I144=1,G141&amp;F141,"")</f>
        <v/>
      </c>
      <c r="R521" s="88" t="str">
        <f>IF(AND(O521&gt;0,Planning!$I144=1),W141&amp;Language!$E$90&amp;V141,"")</f>
        <v/>
      </c>
      <c r="S521" s="395" t="str">
        <f>IF(O141&gt;0,Y141&amp;Language!$E$90&amp;X141,"")</f>
        <v/>
      </c>
    </row>
    <row r="522" spans="9:19" x14ac:dyDescent="0.2">
      <c r="I522" s="365"/>
      <c r="J522" s="365"/>
      <c r="K522" s="365"/>
      <c r="L522" s="366"/>
      <c r="M522" s="324" t="s">
        <v>220</v>
      </c>
      <c r="N522" s="16" t="str">
        <f>IF(Planning!$I145=0,G142&amp;F142,"")</f>
        <v>Borussia DortmundVfB Stuttgart</v>
      </c>
      <c r="O522" s="122">
        <f t="shared" si="16"/>
        <v>0</v>
      </c>
      <c r="P522" s="122" t="str">
        <f>IF(AND(O522&gt;0,Planning!$I145=0),W142&amp;Language!$E$90&amp;V142,"")</f>
        <v/>
      </c>
      <c r="Q522" s="2" t="str">
        <f>IF(Planning!$I145=1,G142&amp;F142,"")</f>
        <v/>
      </c>
      <c r="R522" s="88" t="str">
        <f>IF(AND(O522&gt;0,Planning!$I145=1),W142&amp;Language!$E$90&amp;V142,"")</f>
        <v/>
      </c>
      <c r="S522" s="395" t="str">
        <f>IF(O142&gt;0,Y142&amp;Language!$E$90&amp;X142,"")</f>
        <v/>
      </c>
    </row>
    <row r="523" spans="9:19" x14ac:dyDescent="0.2">
      <c r="I523" s="365"/>
      <c r="J523" s="365"/>
      <c r="K523" s="365"/>
      <c r="L523" s="366"/>
      <c r="M523" s="324" t="s">
        <v>221</v>
      </c>
      <c r="N523" s="16" t="str">
        <f>IF(Planning!$I146=0,G143&amp;F143,"")</f>
        <v>TSG HoffenheimBorussia Mönchengladbach</v>
      </c>
      <c r="O523" s="122">
        <f t="shared" si="16"/>
        <v>0</v>
      </c>
      <c r="P523" s="122" t="str">
        <f>IF(AND(O523&gt;0,Planning!$I146=0),W143&amp;Language!$E$90&amp;V143,"")</f>
        <v/>
      </c>
      <c r="Q523" s="2" t="str">
        <f>IF(Planning!$I146=1,G143&amp;F143,"")</f>
        <v/>
      </c>
      <c r="R523" s="88" t="str">
        <f>IF(AND(O523&gt;0,Planning!$I146=1),W143&amp;Language!$E$90&amp;V143,"")</f>
        <v/>
      </c>
      <c r="S523" s="395" t="str">
        <f>IF(O143&gt;0,Y143&amp;Language!$E$90&amp;X143,"")</f>
        <v/>
      </c>
    </row>
    <row r="524" spans="9:19" x14ac:dyDescent="0.2">
      <c r="I524" s="365"/>
      <c r="J524" s="365"/>
      <c r="K524" s="365"/>
      <c r="L524" s="366"/>
      <c r="M524" s="324" t="s">
        <v>222</v>
      </c>
      <c r="N524" s="16" t="str">
        <f>IF(Planning!$I147=0,G144&amp;F144,"")</f>
        <v>Eintracht FrankfurtSV Werder Bremen</v>
      </c>
      <c r="O524" s="122">
        <f t="shared" si="16"/>
        <v>0</v>
      </c>
      <c r="P524" s="122" t="str">
        <f>IF(AND(O524&gt;0,Planning!$I147=0),W144&amp;Language!$E$90&amp;V144,"")</f>
        <v/>
      </c>
      <c r="Q524" s="2" t="str">
        <f>IF(Planning!$I147=1,G144&amp;F144,"")</f>
        <v/>
      </c>
      <c r="R524" s="88" t="str">
        <f>IF(AND(O524&gt;0,Planning!$I147=1),W144&amp;Language!$E$90&amp;V144,"")</f>
        <v/>
      </c>
      <c r="S524" s="395" t="str">
        <f>IF(O144&gt;0,Y144&amp;Language!$E$90&amp;X144,"")</f>
        <v/>
      </c>
    </row>
    <row r="525" spans="9:19" x14ac:dyDescent="0.2">
      <c r="I525" s="365"/>
      <c r="J525" s="365"/>
      <c r="K525" s="365"/>
      <c r="L525" s="366"/>
      <c r="M525" s="324" t="s">
        <v>223</v>
      </c>
      <c r="N525" s="16" t="str">
        <f>IF(Planning!$I148=0,G145&amp;F145,"")</f>
        <v>SC FreiburgFC Augsburg</v>
      </c>
      <c r="O525" s="122">
        <f t="shared" si="16"/>
        <v>0</v>
      </c>
      <c r="P525" s="122" t="str">
        <f>IF(AND(O525&gt;0,Planning!$I148=0),W145&amp;Language!$E$90&amp;V145,"")</f>
        <v/>
      </c>
      <c r="Q525" s="2" t="str">
        <f>IF(Planning!$I148=1,G145&amp;F145,"")</f>
        <v/>
      </c>
      <c r="R525" s="88" t="str">
        <f>IF(AND(O525&gt;0,Planning!$I148=1),W145&amp;Language!$E$90&amp;V145,"")</f>
        <v/>
      </c>
      <c r="S525" s="395" t="str">
        <f>IF(O145&gt;0,Y145&amp;Language!$E$90&amp;X145,"")</f>
        <v/>
      </c>
    </row>
    <row r="526" spans="9:19" x14ac:dyDescent="0.2">
      <c r="I526" s="365"/>
      <c r="J526" s="365"/>
      <c r="K526" s="365"/>
      <c r="L526" s="366"/>
      <c r="M526" s="324" t="s">
        <v>224</v>
      </c>
      <c r="N526" s="16" t="str">
        <f>IF(Planning!$I149=0,G146&amp;F146,"")</f>
        <v>FC Bayern MünchenRB Leipzig</v>
      </c>
      <c r="O526" s="122">
        <f t="shared" si="16"/>
        <v>0</v>
      </c>
      <c r="P526" s="122" t="str">
        <f>IF(AND(O526&gt;0,Planning!$I149=0),W146&amp;Language!$E$90&amp;V146,"")</f>
        <v/>
      </c>
      <c r="Q526" s="2" t="str">
        <f>IF(Planning!$I149=1,G146&amp;F146,"")</f>
        <v/>
      </c>
      <c r="R526" s="88" t="str">
        <f>IF(AND(O526&gt;0,Planning!$I149=1),W146&amp;Language!$E$90&amp;V146,"")</f>
        <v/>
      </c>
      <c r="S526" s="395" t="str">
        <f>IF(O146&gt;0,Y146&amp;Language!$E$90&amp;X146,"")</f>
        <v/>
      </c>
    </row>
    <row r="527" spans="9:19" x14ac:dyDescent="0.2">
      <c r="I527" s="365"/>
      <c r="J527" s="365"/>
      <c r="K527" s="365"/>
      <c r="L527" s="366"/>
      <c r="M527" s="324" t="s">
        <v>225</v>
      </c>
      <c r="N527" s="16" t="str">
        <f>IF(Planning!$I150=0,G147&amp;F147,"")</f>
        <v>Hamburger SVFC St. Pauli</v>
      </c>
      <c r="O527" s="122">
        <f t="shared" si="16"/>
        <v>0</v>
      </c>
      <c r="P527" s="122" t="str">
        <f>IF(AND(O527&gt;0,Planning!$I150=0),W147&amp;Language!$E$90&amp;V147,"")</f>
        <v/>
      </c>
      <c r="Q527" s="2" t="str">
        <f>IF(Planning!$I150=1,G147&amp;F147,"")</f>
        <v/>
      </c>
      <c r="R527" s="88" t="str">
        <f>IF(AND(O527&gt;0,Planning!$I150=1),W147&amp;Language!$E$90&amp;V147,"")</f>
        <v/>
      </c>
      <c r="S527" s="395" t="str">
        <f>IF(O147&gt;0,Y147&amp;Language!$E$90&amp;X147,"")</f>
        <v/>
      </c>
    </row>
    <row r="528" spans="9:19" x14ac:dyDescent="0.2">
      <c r="I528" s="365"/>
      <c r="J528" s="365"/>
      <c r="K528" s="365"/>
      <c r="L528" s="366"/>
      <c r="M528" s="324" t="s">
        <v>226</v>
      </c>
      <c r="N528" s="16" t="str">
        <f>IF(Planning!$I151=0,G148&amp;F148,"")</f>
        <v>1. FC Köln1. FC Heidenheim 1846</v>
      </c>
      <c r="O528" s="122">
        <f t="shared" si="16"/>
        <v>0</v>
      </c>
      <c r="P528" s="122" t="str">
        <f>IF(AND(O528&gt;0,Planning!$I151=0),W148&amp;Language!$E$90&amp;V148,"")</f>
        <v/>
      </c>
      <c r="Q528" s="2" t="str">
        <f>IF(Planning!$I151=1,G148&amp;F148,"")</f>
        <v/>
      </c>
      <c r="R528" s="88" t="str">
        <f>IF(AND(O528&gt;0,Planning!$I151=1),W148&amp;Language!$E$90&amp;V148,"")</f>
        <v/>
      </c>
      <c r="S528" s="395" t="str">
        <f>IF(O148&gt;0,Y148&amp;Language!$E$90&amp;X148,"")</f>
        <v/>
      </c>
    </row>
    <row r="529" spans="9:19" x14ac:dyDescent="0.2">
      <c r="I529" s="365"/>
      <c r="J529" s="365"/>
      <c r="K529" s="365"/>
      <c r="L529" s="366"/>
      <c r="M529" s="324" t="s">
        <v>227</v>
      </c>
      <c r="N529" s="16" t="str">
        <f>IF(Planning!$I152=0,G149&amp;F149,"")</f>
        <v>1. FC Union BerlinVfL Wolfsburg</v>
      </c>
      <c r="O529" s="122">
        <f t="shared" si="16"/>
        <v>0</v>
      </c>
      <c r="P529" s="122" t="str">
        <f>IF(AND(O529&gt;0,Planning!$I152=0),W149&amp;Language!$E$90&amp;V149,"")</f>
        <v/>
      </c>
      <c r="Q529" s="2" t="str">
        <f>IF(Planning!$I152=1,G149&amp;F149,"")</f>
        <v/>
      </c>
      <c r="R529" s="88" t="str">
        <f>IF(AND(O529&gt;0,Planning!$I152=1),W149&amp;Language!$E$90&amp;V149,"")</f>
        <v/>
      </c>
      <c r="S529" s="395" t="str">
        <f>IF(O149&gt;0,Y149&amp;Language!$E$90&amp;X149,"")</f>
        <v/>
      </c>
    </row>
    <row r="530" spans="9:19" x14ac:dyDescent="0.2">
      <c r="I530" s="365"/>
      <c r="J530" s="365"/>
      <c r="K530" s="365"/>
      <c r="L530" s="366"/>
      <c r="M530" s="324" t="s">
        <v>228</v>
      </c>
      <c r="N530" s="16" t="str">
        <f>IF(Planning!$I153=0,G150&amp;F150,"")</f>
        <v>VfB Stuttgart1. FSV Mainz 05</v>
      </c>
      <c r="O530" s="122">
        <f t="shared" si="16"/>
        <v>0</v>
      </c>
      <c r="P530" s="122" t="str">
        <f>IF(AND(O530&gt;0,Planning!$I153=0),W150&amp;Language!$E$90&amp;V150,"")</f>
        <v/>
      </c>
      <c r="Q530" s="2" t="str">
        <f>IF(Planning!$I153=1,G150&amp;F150,"")</f>
        <v/>
      </c>
      <c r="R530" s="88" t="str">
        <f>IF(AND(O530&gt;0,Planning!$I153=1),W150&amp;Language!$E$90&amp;V150,"")</f>
        <v/>
      </c>
      <c r="S530" s="395" t="str">
        <f>IF(O150&gt;0,Y150&amp;Language!$E$90&amp;X150,"")</f>
        <v/>
      </c>
    </row>
    <row r="531" spans="9:19" x14ac:dyDescent="0.2">
      <c r="I531" s="365"/>
      <c r="J531" s="365"/>
      <c r="K531" s="365"/>
      <c r="L531" s="366"/>
      <c r="M531" s="324" t="s">
        <v>229</v>
      </c>
      <c r="N531" s="16" t="str">
        <f>IF(Planning!$I154=0,G151&amp;F151,"")</f>
        <v>Bayer 04 LeverkusenTSG Hoffenheim</v>
      </c>
      <c r="O531" s="122">
        <f t="shared" si="16"/>
        <v>0</v>
      </c>
      <c r="P531" s="122" t="str">
        <f>IF(AND(O531&gt;0,Planning!$I154=0),W151&amp;Language!$E$90&amp;V151,"")</f>
        <v/>
      </c>
      <c r="Q531" s="2" t="str">
        <f>IF(Planning!$I154=1,G151&amp;F151,"")</f>
        <v/>
      </c>
      <c r="R531" s="88" t="str">
        <f>IF(AND(O531&gt;0,Planning!$I154=1),W151&amp;Language!$E$90&amp;V151,"")</f>
        <v/>
      </c>
      <c r="S531" s="395" t="str">
        <f>IF(O151&gt;0,Y151&amp;Language!$E$90&amp;X151,"")</f>
        <v/>
      </c>
    </row>
    <row r="532" spans="9:19" x14ac:dyDescent="0.2">
      <c r="I532" s="365"/>
      <c r="J532" s="365"/>
      <c r="K532" s="365"/>
      <c r="L532" s="366"/>
      <c r="M532" s="324" t="s">
        <v>230</v>
      </c>
      <c r="N532" s="16" t="str">
        <f>IF(Planning!$I155=0,G152&amp;F152,"")</f>
        <v>SV Werder BremenBorussia Dortmund</v>
      </c>
      <c r="O532" s="122">
        <f t="shared" si="16"/>
        <v>0</v>
      </c>
      <c r="P532" s="122" t="str">
        <f>IF(AND(O532&gt;0,Planning!$I155=0),W152&amp;Language!$E$90&amp;V152,"")</f>
        <v/>
      </c>
      <c r="Q532" s="2" t="str">
        <f>IF(Planning!$I155=1,G152&amp;F152,"")</f>
        <v/>
      </c>
      <c r="R532" s="88" t="str">
        <f>IF(AND(O532&gt;0,Planning!$I155=1),W152&amp;Language!$E$90&amp;V152,"")</f>
        <v/>
      </c>
      <c r="S532" s="395" t="str">
        <f>IF(O152&gt;0,Y152&amp;Language!$E$90&amp;X152,"")</f>
        <v/>
      </c>
    </row>
    <row r="533" spans="9:19" x14ac:dyDescent="0.2">
      <c r="I533" s="365"/>
      <c r="J533" s="365"/>
      <c r="K533" s="365"/>
      <c r="L533" s="366"/>
      <c r="M533" s="324" t="s">
        <v>231</v>
      </c>
      <c r="N533" s="16" t="str">
        <f>IF(Planning!$I156=0,G153&amp;F153,"")</f>
        <v>Borussia MönchengladbachSC Freiburg</v>
      </c>
      <c r="O533" s="122">
        <f t="shared" si="16"/>
        <v>0</v>
      </c>
      <c r="P533" s="122" t="str">
        <f>IF(AND(O533&gt;0,Planning!$I156=0),W153&amp;Language!$E$90&amp;V153,"")</f>
        <v/>
      </c>
      <c r="Q533" s="2" t="str">
        <f>IF(Planning!$I156=1,G153&amp;F153,"")</f>
        <v/>
      </c>
      <c r="R533" s="88" t="str">
        <f>IF(AND(O533&gt;0,Planning!$I156=1),W153&amp;Language!$E$90&amp;V153,"")</f>
        <v/>
      </c>
      <c r="S533" s="395" t="str">
        <f>IF(O153&gt;0,Y153&amp;Language!$E$90&amp;X153,"")</f>
        <v/>
      </c>
    </row>
    <row r="534" spans="9:19" x14ac:dyDescent="0.2">
      <c r="I534" s="365"/>
      <c r="J534" s="365"/>
      <c r="K534" s="365"/>
      <c r="L534" s="366"/>
      <c r="M534" s="324" t="s">
        <v>232</v>
      </c>
      <c r="N534" s="16" t="str">
        <f>IF(Planning!$I157=0,G154&amp;F154,"")</f>
        <v>RB LeipzigEintracht Frankfurt</v>
      </c>
      <c r="O534" s="122">
        <f t="shared" si="16"/>
        <v>0</v>
      </c>
      <c r="P534" s="122" t="str">
        <f>IF(AND(O534&gt;0,Planning!$I157=0),W154&amp;Language!$E$90&amp;V154,"")</f>
        <v/>
      </c>
      <c r="Q534" s="2" t="str">
        <f>IF(Planning!$I157=1,G154&amp;F154,"")</f>
        <v/>
      </c>
      <c r="R534" s="88" t="str">
        <f>IF(AND(O534&gt;0,Planning!$I157=1),W154&amp;Language!$E$90&amp;V154,"")</f>
        <v/>
      </c>
      <c r="S534" s="395" t="str">
        <f>IF(O154&gt;0,Y154&amp;Language!$E$90&amp;X154,"")</f>
        <v/>
      </c>
    </row>
    <row r="535" spans="9:19" x14ac:dyDescent="0.2">
      <c r="I535" s="365"/>
      <c r="J535" s="365"/>
      <c r="K535" s="365"/>
      <c r="L535" s="366"/>
      <c r="M535" s="324" t="s">
        <v>233</v>
      </c>
      <c r="N535" s="16" t="str">
        <f>IF(Planning!$I158=0,G155&amp;F155,"")</f>
        <v>FC AugsburgHamburger SV</v>
      </c>
      <c r="O535" s="122">
        <f t="shared" si="16"/>
        <v>0</v>
      </c>
      <c r="P535" s="122" t="str">
        <f>IF(AND(O535&gt;0,Planning!$I158=0),W155&amp;Language!$E$90&amp;V155,"")</f>
        <v/>
      </c>
      <c r="Q535" s="2" t="str">
        <f>IF(Planning!$I158=1,G155&amp;F155,"")</f>
        <v/>
      </c>
      <c r="R535" s="88" t="str">
        <f>IF(AND(O535&gt;0,Planning!$I158=1),W155&amp;Language!$E$90&amp;V155,"")</f>
        <v/>
      </c>
      <c r="S535" s="395" t="str">
        <f>IF(O155&gt;0,Y155&amp;Language!$E$90&amp;X155,"")</f>
        <v/>
      </c>
    </row>
    <row r="536" spans="9:19" x14ac:dyDescent="0.2">
      <c r="I536" s="365"/>
      <c r="J536" s="365"/>
      <c r="K536" s="365"/>
      <c r="L536" s="366"/>
      <c r="M536" s="324" t="s">
        <v>234</v>
      </c>
      <c r="N536" s="16" t="str">
        <f>IF(Planning!$I159=0,G156&amp;F156,"")</f>
        <v>FC St. PauliFC Bayern München</v>
      </c>
      <c r="O536" s="122">
        <f t="shared" si="16"/>
        <v>0</v>
      </c>
      <c r="P536" s="122" t="str">
        <f>IF(AND(O536&gt;0,Planning!$I159=0),W156&amp;Language!$E$90&amp;V156,"")</f>
        <v/>
      </c>
      <c r="Q536" s="2" t="str">
        <f>IF(Planning!$I159=1,G156&amp;F156,"")</f>
        <v/>
      </c>
      <c r="R536" s="88" t="str">
        <f>IF(AND(O536&gt;0,Planning!$I159=1),W156&amp;Language!$E$90&amp;V156,"")</f>
        <v/>
      </c>
      <c r="S536" s="395" t="str">
        <f>IF(O156&gt;0,Y156&amp;Language!$E$90&amp;X156,"")</f>
        <v/>
      </c>
    </row>
    <row r="537" spans="9:19" x14ac:dyDescent="0.2">
      <c r="I537" s="365"/>
      <c r="J537" s="365"/>
      <c r="K537" s="365"/>
      <c r="L537" s="366"/>
      <c r="M537" s="324" t="s">
        <v>235</v>
      </c>
      <c r="N537" s="16" t="str">
        <f>IF(Planning!$I160=0,G157&amp;F157,"")</f>
        <v/>
      </c>
      <c r="O537" s="122">
        <f t="shared" si="16"/>
        <v>0</v>
      </c>
      <c r="P537" s="122" t="str">
        <f>IF(AND(O537&gt;0,Planning!$I160=0),W157&amp;Language!$E$90&amp;V157,"")</f>
        <v/>
      </c>
      <c r="Q537" s="2" t="str">
        <f>IF(Planning!$I160=1,G157&amp;F157,"")</f>
        <v>1. FC Heidenheim 1846VfL Wolfsburg</v>
      </c>
      <c r="R537" s="88" t="str">
        <f>IF(AND(O537&gt;0,Planning!$I160=1),W157&amp;Language!$E$90&amp;V157,"")</f>
        <v/>
      </c>
      <c r="S537" s="395" t="str">
        <f>IF(O157&gt;0,Y157&amp;Language!$E$90&amp;X157,"")</f>
        <v/>
      </c>
    </row>
    <row r="538" spans="9:19" x14ac:dyDescent="0.2">
      <c r="I538" s="365"/>
      <c r="J538" s="365"/>
      <c r="K538" s="365"/>
      <c r="L538" s="366"/>
      <c r="M538" s="324" t="s">
        <v>236</v>
      </c>
      <c r="N538" s="16" t="str">
        <f>IF(Planning!$I161=0,G158&amp;F158,"")</f>
        <v/>
      </c>
      <c r="O538" s="122">
        <f t="shared" si="16"/>
        <v>0</v>
      </c>
      <c r="P538" s="122" t="str">
        <f>IF(AND(O538&gt;0,Planning!$I161=0),W158&amp;Language!$E$90&amp;V158,"")</f>
        <v/>
      </c>
      <c r="Q538" s="2" t="str">
        <f>IF(Planning!$I161=1,G158&amp;F158,"")</f>
        <v>VfB Stuttgart1. FC Köln</v>
      </c>
      <c r="R538" s="88" t="str">
        <f>IF(AND(O538&gt;0,Planning!$I161=1),W158&amp;Language!$E$90&amp;V158,"")</f>
        <v/>
      </c>
      <c r="S538" s="395" t="str">
        <f>IF(O158&gt;0,Y158&amp;Language!$E$90&amp;X158,"")</f>
        <v/>
      </c>
    </row>
    <row r="539" spans="9:19" x14ac:dyDescent="0.2">
      <c r="I539" s="365"/>
      <c r="J539" s="365"/>
      <c r="K539" s="365"/>
      <c r="L539" s="366"/>
      <c r="M539" s="324" t="s">
        <v>237</v>
      </c>
      <c r="N539" s="16" t="str">
        <f>IF(Planning!$I162=0,G159&amp;F159,"")</f>
        <v/>
      </c>
      <c r="O539" s="122">
        <f t="shared" si="16"/>
        <v>0</v>
      </c>
      <c r="P539" s="122" t="str">
        <f>IF(AND(O539&gt;0,Planning!$I162=0),W159&amp;Language!$E$90&amp;V159,"")</f>
        <v/>
      </c>
      <c r="Q539" s="2" t="str">
        <f>IF(Planning!$I162=1,G159&amp;F159,"")</f>
        <v>1. FC Union BerlinTSG Hoffenheim</v>
      </c>
      <c r="R539" s="88" t="str">
        <f>IF(AND(O539&gt;0,Planning!$I162=1),W159&amp;Language!$E$90&amp;V159,"")</f>
        <v/>
      </c>
      <c r="S539" s="395" t="str">
        <f>IF(O159&gt;0,Y159&amp;Language!$E$90&amp;X159,"")</f>
        <v/>
      </c>
    </row>
    <row r="540" spans="9:19" x14ac:dyDescent="0.2">
      <c r="I540" s="365"/>
      <c r="J540" s="365"/>
      <c r="K540" s="365"/>
      <c r="L540" s="366"/>
      <c r="M540" s="324" t="s">
        <v>238</v>
      </c>
      <c r="N540" s="16" t="str">
        <f>IF(Planning!$I163=0,G160&amp;F160,"")</f>
        <v/>
      </c>
      <c r="O540" s="122">
        <f t="shared" si="16"/>
        <v>0</v>
      </c>
      <c r="P540" s="122" t="str">
        <f>IF(AND(O540&gt;0,Planning!$I163=0),W160&amp;Language!$E$90&amp;V160,"")</f>
        <v/>
      </c>
      <c r="Q540" s="2" t="str">
        <f>IF(Planning!$I163=1,G160&amp;F160,"")</f>
        <v>SV Werder Bremen1. FSV Mainz 05</v>
      </c>
      <c r="R540" s="88" t="str">
        <f>IF(AND(O540&gt;0,Planning!$I163=1),W160&amp;Language!$E$90&amp;V160,"")</f>
        <v/>
      </c>
      <c r="S540" s="395" t="str">
        <f>IF(O160&gt;0,Y160&amp;Language!$E$90&amp;X160,"")</f>
        <v/>
      </c>
    </row>
    <row r="541" spans="9:19" x14ac:dyDescent="0.2">
      <c r="I541" s="365"/>
      <c r="J541" s="365"/>
      <c r="K541" s="365"/>
      <c r="L541" s="366"/>
      <c r="M541" s="324" t="s">
        <v>239</v>
      </c>
      <c r="N541" s="16" t="str">
        <f>IF(Planning!$I164=0,G161&amp;F161,"")</f>
        <v/>
      </c>
      <c r="O541" s="122">
        <f t="shared" si="16"/>
        <v>0</v>
      </c>
      <c r="P541" s="122" t="str">
        <f>IF(AND(O541&gt;0,Planning!$I164=0),W161&amp;Language!$E$90&amp;V161,"")</f>
        <v/>
      </c>
      <c r="Q541" s="2" t="str">
        <f>IF(Planning!$I164=1,G161&amp;F161,"")</f>
        <v>Bayer 04 LeverkusenSC Freiburg</v>
      </c>
      <c r="R541" s="88" t="str">
        <f>IF(AND(O541&gt;0,Planning!$I164=1),W161&amp;Language!$E$90&amp;V161,"")</f>
        <v/>
      </c>
      <c r="S541" s="395" t="str">
        <f>IF(O161&gt;0,Y161&amp;Language!$E$90&amp;X161,"")</f>
        <v/>
      </c>
    </row>
    <row r="542" spans="9:19" x14ac:dyDescent="0.2">
      <c r="I542" s="365"/>
      <c r="J542" s="365"/>
      <c r="K542" s="365"/>
      <c r="L542" s="366"/>
      <c r="M542" s="324" t="s">
        <v>240</v>
      </c>
      <c r="N542" s="16" t="str">
        <f>IF(Planning!$I165=0,G162&amp;F162,"")</f>
        <v/>
      </c>
      <c r="O542" s="122">
        <f t="shared" si="16"/>
        <v>0</v>
      </c>
      <c r="P542" s="122" t="str">
        <f>IF(AND(O542&gt;0,Planning!$I165=0),W162&amp;Language!$E$90&amp;V162,"")</f>
        <v/>
      </c>
      <c r="Q542" s="2" t="str">
        <f>IF(Planning!$I165=1,G162&amp;F162,"")</f>
        <v>RB LeipzigBorussia Dortmund</v>
      </c>
      <c r="R542" s="88" t="str">
        <f>IF(AND(O542&gt;0,Planning!$I165=1),W162&amp;Language!$E$90&amp;V162,"")</f>
        <v/>
      </c>
      <c r="S542" s="395" t="str">
        <f>IF(O162&gt;0,Y162&amp;Language!$E$90&amp;X162,"")</f>
        <v/>
      </c>
    </row>
    <row r="543" spans="9:19" x14ac:dyDescent="0.2">
      <c r="I543" s="365"/>
      <c r="J543" s="365"/>
      <c r="K543" s="365"/>
      <c r="L543" s="366"/>
      <c r="M543" s="324" t="s">
        <v>241</v>
      </c>
      <c r="N543" s="16" t="str">
        <f>IF(Planning!$I166=0,G163&amp;F163,"")</f>
        <v/>
      </c>
      <c r="O543" s="122">
        <f t="shared" si="16"/>
        <v>0</v>
      </c>
      <c r="P543" s="122" t="str">
        <f>IF(AND(O543&gt;0,Planning!$I166=0),W163&amp;Language!$E$90&amp;V163,"")</f>
        <v/>
      </c>
      <c r="Q543" s="2" t="str">
        <f>IF(Planning!$I166=1,G163&amp;F163,"")</f>
        <v>Borussia MönchengladbachHamburger SV</v>
      </c>
      <c r="R543" s="88" t="str">
        <f>IF(AND(O543&gt;0,Planning!$I166=1),W163&amp;Language!$E$90&amp;V163,"")</f>
        <v/>
      </c>
      <c r="S543" s="395" t="str">
        <f>IF(O163&gt;0,Y163&amp;Language!$E$90&amp;X163,"")</f>
        <v/>
      </c>
    </row>
    <row r="544" spans="9:19" x14ac:dyDescent="0.2">
      <c r="I544" s="365"/>
      <c r="J544" s="365"/>
      <c r="K544" s="365"/>
      <c r="L544" s="366"/>
      <c r="M544" s="324" t="s">
        <v>242</v>
      </c>
      <c r="N544" s="16" t="str">
        <f>IF(Planning!$I167=0,G164&amp;F164,"")</f>
        <v/>
      </c>
      <c r="O544" s="122">
        <f t="shared" si="16"/>
        <v>0</v>
      </c>
      <c r="P544" s="122" t="str">
        <f>IF(AND(O544&gt;0,Planning!$I167=0),W164&amp;Language!$E$90&amp;V164,"")</f>
        <v/>
      </c>
      <c r="Q544" s="2" t="str">
        <f>IF(Planning!$I167=1,G164&amp;F164,"")</f>
        <v>FC St. PauliEintracht Frankfurt</v>
      </c>
      <c r="R544" s="88" t="str">
        <f>IF(AND(O544&gt;0,Planning!$I167=1),W164&amp;Language!$E$90&amp;V164,"")</f>
        <v/>
      </c>
      <c r="S544" s="395" t="str">
        <f>IF(O164&gt;0,Y164&amp;Language!$E$90&amp;X164,"")</f>
        <v/>
      </c>
    </row>
    <row r="545" spans="9:19" x14ac:dyDescent="0.2">
      <c r="I545" s="365"/>
      <c r="J545" s="365"/>
      <c r="K545" s="365"/>
      <c r="L545" s="366"/>
      <c r="M545" s="324" t="s">
        <v>243</v>
      </c>
      <c r="N545" s="16" t="str">
        <f>IF(Planning!$I168=0,G165&amp;F165,"")</f>
        <v/>
      </c>
      <c r="O545" s="122">
        <f t="shared" si="16"/>
        <v>0</v>
      </c>
      <c r="P545" s="122" t="str">
        <f>IF(AND(O545&gt;0,Planning!$I168=0),W165&amp;Language!$E$90&amp;V165,"")</f>
        <v/>
      </c>
      <c r="Q545" s="2" t="str">
        <f>IF(Planning!$I168=1,G165&amp;F165,"")</f>
        <v>FC AugsburgFC Bayern München</v>
      </c>
      <c r="R545" s="88" t="str">
        <f>IF(AND(O545&gt;0,Planning!$I168=1),W165&amp;Language!$E$90&amp;V165,"")</f>
        <v/>
      </c>
      <c r="S545" s="395" t="str">
        <f>IF(O165&gt;0,Y165&amp;Language!$E$90&amp;X165,"")</f>
        <v/>
      </c>
    </row>
    <row r="546" spans="9:19" x14ac:dyDescent="0.2">
      <c r="I546" s="365"/>
      <c r="J546" s="365"/>
      <c r="K546" s="365"/>
      <c r="L546" s="366"/>
      <c r="M546" s="324" t="s">
        <v>244</v>
      </c>
      <c r="N546" s="16" t="str">
        <f>IF(Planning!$I169=0,G166&amp;F166,"")</f>
        <v/>
      </c>
      <c r="O546" s="122">
        <f t="shared" si="16"/>
        <v>0</v>
      </c>
      <c r="P546" s="122" t="str">
        <f>IF(AND(O546&gt;0,Planning!$I169=0),W166&amp;Language!$E$90&amp;V166,"")</f>
        <v/>
      </c>
      <c r="Q546" s="2" t="str">
        <f>IF(Planning!$I169=1,G166&amp;F166,"")</f>
        <v>VfB Stuttgart1. FC Heidenheim 1846</v>
      </c>
      <c r="R546" s="88" t="str">
        <f>IF(AND(O546&gt;0,Planning!$I169=1),W166&amp;Language!$E$90&amp;V166,"")</f>
        <v/>
      </c>
      <c r="S546" s="395" t="str">
        <f>IF(O166&gt;0,Y166&amp;Language!$E$90&amp;X166,"")</f>
        <v/>
      </c>
    </row>
    <row r="547" spans="9:19" x14ac:dyDescent="0.2">
      <c r="I547" s="365"/>
      <c r="J547" s="365"/>
      <c r="K547" s="365"/>
      <c r="L547" s="366"/>
      <c r="M547" s="324" t="s">
        <v>245</v>
      </c>
      <c r="N547" s="16" t="str">
        <f>IF(Planning!$I170=0,G167&amp;F167,"")</f>
        <v/>
      </c>
      <c r="O547" s="122">
        <f t="shared" si="16"/>
        <v>0</v>
      </c>
      <c r="P547" s="122" t="str">
        <f>IF(AND(O547&gt;0,Planning!$I170=0),W167&amp;Language!$E$90&amp;V167,"")</f>
        <v/>
      </c>
      <c r="Q547" s="2" t="str">
        <f>IF(Planning!$I170=1,G167&amp;F167,"")</f>
        <v>TSG HoffenheimVfL Wolfsburg</v>
      </c>
      <c r="R547" s="88" t="str">
        <f>IF(AND(O547&gt;0,Planning!$I170=1),W167&amp;Language!$E$90&amp;V167,"")</f>
        <v/>
      </c>
      <c r="S547" s="395" t="str">
        <f>IF(O167&gt;0,Y167&amp;Language!$E$90&amp;X167,"")</f>
        <v/>
      </c>
    </row>
    <row r="548" spans="9:19" x14ac:dyDescent="0.2">
      <c r="I548" s="365"/>
      <c r="J548" s="365"/>
      <c r="K548" s="365"/>
      <c r="L548" s="366"/>
      <c r="M548" s="324" t="s">
        <v>246</v>
      </c>
      <c r="N548" s="16" t="str">
        <f>IF(Planning!$I171=0,G168&amp;F168,"")</f>
        <v/>
      </c>
      <c r="O548" s="122">
        <f t="shared" si="16"/>
        <v>0</v>
      </c>
      <c r="P548" s="122" t="str">
        <f>IF(AND(O548&gt;0,Planning!$I171=0),W168&amp;Language!$E$90&amp;V168,"")</f>
        <v/>
      </c>
      <c r="Q548" s="2" t="str">
        <f>IF(Planning!$I171=1,G168&amp;F168,"")</f>
        <v>1. FC KölnSV Werder Bremen</v>
      </c>
      <c r="R548" s="88" t="str">
        <f>IF(AND(O548&gt;0,Planning!$I171=1),W168&amp;Language!$E$90&amp;V168,"")</f>
        <v/>
      </c>
      <c r="S548" s="395" t="str">
        <f>IF(O168&gt;0,Y168&amp;Language!$E$90&amp;X168,"")</f>
        <v/>
      </c>
    </row>
    <row r="549" spans="9:19" x14ac:dyDescent="0.2">
      <c r="I549" s="365"/>
      <c r="J549" s="365"/>
      <c r="K549" s="365"/>
      <c r="L549" s="366"/>
      <c r="M549" s="324" t="s">
        <v>247</v>
      </c>
      <c r="N549" s="16" t="str">
        <f>IF(Planning!$I172=0,G169&amp;F169,"")</f>
        <v/>
      </c>
      <c r="O549" s="122">
        <f t="shared" si="16"/>
        <v>0</v>
      </c>
      <c r="P549" s="122" t="str">
        <f>IF(AND(O549&gt;0,Planning!$I172=0),W169&amp;Language!$E$90&amp;V169,"")</f>
        <v/>
      </c>
      <c r="Q549" s="2" t="str">
        <f>IF(Planning!$I172=1,G169&amp;F169,"")</f>
        <v>SC Freiburg1. FC Union Berlin</v>
      </c>
      <c r="R549" s="88" t="str">
        <f>IF(AND(O549&gt;0,Planning!$I172=1),W169&amp;Language!$E$90&amp;V169,"")</f>
        <v/>
      </c>
      <c r="S549" s="395" t="str">
        <f>IF(O169&gt;0,Y169&amp;Language!$E$90&amp;X169,"")</f>
        <v/>
      </c>
    </row>
    <row r="550" spans="9:19" x14ac:dyDescent="0.2">
      <c r="I550" s="365"/>
      <c r="J550" s="365"/>
      <c r="K550" s="365"/>
      <c r="L550" s="366"/>
      <c r="M550" s="324" t="s">
        <v>248</v>
      </c>
      <c r="N550" s="16" t="str">
        <f>IF(Planning!$I173=0,G170&amp;F170,"")</f>
        <v/>
      </c>
      <c r="O550" s="122">
        <f t="shared" si="16"/>
        <v>0</v>
      </c>
      <c r="P550" s="122" t="str">
        <f>IF(AND(O550&gt;0,Planning!$I173=0),W170&amp;Language!$E$90&amp;V170,"")</f>
        <v/>
      </c>
      <c r="Q550" s="2" t="str">
        <f>IF(Planning!$I173=1,G170&amp;F170,"")</f>
        <v>1. FSV Mainz 05RB Leipzig</v>
      </c>
      <c r="R550" s="88" t="str">
        <f>IF(AND(O550&gt;0,Planning!$I173=1),W170&amp;Language!$E$90&amp;V170,"")</f>
        <v/>
      </c>
      <c r="S550" s="395" t="str">
        <f>IF(O170&gt;0,Y170&amp;Language!$E$90&amp;X170,"")</f>
        <v/>
      </c>
    </row>
    <row r="551" spans="9:19" x14ac:dyDescent="0.2">
      <c r="I551" s="365"/>
      <c r="J551" s="365"/>
      <c r="K551" s="365"/>
      <c r="L551" s="366"/>
      <c r="M551" s="324" t="s">
        <v>249</v>
      </c>
      <c r="N551" s="16" t="str">
        <f>IF(Planning!$I174=0,G171&amp;F171,"")</f>
        <v/>
      </c>
      <c r="O551" s="122">
        <f t="shared" si="16"/>
        <v>0</v>
      </c>
      <c r="P551" s="122" t="str">
        <f>IF(AND(O551&gt;0,Planning!$I174=0),W171&amp;Language!$E$90&amp;V171,"")</f>
        <v/>
      </c>
      <c r="Q551" s="2" t="str">
        <f>IF(Planning!$I174=1,G171&amp;F171,"")</f>
        <v>Hamburger SVBayer 04 Leverkusen</v>
      </c>
      <c r="R551" s="88" t="str">
        <f>IF(AND(O551&gt;0,Planning!$I174=1),W171&amp;Language!$E$90&amp;V171,"")</f>
        <v/>
      </c>
      <c r="S551" s="395" t="str">
        <f>IF(O171&gt;0,Y171&amp;Language!$E$90&amp;X171,"")</f>
        <v/>
      </c>
    </row>
    <row r="552" spans="9:19" x14ac:dyDescent="0.2">
      <c r="I552" s="365"/>
      <c r="J552" s="365"/>
      <c r="K552" s="365"/>
      <c r="L552" s="366"/>
      <c r="M552" s="324" t="s">
        <v>250</v>
      </c>
      <c r="N552" s="16" t="str">
        <f>IF(Planning!$I175=0,G172&amp;F172,"")</f>
        <v/>
      </c>
      <c r="O552" s="122">
        <f t="shared" si="16"/>
        <v>0</v>
      </c>
      <c r="P552" s="122" t="str">
        <f>IF(AND(O552&gt;0,Planning!$I175=0),W172&amp;Language!$E$90&amp;V172,"")</f>
        <v/>
      </c>
      <c r="Q552" s="2" t="str">
        <f>IF(Planning!$I175=1,G172&amp;F172,"")</f>
        <v>Borussia DortmundFC St. Pauli</v>
      </c>
      <c r="R552" s="88" t="str">
        <f>IF(AND(O552&gt;0,Planning!$I175=1),W172&amp;Language!$E$90&amp;V172,"")</f>
        <v/>
      </c>
      <c r="S552" s="395" t="str">
        <f>IF(O172&gt;0,Y172&amp;Language!$E$90&amp;X172,"")</f>
        <v/>
      </c>
    </row>
    <row r="553" spans="9:19" x14ac:dyDescent="0.2">
      <c r="I553" s="365"/>
      <c r="J553" s="365"/>
      <c r="K553" s="365"/>
      <c r="L553" s="366"/>
      <c r="M553" s="324" t="s">
        <v>251</v>
      </c>
      <c r="N553" s="16" t="str">
        <f>IF(Planning!$I176=0,G173&amp;F173,"")</f>
        <v/>
      </c>
      <c r="O553" s="122">
        <f t="shared" si="16"/>
        <v>0</v>
      </c>
      <c r="P553" s="122" t="str">
        <f>IF(AND(O553&gt;0,Planning!$I176=0),W173&amp;Language!$E$90&amp;V173,"")</f>
        <v/>
      </c>
      <c r="Q553" s="2" t="str">
        <f>IF(Planning!$I176=1,G173&amp;F173,"")</f>
        <v>FC Bayern MünchenBorussia Mönchengladbach</v>
      </c>
      <c r="R553" s="88" t="str">
        <f>IF(AND(O553&gt;0,Planning!$I176=1),W173&amp;Language!$E$90&amp;V173,"")</f>
        <v/>
      </c>
      <c r="S553" s="395" t="str">
        <f>IF(O173&gt;0,Y173&amp;Language!$E$90&amp;X173,"")</f>
        <v/>
      </c>
    </row>
    <row r="554" spans="9:19" x14ac:dyDescent="0.2">
      <c r="I554" s="365"/>
      <c r="J554" s="365"/>
      <c r="K554" s="365"/>
      <c r="L554" s="366"/>
      <c r="M554" s="324" t="s">
        <v>252</v>
      </c>
      <c r="N554" s="16" t="str">
        <f>IF(Planning!$I177=0,G174&amp;F174,"")</f>
        <v/>
      </c>
      <c r="O554" s="122">
        <f t="shared" si="16"/>
        <v>0</v>
      </c>
      <c r="P554" s="122" t="str">
        <f>IF(AND(O554&gt;0,Planning!$I177=0),W174&amp;Language!$E$90&amp;V174,"")</f>
        <v/>
      </c>
      <c r="Q554" s="2" t="str">
        <f>IF(Planning!$I177=1,G174&amp;F174,"")</f>
        <v>Eintracht FrankfurtFC Augsburg</v>
      </c>
      <c r="R554" s="88" t="str">
        <f>IF(AND(O554&gt;0,Planning!$I177=1),W174&amp;Language!$E$90&amp;V174,"")</f>
        <v/>
      </c>
      <c r="S554" s="395" t="str">
        <f>IF(O174&gt;0,Y174&amp;Language!$E$90&amp;X174,"")</f>
        <v/>
      </c>
    </row>
    <row r="555" spans="9:19" x14ac:dyDescent="0.2">
      <c r="I555" s="365"/>
      <c r="J555" s="365"/>
      <c r="K555" s="365"/>
      <c r="L555" s="366"/>
      <c r="M555" s="324" t="s">
        <v>253</v>
      </c>
      <c r="N555" s="16" t="str">
        <f>IF(Planning!$I178=0,G175&amp;F175,"")</f>
        <v/>
      </c>
      <c r="O555" s="122">
        <f t="shared" si="16"/>
        <v>0</v>
      </c>
      <c r="P555" s="122" t="str">
        <f>IF(AND(O555&gt;0,Planning!$I178=0),W175&amp;Language!$E$90&amp;V175,"")</f>
        <v/>
      </c>
      <c r="Q555" s="2" t="str">
        <f>IF(Planning!$I178=1,G175&amp;F175,"")</f>
        <v>1. FC Heidenheim 1846TSG Hoffenheim</v>
      </c>
      <c r="R555" s="88" t="str">
        <f>IF(AND(O555&gt;0,Planning!$I178=1),W175&amp;Language!$E$90&amp;V175,"")</f>
        <v/>
      </c>
      <c r="S555" s="395" t="str">
        <f>IF(O175&gt;0,Y175&amp;Language!$E$90&amp;X175,"")</f>
        <v/>
      </c>
    </row>
    <row r="556" spans="9:19" x14ac:dyDescent="0.2">
      <c r="I556" s="365"/>
      <c r="J556" s="365"/>
      <c r="K556" s="365"/>
      <c r="L556" s="366"/>
      <c r="M556" s="324" t="s">
        <v>254</v>
      </c>
      <c r="N556" s="16" t="str">
        <f>IF(Planning!$I179=0,G176&amp;F176,"")</f>
        <v/>
      </c>
      <c r="O556" s="122">
        <f t="shared" si="16"/>
        <v>0</v>
      </c>
      <c r="P556" s="122" t="str">
        <f>IF(AND(O556&gt;0,Planning!$I179=0),W176&amp;Language!$E$90&amp;V176,"")</f>
        <v/>
      </c>
      <c r="Q556" s="2" t="str">
        <f>IF(Planning!$I179=1,G176&amp;F176,"")</f>
        <v>SV Werder BremenVfB Stuttgart</v>
      </c>
      <c r="R556" s="88" t="str">
        <f>IF(AND(O556&gt;0,Planning!$I179=1),W176&amp;Language!$E$90&amp;V176,"")</f>
        <v/>
      </c>
      <c r="S556" s="395" t="str">
        <f>IF(O176&gt;0,Y176&amp;Language!$E$90&amp;X176,"")</f>
        <v/>
      </c>
    </row>
    <row r="557" spans="9:19" x14ac:dyDescent="0.2">
      <c r="I557" s="365"/>
      <c r="J557" s="365"/>
      <c r="K557" s="365"/>
      <c r="L557" s="366"/>
      <c r="M557" s="324" t="s">
        <v>255</v>
      </c>
      <c r="N557" s="16" t="str">
        <f>IF(Planning!$I180=0,G177&amp;F177,"")</f>
        <v/>
      </c>
      <c r="O557" s="122">
        <f t="shared" si="16"/>
        <v>0</v>
      </c>
      <c r="P557" s="122" t="str">
        <f>IF(AND(O557&gt;0,Planning!$I180=0),W177&amp;Language!$E$90&amp;V177,"")</f>
        <v/>
      </c>
      <c r="Q557" s="2" t="str">
        <f>IF(Planning!$I180=1,G177&amp;F177,"")</f>
        <v>VfL WolfsburgSC Freiburg</v>
      </c>
      <c r="R557" s="88" t="str">
        <f>IF(AND(O557&gt;0,Planning!$I180=1),W177&amp;Language!$E$90&amp;V177,"")</f>
        <v/>
      </c>
      <c r="S557" s="395" t="str">
        <f>IF(O177&gt;0,Y177&amp;Language!$E$90&amp;X177,"")</f>
        <v/>
      </c>
    </row>
    <row r="558" spans="9:19" x14ac:dyDescent="0.2">
      <c r="I558" s="365"/>
      <c r="J558" s="365"/>
      <c r="K558" s="365"/>
      <c r="L558" s="366"/>
      <c r="M558" s="324" t="s">
        <v>256</v>
      </c>
      <c r="N558" s="16" t="str">
        <f>IF(Planning!$I181=0,G178&amp;F178,"")</f>
        <v/>
      </c>
      <c r="O558" s="122">
        <f t="shared" si="16"/>
        <v>0</v>
      </c>
      <c r="P558" s="122" t="str">
        <f>IF(AND(O558&gt;0,Planning!$I181=0),W178&amp;Language!$E$90&amp;V178,"")</f>
        <v/>
      </c>
      <c r="Q558" s="2" t="str">
        <f>IF(Planning!$I181=1,G178&amp;F178,"")</f>
        <v>RB Leipzig1. FC Köln</v>
      </c>
      <c r="R558" s="88" t="str">
        <f>IF(AND(O558&gt;0,Planning!$I181=1),W178&amp;Language!$E$90&amp;V178,"")</f>
        <v/>
      </c>
      <c r="S558" s="395" t="str">
        <f>IF(O178&gt;0,Y178&amp;Language!$E$90&amp;X178,"")</f>
        <v/>
      </c>
    </row>
    <row r="559" spans="9:19" x14ac:dyDescent="0.2">
      <c r="I559" s="365"/>
      <c r="J559" s="365"/>
      <c r="K559" s="365"/>
      <c r="L559" s="366"/>
      <c r="M559" s="324" t="s">
        <v>257</v>
      </c>
      <c r="N559" s="16" t="str">
        <f>IF(Planning!$I182=0,G179&amp;F179,"")</f>
        <v/>
      </c>
      <c r="O559" s="122">
        <f t="shared" si="16"/>
        <v>0</v>
      </c>
      <c r="P559" s="122" t="str">
        <f>IF(AND(O559&gt;0,Planning!$I182=0),W179&amp;Language!$E$90&amp;V179,"")</f>
        <v/>
      </c>
      <c r="Q559" s="2" t="str">
        <f>IF(Planning!$I182=1,G179&amp;F179,"")</f>
        <v>1. FC Union BerlinHamburger SV</v>
      </c>
      <c r="R559" s="88" t="str">
        <f>IF(AND(O559&gt;0,Planning!$I182=1),W179&amp;Language!$E$90&amp;V179,"")</f>
        <v/>
      </c>
      <c r="S559" s="395" t="str">
        <f>IF(O179&gt;0,Y179&amp;Language!$E$90&amp;X179,"")</f>
        <v/>
      </c>
    </row>
    <row r="560" spans="9:19" x14ac:dyDescent="0.2">
      <c r="I560" s="365"/>
      <c r="J560" s="365"/>
      <c r="K560" s="365"/>
      <c r="L560" s="366"/>
      <c r="M560" s="324" t="s">
        <v>258</v>
      </c>
      <c r="N560" s="16" t="str">
        <f>IF(Planning!$I183=0,G180&amp;F180,"")</f>
        <v/>
      </c>
      <c r="O560" s="122">
        <f t="shared" si="16"/>
        <v>0</v>
      </c>
      <c r="P560" s="122" t="str">
        <f>IF(AND(O560&gt;0,Planning!$I183=0),W180&amp;Language!$E$90&amp;V180,"")</f>
        <v/>
      </c>
      <c r="Q560" s="2" t="str">
        <f>IF(Planning!$I183=1,G180&amp;F180,"")</f>
        <v>FC St. Pauli1. FSV Mainz 05</v>
      </c>
      <c r="R560" s="88" t="str">
        <f>IF(AND(O560&gt;0,Planning!$I183=1),W180&amp;Language!$E$90&amp;V180,"")</f>
        <v/>
      </c>
      <c r="S560" s="395" t="str">
        <f>IF(O180&gt;0,Y180&amp;Language!$E$90&amp;X180,"")</f>
        <v/>
      </c>
    </row>
    <row r="561" spans="9:19" x14ac:dyDescent="0.2">
      <c r="I561" s="365"/>
      <c r="J561" s="365"/>
      <c r="K561" s="365"/>
      <c r="L561" s="366"/>
      <c r="M561" s="324" t="s">
        <v>259</v>
      </c>
      <c r="N561" s="16" t="str">
        <f>IF(Planning!$I184=0,G181&amp;F181,"")</f>
        <v/>
      </c>
      <c r="O561" s="122">
        <f t="shared" si="16"/>
        <v>0</v>
      </c>
      <c r="P561" s="122" t="str">
        <f>IF(AND(O561&gt;0,Planning!$I184=0),W181&amp;Language!$E$90&amp;V181,"")</f>
        <v/>
      </c>
      <c r="Q561" s="2" t="str">
        <f>IF(Planning!$I184=1,G181&amp;F181,"")</f>
        <v>Bayer 04 LeverkusenFC Bayern München</v>
      </c>
      <c r="R561" s="88" t="str">
        <f>IF(AND(O561&gt;0,Planning!$I184=1),W181&amp;Language!$E$90&amp;V181,"")</f>
        <v/>
      </c>
      <c r="S561" s="395" t="str">
        <f>IF(O181&gt;0,Y181&amp;Language!$E$90&amp;X181,"")</f>
        <v/>
      </c>
    </row>
    <row r="562" spans="9:19" x14ac:dyDescent="0.2">
      <c r="I562" s="365"/>
      <c r="J562" s="365"/>
      <c r="K562" s="365"/>
      <c r="L562" s="366"/>
      <c r="M562" s="324" t="s">
        <v>260</v>
      </c>
      <c r="N562" s="16" t="str">
        <f>IF(Planning!$I185=0,G182&amp;F182,"")</f>
        <v/>
      </c>
      <c r="O562" s="122">
        <f t="shared" si="16"/>
        <v>0</v>
      </c>
      <c r="P562" s="122" t="str">
        <f>IF(AND(O562&gt;0,Planning!$I185=0),W182&amp;Language!$E$90&amp;V182,"")</f>
        <v/>
      </c>
      <c r="Q562" s="2" t="str">
        <f>IF(Planning!$I185=1,G182&amp;F182,"")</f>
        <v>FC AugsburgBorussia Dortmund</v>
      </c>
      <c r="R562" s="88" t="str">
        <f>IF(AND(O562&gt;0,Planning!$I185=1),W182&amp;Language!$E$90&amp;V182,"")</f>
        <v/>
      </c>
      <c r="S562" s="395" t="str">
        <f>IF(O182&gt;0,Y182&amp;Language!$E$90&amp;X182,"")</f>
        <v/>
      </c>
    </row>
    <row r="563" spans="9:19" x14ac:dyDescent="0.2">
      <c r="I563" s="365"/>
      <c r="J563" s="365"/>
      <c r="K563" s="365"/>
      <c r="L563" s="366"/>
      <c r="M563" s="324" t="s">
        <v>261</v>
      </c>
      <c r="N563" s="16" t="str">
        <f>IF(Planning!$I186=0,G183&amp;F183,"")</f>
        <v/>
      </c>
      <c r="O563" s="122">
        <f t="shared" si="16"/>
        <v>0</v>
      </c>
      <c r="P563" s="122" t="str">
        <f>IF(AND(O563&gt;0,Planning!$I186=0),W183&amp;Language!$E$90&amp;V183,"")</f>
        <v/>
      </c>
      <c r="Q563" s="2" t="str">
        <f>IF(Planning!$I186=1,G183&amp;F183,"")</f>
        <v>Borussia MönchengladbachEintracht Frankfurt</v>
      </c>
      <c r="R563" s="88" t="str">
        <f>IF(AND(O563&gt;0,Planning!$I186=1),W183&amp;Language!$E$90&amp;V183,"")</f>
        <v/>
      </c>
      <c r="S563" s="395" t="str">
        <f>IF(O183&gt;0,Y183&amp;Language!$E$90&amp;X183,"")</f>
        <v/>
      </c>
    </row>
    <row r="564" spans="9:19" x14ac:dyDescent="0.2">
      <c r="I564" s="365"/>
      <c r="J564" s="365"/>
      <c r="K564" s="365"/>
      <c r="L564" s="366"/>
      <c r="M564" s="324" t="s">
        <v>262</v>
      </c>
      <c r="N564" s="16" t="str">
        <f>IF(Planning!$I187=0,G184&amp;F184,"")</f>
        <v/>
      </c>
      <c r="O564" s="122">
        <f t="shared" si="16"/>
        <v>0</v>
      </c>
      <c r="P564" s="122" t="str">
        <f>IF(AND(O564&gt;0,Planning!$I187=0),W184&amp;Language!$E$90&amp;V184,"")</f>
        <v/>
      </c>
      <c r="Q564" s="2" t="str">
        <f>IF(Planning!$I187=1,G184&amp;F184,"")</f>
        <v>SV Werder Bremen1. FC Heidenheim 1846</v>
      </c>
      <c r="R564" s="88" t="str">
        <f>IF(AND(O564&gt;0,Planning!$I187=1),W184&amp;Language!$E$90&amp;V184,"")</f>
        <v/>
      </c>
      <c r="S564" s="395" t="str">
        <f>IF(O184&gt;0,Y184&amp;Language!$E$90&amp;X184,"")</f>
        <v/>
      </c>
    </row>
    <row r="565" spans="9:19" x14ac:dyDescent="0.2">
      <c r="I565" s="365"/>
      <c r="J565" s="365"/>
      <c r="K565" s="365"/>
      <c r="L565" s="366"/>
      <c r="M565" s="324" t="s">
        <v>263</v>
      </c>
      <c r="N565" s="16" t="str">
        <f>IF(Planning!$I188=0,G185&amp;F185,"")</f>
        <v/>
      </c>
      <c r="O565" s="122">
        <f t="shared" si="16"/>
        <v>0</v>
      </c>
      <c r="P565" s="122" t="str">
        <f>IF(AND(O565&gt;0,Planning!$I188=0),W185&amp;Language!$E$90&amp;V185,"")</f>
        <v/>
      </c>
      <c r="Q565" s="2" t="str">
        <f>IF(Planning!$I188=1,G185&amp;F185,"")</f>
        <v>SC FreiburgTSG Hoffenheim</v>
      </c>
      <c r="R565" s="88" t="str">
        <f>IF(AND(O565&gt;0,Planning!$I188=1),W185&amp;Language!$E$90&amp;V185,"")</f>
        <v/>
      </c>
      <c r="S565" s="395" t="str">
        <f>IF(O185&gt;0,Y185&amp;Language!$E$90&amp;X185,"")</f>
        <v/>
      </c>
    </row>
    <row r="566" spans="9:19" x14ac:dyDescent="0.2">
      <c r="I566" s="365"/>
      <c r="J566" s="365"/>
      <c r="K566" s="365"/>
      <c r="L566" s="366"/>
      <c r="M566" s="324" t="s">
        <v>264</v>
      </c>
      <c r="N566" s="16" t="str">
        <f>IF(Planning!$I189=0,G186&amp;F186,"")</f>
        <v/>
      </c>
      <c r="O566" s="122">
        <f t="shared" si="16"/>
        <v>0</v>
      </c>
      <c r="P566" s="122" t="str">
        <f>IF(AND(O566&gt;0,Planning!$I189=0),W186&amp;Language!$E$90&amp;V186,"")</f>
        <v/>
      </c>
      <c r="Q566" s="2" t="str">
        <f>IF(Planning!$I189=1,G186&amp;F186,"")</f>
        <v>VfB StuttgartRB Leipzig</v>
      </c>
      <c r="R566" s="88" t="str">
        <f>IF(AND(O566&gt;0,Planning!$I189=1),W186&amp;Language!$E$90&amp;V186,"")</f>
        <v/>
      </c>
      <c r="S566" s="395" t="str">
        <f>IF(O186&gt;0,Y186&amp;Language!$E$90&amp;X186,"")</f>
        <v/>
      </c>
    </row>
    <row r="567" spans="9:19" x14ac:dyDescent="0.2">
      <c r="I567" s="365"/>
      <c r="J567" s="365"/>
      <c r="K567" s="365"/>
      <c r="L567" s="366"/>
      <c r="M567" s="324" t="s">
        <v>265</v>
      </c>
      <c r="N567" s="16" t="str">
        <f>IF(Planning!$I190=0,G187&amp;F187,"")</f>
        <v/>
      </c>
      <c r="O567" s="122">
        <f t="shared" si="16"/>
        <v>0</v>
      </c>
      <c r="P567" s="122" t="str">
        <f>IF(AND(O567&gt;0,Planning!$I190=0),W187&amp;Language!$E$90&amp;V187,"")</f>
        <v/>
      </c>
      <c r="Q567" s="2" t="str">
        <f>IF(Planning!$I190=1,G187&amp;F187,"")</f>
        <v>Hamburger SVVfL Wolfsburg</v>
      </c>
      <c r="R567" s="88" t="str">
        <f>IF(AND(O567&gt;0,Planning!$I190=1),W187&amp;Language!$E$90&amp;V187,"")</f>
        <v/>
      </c>
      <c r="S567" s="395" t="str">
        <f>IF(O187&gt;0,Y187&amp;Language!$E$90&amp;X187,"")</f>
        <v/>
      </c>
    </row>
    <row r="568" spans="9:19" x14ac:dyDescent="0.2">
      <c r="I568" s="365"/>
      <c r="J568" s="365"/>
      <c r="K568" s="365"/>
      <c r="L568" s="366"/>
      <c r="M568" s="324" t="s">
        <v>266</v>
      </c>
      <c r="N568" s="16" t="str">
        <f>IF(Planning!$I191=0,G188&amp;F188,"")</f>
        <v/>
      </c>
      <c r="O568" s="122">
        <f t="shared" si="16"/>
        <v>0</v>
      </c>
      <c r="P568" s="122" t="str">
        <f>IF(AND(O568&gt;0,Planning!$I191=0),W188&amp;Language!$E$90&amp;V188,"")</f>
        <v/>
      </c>
      <c r="Q568" s="2" t="str">
        <f>IF(Planning!$I191=1,G188&amp;F188,"")</f>
        <v>1. FC KölnFC St. Pauli</v>
      </c>
      <c r="R568" s="88" t="str">
        <f>IF(AND(O568&gt;0,Planning!$I191=1),W188&amp;Language!$E$90&amp;V188,"")</f>
        <v/>
      </c>
      <c r="S568" s="395" t="str">
        <f>IF(O188&gt;0,Y188&amp;Language!$E$90&amp;X188,"")</f>
        <v/>
      </c>
    </row>
    <row r="569" spans="9:19" x14ac:dyDescent="0.2">
      <c r="I569" s="365"/>
      <c r="J569" s="365"/>
      <c r="K569" s="365"/>
      <c r="L569" s="366"/>
      <c r="M569" s="324" t="s">
        <v>267</v>
      </c>
      <c r="N569" s="16" t="str">
        <f>IF(Planning!$I192=0,G189&amp;F189,"")</f>
        <v/>
      </c>
      <c r="O569" s="122">
        <f t="shared" si="16"/>
        <v>0</v>
      </c>
      <c r="P569" s="122" t="str">
        <f>IF(AND(O569&gt;0,Planning!$I192=0),W189&amp;Language!$E$90&amp;V189,"")</f>
        <v/>
      </c>
      <c r="Q569" s="2" t="str">
        <f>IF(Planning!$I192=1,G189&amp;F189,"")</f>
        <v>FC Bayern München1. FC Union Berlin</v>
      </c>
      <c r="R569" s="88" t="str">
        <f>IF(AND(O569&gt;0,Planning!$I192=1),W189&amp;Language!$E$90&amp;V189,"")</f>
        <v/>
      </c>
      <c r="S569" s="395" t="str">
        <f>IF(O189&gt;0,Y189&amp;Language!$E$90&amp;X189,"")</f>
        <v/>
      </c>
    </row>
    <row r="570" spans="9:19" x14ac:dyDescent="0.2">
      <c r="I570" s="365"/>
      <c r="J570" s="365"/>
      <c r="K570" s="365"/>
      <c r="L570" s="366"/>
      <c r="M570" s="324" t="s">
        <v>268</v>
      </c>
      <c r="N570" s="16" t="str">
        <f>IF(Planning!$I193=0,G190&amp;F190,"")</f>
        <v/>
      </c>
      <c r="O570" s="122">
        <f t="shared" si="16"/>
        <v>0</v>
      </c>
      <c r="P570" s="122" t="str">
        <f>IF(AND(O570&gt;0,Planning!$I193=0),W190&amp;Language!$E$90&amp;V190,"")</f>
        <v/>
      </c>
      <c r="Q570" s="2" t="str">
        <f>IF(Planning!$I193=1,G190&amp;F190,"")</f>
        <v>1. FSV Mainz 05FC Augsburg</v>
      </c>
      <c r="R570" s="88" t="str">
        <f>IF(AND(O570&gt;0,Planning!$I193=1),W190&amp;Language!$E$90&amp;V190,"")</f>
        <v/>
      </c>
      <c r="S570" s="395" t="str">
        <f>IF(O190&gt;0,Y190&amp;Language!$E$90&amp;X190,"")</f>
        <v/>
      </c>
    </row>
    <row r="571" spans="9:19" x14ac:dyDescent="0.2">
      <c r="I571" s="365"/>
      <c r="J571" s="365"/>
      <c r="K571" s="365"/>
      <c r="L571" s="366"/>
      <c r="M571" s="324" t="s">
        <v>269</v>
      </c>
      <c r="N571" s="16" t="str">
        <f>IF(Planning!$I194=0,G191&amp;F191,"")</f>
        <v/>
      </c>
      <c r="O571" s="122">
        <f t="shared" si="16"/>
        <v>0</v>
      </c>
      <c r="P571" s="122" t="str">
        <f>IF(AND(O571&gt;0,Planning!$I194=0),W191&amp;Language!$E$90&amp;V191,"")</f>
        <v/>
      </c>
      <c r="Q571" s="2" t="str">
        <f>IF(Planning!$I194=1,G191&amp;F191,"")</f>
        <v>Eintracht FrankfurtBayer 04 Leverkusen</v>
      </c>
      <c r="R571" s="88" t="str">
        <f>IF(AND(O571&gt;0,Planning!$I194=1),W191&amp;Language!$E$90&amp;V191,"")</f>
        <v/>
      </c>
      <c r="S571" s="395" t="str">
        <f>IF(O191&gt;0,Y191&amp;Language!$E$90&amp;X191,"")</f>
        <v/>
      </c>
    </row>
    <row r="572" spans="9:19" x14ac:dyDescent="0.2">
      <c r="I572" s="365"/>
      <c r="J572" s="365"/>
      <c r="K572" s="365"/>
      <c r="L572" s="366"/>
      <c r="M572" s="324" t="s">
        <v>270</v>
      </c>
      <c r="N572" s="16" t="str">
        <f>IF(Planning!$I195=0,G192&amp;F192,"")</f>
        <v/>
      </c>
      <c r="O572" s="122">
        <f t="shared" si="16"/>
        <v>0</v>
      </c>
      <c r="P572" s="122" t="str">
        <f>IF(AND(O572&gt;0,Planning!$I195=0),W192&amp;Language!$E$90&amp;V192,"")</f>
        <v/>
      </c>
      <c r="Q572" s="2" t="str">
        <f>IF(Planning!$I195=1,G192&amp;F192,"")</f>
        <v>Borussia DortmundBorussia Mönchengladbach</v>
      </c>
      <c r="R572" s="88" t="str">
        <f>IF(AND(O572&gt;0,Planning!$I195=1),W192&amp;Language!$E$90&amp;V192,"")</f>
        <v/>
      </c>
      <c r="S572" s="395" t="str">
        <f>IF(O192&gt;0,Y192&amp;Language!$E$90&amp;X192,"")</f>
        <v/>
      </c>
    </row>
    <row r="573" spans="9:19" x14ac:dyDescent="0.2">
      <c r="I573" s="365"/>
      <c r="J573" s="365"/>
      <c r="K573" s="365"/>
      <c r="L573" s="366"/>
      <c r="M573" s="324" t="s">
        <v>271</v>
      </c>
      <c r="N573" s="16" t="str">
        <f>IF(Planning!$I196=0,G193&amp;F193,"")</f>
        <v/>
      </c>
      <c r="O573" s="122">
        <f t="shared" si="16"/>
        <v>0</v>
      </c>
      <c r="P573" s="122" t="str">
        <f>IF(AND(O573&gt;0,Planning!$I196=0),W193&amp;Language!$E$90&amp;V193,"")</f>
        <v/>
      </c>
      <c r="Q573" s="2" t="str">
        <f>IF(Planning!$I196=1,G193&amp;F193,"")</f>
        <v>1. FC Heidenheim 1846SC Freiburg</v>
      </c>
      <c r="R573" s="88" t="str">
        <f>IF(AND(O573&gt;0,Planning!$I196=1),W193&amp;Language!$E$90&amp;V193,"")</f>
        <v/>
      </c>
      <c r="S573" s="395" t="str">
        <f>IF(O193&gt;0,Y193&amp;Language!$E$90&amp;X193,"")</f>
        <v/>
      </c>
    </row>
    <row r="574" spans="9:19" x14ac:dyDescent="0.2">
      <c r="I574" s="365"/>
      <c r="J574" s="365"/>
      <c r="K574" s="365"/>
      <c r="L574" s="366"/>
      <c r="M574" s="324" t="s">
        <v>272</v>
      </c>
      <c r="N574" s="16" t="str">
        <f>IF(Planning!$I197=0,G194&amp;F194,"")</f>
        <v/>
      </c>
      <c r="O574" s="122">
        <f t="shared" si="16"/>
        <v>0</v>
      </c>
      <c r="P574" s="122" t="str">
        <f>IF(AND(O574&gt;0,Planning!$I197=0),W194&amp;Language!$E$90&amp;V194,"")</f>
        <v/>
      </c>
      <c r="Q574" s="2" t="str">
        <f>IF(Planning!$I197=1,G194&amp;F194,"")</f>
        <v>RB LeipzigSV Werder Bremen</v>
      </c>
      <c r="R574" s="88" t="str">
        <f>IF(AND(O574&gt;0,Planning!$I197=1),W194&amp;Language!$E$90&amp;V194,"")</f>
        <v/>
      </c>
      <c r="S574" s="395" t="str">
        <f>IF(O194&gt;0,Y194&amp;Language!$E$90&amp;X194,"")</f>
        <v/>
      </c>
    </row>
    <row r="575" spans="9:19" x14ac:dyDescent="0.2">
      <c r="I575" s="365"/>
      <c r="J575" s="365"/>
      <c r="K575" s="365"/>
      <c r="L575" s="366"/>
      <c r="M575" s="324" t="s">
        <v>273</v>
      </c>
      <c r="N575" s="16" t="str">
        <f>IF(Planning!$I198=0,G195&amp;F195,"")</f>
        <v/>
      </c>
      <c r="O575" s="122">
        <f t="shared" si="16"/>
        <v>0</v>
      </c>
      <c r="P575" s="122" t="str">
        <f>IF(AND(O575&gt;0,Planning!$I198=0),W195&amp;Language!$E$90&amp;V195,"")</f>
        <v/>
      </c>
      <c r="Q575" s="2" t="str">
        <f>IF(Planning!$I198=1,G195&amp;F195,"")</f>
        <v>TSG HoffenheimHamburger SV</v>
      </c>
      <c r="R575" s="88" t="str">
        <f>IF(AND(O575&gt;0,Planning!$I198=1),W195&amp;Language!$E$90&amp;V195,"")</f>
        <v/>
      </c>
      <c r="S575" s="395" t="str">
        <f>IF(O195&gt;0,Y195&amp;Language!$E$90&amp;X195,"")</f>
        <v/>
      </c>
    </row>
    <row r="576" spans="9:19" x14ac:dyDescent="0.2">
      <c r="I576" s="365"/>
      <c r="J576" s="365"/>
      <c r="K576" s="365"/>
      <c r="L576" s="366"/>
      <c r="M576" s="324" t="s">
        <v>274</v>
      </c>
      <c r="N576" s="16" t="str">
        <f>IF(Planning!$I199=0,G196&amp;F196,"")</f>
        <v/>
      </c>
      <c r="O576" s="122">
        <f t="shared" si="16"/>
        <v>0</v>
      </c>
      <c r="P576" s="122" t="str">
        <f>IF(AND(O576&gt;0,Planning!$I199=0),W196&amp;Language!$E$90&amp;V196,"")</f>
        <v/>
      </c>
      <c r="Q576" s="2" t="str">
        <f>IF(Planning!$I199=1,G196&amp;F196,"")</f>
        <v>FC St. PauliVfB Stuttgart</v>
      </c>
      <c r="R576" s="88" t="str">
        <f>IF(AND(O576&gt;0,Planning!$I199=1),W196&amp;Language!$E$90&amp;V196,"")</f>
        <v/>
      </c>
      <c r="S576" s="395" t="str">
        <f>IF(O196&gt;0,Y196&amp;Language!$E$90&amp;X196,"")</f>
        <v/>
      </c>
    </row>
    <row r="577" spans="9:19" x14ac:dyDescent="0.2">
      <c r="I577" s="365"/>
      <c r="J577" s="365"/>
      <c r="K577" s="365"/>
      <c r="L577" s="366"/>
      <c r="M577" s="324" t="s">
        <v>275</v>
      </c>
      <c r="N577" s="16" t="str">
        <f>IF(Planning!$I200=0,G197&amp;F197,"")</f>
        <v/>
      </c>
      <c r="O577" s="122">
        <f t="shared" si="16"/>
        <v>0</v>
      </c>
      <c r="P577" s="122" t="str">
        <f>IF(AND(O577&gt;0,Planning!$I200=0),W197&amp;Language!$E$90&amp;V197,"")</f>
        <v/>
      </c>
      <c r="Q577" s="2" t="str">
        <f>IF(Planning!$I200=1,G197&amp;F197,"")</f>
        <v>VfL WolfsburgFC Bayern München</v>
      </c>
      <c r="R577" s="88" t="str">
        <f>IF(AND(O577&gt;0,Planning!$I200=1),W197&amp;Language!$E$90&amp;V197,"")</f>
        <v/>
      </c>
      <c r="S577" s="395" t="str">
        <f>IF(O197&gt;0,Y197&amp;Language!$E$90&amp;X197,"")</f>
        <v/>
      </c>
    </row>
    <row r="578" spans="9:19" x14ac:dyDescent="0.2">
      <c r="I578" s="365"/>
      <c r="J578" s="365"/>
      <c r="K578" s="365"/>
      <c r="L578" s="366"/>
      <c r="M578" s="324" t="s">
        <v>276</v>
      </c>
      <c r="N578" s="16" t="str">
        <f>IF(Planning!$I201=0,G198&amp;F198,"")</f>
        <v/>
      </c>
      <c r="O578" s="122">
        <f t="shared" si="16"/>
        <v>0</v>
      </c>
      <c r="P578" s="122" t="str">
        <f>IF(AND(O578&gt;0,Planning!$I201=0),W198&amp;Language!$E$90&amp;V198,"")</f>
        <v/>
      </c>
      <c r="Q578" s="2" t="str">
        <f>IF(Planning!$I201=1,G198&amp;F198,"")</f>
        <v>FC Augsburg1. FC Köln</v>
      </c>
      <c r="R578" s="88" t="str">
        <f>IF(AND(O578&gt;0,Planning!$I201=1),W198&amp;Language!$E$90&amp;V198,"")</f>
        <v/>
      </c>
      <c r="S578" s="395" t="str">
        <f>IF(O198&gt;0,Y198&amp;Language!$E$90&amp;X198,"")</f>
        <v/>
      </c>
    </row>
    <row r="579" spans="9:19" x14ac:dyDescent="0.2">
      <c r="I579" s="365"/>
      <c r="J579" s="365"/>
      <c r="K579" s="365"/>
      <c r="L579" s="366"/>
      <c r="M579" s="324" t="s">
        <v>277</v>
      </c>
      <c r="N579" s="16" t="str">
        <f>IF(Planning!$I202=0,G199&amp;F199,"")</f>
        <v/>
      </c>
      <c r="O579" s="122">
        <f t="shared" si="16"/>
        <v>0</v>
      </c>
      <c r="P579" s="122" t="str">
        <f>IF(AND(O579&gt;0,Planning!$I202=0),W199&amp;Language!$E$90&amp;V199,"")</f>
        <v/>
      </c>
      <c r="Q579" s="2" t="str">
        <f>IF(Planning!$I202=1,G199&amp;F199,"")</f>
        <v>1. FC Union BerlinEintracht Frankfurt</v>
      </c>
      <c r="R579" s="88" t="str">
        <f>IF(AND(O579&gt;0,Planning!$I202=1),W199&amp;Language!$E$90&amp;V199,"")</f>
        <v/>
      </c>
      <c r="S579" s="395" t="str">
        <f>IF(O199&gt;0,Y199&amp;Language!$E$90&amp;X199,"")</f>
        <v/>
      </c>
    </row>
    <row r="580" spans="9:19" x14ac:dyDescent="0.2">
      <c r="I580" s="365"/>
      <c r="J580" s="365"/>
      <c r="K580" s="365"/>
      <c r="L580" s="366"/>
      <c r="M580" s="324" t="s">
        <v>278</v>
      </c>
      <c r="N580" s="16" t="str">
        <f>IF(Planning!$I203=0,G200&amp;F200,"")</f>
        <v/>
      </c>
      <c r="O580" s="122">
        <f t="shared" si="16"/>
        <v>0</v>
      </c>
      <c r="P580" s="122" t="str">
        <f>IF(AND(O580&gt;0,Planning!$I203=0),W200&amp;Language!$E$90&amp;V200,"")</f>
        <v/>
      </c>
      <c r="Q580" s="2" t="str">
        <f>IF(Planning!$I203=1,G200&amp;F200,"")</f>
        <v>Borussia Mönchengladbach1. FSV Mainz 05</v>
      </c>
      <c r="R580" s="88" t="str">
        <f>IF(AND(O580&gt;0,Planning!$I203=1),W200&amp;Language!$E$90&amp;V200,"")</f>
        <v/>
      </c>
      <c r="S580" s="395" t="str">
        <f>IF(O200&gt;0,Y200&amp;Language!$E$90&amp;X200,"")</f>
        <v/>
      </c>
    </row>
    <row r="581" spans="9:19" x14ac:dyDescent="0.2">
      <c r="I581" s="365"/>
      <c r="J581" s="365"/>
      <c r="K581" s="365"/>
      <c r="L581" s="366"/>
      <c r="M581" s="324" t="s">
        <v>279</v>
      </c>
      <c r="N581" s="16" t="str">
        <f>IF(Planning!$I204=0,G201&amp;F201,"")</f>
        <v/>
      </c>
      <c r="O581" s="122">
        <f t="shared" si="16"/>
        <v>0</v>
      </c>
      <c r="P581" s="122" t="str">
        <f>IF(AND(O581&gt;0,Planning!$I204=0),W201&amp;Language!$E$90&amp;V201,"")</f>
        <v/>
      </c>
      <c r="Q581" s="2" t="str">
        <f>IF(Planning!$I204=1,G201&amp;F201,"")</f>
        <v>Bayer 04 LeverkusenBorussia Dortmund</v>
      </c>
      <c r="R581" s="88" t="str">
        <f>IF(AND(O581&gt;0,Planning!$I204=1),W201&amp;Language!$E$90&amp;V201,"")</f>
        <v/>
      </c>
      <c r="S581" s="395" t="str">
        <f>IF(O201&gt;0,Y201&amp;Language!$E$90&amp;X201,"")</f>
        <v/>
      </c>
    </row>
    <row r="582" spans="9:19" x14ac:dyDescent="0.2">
      <c r="I582" s="365"/>
      <c r="J582" s="365"/>
      <c r="K582" s="365"/>
      <c r="L582" s="366"/>
      <c r="M582" s="324" t="s">
        <v>280</v>
      </c>
      <c r="N582" s="16" t="str">
        <f>IF(Planning!$I205=0,G202&amp;F202,"")</f>
        <v/>
      </c>
      <c r="O582" s="122">
        <f t="shared" si="16"/>
        <v>0</v>
      </c>
      <c r="P582" s="122" t="str">
        <f>IF(AND(O582&gt;0,Planning!$I205=0),W202&amp;Language!$E$90&amp;V202,"")</f>
        <v/>
      </c>
      <c r="Q582" s="2" t="str">
        <f>IF(Planning!$I205=1,G202&amp;F202,"")</f>
        <v>RB Leipzig1. FC Heidenheim 1846</v>
      </c>
      <c r="R582" s="88" t="str">
        <f>IF(AND(O582&gt;0,Planning!$I205=1),W202&amp;Language!$E$90&amp;V202,"")</f>
        <v/>
      </c>
      <c r="S582" s="395" t="str">
        <f>IF(O202&gt;0,Y202&amp;Language!$E$90&amp;X202,"")</f>
        <v/>
      </c>
    </row>
    <row r="583" spans="9:19" x14ac:dyDescent="0.2">
      <c r="I583" s="365"/>
      <c r="J583" s="365"/>
      <c r="K583" s="365"/>
      <c r="L583" s="366"/>
      <c r="M583" s="324" t="s">
        <v>281</v>
      </c>
      <c r="N583" s="16" t="str">
        <f>IF(Planning!$I206=0,G203&amp;F203,"")</f>
        <v/>
      </c>
      <c r="O583" s="122">
        <f t="shared" ref="O583:O646" si="17">O203</f>
        <v>0</v>
      </c>
      <c r="P583" s="122" t="str">
        <f>IF(AND(O583&gt;0,Planning!$I206=0),W203&amp;Language!$E$90&amp;V203,"")</f>
        <v/>
      </c>
      <c r="Q583" s="2" t="str">
        <f>IF(Planning!$I206=1,G203&amp;F203,"")</f>
        <v>Hamburger SVSC Freiburg</v>
      </c>
      <c r="R583" s="88" t="str">
        <f>IF(AND(O583&gt;0,Planning!$I206=1),W203&amp;Language!$E$90&amp;V203,"")</f>
        <v/>
      </c>
      <c r="S583" s="395" t="str">
        <f>IF(O203&gt;0,Y203&amp;Language!$E$90&amp;X203,"")</f>
        <v/>
      </c>
    </row>
    <row r="584" spans="9:19" x14ac:dyDescent="0.2">
      <c r="I584" s="365"/>
      <c r="J584" s="365"/>
      <c r="K584" s="365"/>
      <c r="L584" s="366"/>
      <c r="M584" s="324" t="s">
        <v>282</v>
      </c>
      <c r="N584" s="16" t="str">
        <f>IF(Planning!$I207=0,G204&amp;F204,"")</f>
        <v/>
      </c>
      <c r="O584" s="122">
        <f t="shared" si="17"/>
        <v>0</v>
      </c>
      <c r="P584" s="122" t="str">
        <f>IF(AND(O584&gt;0,Planning!$I207=0),W204&amp;Language!$E$90&amp;V204,"")</f>
        <v/>
      </c>
      <c r="Q584" s="2" t="str">
        <f>IF(Planning!$I207=1,G204&amp;F204,"")</f>
        <v>SV Werder BremenFC St. Pauli</v>
      </c>
      <c r="R584" s="88" t="str">
        <f>IF(AND(O584&gt;0,Planning!$I207=1),W204&amp;Language!$E$90&amp;V204,"")</f>
        <v/>
      </c>
      <c r="S584" s="395" t="str">
        <f>IF(O204&gt;0,Y204&amp;Language!$E$90&amp;X204,"")</f>
        <v/>
      </c>
    </row>
    <row r="585" spans="9:19" x14ac:dyDescent="0.2">
      <c r="I585" s="365"/>
      <c r="J585" s="365"/>
      <c r="K585" s="365"/>
      <c r="L585" s="366"/>
      <c r="M585" s="324" t="s">
        <v>283</v>
      </c>
      <c r="N585" s="16" t="str">
        <f>IF(Planning!$I208=0,G205&amp;F205,"")</f>
        <v/>
      </c>
      <c r="O585" s="122">
        <f t="shared" si="17"/>
        <v>0</v>
      </c>
      <c r="P585" s="122" t="str">
        <f>IF(AND(O585&gt;0,Planning!$I208=0),W205&amp;Language!$E$90&amp;V205,"")</f>
        <v/>
      </c>
      <c r="Q585" s="2" t="str">
        <f>IF(Planning!$I208=1,G205&amp;F205,"")</f>
        <v>FC Bayern MünchenTSG Hoffenheim</v>
      </c>
      <c r="R585" s="88" t="str">
        <f>IF(AND(O585&gt;0,Planning!$I208=1),W205&amp;Language!$E$90&amp;V205,"")</f>
        <v/>
      </c>
      <c r="S585" s="395" t="str">
        <f>IF(O205&gt;0,Y205&amp;Language!$E$90&amp;X205,"")</f>
        <v/>
      </c>
    </row>
    <row r="586" spans="9:19" x14ac:dyDescent="0.2">
      <c r="I586" s="365"/>
      <c r="J586" s="365"/>
      <c r="K586" s="365"/>
      <c r="L586" s="366"/>
      <c r="M586" s="324" t="s">
        <v>284</v>
      </c>
      <c r="N586" s="16" t="str">
        <f>IF(Planning!$I209=0,G206&amp;F206,"")</f>
        <v/>
      </c>
      <c r="O586" s="122">
        <f t="shared" si="17"/>
        <v>0</v>
      </c>
      <c r="P586" s="122" t="str">
        <f>IF(AND(O586&gt;0,Planning!$I209=0),W206&amp;Language!$E$90&amp;V206,"")</f>
        <v/>
      </c>
      <c r="Q586" s="2" t="str">
        <f>IF(Planning!$I209=1,G206&amp;F206,"")</f>
        <v>VfB StuttgartFC Augsburg</v>
      </c>
      <c r="R586" s="88" t="str">
        <f>IF(AND(O586&gt;0,Planning!$I209=1),W206&amp;Language!$E$90&amp;V206,"")</f>
        <v/>
      </c>
      <c r="S586" s="395" t="str">
        <f>IF(O206&gt;0,Y206&amp;Language!$E$90&amp;X206,"")</f>
        <v/>
      </c>
    </row>
    <row r="587" spans="9:19" x14ac:dyDescent="0.2">
      <c r="I587" s="365"/>
      <c r="J587" s="365"/>
      <c r="K587" s="365"/>
      <c r="L587" s="366"/>
      <c r="M587" s="324" t="s">
        <v>285</v>
      </c>
      <c r="N587" s="16" t="str">
        <f>IF(Planning!$I210=0,G207&amp;F207,"")</f>
        <v/>
      </c>
      <c r="O587" s="122">
        <f t="shared" si="17"/>
        <v>0</v>
      </c>
      <c r="P587" s="122" t="str">
        <f>IF(AND(O587&gt;0,Planning!$I210=0),W207&amp;Language!$E$90&amp;V207,"")</f>
        <v/>
      </c>
      <c r="Q587" s="2" t="str">
        <f>IF(Planning!$I210=1,G207&amp;F207,"")</f>
        <v>Eintracht FrankfurtVfL Wolfsburg</v>
      </c>
      <c r="R587" s="88" t="str">
        <f>IF(AND(O587&gt;0,Planning!$I210=1),W207&amp;Language!$E$90&amp;V207,"")</f>
        <v/>
      </c>
      <c r="S587" s="395" t="str">
        <f>IF(O207&gt;0,Y207&amp;Language!$E$90&amp;X207,"")</f>
        <v/>
      </c>
    </row>
    <row r="588" spans="9:19" x14ac:dyDescent="0.2">
      <c r="I588" s="365"/>
      <c r="J588" s="365"/>
      <c r="K588" s="365"/>
      <c r="L588" s="366"/>
      <c r="M588" s="324" t="s">
        <v>286</v>
      </c>
      <c r="N588" s="16" t="str">
        <f>IF(Planning!$I211=0,G208&amp;F208,"")</f>
        <v/>
      </c>
      <c r="O588" s="122">
        <f t="shared" si="17"/>
        <v>0</v>
      </c>
      <c r="P588" s="122" t="str">
        <f>IF(AND(O588&gt;0,Planning!$I211=0),W208&amp;Language!$E$90&amp;V208,"")</f>
        <v/>
      </c>
      <c r="Q588" s="2" t="str">
        <f>IF(Planning!$I211=1,G208&amp;F208,"")</f>
        <v>1. FC KölnBorussia Mönchengladbach</v>
      </c>
      <c r="R588" s="88" t="str">
        <f>IF(AND(O588&gt;0,Planning!$I211=1),W208&amp;Language!$E$90&amp;V208,"")</f>
        <v/>
      </c>
      <c r="S588" s="395" t="str">
        <f>IF(O208&gt;0,Y208&amp;Language!$E$90&amp;X208,"")</f>
        <v/>
      </c>
    </row>
    <row r="589" spans="9:19" x14ac:dyDescent="0.2">
      <c r="I589" s="365"/>
      <c r="J589" s="365"/>
      <c r="K589" s="365"/>
      <c r="L589" s="366"/>
      <c r="M589" s="324" t="s">
        <v>287</v>
      </c>
      <c r="N589" s="16" t="str">
        <f>IF(Planning!$I212=0,G209&amp;F209,"")</f>
        <v/>
      </c>
      <c r="O589" s="122">
        <f t="shared" si="17"/>
        <v>0</v>
      </c>
      <c r="P589" s="122" t="str">
        <f>IF(AND(O589&gt;0,Planning!$I212=0),W209&amp;Language!$E$90&amp;V209,"")</f>
        <v/>
      </c>
      <c r="Q589" s="2" t="str">
        <f>IF(Planning!$I212=1,G209&amp;F209,"")</f>
        <v>Borussia Dortmund1. FC Union Berlin</v>
      </c>
      <c r="R589" s="88" t="str">
        <f>IF(AND(O589&gt;0,Planning!$I212=1),W209&amp;Language!$E$90&amp;V209,"")</f>
        <v/>
      </c>
      <c r="S589" s="395" t="str">
        <f>IF(O209&gt;0,Y209&amp;Language!$E$90&amp;X209,"")</f>
        <v/>
      </c>
    </row>
    <row r="590" spans="9:19" x14ac:dyDescent="0.2">
      <c r="I590" s="365"/>
      <c r="J590" s="365"/>
      <c r="K590" s="365"/>
      <c r="L590" s="366"/>
      <c r="M590" s="324" t="s">
        <v>288</v>
      </c>
      <c r="N590" s="16" t="str">
        <f>IF(Planning!$I213=0,G210&amp;F210,"")</f>
        <v/>
      </c>
      <c r="O590" s="122">
        <f t="shared" si="17"/>
        <v>0</v>
      </c>
      <c r="P590" s="122" t="str">
        <f>IF(AND(O590&gt;0,Planning!$I213=0),W210&amp;Language!$E$90&amp;V210,"")</f>
        <v/>
      </c>
      <c r="Q590" s="2" t="str">
        <f>IF(Planning!$I213=1,G210&amp;F210,"")</f>
        <v>1. FSV Mainz 05Bayer 04 Leverkusen</v>
      </c>
      <c r="R590" s="88" t="str">
        <f>IF(AND(O590&gt;0,Planning!$I213=1),W210&amp;Language!$E$90&amp;V210,"")</f>
        <v/>
      </c>
      <c r="S590" s="395" t="str">
        <f>IF(O210&gt;0,Y210&amp;Language!$E$90&amp;X210,"")</f>
        <v/>
      </c>
    </row>
    <row r="591" spans="9:19" x14ac:dyDescent="0.2">
      <c r="I591" s="365"/>
      <c r="J591" s="365"/>
      <c r="K591" s="365"/>
      <c r="L591" s="366"/>
      <c r="M591" s="324" t="s">
        <v>289</v>
      </c>
      <c r="N591" s="16" t="str">
        <f>IF(Planning!$I214=0,G211&amp;F211,"")</f>
        <v/>
      </c>
      <c r="O591" s="122">
        <f t="shared" si="17"/>
        <v>0</v>
      </c>
      <c r="P591" s="122" t="str">
        <f>IF(AND(O591&gt;0,Planning!$I214=0),W211&amp;Language!$E$90&amp;V211,"")</f>
        <v/>
      </c>
      <c r="Q591" s="2" t="str">
        <f>IF(Planning!$I214=1,G211&amp;F211,"")</f>
        <v>1. FC Heidenheim 1846Hamburger SV</v>
      </c>
      <c r="R591" s="88" t="str">
        <f>IF(AND(O591&gt;0,Planning!$I214=1),W211&amp;Language!$E$90&amp;V211,"")</f>
        <v/>
      </c>
      <c r="S591" s="395" t="str">
        <f>IF(O211&gt;0,Y211&amp;Language!$E$90&amp;X211,"")</f>
        <v/>
      </c>
    </row>
    <row r="592" spans="9:19" x14ac:dyDescent="0.2">
      <c r="I592" s="365"/>
      <c r="J592" s="365"/>
      <c r="K592" s="365"/>
      <c r="L592" s="366"/>
      <c r="M592" s="324" t="s">
        <v>290</v>
      </c>
      <c r="N592" s="16" t="str">
        <f>IF(Planning!$I215=0,G212&amp;F212,"")</f>
        <v/>
      </c>
      <c r="O592" s="122">
        <f t="shared" si="17"/>
        <v>0</v>
      </c>
      <c r="P592" s="122" t="str">
        <f>IF(AND(O592&gt;0,Planning!$I215=0),W212&amp;Language!$E$90&amp;V212,"")</f>
        <v/>
      </c>
      <c r="Q592" s="2" t="str">
        <f>IF(Planning!$I215=1,G212&amp;F212,"")</f>
        <v>FC St. PauliRB Leipzig</v>
      </c>
      <c r="R592" s="88" t="str">
        <f>IF(AND(O592&gt;0,Planning!$I215=1),W212&amp;Language!$E$90&amp;V212,"")</f>
        <v/>
      </c>
      <c r="S592" s="395" t="str">
        <f>IF(O212&gt;0,Y212&amp;Language!$E$90&amp;X212,"")</f>
        <v/>
      </c>
    </row>
    <row r="593" spans="9:19" x14ac:dyDescent="0.2">
      <c r="I593" s="365"/>
      <c r="J593" s="365"/>
      <c r="K593" s="365"/>
      <c r="L593" s="366"/>
      <c r="M593" s="324" t="s">
        <v>291</v>
      </c>
      <c r="N593" s="16" t="str">
        <f>IF(Planning!$I216=0,G213&amp;F213,"")</f>
        <v/>
      </c>
      <c r="O593" s="122">
        <f t="shared" si="17"/>
        <v>0</v>
      </c>
      <c r="P593" s="122" t="str">
        <f>IF(AND(O593&gt;0,Planning!$I216=0),W213&amp;Language!$E$90&amp;V213,"")</f>
        <v/>
      </c>
      <c r="Q593" s="2" t="str">
        <f>IF(Planning!$I216=1,G213&amp;F213,"")</f>
        <v>SC FreiburgFC Bayern München</v>
      </c>
      <c r="R593" s="88" t="str">
        <f>IF(AND(O593&gt;0,Planning!$I216=1),W213&amp;Language!$E$90&amp;V213,"")</f>
        <v/>
      </c>
      <c r="S593" s="395" t="str">
        <f>IF(O213&gt;0,Y213&amp;Language!$E$90&amp;X213,"")</f>
        <v/>
      </c>
    </row>
    <row r="594" spans="9:19" x14ac:dyDescent="0.2">
      <c r="I594" s="365"/>
      <c r="J594" s="365"/>
      <c r="K594" s="365"/>
      <c r="L594" s="366"/>
      <c r="M594" s="324" t="s">
        <v>292</v>
      </c>
      <c r="N594" s="16" t="str">
        <f>IF(Planning!$I217=0,G214&amp;F214,"")</f>
        <v/>
      </c>
      <c r="O594" s="122">
        <f t="shared" si="17"/>
        <v>0</v>
      </c>
      <c r="P594" s="122" t="str">
        <f>IF(AND(O594&gt;0,Planning!$I217=0),W214&amp;Language!$E$90&amp;V214,"")</f>
        <v/>
      </c>
      <c r="Q594" s="2" t="str">
        <f>IF(Planning!$I217=1,G214&amp;F214,"")</f>
        <v>FC AugsburgSV Werder Bremen</v>
      </c>
      <c r="R594" s="88" t="str">
        <f>IF(AND(O594&gt;0,Planning!$I217=1),W214&amp;Language!$E$90&amp;V214,"")</f>
        <v/>
      </c>
      <c r="S594" s="395" t="str">
        <f>IF(O214&gt;0,Y214&amp;Language!$E$90&amp;X214,"")</f>
        <v/>
      </c>
    </row>
    <row r="595" spans="9:19" x14ac:dyDescent="0.2">
      <c r="I595" s="365"/>
      <c r="J595" s="365"/>
      <c r="K595" s="365"/>
      <c r="L595" s="366"/>
      <c r="M595" s="324" t="s">
        <v>293</v>
      </c>
      <c r="N595" s="16" t="str">
        <f>IF(Planning!$I218=0,G215&amp;F215,"")</f>
        <v/>
      </c>
      <c r="O595" s="122">
        <f t="shared" si="17"/>
        <v>0</v>
      </c>
      <c r="P595" s="122" t="str">
        <f>IF(AND(O595&gt;0,Planning!$I218=0),W215&amp;Language!$E$90&amp;V215,"")</f>
        <v/>
      </c>
      <c r="Q595" s="2" t="str">
        <f>IF(Planning!$I218=1,G215&amp;F215,"")</f>
        <v>TSG HoffenheimEintracht Frankfurt</v>
      </c>
      <c r="R595" s="88" t="str">
        <f>IF(AND(O595&gt;0,Planning!$I218=1),W215&amp;Language!$E$90&amp;V215,"")</f>
        <v/>
      </c>
      <c r="S595" s="395" t="str">
        <f>IF(O215&gt;0,Y215&amp;Language!$E$90&amp;X215,"")</f>
        <v/>
      </c>
    </row>
    <row r="596" spans="9:19" x14ac:dyDescent="0.2">
      <c r="I596" s="365"/>
      <c r="J596" s="365"/>
      <c r="K596" s="365"/>
      <c r="L596" s="366"/>
      <c r="M596" s="324" t="s">
        <v>294</v>
      </c>
      <c r="N596" s="16" t="str">
        <f>IF(Planning!$I219=0,G216&amp;F216,"")</f>
        <v/>
      </c>
      <c r="O596" s="122">
        <f t="shared" si="17"/>
        <v>0</v>
      </c>
      <c r="P596" s="122" t="str">
        <f>IF(AND(O596&gt;0,Planning!$I219=0),W216&amp;Language!$E$90&amp;V216,"")</f>
        <v/>
      </c>
      <c r="Q596" s="2" t="str">
        <f>IF(Planning!$I219=1,G216&amp;F216,"")</f>
        <v>Borussia MönchengladbachVfB Stuttgart</v>
      </c>
      <c r="R596" s="88" t="str">
        <f>IF(AND(O596&gt;0,Planning!$I219=1),W216&amp;Language!$E$90&amp;V216,"")</f>
        <v/>
      </c>
      <c r="S596" s="395" t="str">
        <f>IF(O216&gt;0,Y216&amp;Language!$E$90&amp;X216,"")</f>
        <v/>
      </c>
    </row>
    <row r="597" spans="9:19" x14ac:dyDescent="0.2">
      <c r="I597" s="365"/>
      <c r="J597" s="365"/>
      <c r="K597" s="365"/>
      <c r="L597" s="366"/>
      <c r="M597" s="324" t="s">
        <v>295</v>
      </c>
      <c r="N597" s="16" t="str">
        <f>IF(Planning!$I220=0,G217&amp;F217,"")</f>
        <v/>
      </c>
      <c r="O597" s="122">
        <f t="shared" si="17"/>
        <v>0</v>
      </c>
      <c r="P597" s="122" t="str">
        <f>IF(AND(O597&gt;0,Planning!$I220=0),W217&amp;Language!$E$90&amp;V217,"")</f>
        <v/>
      </c>
      <c r="Q597" s="2" t="str">
        <f>IF(Planning!$I220=1,G217&amp;F217,"")</f>
        <v>VfL WolfsburgBorussia Dortmund</v>
      </c>
      <c r="R597" s="88" t="str">
        <f>IF(AND(O597&gt;0,Planning!$I220=1),W217&amp;Language!$E$90&amp;V217,"")</f>
        <v/>
      </c>
      <c r="S597" s="395" t="str">
        <f>IF(O217&gt;0,Y217&amp;Language!$E$90&amp;X217,"")</f>
        <v/>
      </c>
    </row>
    <row r="598" spans="9:19" x14ac:dyDescent="0.2">
      <c r="I598" s="365"/>
      <c r="J598" s="365"/>
      <c r="K598" s="365"/>
      <c r="L598" s="366"/>
      <c r="M598" s="324" t="s">
        <v>296</v>
      </c>
      <c r="N598" s="16" t="str">
        <f>IF(Planning!$I221=0,G218&amp;F218,"")</f>
        <v/>
      </c>
      <c r="O598" s="122">
        <f t="shared" si="17"/>
        <v>0</v>
      </c>
      <c r="P598" s="122" t="str">
        <f>IF(AND(O598&gt;0,Planning!$I221=0),W218&amp;Language!$E$90&amp;V218,"")</f>
        <v/>
      </c>
      <c r="Q598" s="2" t="str">
        <f>IF(Planning!$I221=1,G218&amp;F218,"")</f>
        <v>Bayer 04 Leverkusen1. FC Köln</v>
      </c>
      <c r="R598" s="88" t="str">
        <f>IF(AND(O598&gt;0,Planning!$I221=1),W218&amp;Language!$E$90&amp;V218,"")</f>
        <v/>
      </c>
      <c r="S598" s="395" t="str">
        <f>IF(O218&gt;0,Y218&amp;Language!$E$90&amp;X218,"")</f>
        <v/>
      </c>
    </row>
    <row r="599" spans="9:19" x14ac:dyDescent="0.2">
      <c r="I599" s="365"/>
      <c r="J599" s="365"/>
      <c r="K599" s="365"/>
      <c r="L599" s="366"/>
      <c r="M599" s="324" t="s">
        <v>297</v>
      </c>
      <c r="N599" s="16" t="str">
        <f>IF(Planning!$I222=0,G219&amp;F219,"")</f>
        <v/>
      </c>
      <c r="O599" s="122">
        <f t="shared" si="17"/>
        <v>0</v>
      </c>
      <c r="P599" s="122" t="str">
        <f>IF(AND(O599&gt;0,Planning!$I222=0),W219&amp;Language!$E$90&amp;V219,"")</f>
        <v/>
      </c>
      <c r="Q599" s="2" t="str">
        <f>IF(Planning!$I222=1,G219&amp;F219,"")</f>
        <v>1. FC Union Berlin1. FSV Mainz 05</v>
      </c>
      <c r="R599" s="88" t="str">
        <f>IF(AND(O599&gt;0,Planning!$I222=1),W219&amp;Language!$E$90&amp;V219,"")</f>
        <v/>
      </c>
      <c r="S599" s="395" t="str">
        <f>IF(O219&gt;0,Y219&amp;Language!$E$90&amp;X219,"")</f>
        <v/>
      </c>
    </row>
    <row r="600" spans="9:19" x14ac:dyDescent="0.2">
      <c r="I600" s="365"/>
      <c r="J600" s="365"/>
      <c r="K600" s="365"/>
      <c r="L600" s="366"/>
      <c r="M600" s="324" t="s">
        <v>298</v>
      </c>
      <c r="N600" s="16" t="str">
        <f>IF(Planning!$I223=0,G220&amp;F220,"")</f>
        <v/>
      </c>
      <c r="O600" s="122">
        <f t="shared" si="17"/>
        <v>0</v>
      </c>
      <c r="P600" s="122" t="str">
        <f>IF(AND(O600&gt;0,Planning!$I223=0),W220&amp;Language!$E$90&amp;V220,"")</f>
        <v/>
      </c>
      <c r="Q600" s="2" t="str">
        <f>IF(Planning!$I223=1,G220&amp;F220,"")</f>
        <v>FC St. Pauli1. FC Heidenheim 1846</v>
      </c>
      <c r="R600" s="88" t="str">
        <f>IF(AND(O600&gt;0,Planning!$I223=1),W220&amp;Language!$E$90&amp;V220,"")</f>
        <v/>
      </c>
      <c r="S600" s="395" t="str">
        <f>IF(O220&gt;0,Y220&amp;Language!$E$90&amp;X220,"")</f>
        <v/>
      </c>
    </row>
    <row r="601" spans="9:19" x14ac:dyDescent="0.2">
      <c r="I601" s="365"/>
      <c r="J601" s="365"/>
      <c r="K601" s="365"/>
      <c r="L601" s="366"/>
      <c r="M601" s="324" t="s">
        <v>299</v>
      </c>
      <c r="N601" s="16" t="str">
        <f>IF(Planning!$I224=0,G221&amp;F221,"")</f>
        <v/>
      </c>
      <c r="O601" s="122">
        <f t="shared" si="17"/>
        <v>0</v>
      </c>
      <c r="P601" s="122" t="str">
        <f>IF(AND(O601&gt;0,Planning!$I224=0),W221&amp;Language!$E$90&amp;V221,"")</f>
        <v/>
      </c>
      <c r="Q601" s="2" t="str">
        <f>IF(Planning!$I224=1,G221&amp;F221,"")</f>
        <v>FC Bayern MünchenHamburger SV</v>
      </c>
      <c r="R601" s="88" t="str">
        <f>IF(AND(O601&gt;0,Planning!$I224=1),W221&amp;Language!$E$90&amp;V221,"")</f>
        <v/>
      </c>
      <c r="S601" s="395" t="str">
        <f>IF(O221&gt;0,Y221&amp;Language!$E$90&amp;X221,"")</f>
        <v/>
      </c>
    </row>
    <row r="602" spans="9:19" x14ac:dyDescent="0.2">
      <c r="I602" s="365"/>
      <c r="J602" s="365"/>
      <c r="K602" s="365"/>
      <c r="L602" s="366"/>
      <c r="M602" s="324" t="s">
        <v>300</v>
      </c>
      <c r="N602" s="16" t="str">
        <f>IF(Planning!$I225=0,G222&amp;F222,"")</f>
        <v/>
      </c>
      <c r="O602" s="122">
        <f t="shared" si="17"/>
        <v>0</v>
      </c>
      <c r="P602" s="122" t="str">
        <f>IF(AND(O602&gt;0,Planning!$I225=0),W222&amp;Language!$E$90&amp;V222,"")</f>
        <v/>
      </c>
      <c r="Q602" s="2" t="str">
        <f>IF(Planning!$I225=1,G222&amp;F222,"")</f>
        <v>RB LeipzigFC Augsburg</v>
      </c>
      <c r="R602" s="88" t="str">
        <f>IF(AND(O602&gt;0,Planning!$I225=1),W222&amp;Language!$E$90&amp;V222,"")</f>
        <v/>
      </c>
      <c r="S602" s="395" t="str">
        <f>IF(O222&gt;0,Y222&amp;Language!$E$90&amp;X222,"")</f>
        <v/>
      </c>
    </row>
    <row r="603" spans="9:19" x14ac:dyDescent="0.2">
      <c r="I603" s="365"/>
      <c r="J603" s="365"/>
      <c r="K603" s="365"/>
      <c r="L603" s="366"/>
      <c r="M603" s="324" t="s">
        <v>301</v>
      </c>
      <c r="N603" s="16" t="str">
        <f>IF(Planning!$I226=0,G223&amp;F223,"")</f>
        <v/>
      </c>
      <c r="O603" s="122">
        <f t="shared" si="17"/>
        <v>0</v>
      </c>
      <c r="P603" s="122" t="str">
        <f>IF(AND(O603&gt;0,Planning!$I226=0),W223&amp;Language!$E$90&amp;V223,"")</f>
        <v/>
      </c>
      <c r="Q603" s="2" t="str">
        <f>IF(Planning!$I226=1,G223&amp;F223,"")</f>
        <v>Eintracht FrankfurtSC Freiburg</v>
      </c>
      <c r="R603" s="88" t="str">
        <f>IF(AND(O603&gt;0,Planning!$I226=1),W223&amp;Language!$E$90&amp;V223,"")</f>
        <v/>
      </c>
      <c r="S603" s="395" t="str">
        <f>IF(O223&gt;0,Y223&amp;Language!$E$90&amp;X223,"")</f>
        <v/>
      </c>
    </row>
    <row r="604" spans="9:19" x14ac:dyDescent="0.2">
      <c r="I604" s="365"/>
      <c r="J604" s="365"/>
      <c r="K604" s="365"/>
      <c r="L604" s="366"/>
      <c r="M604" s="324" t="s">
        <v>302</v>
      </c>
      <c r="N604" s="16" t="str">
        <f>IF(Planning!$I227=0,G224&amp;F224,"")</f>
        <v/>
      </c>
      <c r="O604" s="122">
        <f t="shared" si="17"/>
        <v>0</v>
      </c>
      <c r="P604" s="122" t="str">
        <f>IF(AND(O604&gt;0,Planning!$I227=0),W224&amp;Language!$E$90&amp;V224,"")</f>
        <v/>
      </c>
      <c r="Q604" s="2" t="str">
        <f>IF(Planning!$I227=1,G224&amp;F224,"")</f>
        <v>SV Werder BremenBorussia Mönchengladbach</v>
      </c>
      <c r="R604" s="88" t="str">
        <f>IF(AND(O604&gt;0,Planning!$I227=1),W224&amp;Language!$E$90&amp;V224,"")</f>
        <v/>
      </c>
      <c r="S604" s="395" t="str">
        <f>IF(O224&gt;0,Y224&amp;Language!$E$90&amp;X224,"")</f>
        <v/>
      </c>
    </row>
    <row r="605" spans="9:19" x14ac:dyDescent="0.2">
      <c r="I605" s="365"/>
      <c r="J605" s="365"/>
      <c r="K605" s="365"/>
      <c r="L605" s="366"/>
      <c r="M605" s="324" t="s">
        <v>303</v>
      </c>
      <c r="N605" s="16" t="str">
        <f>IF(Planning!$I228=0,G225&amp;F225,"")</f>
        <v/>
      </c>
      <c r="O605" s="122">
        <f t="shared" si="17"/>
        <v>0</v>
      </c>
      <c r="P605" s="122" t="str">
        <f>IF(AND(O605&gt;0,Planning!$I228=0),W225&amp;Language!$E$90&amp;V225,"")</f>
        <v/>
      </c>
      <c r="Q605" s="2" t="str">
        <f>IF(Planning!$I228=1,G225&amp;F225,"")</f>
        <v>Borussia DortmundTSG Hoffenheim</v>
      </c>
      <c r="R605" s="88" t="str">
        <f>IF(AND(O605&gt;0,Planning!$I228=1),W225&amp;Language!$E$90&amp;V225,"")</f>
        <v/>
      </c>
      <c r="S605" s="395" t="str">
        <f>IF(O225&gt;0,Y225&amp;Language!$E$90&amp;X225,"")</f>
        <v/>
      </c>
    </row>
    <row r="606" spans="9:19" x14ac:dyDescent="0.2">
      <c r="I606" s="365"/>
      <c r="J606" s="365"/>
      <c r="K606" s="365"/>
      <c r="L606" s="366"/>
      <c r="M606" s="324" t="s">
        <v>304</v>
      </c>
      <c r="N606" s="16" t="str">
        <f>IF(Planning!$I229=0,G226&amp;F226,"")</f>
        <v/>
      </c>
      <c r="O606" s="122">
        <f t="shared" si="17"/>
        <v>0</v>
      </c>
      <c r="P606" s="122" t="str">
        <f>IF(AND(O606&gt;0,Planning!$I229=0),W226&amp;Language!$E$90&amp;V226,"")</f>
        <v/>
      </c>
      <c r="Q606" s="2" t="str">
        <f>IF(Planning!$I229=1,G226&amp;F226,"")</f>
        <v>VfB StuttgartBayer 04 Leverkusen</v>
      </c>
      <c r="R606" s="88" t="str">
        <f>IF(AND(O606&gt;0,Planning!$I229=1),W226&amp;Language!$E$90&amp;V226,"")</f>
        <v/>
      </c>
      <c r="S606" s="395" t="str">
        <f>IF(O226&gt;0,Y226&amp;Language!$E$90&amp;X226,"")</f>
        <v/>
      </c>
    </row>
    <row r="607" spans="9:19" x14ac:dyDescent="0.2">
      <c r="I607" s="365"/>
      <c r="J607" s="365"/>
      <c r="K607" s="365"/>
      <c r="L607" s="366"/>
      <c r="M607" s="324" t="s">
        <v>305</v>
      </c>
      <c r="N607" s="16" t="str">
        <f>IF(Planning!$I230=0,G227&amp;F227,"")</f>
        <v/>
      </c>
      <c r="O607" s="122">
        <f t="shared" si="17"/>
        <v>0</v>
      </c>
      <c r="P607" s="122" t="str">
        <f>IF(AND(O607&gt;0,Planning!$I230=0),W227&amp;Language!$E$90&amp;V227,"")</f>
        <v/>
      </c>
      <c r="Q607" s="2" t="str">
        <f>IF(Planning!$I230=1,G227&amp;F227,"")</f>
        <v>1. FSV Mainz 05VfL Wolfsburg</v>
      </c>
      <c r="R607" s="88" t="str">
        <f>IF(AND(O607&gt;0,Planning!$I230=1),W227&amp;Language!$E$90&amp;V227,"")</f>
        <v/>
      </c>
      <c r="S607" s="395" t="str">
        <f>IF(O227&gt;0,Y227&amp;Language!$E$90&amp;X227,"")</f>
        <v/>
      </c>
    </row>
    <row r="608" spans="9:19" x14ac:dyDescent="0.2">
      <c r="I608" s="365"/>
      <c r="J608" s="365"/>
      <c r="K608" s="365"/>
      <c r="L608" s="366"/>
      <c r="M608" s="324" t="s">
        <v>306</v>
      </c>
      <c r="N608" s="16" t="str">
        <f>IF(Planning!$I231=0,G228&amp;F228,"")</f>
        <v/>
      </c>
      <c r="O608" s="122">
        <f t="shared" si="17"/>
        <v>0</v>
      </c>
      <c r="P608" s="122" t="str">
        <f>IF(AND(O608&gt;0,Planning!$I231=0),W228&amp;Language!$E$90&amp;V228,"")</f>
        <v/>
      </c>
      <c r="Q608" s="2" t="str">
        <f>IF(Planning!$I231=1,G228&amp;F228,"")</f>
        <v>1. FC Köln1. FC Union Berlin</v>
      </c>
      <c r="R608" s="88" t="str">
        <f>IF(AND(O608&gt;0,Planning!$I231=1),W228&amp;Language!$E$90&amp;V228,"")</f>
        <v/>
      </c>
      <c r="S608" s="395" t="str">
        <f>IF(O228&gt;0,Y228&amp;Language!$E$90&amp;X228,"")</f>
        <v/>
      </c>
    </row>
    <row r="609" spans="9:19" x14ac:dyDescent="0.2">
      <c r="I609" s="365"/>
      <c r="J609" s="365"/>
      <c r="K609" s="365"/>
      <c r="L609" s="366"/>
      <c r="M609" s="324" t="s">
        <v>307</v>
      </c>
      <c r="N609" s="16" t="str">
        <f>IF(Planning!$I232=0,G229&amp;F229,"")</f>
        <v/>
      </c>
      <c r="O609" s="122">
        <f t="shared" si="17"/>
        <v>0</v>
      </c>
      <c r="P609" s="122" t="str">
        <f>IF(AND(O609&gt;0,Planning!$I232=0),W229&amp;Language!$E$90&amp;V229,"")</f>
        <v/>
      </c>
      <c r="Q609" s="2" t="str">
        <f>IF(Planning!$I232=1,G229&amp;F229,"")</f>
        <v>1. FC Heidenheim 1846FC Bayern München</v>
      </c>
      <c r="R609" s="88" t="str">
        <f>IF(AND(O609&gt;0,Planning!$I232=1),W229&amp;Language!$E$90&amp;V229,"")</f>
        <v/>
      </c>
      <c r="S609" s="395" t="str">
        <f>IF(O229&gt;0,Y229&amp;Language!$E$90&amp;X229,"")</f>
        <v/>
      </c>
    </row>
    <row r="610" spans="9:19" x14ac:dyDescent="0.2">
      <c r="I610" s="365"/>
      <c r="J610" s="365"/>
      <c r="K610" s="365"/>
      <c r="L610" s="366"/>
      <c r="M610" s="324" t="s">
        <v>308</v>
      </c>
      <c r="N610" s="16" t="str">
        <f>IF(Planning!$I233=0,G230&amp;F230,"")</f>
        <v/>
      </c>
      <c r="O610" s="122">
        <f t="shared" si="17"/>
        <v>0</v>
      </c>
      <c r="P610" s="122" t="str">
        <f>IF(AND(O610&gt;0,Planning!$I233=0),W230&amp;Language!$E$90&amp;V230,"")</f>
        <v/>
      </c>
      <c r="Q610" s="2" t="str">
        <f>IF(Planning!$I233=1,G230&amp;F230,"")</f>
        <v>FC AugsburgFC St. Pauli</v>
      </c>
      <c r="R610" s="88" t="str">
        <f>IF(AND(O610&gt;0,Planning!$I233=1),W230&amp;Language!$E$90&amp;V230,"")</f>
        <v/>
      </c>
      <c r="S610" s="395" t="str">
        <f>IF(O230&gt;0,Y230&amp;Language!$E$90&amp;X230,"")</f>
        <v/>
      </c>
    </row>
    <row r="611" spans="9:19" x14ac:dyDescent="0.2">
      <c r="I611" s="365"/>
      <c r="J611" s="365"/>
      <c r="K611" s="365"/>
      <c r="L611" s="366"/>
      <c r="M611" s="324" t="s">
        <v>309</v>
      </c>
      <c r="N611" s="16" t="str">
        <f>IF(Planning!$I234=0,G231&amp;F231,"")</f>
        <v/>
      </c>
      <c r="O611" s="122">
        <f t="shared" si="17"/>
        <v>0</v>
      </c>
      <c r="P611" s="122" t="str">
        <f>IF(AND(O611&gt;0,Planning!$I234=0),W231&amp;Language!$E$90&amp;V231,"")</f>
        <v/>
      </c>
      <c r="Q611" s="2" t="str">
        <f>IF(Planning!$I234=1,G231&amp;F231,"")</f>
        <v>Hamburger SVEintracht Frankfurt</v>
      </c>
      <c r="R611" s="88" t="str">
        <f>IF(AND(O611&gt;0,Planning!$I234=1),W231&amp;Language!$E$90&amp;V231,"")</f>
        <v/>
      </c>
      <c r="S611" s="395" t="str">
        <f>IF(O231&gt;0,Y231&amp;Language!$E$90&amp;X231,"")</f>
        <v/>
      </c>
    </row>
    <row r="612" spans="9:19" x14ac:dyDescent="0.2">
      <c r="I612" s="365"/>
      <c r="J612" s="365"/>
      <c r="K612" s="365"/>
      <c r="L612" s="366"/>
      <c r="M612" s="324" t="s">
        <v>310</v>
      </c>
      <c r="N612" s="16" t="str">
        <f>IF(Planning!$I235=0,G232&amp;F232,"")</f>
        <v/>
      </c>
      <c r="O612" s="122">
        <f t="shared" si="17"/>
        <v>0</v>
      </c>
      <c r="P612" s="122" t="str">
        <f>IF(AND(O612&gt;0,Planning!$I235=0),W232&amp;Language!$E$90&amp;V232,"")</f>
        <v/>
      </c>
      <c r="Q612" s="2" t="str">
        <f>IF(Planning!$I235=1,G232&amp;F232,"")</f>
        <v>Borussia MönchengladbachRB Leipzig</v>
      </c>
      <c r="R612" s="88" t="str">
        <f>IF(AND(O612&gt;0,Planning!$I235=1),W232&amp;Language!$E$90&amp;V232,"")</f>
        <v/>
      </c>
      <c r="S612" s="395" t="str">
        <f>IF(O232&gt;0,Y232&amp;Language!$E$90&amp;X232,"")</f>
        <v/>
      </c>
    </row>
    <row r="613" spans="9:19" x14ac:dyDescent="0.2">
      <c r="I613" s="365"/>
      <c r="J613" s="365"/>
      <c r="K613" s="365"/>
      <c r="L613" s="366"/>
      <c r="M613" s="324" t="s">
        <v>311</v>
      </c>
      <c r="N613" s="16" t="str">
        <f>IF(Planning!$I236=0,G233&amp;F233,"")</f>
        <v/>
      </c>
      <c r="O613" s="122">
        <f t="shared" si="17"/>
        <v>0</v>
      </c>
      <c r="P613" s="122" t="str">
        <f>IF(AND(O613&gt;0,Planning!$I236=0),W233&amp;Language!$E$90&amp;V233,"")</f>
        <v/>
      </c>
      <c r="Q613" s="2" t="str">
        <f>IF(Planning!$I236=1,G233&amp;F233,"")</f>
        <v>SC FreiburgBorussia Dortmund</v>
      </c>
      <c r="R613" s="88" t="str">
        <f>IF(AND(O613&gt;0,Planning!$I236=1),W233&amp;Language!$E$90&amp;V233,"")</f>
        <v/>
      </c>
      <c r="S613" s="395" t="str">
        <f>IF(O233&gt;0,Y233&amp;Language!$E$90&amp;X233,"")</f>
        <v/>
      </c>
    </row>
    <row r="614" spans="9:19" x14ac:dyDescent="0.2">
      <c r="I614" s="365"/>
      <c r="J614" s="365"/>
      <c r="K614" s="365"/>
      <c r="L614" s="366"/>
      <c r="M614" s="324" t="s">
        <v>312</v>
      </c>
      <c r="N614" s="16" t="str">
        <f>IF(Planning!$I237=0,G234&amp;F234,"")</f>
        <v/>
      </c>
      <c r="O614" s="122">
        <f t="shared" si="17"/>
        <v>0</v>
      </c>
      <c r="P614" s="122" t="str">
        <f>IF(AND(O614&gt;0,Planning!$I237=0),W234&amp;Language!$E$90&amp;V234,"")</f>
        <v/>
      </c>
      <c r="Q614" s="2" t="str">
        <f>IF(Planning!$I237=1,G234&amp;F234,"")</f>
        <v>Bayer 04 LeverkusenSV Werder Bremen</v>
      </c>
      <c r="R614" s="88" t="str">
        <f>IF(AND(O614&gt;0,Planning!$I237=1),W234&amp;Language!$E$90&amp;V234,"")</f>
        <v/>
      </c>
      <c r="S614" s="395" t="str">
        <f>IF(O234&gt;0,Y234&amp;Language!$E$90&amp;X234,"")</f>
        <v/>
      </c>
    </row>
    <row r="615" spans="9:19" x14ac:dyDescent="0.2">
      <c r="I615" s="365"/>
      <c r="J615" s="365"/>
      <c r="K615" s="365"/>
      <c r="L615" s="366"/>
      <c r="M615" s="324" t="s">
        <v>313</v>
      </c>
      <c r="N615" s="16" t="str">
        <f>IF(Planning!$I238=0,G235&amp;F235,"")</f>
        <v/>
      </c>
      <c r="O615" s="122">
        <f t="shared" si="17"/>
        <v>0</v>
      </c>
      <c r="P615" s="122" t="str">
        <f>IF(AND(O615&gt;0,Planning!$I238=0),W235&amp;Language!$E$90&amp;V235,"")</f>
        <v/>
      </c>
      <c r="Q615" s="2" t="str">
        <f>IF(Planning!$I238=1,G235&amp;F235,"")</f>
        <v>TSG Hoffenheim1. FSV Mainz 05</v>
      </c>
      <c r="R615" s="88" t="str">
        <f>IF(AND(O615&gt;0,Planning!$I238=1),W235&amp;Language!$E$90&amp;V235,"")</f>
        <v/>
      </c>
      <c r="S615" s="395" t="str">
        <f>IF(O235&gt;0,Y235&amp;Language!$E$90&amp;X235,"")</f>
        <v/>
      </c>
    </row>
    <row r="616" spans="9:19" x14ac:dyDescent="0.2">
      <c r="I616" s="365"/>
      <c r="J616" s="365"/>
      <c r="K616" s="365"/>
      <c r="L616" s="366"/>
      <c r="M616" s="324" t="s">
        <v>314</v>
      </c>
      <c r="N616" s="16" t="str">
        <f>IF(Planning!$I239=0,G236&amp;F236,"")</f>
        <v/>
      </c>
      <c r="O616" s="122">
        <f t="shared" si="17"/>
        <v>0</v>
      </c>
      <c r="P616" s="122" t="str">
        <f>IF(AND(O616&gt;0,Planning!$I239=0),W236&amp;Language!$E$90&amp;V236,"")</f>
        <v/>
      </c>
      <c r="Q616" s="2" t="str">
        <f>IF(Planning!$I239=1,G236&amp;F236,"")</f>
        <v>1. FC Union BerlinVfB Stuttgart</v>
      </c>
      <c r="R616" s="88" t="str">
        <f>IF(AND(O616&gt;0,Planning!$I239=1),W236&amp;Language!$E$90&amp;V236,"")</f>
        <v/>
      </c>
      <c r="S616" s="395" t="str">
        <f>IF(O236&gt;0,Y236&amp;Language!$E$90&amp;X236,"")</f>
        <v/>
      </c>
    </row>
    <row r="617" spans="9:19" x14ac:dyDescent="0.2">
      <c r="I617" s="365"/>
      <c r="J617" s="365"/>
      <c r="K617" s="365"/>
      <c r="L617" s="366"/>
      <c r="M617" s="324" t="s">
        <v>315</v>
      </c>
      <c r="N617" s="16" t="str">
        <f>IF(Planning!$I240=0,G237&amp;F237,"")</f>
        <v/>
      </c>
      <c r="O617" s="122">
        <f t="shared" si="17"/>
        <v>0</v>
      </c>
      <c r="P617" s="122" t="str">
        <f>IF(AND(O617&gt;0,Planning!$I240=0),W237&amp;Language!$E$90&amp;V237,"")</f>
        <v/>
      </c>
      <c r="Q617" s="2" t="str">
        <f>IF(Planning!$I240=1,G237&amp;F237,"")</f>
        <v>VfL Wolfsburg1. FC Köln</v>
      </c>
      <c r="R617" s="88" t="str">
        <f>IF(AND(O617&gt;0,Planning!$I240=1),W237&amp;Language!$E$90&amp;V237,"")</f>
        <v/>
      </c>
      <c r="S617" s="395" t="str">
        <f>IF(O237&gt;0,Y237&amp;Language!$E$90&amp;X237,"")</f>
        <v/>
      </c>
    </row>
    <row r="618" spans="9:19" x14ac:dyDescent="0.2">
      <c r="I618" s="365"/>
      <c r="J618" s="365"/>
      <c r="K618" s="365"/>
      <c r="L618" s="366"/>
      <c r="M618" s="324" t="s">
        <v>316</v>
      </c>
      <c r="N618" s="16" t="str">
        <f>IF(Planning!$I241=0,G238&amp;F238,"")</f>
        <v/>
      </c>
      <c r="O618" s="122">
        <f t="shared" si="17"/>
        <v>0</v>
      </c>
      <c r="P618" s="122" t="str">
        <f>IF(AND(O618&gt;0,Planning!$I241=0),W238&amp;Language!$E$90&amp;V238,"")</f>
        <v/>
      </c>
      <c r="Q618" s="2" t="str">
        <f>IF(Planning!$I241=1,G238&amp;F238,"")</f>
        <v>FC Augsburg1. FC Heidenheim 1846</v>
      </c>
      <c r="R618" s="88" t="str">
        <f>IF(AND(O618&gt;0,Planning!$I241=1),W238&amp;Language!$E$90&amp;V238,"")</f>
        <v/>
      </c>
      <c r="S618" s="395" t="str">
        <f>IF(O238&gt;0,Y238&amp;Language!$E$90&amp;X238,"")</f>
        <v/>
      </c>
    </row>
    <row r="619" spans="9:19" x14ac:dyDescent="0.2">
      <c r="I619" s="365"/>
      <c r="J619" s="365"/>
      <c r="K619" s="365"/>
      <c r="L619" s="366"/>
      <c r="M619" s="324" t="s">
        <v>317</v>
      </c>
      <c r="N619" s="16" t="str">
        <f>IF(Planning!$I242=0,G239&amp;F239,"")</f>
        <v/>
      </c>
      <c r="O619" s="122">
        <f t="shared" si="17"/>
        <v>0</v>
      </c>
      <c r="P619" s="122" t="str">
        <f>IF(AND(O619&gt;0,Planning!$I242=0),W239&amp;Language!$E$90&amp;V239,"")</f>
        <v/>
      </c>
      <c r="Q619" s="2" t="str">
        <f>IF(Planning!$I242=1,G239&amp;F239,"")</f>
        <v>Eintracht FrankfurtFC Bayern München</v>
      </c>
      <c r="R619" s="88" t="str">
        <f>IF(AND(O619&gt;0,Planning!$I242=1),W239&amp;Language!$E$90&amp;V239,"")</f>
        <v/>
      </c>
      <c r="S619" s="395" t="str">
        <f>IF(O239&gt;0,Y239&amp;Language!$E$90&amp;X239,"")</f>
        <v/>
      </c>
    </row>
    <row r="620" spans="9:19" x14ac:dyDescent="0.2">
      <c r="I620" s="365"/>
      <c r="J620" s="365"/>
      <c r="K620" s="365"/>
      <c r="L620" s="366"/>
      <c r="M620" s="324" t="s">
        <v>318</v>
      </c>
      <c r="N620" s="16" t="str">
        <f>IF(Planning!$I243=0,G240&amp;F240,"")</f>
        <v/>
      </c>
      <c r="O620" s="122">
        <f t="shared" si="17"/>
        <v>0</v>
      </c>
      <c r="P620" s="122" t="str">
        <f>IF(AND(O620&gt;0,Planning!$I243=0),W240&amp;Language!$E$90&amp;V240,"")</f>
        <v/>
      </c>
      <c r="Q620" s="2" t="str">
        <f>IF(Planning!$I243=1,G240&amp;F240,"")</f>
        <v>FC St. PauliBorussia Mönchengladbach</v>
      </c>
      <c r="R620" s="88" t="str">
        <f>IF(AND(O620&gt;0,Planning!$I243=1),W240&amp;Language!$E$90&amp;V240,"")</f>
        <v/>
      </c>
      <c r="S620" s="395" t="str">
        <f>IF(O240&gt;0,Y240&amp;Language!$E$90&amp;X240,"")</f>
        <v/>
      </c>
    </row>
    <row r="621" spans="9:19" x14ac:dyDescent="0.2">
      <c r="I621" s="365"/>
      <c r="J621" s="365"/>
      <c r="K621" s="365"/>
      <c r="L621" s="366"/>
      <c r="M621" s="324" t="s">
        <v>319</v>
      </c>
      <c r="N621" s="16" t="str">
        <f>IF(Planning!$I244=0,G241&amp;F241,"")</f>
        <v/>
      </c>
      <c r="O621" s="122">
        <f t="shared" si="17"/>
        <v>0</v>
      </c>
      <c r="P621" s="122" t="str">
        <f>IF(AND(O621&gt;0,Planning!$I244=0),W241&amp;Language!$E$90&amp;V241,"")</f>
        <v/>
      </c>
      <c r="Q621" s="2" t="str">
        <f>IF(Planning!$I244=1,G241&amp;F241,"")</f>
        <v>Borussia DortmundHamburger SV</v>
      </c>
      <c r="R621" s="88" t="str">
        <f>IF(AND(O621&gt;0,Planning!$I244=1),W241&amp;Language!$E$90&amp;V241,"")</f>
        <v/>
      </c>
      <c r="S621" s="395" t="str">
        <f>IF(O241&gt;0,Y241&amp;Language!$E$90&amp;X241,"")</f>
        <v/>
      </c>
    </row>
    <row r="622" spans="9:19" x14ac:dyDescent="0.2">
      <c r="I622" s="365"/>
      <c r="J622" s="365"/>
      <c r="K622" s="365"/>
      <c r="L622" s="366"/>
      <c r="M622" s="324" t="s">
        <v>320</v>
      </c>
      <c r="N622" s="16" t="str">
        <f>IF(Planning!$I245=0,G242&amp;F242,"")</f>
        <v/>
      </c>
      <c r="O622" s="122">
        <f t="shared" si="17"/>
        <v>0</v>
      </c>
      <c r="P622" s="122" t="str">
        <f>IF(AND(O622&gt;0,Planning!$I245=0),W242&amp;Language!$E$90&amp;V242,"")</f>
        <v/>
      </c>
      <c r="Q622" s="2" t="str">
        <f>IF(Planning!$I245=1,G242&amp;F242,"")</f>
        <v>RB LeipzigBayer 04 Leverkusen</v>
      </c>
      <c r="R622" s="88" t="str">
        <f>IF(AND(O622&gt;0,Planning!$I245=1),W242&amp;Language!$E$90&amp;V242,"")</f>
        <v/>
      </c>
      <c r="S622" s="395" t="str">
        <f>IF(O242&gt;0,Y242&amp;Language!$E$90&amp;X242,"")</f>
        <v/>
      </c>
    </row>
    <row r="623" spans="9:19" x14ac:dyDescent="0.2">
      <c r="I623" s="365"/>
      <c r="J623" s="365"/>
      <c r="K623" s="365"/>
      <c r="L623" s="366"/>
      <c r="M623" s="324" t="s">
        <v>321</v>
      </c>
      <c r="N623" s="16" t="str">
        <f>IF(Planning!$I246=0,G243&amp;F243,"")</f>
        <v/>
      </c>
      <c r="O623" s="122">
        <f t="shared" si="17"/>
        <v>0</v>
      </c>
      <c r="P623" s="122" t="str">
        <f>IF(AND(O623&gt;0,Planning!$I246=0),W243&amp;Language!$E$90&amp;V243,"")</f>
        <v/>
      </c>
      <c r="Q623" s="2" t="str">
        <f>IF(Planning!$I246=1,G243&amp;F243,"")</f>
        <v>1. FSV Mainz 05SC Freiburg</v>
      </c>
      <c r="R623" s="88" t="str">
        <f>IF(AND(O623&gt;0,Planning!$I246=1),W243&amp;Language!$E$90&amp;V243,"")</f>
        <v/>
      </c>
      <c r="S623" s="395" t="str">
        <f>IF(O243&gt;0,Y243&amp;Language!$E$90&amp;X243,"")</f>
        <v/>
      </c>
    </row>
    <row r="624" spans="9:19" x14ac:dyDescent="0.2">
      <c r="I624" s="365"/>
      <c r="J624" s="365"/>
      <c r="K624" s="365"/>
      <c r="L624" s="366"/>
      <c r="M624" s="324" t="s">
        <v>322</v>
      </c>
      <c r="N624" s="16" t="str">
        <f>IF(Planning!$I247=0,G244&amp;F244,"")</f>
        <v/>
      </c>
      <c r="O624" s="122">
        <f t="shared" si="17"/>
        <v>0</v>
      </c>
      <c r="P624" s="122" t="str">
        <f>IF(AND(O624&gt;0,Planning!$I247=0),W244&amp;Language!$E$90&amp;V244,"")</f>
        <v/>
      </c>
      <c r="Q624" s="2" t="str">
        <f>IF(Planning!$I247=1,G244&amp;F244,"")</f>
        <v>SV Werder Bremen1. FC Union Berlin</v>
      </c>
      <c r="R624" s="88" t="str">
        <f>IF(AND(O624&gt;0,Planning!$I247=1),W244&amp;Language!$E$90&amp;V244,"")</f>
        <v/>
      </c>
      <c r="S624" s="395" t="str">
        <f>IF(O244&gt;0,Y244&amp;Language!$E$90&amp;X244,"")</f>
        <v/>
      </c>
    </row>
    <row r="625" spans="9:19" x14ac:dyDescent="0.2">
      <c r="I625" s="365"/>
      <c r="J625" s="365"/>
      <c r="K625" s="365"/>
      <c r="L625" s="366"/>
      <c r="M625" s="324" t="s">
        <v>323</v>
      </c>
      <c r="N625" s="16" t="str">
        <f>IF(Planning!$I248=0,G245&amp;F245,"")</f>
        <v/>
      </c>
      <c r="O625" s="122">
        <f t="shared" si="17"/>
        <v>0</v>
      </c>
      <c r="P625" s="122" t="str">
        <f>IF(AND(O625&gt;0,Planning!$I248=0),W245&amp;Language!$E$90&amp;V245,"")</f>
        <v/>
      </c>
      <c r="Q625" s="2" t="str">
        <f>IF(Planning!$I248=1,G245&amp;F245,"")</f>
        <v>1. FC KölnTSG Hoffenheim</v>
      </c>
      <c r="R625" s="88" t="str">
        <f>IF(AND(O625&gt;0,Planning!$I248=1),W245&amp;Language!$E$90&amp;V245,"")</f>
        <v/>
      </c>
      <c r="S625" s="395" t="str">
        <f>IF(O245&gt;0,Y245&amp;Language!$E$90&amp;X245,"")</f>
        <v/>
      </c>
    </row>
    <row r="626" spans="9:19" x14ac:dyDescent="0.2">
      <c r="I626" s="365"/>
      <c r="J626" s="365"/>
      <c r="K626" s="365"/>
      <c r="L626" s="366"/>
      <c r="M626" s="324" t="s">
        <v>324</v>
      </c>
      <c r="N626" s="16" t="str">
        <f>IF(Planning!$I249=0,G246&amp;F246,"")</f>
        <v/>
      </c>
      <c r="O626" s="122">
        <f t="shared" si="17"/>
        <v>0</v>
      </c>
      <c r="P626" s="122" t="str">
        <f>IF(AND(O626&gt;0,Planning!$I249=0),W246&amp;Language!$E$90&amp;V246,"")</f>
        <v/>
      </c>
      <c r="Q626" s="2" t="str">
        <f>IF(Planning!$I249=1,G246&amp;F246,"")</f>
        <v>VfB StuttgartVfL Wolfsburg</v>
      </c>
      <c r="R626" s="88" t="str">
        <f>IF(AND(O626&gt;0,Planning!$I249=1),W246&amp;Language!$E$90&amp;V246,"")</f>
        <v/>
      </c>
      <c r="S626" s="395" t="str">
        <f>IF(O246&gt;0,Y246&amp;Language!$E$90&amp;X246,"")</f>
        <v/>
      </c>
    </row>
    <row r="627" spans="9:19" x14ac:dyDescent="0.2">
      <c r="I627" s="365"/>
      <c r="J627" s="365"/>
      <c r="K627" s="365"/>
      <c r="L627" s="366"/>
      <c r="M627" s="324" t="s">
        <v>325</v>
      </c>
      <c r="N627" s="16" t="str">
        <f>IF(Planning!$I250=0,G247&amp;F247,"")</f>
        <v/>
      </c>
      <c r="O627" s="122">
        <f t="shared" si="17"/>
        <v>0</v>
      </c>
      <c r="P627" s="122" t="str">
        <f>IF(AND(O627&gt;0,Planning!$I250=0),W247&amp;Language!$E$90&amp;V247,"")</f>
        <v/>
      </c>
      <c r="Q627" s="2" t="str">
        <f>IF(Planning!$I250=1,G247&amp;F247,"")</f>
        <v>1. FC Heidenheim 1846Eintracht Frankfurt</v>
      </c>
      <c r="R627" s="88" t="str">
        <f>IF(AND(O627&gt;0,Planning!$I250=1),W247&amp;Language!$E$90&amp;V247,"")</f>
        <v/>
      </c>
      <c r="S627" s="395" t="str">
        <f>IF(O247&gt;0,Y247&amp;Language!$E$90&amp;X247,"")</f>
        <v/>
      </c>
    </row>
    <row r="628" spans="9:19" x14ac:dyDescent="0.2">
      <c r="I628" s="365"/>
      <c r="J628" s="365"/>
      <c r="K628" s="365"/>
      <c r="L628" s="366"/>
      <c r="M628" s="324" t="s">
        <v>326</v>
      </c>
      <c r="N628" s="16" t="str">
        <f>IF(Planning!$I251=0,G248&amp;F248,"")</f>
        <v/>
      </c>
      <c r="O628" s="122">
        <f t="shared" si="17"/>
        <v>0</v>
      </c>
      <c r="P628" s="122" t="str">
        <f>IF(AND(O628&gt;0,Planning!$I251=0),W248&amp;Language!$E$90&amp;V248,"")</f>
        <v/>
      </c>
      <c r="Q628" s="2" t="str">
        <f>IF(Planning!$I251=1,G248&amp;F248,"")</f>
        <v>Borussia MönchengladbachFC Augsburg</v>
      </c>
      <c r="R628" s="88" t="str">
        <f>IF(AND(O628&gt;0,Planning!$I251=1),W248&amp;Language!$E$90&amp;V248,"")</f>
        <v/>
      </c>
      <c r="S628" s="395" t="str">
        <f>IF(O248&gt;0,Y248&amp;Language!$E$90&amp;X248,"")</f>
        <v/>
      </c>
    </row>
    <row r="629" spans="9:19" x14ac:dyDescent="0.2">
      <c r="I629" s="365"/>
      <c r="J629" s="365"/>
      <c r="K629" s="365"/>
      <c r="L629" s="366"/>
      <c r="M629" s="324" t="s">
        <v>327</v>
      </c>
      <c r="N629" s="16" t="str">
        <f>IF(Planning!$I252=0,G249&amp;F249,"")</f>
        <v/>
      </c>
      <c r="O629" s="122">
        <f t="shared" si="17"/>
        <v>0</v>
      </c>
      <c r="P629" s="122" t="str">
        <f>IF(AND(O629&gt;0,Planning!$I252=0),W249&amp;Language!$E$90&amp;V249,"")</f>
        <v/>
      </c>
      <c r="Q629" s="2" t="str">
        <f>IF(Planning!$I252=1,G249&amp;F249,"")</f>
        <v>FC Bayern MünchenBorussia Dortmund</v>
      </c>
      <c r="R629" s="88" t="str">
        <f>IF(AND(O629&gt;0,Planning!$I252=1),W249&amp;Language!$E$90&amp;V249,"")</f>
        <v/>
      </c>
      <c r="S629" s="395" t="str">
        <f>IF(O249&gt;0,Y249&amp;Language!$E$90&amp;X249,"")</f>
        <v/>
      </c>
    </row>
    <row r="630" spans="9:19" x14ac:dyDescent="0.2">
      <c r="I630" s="365"/>
      <c r="J630" s="365"/>
      <c r="K630" s="365"/>
      <c r="L630" s="366"/>
      <c r="M630" s="324" t="s">
        <v>328</v>
      </c>
      <c r="N630" s="16" t="str">
        <f>IF(Planning!$I253=0,G250&amp;F250,"")</f>
        <v/>
      </c>
      <c r="O630" s="122">
        <f t="shared" si="17"/>
        <v>0</v>
      </c>
      <c r="P630" s="122" t="str">
        <f>IF(AND(O630&gt;0,Planning!$I253=0),W250&amp;Language!$E$90&amp;V250,"")</f>
        <v/>
      </c>
      <c r="Q630" s="2" t="str">
        <f>IF(Planning!$I253=1,G250&amp;F250,"")</f>
        <v>Bayer 04 LeverkusenFC St. Pauli</v>
      </c>
      <c r="R630" s="88" t="str">
        <f>IF(AND(O630&gt;0,Planning!$I253=1),W250&amp;Language!$E$90&amp;V250,"")</f>
        <v/>
      </c>
      <c r="S630" s="395" t="str">
        <f>IF(O250&gt;0,Y250&amp;Language!$E$90&amp;X250,"")</f>
        <v/>
      </c>
    </row>
    <row r="631" spans="9:19" x14ac:dyDescent="0.2">
      <c r="I631" s="365"/>
      <c r="J631" s="365"/>
      <c r="K631" s="365"/>
      <c r="L631" s="366"/>
      <c r="M631" s="324" t="s">
        <v>329</v>
      </c>
      <c r="N631" s="16" t="str">
        <f>IF(Planning!$I254=0,G251&amp;F251,"")</f>
        <v/>
      </c>
      <c r="O631" s="122">
        <f t="shared" si="17"/>
        <v>0</v>
      </c>
      <c r="P631" s="122" t="str">
        <f>IF(AND(O631&gt;0,Planning!$I254=0),W251&amp;Language!$E$90&amp;V251,"")</f>
        <v/>
      </c>
      <c r="Q631" s="2" t="str">
        <f>IF(Planning!$I254=1,G251&amp;F251,"")</f>
        <v>Hamburger SV1. FSV Mainz 05</v>
      </c>
      <c r="R631" s="88" t="str">
        <f>IF(AND(O631&gt;0,Planning!$I254=1),W251&amp;Language!$E$90&amp;V251,"")</f>
        <v/>
      </c>
      <c r="S631" s="395" t="str">
        <f>IF(O251&gt;0,Y251&amp;Language!$E$90&amp;X251,"")</f>
        <v/>
      </c>
    </row>
    <row r="632" spans="9:19" x14ac:dyDescent="0.2">
      <c r="I632" s="365"/>
      <c r="J632" s="365"/>
      <c r="K632" s="365"/>
      <c r="L632" s="366"/>
      <c r="M632" s="324" t="s">
        <v>330</v>
      </c>
      <c r="N632" s="16" t="str">
        <f>IF(Planning!$I255=0,G252&amp;F252,"")</f>
        <v/>
      </c>
      <c r="O632" s="122">
        <f t="shared" si="17"/>
        <v>0</v>
      </c>
      <c r="P632" s="122" t="str">
        <f>IF(AND(O632&gt;0,Planning!$I255=0),W252&amp;Language!$E$90&amp;V252,"")</f>
        <v/>
      </c>
      <c r="Q632" s="2" t="str">
        <f>IF(Planning!$I255=1,G252&amp;F252,"")</f>
        <v>1. FC Union BerlinRB Leipzig</v>
      </c>
      <c r="R632" s="88" t="str">
        <f>IF(AND(O632&gt;0,Planning!$I255=1),W252&amp;Language!$E$90&amp;V252,"")</f>
        <v/>
      </c>
      <c r="S632" s="395" t="str">
        <f>IF(O252&gt;0,Y252&amp;Language!$E$90&amp;X252,"")</f>
        <v/>
      </c>
    </row>
    <row r="633" spans="9:19" x14ac:dyDescent="0.2">
      <c r="I633" s="365"/>
      <c r="J633" s="365"/>
      <c r="K633" s="365"/>
      <c r="L633" s="366"/>
      <c r="M633" s="324" t="s">
        <v>331</v>
      </c>
      <c r="N633" s="16" t="str">
        <f>IF(Planning!$I256=0,G253&amp;F253,"")</f>
        <v/>
      </c>
      <c r="O633" s="122">
        <f t="shared" si="17"/>
        <v>0</v>
      </c>
      <c r="P633" s="122" t="str">
        <f>IF(AND(O633&gt;0,Planning!$I256=0),W253&amp;Language!$E$90&amp;V253,"")</f>
        <v/>
      </c>
      <c r="Q633" s="2" t="str">
        <f>IF(Planning!$I256=1,G253&amp;F253,"")</f>
        <v>SC Freiburg1. FC Köln</v>
      </c>
      <c r="R633" s="88" t="str">
        <f>IF(AND(O633&gt;0,Planning!$I256=1),W253&amp;Language!$E$90&amp;V253,"")</f>
        <v/>
      </c>
      <c r="S633" s="395" t="str">
        <f>IF(O253&gt;0,Y253&amp;Language!$E$90&amp;X253,"")</f>
        <v/>
      </c>
    </row>
    <row r="634" spans="9:19" x14ac:dyDescent="0.2">
      <c r="I634" s="365"/>
      <c r="J634" s="365"/>
      <c r="K634" s="365"/>
      <c r="L634" s="366"/>
      <c r="M634" s="324" t="s">
        <v>332</v>
      </c>
      <c r="N634" s="16" t="str">
        <f>IF(Planning!$I257=0,G254&amp;F254,"")</f>
        <v/>
      </c>
      <c r="O634" s="122">
        <f t="shared" si="17"/>
        <v>0</v>
      </c>
      <c r="P634" s="122" t="str">
        <f>IF(AND(O634&gt;0,Planning!$I257=0),W254&amp;Language!$E$90&amp;V254,"")</f>
        <v/>
      </c>
      <c r="Q634" s="2" t="str">
        <f>IF(Planning!$I257=1,G254&amp;F254,"")</f>
        <v>VfL WolfsburgSV Werder Bremen</v>
      </c>
      <c r="R634" s="88" t="str">
        <f>IF(AND(O634&gt;0,Planning!$I257=1),W254&amp;Language!$E$90&amp;V254,"")</f>
        <v/>
      </c>
      <c r="S634" s="395" t="str">
        <f>IF(O254&gt;0,Y254&amp;Language!$E$90&amp;X254,"")</f>
        <v/>
      </c>
    </row>
    <row r="635" spans="9:19" x14ac:dyDescent="0.2">
      <c r="I635" s="365"/>
      <c r="J635" s="365"/>
      <c r="K635" s="365"/>
      <c r="L635" s="366"/>
      <c r="M635" s="324" t="s">
        <v>333</v>
      </c>
      <c r="N635" s="16" t="str">
        <f>IF(Planning!$I258=0,G255&amp;F255,"")</f>
        <v/>
      </c>
      <c r="O635" s="122">
        <f t="shared" si="17"/>
        <v>0</v>
      </c>
      <c r="P635" s="122" t="str">
        <f>IF(AND(O635&gt;0,Planning!$I258=0),W255&amp;Language!$E$90&amp;V255,"")</f>
        <v/>
      </c>
      <c r="Q635" s="2" t="str">
        <f>IF(Planning!$I258=1,G255&amp;F255,"")</f>
        <v>TSG HoffenheimVfB Stuttgart</v>
      </c>
      <c r="R635" s="88" t="str">
        <f>IF(AND(O635&gt;0,Planning!$I258=1),W255&amp;Language!$E$90&amp;V255,"")</f>
        <v/>
      </c>
      <c r="S635" s="395" t="str">
        <f>IF(O255&gt;0,Y255&amp;Language!$E$90&amp;X255,"")</f>
        <v/>
      </c>
    </row>
    <row r="636" spans="9:19" x14ac:dyDescent="0.2">
      <c r="I636" s="365"/>
      <c r="J636" s="365"/>
      <c r="K636" s="365"/>
      <c r="L636" s="366"/>
      <c r="M636" s="324" t="s">
        <v>334</v>
      </c>
      <c r="N636" s="16" t="str">
        <f>IF(Planning!$I259=0,G256&amp;F256,"")</f>
        <v/>
      </c>
      <c r="O636" s="122">
        <f t="shared" si="17"/>
        <v>0</v>
      </c>
      <c r="P636" s="122" t="str">
        <f>IF(AND(O636&gt;0,Planning!$I259=0),W256&amp;Language!$E$90&amp;V256,"")</f>
        <v/>
      </c>
      <c r="Q636" s="2" t="str">
        <f>IF(Planning!$I259=1,G256&amp;F256,"")</f>
        <v>Borussia Mönchengladbach1. FC Heidenheim 1846</v>
      </c>
      <c r="R636" s="88" t="str">
        <f>IF(AND(O636&gt;0,Planning!$I259=1),W256&amp;Language!$E$90&amp;V256,"")</f>
        <v/>
      </c>
      <c r="S636" s="395" t="str">
        <f>IF(O256&gt;0,Y256&amp;Language!$E$90&amp;X256,"")</f>
        <v/>
      </c>
    </row>
    <row r="637" spans="9:19" x14ac:dyDescent="0.2">
      <c r="I637" s="365"/>
      <c r="J637" s="365"/>
      <c r="K637" s="365"/>
      <c r="L637" s="366"/>
      <c r="M637" s="324" t="s">
        <v>335</v>
      </c>
      <c r="N637" s="16" t="str">
        <f>IF(Planning!$I260=0,G257&amp;F257,"")</f>
        <v/>
      </c>
      <c r="O637" s="122">
        <f t="shared" si="17"/>
        <v>0</v>
      </c>
      <c r="P637" s="122" t="str">
        <f>IF(AND(O637&gt;0,Planning!$I260=0),W257&amp;Language!$E$90&amp;V257,"")</f>
        <v/>
      </c>
      <c r="Q637" s="2" t="str">
        <f>IF(Planning!$I260=1,G257&amp;F257,"")</f>
        <v>Borussia DortmundEintracht Frankfurt</v>
      </c>
      <c r="R637" s="88" t="str">
        <f>IF(AND(O637&gt;0,Planning!$I260=1),W257&amp;Language!$E$90&amp;V257,"")</f>
        <v/>
      </c>
      <c r="S637" s="395" t="str">
        <f>IF(O257&gt;0,Y257&amp;Language!$E$90&amp;X257,"")</f>
        <v/>
      </c>
    </row>
    <row r="638" spans="9:19" x14ac:dyDescent="0.2">
      <c r="I638" s="365"/>
      <c r="J638" s="365"/>
      <c r="K638" s="365"/>
      <c r="L638" s="366"/>
      <c r="M638" s="324" t="s">
        <v>336</v>
      </c>
      <c r="N638" s="16" t="str">
        <f>IF(Planning!$I261=0,G258&amp;F258,"")</f>
        <v/>
      </c>
      <c r="O638" s="122">
        <f t="shared" si="17"/>
        <v>0</v>
      </c>
      <c r="P638" s="122" t="str">
        <f>IF(AND(O638&gt;0,Planning!$I261=0),W258&amp;Language!$E$90&amp;V258,"")</f>
        <v/>
      </c>
      <c r="Q638" s="2" t="str">
        <f>IF(Planning!$I261=1,G258&amp;F258,"")</f>
        <v>FC AugsburgBayer 04 Leverkusen</v>
      </c>
      <c r="R638" s="88" t="str">
        <f>IF(AND(O638&gt;0,Planning!$I261=1),W258&amp;Language!$E$90&amp;V258,"")</f>
        <v/>
      </c>
      <c r="S638" s="395" t="str">
        <f>IF(O258&gt;0,Y258&amp;Language!$E$90&amp;X258,"")</f>
        <v/>
      </c>
    </row>
    <row r="639" spans="9:19" x14ac:dyDescent="0.2">
      <c r="I639" s="365"/>
      <c r="J639" s="365"/>
      <c r="K639" s="365"/>
      <c r="L639" s="366"/>
      <c r="M639" s="324" t="s">
        <v>337</v>
      </c>
      <c r="N639" s="16" t="str">
        <f>IF(Planning!$I262=0,G259&amp;F259,"")</f>
        <v/>
      </c>
      <c r="O639" s="122">
        <f t="shared" si="17"/>
        <v>0</v>
      </c>
      <c r="P639" s="122" t="str">
        <f>IF(AND(O639&gt;0,Planning!$I262=0),W259&amp;Language!$E$90&amp;V259,"")</f>
        <v/>
      </c>
      <c r="Q639" s="2" t="str">
        <f>IF(Planning!$I262=1,G259&amp;F259,"")</f>
        <v>1. FSV Mainz 05FC Bayern München</v>
      </c>
      <c r="R639" s="88" t="str">
        <f>IF(AND(O639&gt;0,Planning!$I262=1),W259&amp;Language!$E$90&amp;V259,"")</f>
        <v/>
      </c>
      <c r="S639" s="395" t="str">
        <f>IF(O259&gt;0,Y259&amp;Language!$E$90&amp;X259,"")</f>
        <v/>
      </c>
    </row>
    <row r="640" spans="9:19" x14ac:dyDescent="0.2">
      <c r="I640" s="365"/>
      <c r="J640" s="365"/>
      <c r="K640" s="365"/>
      <c r="L640" s="366"/>
      <c r="M640" s="324" t="s">
        <v>338</v>
      </c>
      <c r="N640" s="16" t="str">
        <f>IF(Planning!$I263=0,G260&amp;F260,"")</f>
        <v/>
      </c>
      <c r="O640" s="122">
        <f t="shared" si="17"/>
        <v>0</v>
      </c>
      <c r="P640" s="122" t="str">
        <f>IF(AND(O640&gt;0,Planning!$I263=0),W260&amp;Language!$E$90&amp;V260,"")</f>
        <v/>
      </c>
      <c r="Q640" s="2" t="str">
        <f>IF(Planning!$I263=1,G260&amp;F260,"")</f>
        <v>FC St. Pauli1. FC Union Berlin</v>
      </c>
      <c r="R640" s="88" t="str">
        <f>IF(AND(O640&gt;0,Planning!$I263=1),W260&amp;Language!$E$90&amp;V260,"")</f>
        <v/>
      </c>
      <c r="S640" s="395" t="str">
        <f>IF(O260&gt;0,Y260&amp;Language!$E$90&amp;X260,"")</f>
        <v/>
      </c>
    </row>
    <row r="641" spans="9:19" x14ac:dyDescent="0.2">
      <c r="I641" s="365"/>
      <c r="J641" s="365"/>
      <c r="K641" s="365"/>
      <c r="L641" s="366"/>
      <c r="M641" s="324" t="s">
        <v>339</v>
      </c>
      <c r="N641" s="16" t="str">
        <f>IF(Planning!$I264=0,G261&amp;F261,"")</f>
        <v/>
      </c>
      <c r="O641" s="122">
        <f t="shared" si="17"/>
        <v>0</v>
      </c>
      <c r="P641" s="122" t="str">
        <f>IF(AND(O641&gt;0,Planning!$I264=0),W261&amp;Language!$E$90&amp;V261,"")</f>
        <v/>
      </c>
      <c r="Q641" s="2" t="str">
        <f>IF(Planning!$I264=1,G261&amp;F261,"")</f>
        <v>1. FC KölnHamburger SV</v>
      </c>
      <c r="R641" s="88" t="str">
        <f>IF(AND(O641&gt;0,Planning!$I264=1),W261&amp;Language!$E$90&amp;V261,"")</f>
        <v/>
      </c>
      <c r="S641" s="395" t="str">
        <f>IF(O261&gt;0,Y261&amp;Language!$E$90&amp;X261,"")</f>
        <v/>
      </c>
    </row>
    <row r="642" spans="9:19" x14ac:dyDescent="0.2">
      <c r="I642" s="365"/>
      <c r="J642" s="365"/>
      <c r="K642" s="365"/>
      <c r="L642" s="366"/>
      <c r="M642" s="324" t="s">
        <v>340</v>
      </c>
      <c r="N642" s="16" t="str">
        <f>IF(Planning!$I265=0,G262&amp;F262,"")</f>
        <v/>
      </c>
      <c r="O642" s="122">
        <f t="shared" si="17"/>
        <v>0</v>
      </c>
      <c r="P642" s="122" t="str">
        <f>IF(AND(O642&gt;0,Planning!$I265=0),W262&amp;Language!$E$90&amp;V262,"")</f>
        <v/>
      </c>
      <c r="Q642" s="2" t="str">
        <f>IF(Planning!$I265=1,G262&amp;F262,"")</f>
        <v>RB LeipzigVfL Wolfsburg</v>
      </c>
      <c r="R642" s="88" t="str">
        <f>IF(AND(O642&gt;0,Planning!$I265=1),W262&amp;Language!$E$90&amp;V262,"")</f>
        <v/>
      </c>
      <c r="S642" s="395" t="str">
        <f>IF(O262&gt;0,Y262&amp;Language!$E$90&amp;X262,"")</f>
        <v/>
      </c>
    </row>
    <row r="643" spans="9:19" x14ac:dyDescent="0.2">
      <c r="I643" s="365"/>
      <c r="J643" s="365"/>
      <c r="K643" s="365"/>
      <c r="L643" s="366"/>
      <c r="M643" s="324" t="s">
        <v>341</v>
      </c>
      <c r="N643" s="16" t="str">
        <f>IF(Planning!$I266=0,G263&amp;F263,"")</f>
        <v/>
      </c>
      <c r="O643" s="122">
        <f t="shared" si="17"/>
        <v>0</v>
      </c>
      <c r="P643" s="122" t="str">
        <f>IF(AND(O643&gt;0,Planning!$I266=0),W263&amp;Language!$E$90&amp;V263,"")</f>
        <v/>
      </c>
      <c r="Q643" s="2" t="str">
        <f>IF(Planning!$I266=1,G263&amp;F263,"")</f>
        <v>VfB StuttgartSC Freiburg</v>
      </c>
      <c r="R643" s="88" t="str">
        <f>IF(AND(O643&gt;0,Planning!$I266=1),W263&amp;Language!$E$90&amp;V263,"")</f>
        <v/>
      </c>
      <c r="S643" s="395" t="str">
        <f>IF(O263&gt;0,Y263&amp;Language!$E$90&amp;X263,"")</f>
        <v/>
      </c>
    </row>
    <row r="644" spans="9:19" x14ac:dyDescent="0.2">
      <c r="I644" s="365"/>
      <c r="J644" s="365"/>
      <c r="K644" s="365"/>
      <c r="L644" s="366"/>
      <c r="M644" s="324" t="s">
        <v>342</v>
      </c>
      <c r="N644" s="16" t="str">
        <f>IF(Planning!$I267=0,G264&amp;F264,"")</f>
        <v/>
      </c>
      <c r="O644" s="122">
        <f t="shared" si="17"/>
        <v>0</v>
      </c>
      <c r="P644" s="122" t="str">
        <f>IF(AND(O644&gt;0,Planning!$I267=0),W264&amp;Language!$E$90&amp;V264,"")</f>
        <v/>
      </c>
      <c r="Q644" s="2" t="str">
        <f>IF(Planning!$I267=1,G264&amp;F264,"")</f>
        <v>SV Werder BremenTSG Hoffenheim</v>
      </c>
      <c r="R644" s="88" t="str">
        <f>IF(AND(O644&gt;0,Planning!$I267=1),W264&amp;Language!$E$90&amp;V264,"")</f>
        <v/>
      </c>
      <c r="S644" s="395" t="str">
        <f>IF(O264&gt;0,Y264&amp;Language!$E$90&amp;X264,"")</f>
        <v/>
      </c>
    </row>
    <row r="645" spans="9:19" x14ac:dyDescent="0.2">
      <c r="I645" s="365"/>
      <c r="J645" s="365"/>
      <c r="K645" s="365"/>
      <c r="L645" s="366"/>
      <c r="M645" s="324" t="s">
        <v>343</v>
      </c>
      <c r="N645" s="16" t="str">
        <f>IF(Planning!$I268=0,G265&amp;F265,"")</f>
        <v/>
      </c>
      <c r="O645" s="122">
        <f t="shared" si="17"/>
        <v>0</v>
      </c>
      <c r="P645" s="122" t="str">
        <f>IF(AND(O645&gt;0,Planning!$I268=0),W265&amp;Language!$E$90&amp;V265,"")</f>
        <v/>
      </c>
      <c r="Q645" s="2" t="str">
        <f>IF(Planning!$I268=1,G265&amp;F265,"")</f>
        <v>1. FC Heidenheim 1846Borussia Dortmund</v>
      </c>
      <c r="R645" s="88" t="str">
        <f>IF(AND(O645&gt;0,Planning!$I268=1),W265&amp;Language!$E$90&amp;V265,"")</f>
        <v/>
      </c>
      <c r="S645" s="395" t="str">
        <f>IF(O265&gt;0,Y265&amp;Language!$E$90&amp;X265,"")</f>
        <v/>
      </c>
    </row>
    <row r="646" spans="9:19" x14ac:dyDescent="0.2">
      <c r="I646" s="365"/>
      <c r="J646" s="365"/>
      <c r="K646" s="365"/>
      <c r="L646" s="366"/>
      <c r="M646" s="324" t="s">
        <v>344</v>
      </c>
      <c r="N646" s="16" t="str">
        <f>IF(Planning!$I269=0,G266&amp;F266,"")</f>
        <v/>
      </c>
      <c r="O646" s="122">
        <f t="shared" si="17"/>
        <v>0</v>
      </c>
      <c r="P646" s="122" t="str">
        <f>IF(AND(O646&gt;0,Planning!$I269=0),W266&amp;Language!$E$90&amp;V266,"")</f>
        <v/>
      </c>
      <c r="Q646" s="2" t="str">
        <f>IF(Planning!$I269=1,G266&amp;F266,"")</f>
        <v>Bayer 04 LeverkusenBorussia Mönchengladbach</v>
      </c>
      <c r="R646" s="88" t="str">
        <f>IF(AND(O646&gt;0,Planning!$I269=1),W266&amp;Language!$E$90&amp;V266,"")</f>
        <v/>
      </c>
      <c r="S646" s="395" t="str">
        <f>IF(O266&gt;0,Y266&amp;Language!$E$90&amp;X266,"")</f>
        <v/>
      </c>
    </row>
    <row r="647" spans="9:19" x14ac:dyDescent="0.2">
      <c r="I647" s="365"/>
      <c r="J647" s="365"/>
      <c r="K647" s="365"/>
      <c r="L647" s="366"/>
      <c r="M647" s="324" t="s">
        <v>345</v>
      </c>
      <c r="N647" s="16" t="str">
        <f>IF(Planning!$I270=0,G267&amp;F267,"")</f>
        <v/>
      </c>
      <c r="O647" s="122">
        <f t="shared" ref="O647:O710" si="18">O267</f>
        <v>0</v>
      </c>
      <c r="P647" s="122" t="str">
        <f>IF(AND(O647&gt;0,Planning!$I270=0),W267&amp;Language!$E$90&amp;V267,"")</f>
        <v/>
      </c>
      <c r="Q647" s="2" t="str">
        <f>IF(Planning!$I270=1,G267&amp;F267,"")</f>
        <v>Eintracht Frankfurt1. FSV Mainz 05</v>
      </c>
      <c r="R647" s="88" t="str">
        <f>IF(AND(O647&gt;0,Planning!$I270=1),W267&amp;Language!$E$90&amp;V267,"")</f>
        <v/>
      </c>
      <c r="S647" s="395" t="str">
        <f>IF(O267&gt;0,Y267&amp;Language!$E$90&amp;X267,"")</f>
        <v/>
      </c>
    </row>
    <row r="648" spans="9:19" x14ac:dyDescent="0.2">
      <c r="I648" s="365"/>
      <c r="J648" s="365"/>
      <c r="K648" s="365"/>
      <c r="L648" s="366"/>
      <c r="M648" s="324" t="s">
        <v>346</v>
      </c>
      <c r="N648" s="16" t="str">
        <f>IF(Planning!$I271=0,G268&amp;F268,"")</f>
        <v/>
      </c>
      <c r="O648" s="122">
        <f t="shared" si="18"/>
        <v>0</v>
      </c>
      <c r="P648" s="122" t="str">
        <f>IF(AND(O648&gt;0,Planning!$I271=0),W268&amp;Language!$E$90&amp;V268,"")</f>
        <v/>
      </c>
      <c r="Q648" s="2" t="str">
        <f>IF(Planning!$I271=1,G268&amp;F268,"")</f>
        <v>1. FC Union BerlinFC Augsburg</v>
      </c>
      <c r="R648" s="88" t="str">
        <f>IF(AND(O648&gt;0,Planning!$I271=1),W268&amp;Language!$E$90&amp;V268,"")</f>
        <v/>
      </c>
      <c r="S648" s="395" t="str">
        <f>IF(O268&gt;0,Y268&amp;Language!$E$90&amp;X268,"")</f>
        <v/>
      </c>
    </row>
    <row r="649" spans="9:19" x14ac:dyDescent="0.2">
      <c r="I649" s="365"/>
      <c r="J649" s="365"/>
      <c r="K649" s="365"/>
      <c r="L649" s="366"/>
      <c r="M649" s="324" t="s">
        <v>347</v>
      </c>
      <c r="N649" s="16" t="str">
        <f>IF(Planning!$I272=0,G269&amp;F269,"")</f>
        <v/>
      </c>
      <c r="O649" s="122">
        <f t="shared" si="18"/>
        <v>0</v>
      </c>
      <c r="P649" s="122" t="str">
        <f>IF(AND(O649&gt;0,Planning!$I272=0),W269&amp;Language!$E$90&amp;V269,"")</f>
        <v/>
      </c>
      <c r="Q649" s="2" t="str">
        <f>IF(Planning!$I272=1,G269&amp;F269,"")</f>
        <v>FC Bayern München1. FC Köln</v>
      </c>
      <c r="R649" s="88" t="str">
        <f>IF(AND(O649&gt;0,Planning!$I272=1),W269&amp;Language!$E$90&amp;V269,"")</f>
        <v/>
      </c>
      <c r="S649" s="395" t="str">
        <f>IF(O269&gt;0,Y269&amp;Language!$E$90&amp;X269,"")</f>
        <v/>
      </c>
    </row>
    <row r="650" spans="9:19" x14ac:dyDescent="0.2">
      <c r="I650" s="365"/>
      <c r="J650" s="365"/>
      <c r="K650" s="365"/>
      <c r="L650" s="366"/>
      <c r="M650" s="324" t="s">
        <v>348</v>
      </c>
      <c r="N650" s="16" t="str">
        <f>IF(Planning!$I273=0,G270&amp;F270,"")</f>
        <v/>
      </c>
      <c r="O650" s="122">
        <f t="shared" si="18"/>
        <v>0</v>
      </c>
      <c r="P650" s="122" t="str">
        <f>IF(AND(O650&gt;0,Planning!$I273=0),W270&amp;Language!$E$90&amp;V270,"")</f>
        <v/>
      </c>
      <c r="Q650" s="2" t="str">
        <f>IF(Planning!$I273=1,G270&amp;F270,"")</f>
        <v>VfL WolfsburgFC St. Pauli</v>
      </c>
      <c r="R650" s="88" t="str">
        <f>IF(AND(O650&gt;0,Planning!$I273=1),W270&amp;Language!$E$90&amp;V270,"")</f>
        <v/>
      </c>
      <c r="S650" s="395" t="str">
        <f>IF(O270&gt;0,Y270&amp;Language!$E$90&amp;X270,"")</f>
        <v/>
      </c>
    </row>
    <row r="651" spans="9:19" x14ac:dyDescent="0.2">
      <c r="I651" s="365"/>
      <c r="J651" s="365"/>
      <c r="K651" s="365"/>
      <c r="L651" s="366"/>
      <c r="M651" s="324" t="s">
        <v>349</v>
      </c>
      <c r="N651" s="16" t="str">
        <f>IF(Planning!$I274=0,G271&amp;F271,"")</f>
        <v/>
      </c>
      <c r="O651" s="122">
        <f t="shared" si="18"/>
        <v>0</v>
      </c>
      <c r="P651" s="122" t="str">
        <f>IF(AND(O651&gt;0,Planning!$I274=0),W271&amp;Language!$E$90&amp;V271,"")</f>
        <v/>
      </c>
      <c r="Q651" s="2" t="str">
        <f>IF(Planning!$I274=1,G271&amp;F271,"")</f>
        <v>Hamburger SVVfB Stuttgart</v>
      </c>
      <c r="R651" s="88" t="str">
        <f>IF(AND(O651&gt;0,Planning!$I274=1),W271&amp;Language!$E$90&amp;V271,"")</f>
        <v/>
      </c>
      <c r="S651" s="395" t="str">
        <f>IF(O271&gt;0,Y271&amp;Language!$E$90&amp;X271,"")</f>
        <v/>
      </c>
    </row>
    <row r="652" spans="9:19" x14ac:dyDescent="0.2">
      <c r="I652" s="365"/>
      <c r="J652" s="365"/>
      <c r="K652" s="365"/>
      <c r="L652" s="366"/>
      <c r="M652" s="324" t="s">
        <v>350</v>
      </c>
      <c r="N652" s="16" t="str">
        <f>IF(Planning!$I275=0,G272&amp;F272,"")</f>
        <v/>
      </c>
      <c r="O652" s="122">
        <f t="shared" si="18"/>
        <v>0</v>
      </c>
      <c r="P652" s="122" t="str">
        <f>IF(AND(O652&gt;0,Planning!$I275=0),W272&amp;Language!$E$90&amp;V272,"")</f>
        <v/>
      </c>
      <c r="Q652" s="2" t="str">
        <f>IF(Planning!$I275=1,G272&amp;F272,"")</f>
        <v>TSG HoffenheimRB Leipzig</v>
      </c>
      <c r="R652" s="88" t="str">
        <f>IF(AND(O652&gt;0,Planning!$I275=1),W272&amp;Language!$E$90&amp;V272,"")</f>
        <v/>
      </c>
      <c r="S652" s="395" t="str">
        <f>IF(O272&gt;0,Y272&amp;Language!$E$90&amp;X272,"")</f>
        <v/>
      </c>
    </row>
    <row r="653" spans="9:19" x14ac:dyDescent="0.2">
      <c r="I653" s="365"/>
      <c r="J653" s="365"/>
      <c r="K653" s="365"/>
      <c r="L653" s="366"/>
      <c r="M653" s="324" t="s">
        <v>351</v>
      </c>
      <c r="N653" s="16" t="str">
        <f>IF(Planning!$I276=0,G273&amp;F273,"")</f>
        <v/>
      </c>
      <c r="O653" s="122">
        <f t="shared" si="18"/>
        <v>0</v>
      </c>
      <c r="P653" s="122" t="str">
        <f>IF(AND(O653&gt;0,Planning!$I276=0),W273&amp;Language!$E$90&amp;V273,"")</f>
        <v/>
      </c>
      <c r="Q653" s="2" t="str">
        <f>IF(Planning!$I276=1,G273&amp;F273,"")</f>
        <v>SC FreiburgSV Werder Bremen</v>
      </c>
      <c r="R653" s="88" t="str">
        <f>IF(AND(O653&gt;0,Planning!$I276=1),W273&amp;Language!$E$90&amp;V273,"")</f>
        <v/>
      </c>
      <c r="S653" s="395" t="str">
        <f>IF(O273&gt;0,Y273&amp;Language!$E$90&amp;X273,"")</f>
        <v/>
      </c>
    </row>
    <row r="654" spans="9:19" x14ac:dyDescent="0.2">
      <c r="I654" s="365"/>
      <c r="J654" s="365"/>
      <c r="K654" s="365"/>
      <c r="L654" s="366"/>
      <c r="M654" s="324" t="s">
        <v>352</v>
      </c>
      <c r="N654" s="16" t="str">
        <f>IF(Planning!$I277=0,G274&amp;F274,"")</f>
        <v/>
      </c>
      <c r="O654" s="122">
        <f t="shared" si="18"/>
        <v>0</v>
      </c>
      <c r="P654" s="122" t="str">
        <f>IF(AND(O654&gt;0,Planning!$I277=0),W274&amp;Language!$E$90&amp;V274,"")</f>
        <v/>
      </c>
      <c r="Q654" s="2" t="str">
        <f>IF(Planning!$I277=1,G274&amp;F274,"")</f>
        <v>Bayer 04 Leverkusen1. FC Heidenheim 1846</v>
      </c>
      <c r="R654" s="88" t="str">
        <f>IF(AND(O654&gt;0,Planning!$I277=1),W274&amp;Language!$E$90&amp;V274,"")</f>
        <v/>
      </c>
      <c r="S654" s="395" t="str">
        <f>IF(O274&gt;0,Y274&amp;Language!$E$90&amp;X274,"")</f>
        <v/>
      </c>
    </row>
    <row r="655" spans="9:19" x14ac:dyDescent="0.2">
      <c r="I655" s="365"/>
      <c r="J655" s="365"/>
      <c r="K655" s="365"/>
      <c r="L655" s="366"/>
      <c r="M655" s="324" t="s">
        <v>353</v>
      </c>
      <c r="N655" s="16" t="str">
        <f>IF(Planning!$I278=0,G275&amp;F275,"")</f>
        <v/>
      </c>
      <c r="O655" s="122">
        <f t="shared" si="18"/>
        <v>0</v>
      </c>
      <c r="P655" s="122" t="str">
        <f>IF(AND(O655&gt;0,Planning!$I278=0),W275&amp;Language!$E$90&amp;V275,"")</f>
        <v/>
      </c>
      <c r="Q655" s="2" t="str">
        <f>IF(Planning!$I278=1,G275&amp;F275,"")</f>
        <v>1. FSV Mainz 05Borussia Dortmund</v>
      </c>
      <c r="R655" s="88" t="str">
        <f>IF(AND(O655&gt;0,Planning!$I278=1),W275&amp;Language!$E$90&amp;V275,"")</f>
        <v/>
      </c>
      <c r="S655" s="395" t="str">
        <f>IF(O275&gt;0,Y275&amp;Language!$E$90&amp;X275,"")</f>
        <v/>
      </c>
    </row>
    <row r="656" spans="9:19" x14ac:dyDescent="0.2">
      <c r="I656" s="365"/>
      <c r="J656" s="365"/>
      <c r="K656" s="365"/>
      <c r="L656" s="366"/>
      <c r="M656" s="324" t="s">
        <v>354</v>
      </c>
      <c r="N656" s="16" t="str">
        <f>IF(Planning!$I279=0,G276&amp;F276,"")</f>
        <v/>
      </c>
      <c r="O656" s="122">
        <f t="shared" si="18"/>
        <v>0</v>
      </c>
      <c r="P656" s="122" t="str">
        <f>IF(AND(O656&gt;0,Planning!$I279=0),W276&amp;Language!$E$90&amp;V276,"")</f>
        <v/>
      </c>
      <c r="Q656" s="2" t="str">
        <f>IF(Planning!$I279=1,G276&amp;F276,"")</f>
        <v>Borussia Mönchengladbach1. FC Union Berlin</v>
      </c>
      <c r="R656" s="88" t="str">
        <f>IF(AND(O656&gt;0,Planning!$I279=1),W276&amp;Language!$E$90&amp;V276,"")</f>
        <v/>
      </c>
      <c r="S656" s="395" t="str">
        <f>IF(O276&gt;0,Y276&amp;Language!$E$90&amp;X276,"")</f>
        <v/>
      </c>
    </row>
    <row r="657" spans="9:19" x14ac:dyDescent="0.2">
      <c r="I657" s="365"/>
      <c r="J657" s="365"/>
      <c r="K657" s="365"/>
      <c r="L657" s="366"/>
      <c r="M657" s="324" t="s">
        <v>355</v>
      </c>
      <c r="N657" s="16" t="str">
        <f>IF(Planning!$I280=0,G277&amp;F277,"")</f>
        <v/>
      </c>
      <c r="O657" s="122">
        <f t="shared" si="18"/>
        <v>0</v>
      </c>
      <c r="P657" s="122" t="str">
        <f>IF(AND(O657&gt;0,Planning!$I280=0),W277&amp;Language!$E$90&amp;V277,"")</f>
        <v/>
      </c>
      <c r="Q657" s="2" t="str">
        <f>IF(Planning!$I280=1,G277&amp;F277,"")</f>
        <v>1. FC KölnEintracht Frankfurt</v>
      </c>
      <c r="R657" s="88" t="str">
        <f>IF(AND(O657&gt;0,Planning!$I280=1),W277&amp;Language!$E$90&amp;V277,"")</f>
        <v/>
      </c>
      <c r="S657" s="395" t="str">
        <f>IF(O277&gt;0,Y277&amp;Language!$E$90&amp;X277,"")</f>
        <v/>
      </c>
    </row>
    <row r="658" spans="9:19" x14ac:dyDescent="0.2">
      <c r="I658" s="365"/>
      <c r="J658" s="365"/>
      <c r="K658" s="365"/>
      <c r="L658" s="366"/>
      <c r="M658" s="324" t="s">
        <v>356</v>
      </c>
      <c r="N658" s="16" t="str">
        <f>IF(Planning!$I281=0,G278&amp;F278,"")</f>
        <v/>
      </c>
      <c r="O658" s="122">
        <f t="shared" si="18"/>
        <v>0</v>
      </c>
      <c r="P658" s="122" t="str">
        <f>IF(AND(O658&gt;0,Planning!$I281=0),W278&amp;Language!$E$90&amp;V278,"")</f>
        <v/>
      </c>
      <c r="Q658" s="2" t="str">
        <f>IF(Planning!$I281=1,G278&amp;F278,"")</f>
        <v>FC AugsburgVfL Wolfsburg</v>
      </c>
      <c r="R658" s="88" t="str">
        <f>IF(AND(O658&gt;0,Planning!$I281=1),W278&amp;Language!$E$90&amp;V278,"")</f>
        <v/>
      </c>
      <c r="S658" s="395" t="str">
        <f>IF(O278&gt;0,Y278&amp;Language!$E$90&amp;X278,"")</f>
        <v/>
      </c>
    </row>
    <row r="659" spans="9:19" x14ac:dyDescent="0.2">
      <c r="I659" s="365"/>
      <c r="J659" s="365"/>
      <c r="K659" s="365"/>
      <c r="L659" s="366"/>
      <c r="M659" s="324" t="s">
        <v>357</v>
      </c>
      <c r="N659" s="16" t="str">
        <f>IF(Planning!$I282=0,G279&amp;F279,"")</f>
        <v/>
      </c>
      <c r="O659" s="122">
        <f t="shared" si="18"/>
        <v>0</v>
      </c>
      <c r="P659" s="122" t="str">
        <f>IF(AND(O659&gt;0,Planning!$I282=0),W279&amp;Language!$E$90&amp;V279,"")</f>
        <v/>
      </c>
      <c r="Q659" s="2" t="str">
        <f>IF(Planning!$I282=1,G279&amp;F279,"")</f>
        <v>VfB StuttgartFC Bayern München</v>
      </c>
      <c r="R659" s="88" t="str">
        <f>IF(AND(O659&gt;0,Planning!$I282=1),W279&amp;Language!$E$90&amp;V279,"")</f>
        <v/>
      </c>
      <c r="S659" s="395" t="str">
        <f>IF(O279&gt;0,Y279&amp;Language!$E$90&amp;X279,"")</f>
        <v/>
      </c>
    </row>
    <row r="660" spans="9:19" x14ac:dyDescent="0.2">
      <c r="I660" s="365"/>
      <c r="J660" s="365"/>
      <c r="K660" s="365"/>
      <c r="L660" s="366"/>
      <c r="M660" s="324" t="s">
        <v>358</v>
      </c>
      <c r="N660" s="16" t="str">
        <f>IF(Planning!$I283=0,G280&amp;F280,"")</f>
        <v/>
      </c>
      <c r="O660" s="122">
        <f t="shared" si="18"/>
        <v>0</v>
      </c>
      <c r="P660" s="122" t="str">
        <f>IF(AND(O660&gt;0,Planning!$I283=0),W280&amp;Language!$E$90&amp;V280,"")</f>
        <v/>
      </c>
      <c r="Q660" s="2" t="str">
        <f>IF(Planning!$I283=1,G280&amp;F280,"")</f>
        <v>FC St. PauliTSG Hoffenheim</v>
      </c>
      <c r="R660" s="88" t="str">
        <f>IF(AND(O660&gt;0,Planning!$I283=1),W280&amp;Language!$E$90&amp;V280,"")</f>
        <v/>
      </c>
      <c r="S660" s="395" t="str">
        <f>IF(O280&gt;0,Y280&amp;Language!$E$90&amp;X280,"")</f>
        <v/>
      </c>
    </row>
    <row r="661" spans="9:19" x14ac:dyDescent="0.2">
      <c r="I661" s="365"/>
      <c r="J661" s="365"/>
      <c r="K661" s="365"/>
      <c r="L661" s="366"/>
      <c r="M661" s="324" t="s">
        <v>359</v>
      </c>
      <c r="N661" s="16" t="str">
        <f>IF(Planning!$I284=0,G281&amp;F281,"")</f>
        <v/>
      </c>
      <c r="O661" s="122">
        <f t="shared" si="18"/>
        <v>0</v>
      </c>
      <c r="P661" s="122" t="str">
        <f>IF(AND(O661&gt;0,Planning!$I284=0),W281&amp;Language!$E$90&amp;V281,"")</f>
        <v/>
      </c>
      <c r="Q661" s="2" t="str">
        <f>IF(Planning!$I284=1,G281&amp;F281,"")</f>
        <v>SV Werder BremenHamburger SV</v>
      </c>
      <c r="R661" s="88" t="str">
        <f>IF(AND(O661&gt;0,Planning!$I284=1),W281&amp;Language!$E$90&amp;V281,"")</f>
        <v/>
      </c>
      <c r="S661" s="395" t="str">
        <f>IF(O281&gt;0,Y281&amp;Language!$E$90&amp;X281,"")</f>
        <v/>
      </c>
    </row>
    <row r="662" spans="9:19" x14ac:dyDescent="0.2">
      <c r="I662" s="365"/>
      <c r="J662" s="365"/>
      <c r="K662" s="365"/>
      <c r="L662" s="366"/>
      <c r="M662" s="324" t="s">
        <v>360</v>
      </c>
      <c r="N662" s="16" t="str">
        <f>IF(Planning!$I285=0,G282&amp;F282,"")</f>
        <v/>
      </c>
      <c r="O662" s="122">
        <f t="shared" si="18"/>
        <v>0</v>
      </c>
      <c r="P662" s="122" t="str">
        <f>IF(AND(O662&gt;0,Planning!$I285=0),W282&amp;Language!$E$90&amp;V282,"")</f>
        <v/>
      </c>
      <c r="Q662" s="2" t="str">
        <f>IF(Planning!$I285=1,G282&amp;F282,"")</f>
        <v>RB LeipzigSC Freiburg</v>
      </c>
      <c r="R662" s="88" t="str">
        <f>IF(AND(O662&gt;0,Planning!$I285=1),W282&amp;Language!$E$90&amp;V282,"")</f>
        <v/>
      </c>
      <c r="S662" s="395" t="str">
        <f>IF(O282&gt;0,Y282&amp;Language!$E$90&amp;X282,"")</f>
        <v/>
      </c>
    </row>
    <row r="663" spans="9:19" x14ac:dyDescent="0.2">
      <c r="I663" s="365"/>
      <c r="J663" s="365"/>
      <c r="K663" s="365"/>
      <c r="L663" s="366"/>
      <c r="M663" s="324" t="s">
        <v>361</v>
      </c>
      <c r="N663" s="16" t="str">
        <f>IF(Planning!$I286=0,G283&amp;F283,"")</f>
        <v/>
      </c>
      <c r="O663" s="122">
        <f t="shared" si="18"/>
        <v>0</v>
      </c>
      <c r="P663" s="122" t="str">
        <f>IF(AND(O663&gt;0,Planning!$I286=0),W283&amp;Language!$E$90&amp;V283,"")</f>
        <v/>
      </c>
      <c r="Q663" s="2" t="str">
        <f>IF(Planning!$I286=1,G283&amp;F283,"")</f>
        <v>1. FC Heidenheim 18461. FSV Mainz 05</v>
      </c>
      <c r="R663" s="88" t="str">
        <f>IF(AND(O663&gt;0,Planning!$I286=1),W283&amp;Language!$E$90&amp;V283,"")</f>
        <v/>
      </c>
      <c r="S663" s="395" t="str">
        <f>IF(O283&gt;0,Y283&amp;Language!$E$90&amp;X283,"")</f>
        <v/>
      </c>
    </row>
    <row r="664" spans="9:19" x14ac:dyDescent="0.2">
      <c r="I664" s="365"/>
      <c r="J664" s="365"/>
      <c r="K664" s="365"/>
      <c r="L664" s="366"/>
      <c r="M664" s="324" t="s">
        <v>362</v>
      </c>
      <c r="N664" s="16" t="str">
        <f>IF(Planning!$I287=0,G284&amp;F284,"")</f>
        <v/>
      </c>
      <c r="O664" s="122">
        <f t="shared" si="18"/>
        <v>0</v>
      </c>
      <c r="P664" s="122" t="str">
        <f>IF(AND(O664&gt;0,Planning!$I287=0),W284&amp;Language!$E$90&amp;V284,"")</f>
        <v/>
      </c>
      <c r="Q664" s="2" t="str">
        <f>IF(Planning!$I287=1,G284&amp;F284,"")</f>
        <v>1. FC Union BerlinBayer 04 Leverkusen</v>
      </c>
      <c r="R664" s="88" t="str">
        <f>IF(AND(O664&gt;0,Planning!$I287=1),W284&amp;Language!$E$90&amp;V284,"")</f>
        <v/>
      </c>
      <c r="S664" s="395" t="str">
        <f>IF(O284&gt;0,Y284&amp;Language!$E$90&amp;X284,"")</f>
        <v/>
      </c>
    </row>
    <row r="665" spans="9:19" x14ac:dyDescent="0.2">
      <c r="I665" s="365"/>
      <c r="J665" s="365"/>
      <c r="K665" s="365"/>
      <c r="L665" s="366"/>
      <c r="M665" s="324" t="s">
        <v>363</v>
      </c>
      <c r="N665" s="16" t="str">
        <f>IF(Planning!$I288=0,G285&amp;F285,"")</f>
        <v/>
      </c>
      <c r="O665" s="122">
        <f t="shared" si="18"/>
        <v>0</v>
      </c>
      <c r="P665" s="122" t="str">
        <f>IF(AND(O665&gt;0,Planning!$I288=0),W285&amp;Language!$E$90&amp;V285,"")</f>
        <v/>
      </c>
      <c r="Q665" s="2" t="str">
        <f>IF(Planning!$I288=1,G285&amp;F285,"")</f>
        <v>Borussia Dortmund1. FC Köln</v>
      </c>
      <c r="R665" s="88" t="str">
        <f>IF(AND(O665&gt;0,Planning!$I288=1),W285&amp;Language!$E$90&amp;V285,"")</f>
        <v/>
      </c>
      <c r="S665" s="395" t="str">
        <f>IF(O285&gt;0,Y285&amp;Language!$E$90&amp;X285,"")</f>
        <v/>
      </c>
    </row>
    <row r="666" spans="9:19" x14ac:dyDescent="0.2">
      <c r="I666" s="365"/>
      <c r="J666" s="365"/>
      <c r="K666" s="365"/>
      <c r="L666" s="366"/>
      <c r="M666" s="324" t="s">
        <v>364</v>
      </c>
      <c r="N666" s="16" t="str">
        <f>IF(Planning!$I289=0,G286&amp;F286,"")</f>
        <v/>
      </c>
      <c r="O666" s="122">
        <f t="shared" si="18"/>
        <v>0</v>
      </c>
      <c r="P666" s="122" t="str">
        <f>IF(AND(O666&gt;0,Planning!$I289=0),W286&amp;Language!$E$90&amp;V286,"")</f>
        <v/>
      </c>
      <c r="Q666" s="2" t="str">
        <f>IF(Planning!$I289=1,G286&amp;F286,"")</f>
        <v>VfL WolfsburgBorussia Mönchengladbach</v>
      </c>
      <c r="R666" s="88" t="str">
        <f>IF(AND(O666&gt;0,Planning!$I289=1),W286&amp;Language!$E$90&amp;V286,"")</f>
        <v/>
      </c>
      <c r="S666" s="395" t="str">
        <f>IF(O286&gt;0,Y286&amp;Language!$E$90&amp;X286,"")</f>
        <v/>
      </c>
    </row>
    <row r="667" spans="9:19" x14ac:dyDescent="0.2">
      <c r="I667" s="365"/>
      <c r="J667" s="365"/>
      <c r="K667" s="365"/>
      <c r="L667" s="366"/>
      <c r="M667" s="324" t="s">
        <v>365</v>
      </c>
      <c r="N667" s="16" t="str">
        <f>IF(Planning!$I290=0,G287&amp;F287,"")</f>
        <v/>
      </c>
      <c r="O667" s="122">
        <f t="shared" si="18"/>
        <v>0</v>
      </c>
      <c r="P667" s="122" t="str">
        <f>IF(AND(O667&gt;0,Planning!$I290=0),W287&amp;Language!$E$90&amp;V287,"")</f>
        <v/>
      </c>
      <c r="Q667" s="2" t="str">
        <f>IF(Planning!$I290=1,G287&amp;F287,"")</f>
        <v>Eintracht FrankfurtVfB Stuttgart</v>
      </c>
      <c r="R667" s="88" t="str">
        <f>IF(AND(O667&gt;0,Planning!$I290=1),W287&amp;Language!$E$90&amp;V287,"")</f>
        <v/>
      </c>
      <c r="S667" s="395" t="str">
        <f>IF(O287&gt;0,Y287&amp;Language!$E$90&amp;X287,"")</f>
        <v/>
      </c>
    </row>
    <row r="668" spans="9:19" x14ac:dyDescent="0.2">
      <c r="I668" s="365"/>
      <c r="J668" s="365"/>
      <c r="K668" s="365"/>
      <c r="L668" s="366"/>
      <c r="M668" s="324" t="s">
        <v>366</v>
      </c>
      <c r="N668" s="16" t="str">
        <f>IF(Planning!$I291=0,G288&amp;F288,"")</f>
        <v/>
      </c>
      <c r="O668" s="122">
        <f t="shared" si="18"/>
        <v>0</v>
      </c>
      <c r="P668" s="122" t="str">
        <f>IF(AND(O668&gt;0,Planning!$I291=0),W288&amp;Language!$E$90&amp;V288,"")</f>
        <v/>
      </c>
      <c r="Q668" s="2" t="str">
        <f>IF(Planning!$I291=1,G288&amp;F288,"")</f>
        <v>TSG HoffenheimFC Augsburg</v>
      </c>
      <c r="R668" s="88" t="str">
        <f>IF(AND(O668&gt;0,Planning!$I291=1),W288&amp;Language!$E$90&amp;V288,"")</f>
        <v/>
      </c>
      <c r="S668" s="395" t="str">
        <f>IF(O288&gt;0,Y288&amp;Language!$E$90&amp;X288,"")</f>
        <v/>
      </c>
    </row>
    <row r="669" spans="9:19" x14ac:dyDescent="0.2">
      <c r="I669" s="365"/>
      <c r="J669" s="365"/>
      <c r="K669" s="365"/>
      <c r="L669" s="366"/>
      <c r="M669" s="324" t="s">
        <v>367</v>
      </c>
      <c r="N669" s="16" t="str">
        <f>IF(Planning!$I292=0,G289&amp;F289,"")</f>
        <v/>
      </c>
      <c r="O669" s="122">
        <f t="shared" si="18"/>
        <v>0</v>
      </c>
      <c r="P669" s="122" t="str">
        <f>IF(AND(O669&gt;0,Planning!$I292=0),W289&amp;Language!$E$90&amp;V289,"")</f>
        <v/>
      </c>
      <c r="Q669" s="2" t="str">
        <f>IF(Planning!$I292=1,G289&amp;F289,"")</f>
        <v>FC Bayern MünchenSV Werder Bremen</v>
      </c>
      <c r="R669" s="88" t="str">
        <f>IF(AND(O669&gt;0,Planning!$I292=1),W289&amp;Language!$E$90&amp;V289,"")</f>
        <v/>
      </c>
      <c r="S669" s="395" t="str">
        <f>IF(O289&gt;0,Y289&amp;Language!$E$90&amp;X289,"")</f>
        <v/>
      </c>
    </row>
    <row r="670" spans="9:19" x14ac:dyDescent="0.2">
      <c r="I670" s="365"/>
      <c r="J670" s="365"/>
      <c r="K670" s="365"/>
      <c r="L670" s="366"/>
      <c r="M670" s="324" t="s">
        <v>368</v>
      </c>
      <c r="N670" s="16" t="str">
        <f>IF(Planning!$I293=0,G290&amp;F290,"")</f>
        <v/>
      </c>
      <c r="O670" s="122">
        <f t="shared" si="18"/>
        <v>0</v>
      </c>
      <c r="P670" s="122" t="str">
        <f>IF(AND(O670&gt;0,Planning!$I293=0),W290&amp;Language!$E$90&amp;V290,"")</f>
        <v/>
      </c>
      <c r="Q670" s="2" t="str">
        <f>IF(Planning!$I293=1,G290&amp;F290,"")</f>
        <v>SC FreiburgFC St. Pauli</v>
      </c>
      <c r="R670" s="88" t="str">
        <f>IF(AND(O670&gt;0,Planning!$I293=1),W290&amp;Language!$E$90&amp;V290,"")</f>
        <v/>
      </c>
      <c r="S670" s="395" t="str">
        <f>IF(O290&gt;0,Y290&amp;Language!$E$90&amp;X290,"")</f>
        <v/>
      </c>
    </row>
    <row r="671" spans="9:19" x14ac:dyDescent="0.2">
      <c r="I671" s="365"/>
      <c r="J671" s="365"/>
      <c r="K671" s="365"/>
      <c r="L671" s="366"/>
      <c r="M671" s="324" t="s">
        <v>369</v>
      </c>
      <c r="N671" s="16" t="str">
        <f>IF(Planning!$I294=0,G291&amp;F291,"")</f>
        <v/>
      </c>
      <c r="O671" s="122">
        <f t="shared" si="18"/>
        <v>0</v>
      </c>
      <c r="P671" s="122" t="str">
        <f>IF(AND(O671&gt;0,Planning!$I294=0),W291&amp;Language!$E$90&amp;V291,"")</f>
        <v/>
      </c>
      <c r="Q671" s="2" t="str">
        <f>IF(Planning!$I294=1,G291&amp;F291,"")</f>
        <v>Hamburger SVRB Leipzig</v>
      </c>
      <c r="R671" s="88" t="str">
        <f>IF(AND(O671&gt;0,Planning!$I294=1),W291&amp;Language!$E$90&amp;V291,"")</f>
        <v/>
      </c>
      <c r="S671" s="395" t="str">
        <f>IF(O291&gt;0,Y291&amp;Language!$E$90&amp;X291,"")</f>
        <v/>
      </c>
    </row>
    <row r="672" spans="9:19" x14ac:dyDescent="0.2">
      <c r="I672" s="365"/>
      <c r="J672" s="365"/>
      <c r="K672" s="365"/>
      <c r="L672" s="366"/>
      <c r="M672" s="324" t="s">
        <v>370</v>
      </c>
      <c r="N672" s="16" t="str">
        <f>IF(Planning!$I295=0,G292&amp;F292,"")</f>
        <v/>
      </c>
      <c r="O672" s="122">
        <f t="shared" si="18"/>
        <v>0</v>
      </c>
      <c r="P672" s="122" t="str">
        <f>IF(AND(O672&gt;0,Planning!$I295=0),W292&amp;Language!$E$90&amp;V292,"")</f>
        <v/>
      </c>
      <c r="Q672" s="2" t="str">
        <f>IF(Planning!$I295=1,G292&amp;F292,"")</f>
        <v>1. FC Union Berlin1. FC Heidenheim 1846</v>
      </c>
      <c r="R672" s="88" t="str">
        <f>IF(AND(O672&gt;0,Planning!$I295=1),W292&amp;Language!$E$90&amp;V292,"")</f>
        <v/>
      </c>
      <c r="S672" s="395" t="str">
        <f>IF(O292&gt;0,Y292&amp;Language!$E$90&amp;X292,"")</f>
        <v/>
      </c>
    </row>
    <row r="673" spans="9:19" x14ac:dyDescent="0.2">
      <c r="I673" s="365"/>
      <c r="J673" s="365"/>
      <c r="K673" s="365"/>
      <c r="L673" s="366"/>
      <c r="M673" s="324" t="s">
        <v>371</v>
      </c>
      <c r="N673" s="16" t="str">
        <f>IF(Planning!$I296=0,G293&amp;F293,"")</f>
        <v/>
      </c>
      <c r="O673" s="122">
        <f t="shared" si="18"/>
        <v>0</v>
      </c>
      <c r="P673" s="122" t="str">
        <f>IF(AND(O673&gt;0,Planning!$I296=0),W293&amp;Language!$E$90&amp;V293,"")</f>
        <v/>
      </c>
      <c r="Q673" s="2" t="str">
        <f>IF(Planning!$I296=1,G293&amp;F293,"")</f>
        <v>1. FC Köln1. FSV Mainz 05</v>
      </c>
      <c r="R673" s="88" t="str">
        <f>IF(AND(O673&gt;0,Planning!$I296=1),W293&amp;Language!$E$90&amp;V293,"")</f>
        <v/>
      </c>
      <c r="S673" s="395" t="str">
        <f>IF(O293&gt;0,Y293&amp;Language!$E$90&amp;X293,"")</f>
        <v/>
      </c>
    </row>
    <row r="674" spans="9:19" x14ac:dyDescent="0.2">
      <c r="I674" s="365"/>
      <c r="J674" s="365"/>
      <c r="K674" s="365"/>
      <c r="L674" s="366"/>
      <c r="M674" s="324" t="s">
        <v>372</v>
      </c>
      <c r="N674" s="16" t="str">
        <f>IF(Planning!$I297=0,G294&amp;F294,"")</f>
        <v/>
      </c>
      <c r="O674" s="122">
        <f t="shared" si="18"/>
        <v>0</v>
      </c>
      <c r="P674" s="122" t="str">
        <f>IF(AND(O674&gt;0,Planning!$I297=0),W294&amp;Language!$E$90&amp;V294,"")</f>
        <v/>
      </c>
      <c r="Q674" s="2" t="str">
        <f>IF(Planning!$I297=1,G294&amp;F294,"")</f>
        <v>Bayer 04 LeverkusenVfL Wolfsburg</v>
      </c>
      <c r="R674" s="88" t="str">
        <f>IF(AND(O674&gt;0,Planning!$I297=1),W294&amp;Language!$E$90&amp;V294,"")</f>
        <v/>
      </c>
      <c r="S674" s="395" t="str">
        <f>IF(O294&gt;0,Y294&amp;Language!$E$90&amp;X294,"")</f>
        <v/>
      </c>
    </row>
    <row r="675" spans="9:19" x14ac:dyDescent="0.2">
      <c r="I675" s="365"/>
      <c r="J675" s="365"/>
      <c r="K675" s="365"/>
      <c r="L675" s="366"/>
      <c r="M675" s="324" t="s">
        <v>373</v>
      </c>
      <c r="N675" s="16" t="str">
        <f>IF(Planning!$I298=0,G295&amp;F295,"")</f>
        <v/>
      </c>
      <c r="O675" s="122">
        <f t="shared" si="18"/>
        <v>0</v>
      </c>
      <c r="P675" s="122" t="str">
        <f>IF(AND(O675&gt;0,Planning!$I298=0),W295&amp;Language!$E$90&amp;V295,"")</f>
        <v/>
      </c>
      <c r="Q675" s="2" t="str">
        <f>IF(Planning!$I298=1,G295&amp;F295,"")</f>
        <v>VfB StuttgartBorussia Dortmund</v>
      </c>
      <c r="R675" s="88" t="str">
        <f>IF(AND(O675&gt;0,Planning!$I298=1),W295&amp;Language!$E$90&amp;V295,"")</f>
        <v/>
      </c>
      <c r="S675" s="395" t="str">
        <f>IF(O295&gt;0,Y295&amp;Language!$E$90&amp;X295,"")</f>
        <v/>
      </c>
    </row>
    <row r="676" spans="9:19" x14ac:dyDescent="0.2">
      <c r="I676" s="365"/>
      <c r="J676" s="365"/>
      <c r="K676" s="365"/>
      <c r="L676" s="366"/>
      <c r="M676" s="324" t="s">
        <v>374</v>
      </c>
      <c r="N676" s="16" t="str">
        <f>IF(Planning!$I299=0,G296&amp;F296,"")</f>
        <v/>
      </c>
      <c r="O676" s="122">
        <f t="shared" si="18"/>
        <v>0</v>
      </c>
      <c r="P676" s="122" t="str">
        <f>IF(AND(O676&gt;0,Planning!$I299=0),W296&amp;Language!$E$90&amp;V296,"")</f>
        <v/>
      </c>
      <c r="Q676" s="2" t="str">
        <f>IF(Planning!$I299=1,G296&amp;F296,"")</f>
        <v>Borussia MönchengladbachTSG Hoffenheim</v>
      </c>
      <c r="R676" s="88" t="str">
        <f>IF(AND(O676&gt;0,Planning!$I299=1),W296&amp;Language!$E$90&amp;V296,"")</f>
        <v/>
      </c>
      <c r="S676" s="395" t="str">
        <f>IF(O296&gt;0,Y296&amp;Language!$E$90&amp;X296,"")</f>
        <v/>
      </c>
    </row>
    <row r="677" spans="9:19" x14ac:dyDescent="0.2">
      <c r="I677" s="365"/>
      <c r="J677" s="365"/>
      <c r="K677" s="365"/>
      <c r="L677" s="366"/>
      <c r="M677" s="324" t="s">
        <v>375</v>
      </c>
      <c r="N677" s="16" t="str">
        <f>IF(Planning!$I300=0,G297&amp;F297,"")</f>
        <v/>
      </c>
      <c r="O677" s="122">
        <f t="shared" si="18"/>
        <v>0</v>
      </c>
      <c r="P677" s="122" t="str">
        <f>IF(AND(O677&gt;0,Planning!$I300=0),W297&amp;Language!$E$90&amp;V297,"")</f>
        <v/>
      </c>
      <c r="Q677" s="2" t="str">
        <f>IF(Planning!$I300=1,G297&amp;F297,"")</f>
        <v>SV Werder BremenEintracht Frankfurt</v>
      </c>
      <c r="R677" s="88" t="str">
        <f>IF(AND(O677&gt;0,Planning!$I300=1),W297&amp;Language!$E$90&amp;V297,"")</f>
        <v/>
      </c>
      <c r="S677" s="395" t="str">
        <f>IF(O297&gt;0,Y297&amp;Language!$E$90&amp;X297,"")</f>
        <v/>
      </c>
    </row>
    <row r="678" spans="9:19" x14ac:dyDescent="0.2">
      <c r="I678" s="365"/>
      <c r="J678" s="365"/>
      <c r="K678" s="365"/>
      <c r="L678" s="366"/>
      <c r="M678" s="324" t="s">
        <v>376</v>
      </c>
      <c r="N678" s="16" t="str">
        <f>IF(Planning!$I301=0,G298&amp;F298,"")</f>
        <v/>
      </c>
      <c r="O678" s="122">
        <f t="shared" si="18"/>
        <v>0</v>
      </c>
      <c r="P678" s="122" t="str">
        <f>IF(AND(O678&gt;0,Planning!$I301=0),W298&amp;Language!$E$90&amp;V298,"")</f>
        <v/>
      </c>
      <c r="Q678" s="2" t="str">
        <f>IF(Planning!$I301=1,G298&amp;F298,"")</f>
        <v>FC AugsburgSC Freiburg</v>
      </c>
      <c r="R678" s="88" t="str">
        <f>IF(AND(O678&gt;0,Planning!$I301=1),W298&amp;Language!$E$90&amp;V298,"")</f>
        <v/>
      </c>
      <c r="S678" s="395" t="str">
        <f>IF(O298&gt;0,Y298&amp;Language!$E$90&amp;X298,"")</f>
        <v/>
      </c>
    </row>
    <row r="679" spans="9:19" x14ac:dyDescent="0.2">
      <c r="I679" s="365"/>
      <c r="J679" s="365"/>
      <c r="K679" s="365"/>
      <c r="L679" s="366"/>
      <c r="M679" s="324" t="s">
        <v>377</v>
      </c>
      <c r="N679" s="16" t="str">
        <f>IF(Planning!$I302=0,G299&amp;F299,"")</f>
        <v/>
      </c>
      <c r="O679" s="122">
        <f t="shared" si="18"/>
        <v>0</v>
      </c>
      <c r="P679" s="122" t="str">
        <f>IF(AND(O679&gt;0,Planning!$I302=0),W299&amp;Language!$E$90&amp;V299,"")</f>
        <v/>
      </c>
      <c r="Q679" s="2" t="str">
        <f>IF(Planning!$I302=1,G299&amp;F299,"")</f>
        <v>RB LeipzigFC Bayern München</v>
      </c>
      <c r="R679" s="88" t="str">
        <f>IF(AND(O679&gt;0,Planning!$I302=1),W299&amp;Language!$E$90&amp;V299,"")</f>
        <v/>
      </c>
      <c r="S679" s="395" t="str">
        <f>IF(O299&gt;0,Y299&amp;Language!$E$90&amp;X299,"")</f>
        <v/>
      </c>
    </row>
    <row r="680" spans="9:19" x14ac:dyDescent="0.2">
      <c r="I680" s="365"/>
      <c r="J680" s="365"/>
      <c r="K680" s="365"/>
      <c r="L680" s="366"/>
      <c r="M680" s="324" t="s">
        <v>378</v>
      </c>
      <c r="N680" s="16" t="str">
        <f>IF(Planning!$I303=0,G300&amp;F300,"")</f>
        <v/>
      </c>
      <c r="O680" s="122">
        <f t="shared" si="18"/>
        <v>0</v>
      </c>
      <c r="P680" s="122" t="str">
        <f>IF(AND(O680&gt;0,Planning!$I303=0),W300&amp;Language!$E$90&amp;V300,"")</f>
        <v/>
      </c>
      <c r="Q680" s="2" t="str">
        <f>IF(Planning!$I303=1,G300&amp;F300,"")</f>
        <v>FC St. PauliHamburger SV</v>
      </c>
      <c r="R680" s="88" t="str">
        <f>IF(AND(O680&gt;0,Planning!$I303=1),W300&amp;Language!$E$90&amp;V300,"")</f>
        <v/>
      </c>
      <c r="S680" s="395" t="str">
        <f>IF(O300&gt;0,Y300&amp;Language!$E$90&amp;X300,"")</f>
        <v/>
      </c>
    </row>
    <row r="681" spans="9:19" x14ac:dyDescent="0.2">
      <c r="I681" s="365"/>
      <c r="J681" s="365"/>
      <c r="K681" s="365"/>
      <c r="L681" s="366"/>
      <c r="M681" s="324" t="s">
        <v>379</v>
      </c>
      <c r="N681" s="16" t="str">
        <f>IF(Planning!$I304=0,G301&amp;F301,"")</f>
        <v/>
      </c>
      <c r="O681" s="122">
        <f t="shared" si="18"/>
        <v>0</v>
      </c>
      <c r="P681" s="122" t="str">
        <f>IF(AND(O681&gt;0,Planning!$I304=0),W301&amp;Language!$E$90&amp;V301,"")</f>
        <v/>
      </c>
      <c r="Q681" s="2" t="str">
        <f>IF(Planning!$I304=1,G301&amp;F301,"")</f>
        <v>1. FC Heidenheim 18461. FC Köln</v>
      </c>
      <c r="R681" s="88" t="str">
        <f>IF(AND(O681&gt;0,Planning!$I304=1),W301&amp;Language!$E$90&amp;V301,"")</f>
        <v/>
      </c>
      <c r="S681" s="395" t="str">
        <f>IF(O301&gt;0,Y301&amp;Language!$E$90&amp;X301,"")</f>
        <v/>
      </c>
    </row>
    <row r="682" spans="9:19" x14ac:dyDescent="0.2">
      <c r="I682" s="365"/>
      <c r="J682" s="365"/>
      <c r="K682" s="365"/>
      <c r="L682" s="366"/>
      <c r="M682" s="324" t="s">
        <v>380</v>
      </c>
      <c r="N682" s="16" t="str">
        <f>IF(Planning!$I305=0,G302&amp;F302,"")</f>
        <v/>
      </c>
      <c r="O682" s="122">
        <f t="shared" si="18"/>
        <v>0</v>
      </c>
      <c r="P682" s="122" t="str">
        <f>IF(AND(O682&gt;0,Planning!$I305=0),W302&amp;Language!$E$90&amp;V302,"")</f>
        <v/>
      </c>
      <c r="Q682" s="2" t="str">
        <f>IF(Planning!$I305=1,G302&amp;F302,"")</f>
        <v>VfL Wolfsburg1. FC Union Berlin</v>
      </c>
      <c r="R682" s="88" t="str">
        <f>IF(AND(O682&gt;0,Planning!$I305=1),W302&amp;Language!$E$90&amp;V302,"")</f>
        <v/>
      </c>
      <c r="S682" s="395" t="str">
        <f>IF(O302&gt;0,Y302&amp;Language!$E$90&amp;X302,"")</f>
        <v/>
      </c>
    </row>
    <row r="683" spans="9:19" x14ac:dyDescent="0.2">
      <c r="I683" s="365"/>
      <c r="J683" s="365"/>
      <c r="K683" s="365"/>
      <c r="L683" s="366"/>
      <c r="M683" s="324" t="s">
        <v>381</v>
      </c>
      <c r="N683" s="16" t="str">
        <f>IF(Planning!$I306=0,G303&amp;F303,"")</f>
        <v/>
      </c>
      <c r="O683" s="122">
        <f t="shared" si="18"/>
        <v>0</v>
      </c>
      <c r="P683" s="122" t="str">
        <f>IF(AND(O683&gt;0,Planning!$I306=0),W303&amp;Language!$E$90&amp;V303,"")</f>
        <v/>
      </c>
      <c r="Q683" s="2" t="str">
        <f>IF(Planning!$I306=1,G303&amp;F303,"")</f>
        <v>1. FSV Mainz 05VfB Stuttgart</v>
      </c>
      <c r="R683" s="88" t="str">
        <f>IF(AND(O683&gt;0,Planning!$I306=1),W303&amp;Language!$E$90&amp;V303,"")</f>
        <v/>
      </c>
      <c r="S683" s="395" t="str">
        <f>IF(O303&gt;0,Y303&amp;Language!$E$90&amp;X303,"")</f>
        <v/>
      </c>
    </row>
    <row r="684" spans="9:19" x14ac:dyDescent="0.2">
      <c r="I684" s="365"/>
      <c r="J684" s="365"/>
      <c r="K684" s="365"/>
      <c r="L684" s="366"/>
      <c r="M684" s="324" t="s">
        <v>382</v>
      </c>
      <c r="N684" s="16" t="str">
        <f>IF(Planning!$I307=0,G304&amp;F304,"")</f>
        <v/>
      </c>
      <c r="O684" s="122">
        <f t="shared" si="18"/>
        <v>0</v>
      </c>
      <c r="P684" s="122" t="str">
        <f>IF(AND(O684&gt;0,Planning!$I307=0),W304&amp;Language!$E$90&amp;V304,"")</f>
        <v/>
      </c>
      <c r="Q684" s="2" t="str">
        <f>IF(Planning!$I307=1,G304&amp;F304,"")</f>
        <v>TSG HoffenheimBayer 04 Leverkusen</v>
      </c>
      <c r="R684" s="88" t="str">
        <f>IF(AND(O684&gt;0,Planning!$I307=1),W304&amp;Language!$E$90&amp;V304,"")</f>
        <v/>
      </c>
      <c r="S684" s="395" t="str">
        <f>IF(O304&gt;0,Y304&amp;Language!$E$90&amp;X304,"")</f>
        <v/>
      </c>
    </row>
    <row r="685" spans="9:19" x14ac:dyDescent="0.2">
      <c r="I685" s="365"/>
      <c r="J685" s="365"/>
      <c r="K685" s="365"/>
      <c r="L685" s="366"/>
      <c r="M685" s="324" t="s">
        <v>383</v>
      </c>
      <c r="N685" s="16" t="str">
        <f>IF(Planning!$I308=0,G305&amp;F305,"")</f>
        <v/>
      </c>
      <c r="O685" s="122">
        <f t="shared" si="18"/>
        <v>0</v>
      </c>
      <c r="P685" s="122" t="str">
        <f>IF(AND(O685&gt;0,Planning!$I308=0),W305&amp;Language!$E$90&amp;V305,"")</f>
        <v/>
      </c>
      <c r="Q685" s="2" t="str">
        <f>IF(Planning!$I308=1,G305&amp;F305,"")</f>
        <v>Borussia DortmundSV Werder Bremen</v>
      </c>
      <c r="R685" s="88" t="str">
        <f>IF(AND(O685&gt;0,Planning!$I308=1),W305&amp;Language!$E$90&amp;V305,"")</f>
        <v/>
      </c>
      <c r="S685" s="395" t="str">
        <f>IF(O305&gt;0,Y305&amp;Language!$E$90&amp;X305,"")</f>
        <v/>
      </c>
    </row>
    <row r="686" spans="9:19" x14ac:dyDescent="0.2">
      <c r="I686" s="365"/>
      <c r="J686" s="365"/>
      <c r="K686" s="365"/>
      <c r="L686" s="366"/>
      <c r="M686" s="324" t="s">
        <v>384</v>
      </c>
      <c r="N686" s="16" t="str">
        <f>IF(Planning!$I309=0,G306&amp;F306,"")</f>
        <v/>
      </c>
      <c r="O686" s="122">
        <f t="shared" si="18"/>
        <v>0</v>
      </c>
      <c r="P686" s="122" t="str">
        <f>IF(AND(O686&gt;0,Planning!$I309=0),W306&amp;Language!$E$90&amp;V306,"")</f>
        <v/>
      </c>
      <c r="Q686" s="2" t="str">
        <f>IF(Planning!$I309=1,G306&amp;F306,"")</f>
        <v>SC FreiburgBorussia Mönchengladbach</v>
      </c>
      <c r="R686" s="88" t="str">
        <f>IF(AND(O686&gt;0,Planning!$I309=1),W306&amp;Language!$E$90&amp;V306,"")</f>
        <v/>
      </c>
      <c r="S686" s="395" t="str">
        <f>IF(O306&gt;0,Y306&amp;Language!$E$90&amp;X306,"")</f>
        <v/>
      </c>
    </row>
    <row r="687" spans="9:19" x14ac:dyDescent="0.2">
      <c r="I687" s="365"/>
      <c r="J687" s="365"/>
      <c r="K687" s="365"/>
      <c r="L687" s="366"/>
      <c r="M687" s="324" t="s">
        <v>385</v>
      </c>
      <c r="N687" s="16" t="str">
        <f>IF(Planning!$I310=0,G307&amp;F307,"")</f>
        <v/>
      </c>
      <c r="O687" s="122">
        <f t="shared" si="18"/>
        <v>0</v>
      </c>
      <c r="P687" s="122" t="str">
        <f>IF(AND(O687&gt;0,Planning!$I310=0),W307&amp;Language!$E$90&amp;V307,"")</f>
        <v/>
      </c>
      <c r="Q687" s="2" t="str">
        <f>IF(Planning!$I310=1,G307&amp;F307,"")</f>
        <v>Eintracht FrankfurtRB Leipzig</v>
      </c>
      <c r="R687" s="88" t="str">
        <f>IF(AND(O687&gt;0,Planning!$I310=1),W307&amp;Language!$E$90&amp;V307,"")</f>
        <v/>
      </c>
      <c r="S687" s="395" t="str">
        <f>IF(O307&gt;0,Y307&amp;Language!$E$90&amp;X307,"")</f>
        <v/>
      </c>
    </row>
    <row r="688" spans="9:19" x14ac:dyDescent="0.2">
      <c r="I688" s="365"/>
      <c r="J688" s="365"/>
      <c r="K688" s="365"/>
      <c r="L688" s="366"/>
      <c r="M688" s="324" t="s">
        <v>386</v>
      </c>
      <c r="N688" s="16" t="str">
        <f>IF(Planning!$I311=0,G308&amp;F308,"")</f>
        <v/>
      </c>
      <c r="O688" s="122">
        <f t="shared" si="18"/>
        <v>0</v>
      </c>
      <c r="P688" s="122" t="str">
        <f>IF(AND(O688&gt;0,Planning!$I311=0),W308&amp;Language!$E$90&amp;V308,"")</f>
        <v/>
      </c>
      <c r="Q688" s="2" t="str">
        <f>IF(Planning!$I311=1,G308&amp;F308,"")</f>
        <v>Hamburger SVFC Augsburg</v>
      </c>
      <c r="R688" s="88" t="str">
        <f>IF(AND(O688&gt;0,Planning!$I311=1),W308&amp;Language!$E$90&amp;V308,"")</f>
        <v/>
      </c>
      <c r="S688" s="395" t="str">
        <f>IF(O308&gt;0,Y308&amp;Language!$E$90&amp;X308,"")</f>
        <v/>
      </c>
    </row>
    <row r="689" spans="9:19" x14ac:dyDescent="0.2">
      <c r="I689" s="365"/>
      <c r="J689" s="365"/>
      <c r="K689" s="365"/>
      <c r="L689" s="366"/>
      <c r="M689" s="324" t="s">
        <v>387</v>
      </c>
      <c r="N689" s="16" t="str">
        <f>IF(Planning!$I312=0,G309&amp;F309,"")</f>
        <v/>
      </c>
      <c r="O689" s="122">
        <f t="shared" si="18"/>
        <v>0</v>
      </c>
      <c r="P689" s="122" t="str">
        <f>IF(AND(O689&gt;0,Planning!$I312=0),W309&amp;Language!$E$90&amp;V309,"")</f>
        <v/>
      </c>
      <c r="Q689" s="2" t="str">
        <f>IF(Planning!$I312=1,G309&amp;F309,"")</f>
        <v>FC Bayern MünchenFC St. Pauli</v>
      </c>
      <c r="R689" s="88" t="str">
        <f>IF(AND(O689&gt;0,Planning!$I312=1),W309&amp;Language!$E$90&amp;V309,"")</f>
        <v/>
      </c>
      <c r="S689" s="395" t="str">
        <f>IF(O309&gt;0,Y309&amp;Language!$E$90&amp;X309,"")</f>
        <v/>
      </c>
    </row>
    <row r="690" spans="9:19" x14ac:dyDescent="0.2">
      <c r="I690" s="365"/>
      <c r="J690" s="365"/>
      <c r="K690" s="365"/>
      <c r="L690" s="366"/>
      <c r="M690" s="324" t="s">
        <v>388</v>
      </c>
      <c r="N690" s="16" t="str">
        <f>IF(Planning!$I313=0,G310&amp;F310,"")</f>
        <v/>
      </c>
      <c r="O690" s="122">
        <f t="shared" si="18"/>
        <v>0</v>
      </c>
      <c r="P690" s="122" t="str">
        <f>IF(AND(O690&gt;0,Planning!$I313=0),W310&amp;Language!$E$90&amp;V310,"")</f>
        <v/>
      </c>
      <c r="Q690" s="2" t="str">
        <f>IF(Planning!$I313=1,G310&amp;F310,"")</f>
        <v/>
      </c>
      <c r="R690" s="88" t="str">
        <f>IF(AND(O690&gt;0,Planning!$I313=1),W310&amp;Language!$E$90&amp;V310,"")</f>
        <v/>
      </c>
      <c r="S690" s="395" t="str">
        <f>IF(O310&gt;0,Y310&amp;Language!$E$90&amp;X310,"")</f>
        <v/>
      </c>
    </row>
    <row r="691" spans="9:19" x14ac:dyDescent="0.2">
      <c r="I691" s="365"/>
      <c r="J691" s="365"/>
      <c r="K691" s="365"/>
      <c r="L691" s="366"/>
      <c r="M691" s="324" t="s">
        <v>389</v>
      </c>
      <c r="N691" s="16" t="str">
        <f>IF(Planning!$I314=0,G311&amp;F311,"")</f>
        <v/>
      </c>
      <c r="O691" s="122">
        <f t="shared" si="18"/>
        <v>0</v>
      </c>
      <c r="P691" s="122" t="str">
        <f>IF(AND(O691&gt;0,Planning!$I314=0),W311&amp;Language!$E$90&amp;V311,"")</f>
        <v/>
      </c>
      <c r="Q691" s="2" t="str">
        <f>IF(Planning!$I314=1,G311&amp;F311,"")</f>
        <v/>
      </c>
      <c r="R691" s="88" t="str">
        <f>IF(AND(O691&gt;0,Planning!$I314=1),W311&amp;Language!$E$90&amp;V311,"")</f>
        <v/>
      </c>
      <c r="S691" s="395" t="str">
        <f>IF(O311&gt;0,Y311&amp;Language!$E$90&amp;X311,"")</f>
        <v/>
      </c>
    </row>
    <row r="692" spans="9:19" x14ac:dyDescent="0.2">
      <c r="I692" s="365"/>
      <c r="J692" s="365"/>
      <c r="K692" s="365"/>
      <c r="L692" s="366"/>
      <c r="M692" s="324" t="s">
        <v>390</v>
      </c>
      <c r="N692" s="16" t="str">
        <f>IF(Planning!$I315=0,G312&amp;F312,"")</f>
        <v/>
      </c>
      <c r="O692" s="122">
        <f t="shared" si="18"/>
        <v>0</v>
      </c>
      <c r="P692" s="122" t="str">
        <f>IF(AND(O692&gt;0,Planning!$I315=0),W312&amp;Language!$E$90&amp;V312,"")</f>
        <v/>
      </c>
      <c r="Q692" s="2" t="str">
        <f>IF(Planning!$I315=1,G312&amp;F312,"")</f>
        <v/>
      </c>
      <c r="R692" s="88" t="str">
        <f>IF(AND(O692&gt;0,Planning!$I315=1),W312&amp;Language!$E$90&amp;V312,"")</f>
        <v/>
      </c>
      <c r="S692" s="395" t="str">
        <f>IF(O312&gt;0,Y312&amp;Language!$E$90&amp;X312,"")</f>
        <v/>
      </c>
    </row>
    <row r="693" spans="9:19" x14ac:dyDescent="0.2">
      <c r="I693" s="365"/>
      <c r="J693" s="365"/>
      <c r="K693" s="365"/>
      <c r="L693" s="366"/>
      <c r="M693" s="324" t="s">
        <v>391</v>
      </c>
      <c r="N693" s="16" t="str">
        <f>IF(Planning!$I316=0,G313&amp;F313,"")</f>
        <v/>
      </c>
      <c r="O693" s="122">
        <f t="shared" si="18"/>
        <v>0</v>
      </c>
      <c r="P693" s="122" t="str">
        <f>IF(AND(O693&gt;0,Planning!$I316=0),W313&amp;Language!$E$90&amp;V313,"")</f>
        <v/>
      </c>
      <c r="Q693" s="2" t="str">
        <f>IF(Planning!$I316=1,G313&amp;F313,"")</f>
        <v/>
      </c>
      <c r="R693" s="88" t="str">
        <f>IF(AND(O693&gt;0,Planning!$I316=1),W313&amp;Language!$E$90&amp;V313,"")</f>
        <v/>
      </c>
      <c r="S693" s="395" t="str">
        <f>IF(O313&gt;0,Y313&amp;Language!$E$90&amp;X313,"")</f>
        <v/>
      </c>
    </row>
    <row r="694" spans="9:19" x14ac:dyDescent="0.2">
      <c r="I694" s="365"/>
      <c r="J694" s="365"/>
      <c r="K694" s="365"/>
      <c r="L694" s="366"/>
      <c r="M694" s="324" t="s">
        <v>392</v>
      </c>
      <c r="N694" s="16" t="str">
        <f>IF(Planning!$I317=0,G314&amp;F314,"")</f>
        <v/>
      </c>
      <c r="O694" s="122">
        <f t="shared" si="18"/>
        <v>0</v>
      </c>
      <c r="P694" s="122" t="str">
        <f>IF(AND(O694&gt;0,Planning!$I317=0),W314&amp;Language!$E$90&amp;V314,"")</f>
        <v/>
      </c>
      <c r="Q694" s="2" t="str">
        <f>IF(Planning!$I317=1,G314&amp;F314,"")</f>
        <v/>
      </c>
      <c r="R694" s="88" t="str">
        <f>IF(AND(O694&gt;0,Planning!$I317=1),W314&amp;Language!$E$90&amp;V314,"")</f>
        <v/>
      </c>
      <c r="S694" s="395" t="str">
        <f>IF(O314&gt;0,Y314&amp;Language!$E$90&amp;X314,"")</f>
        <v/>
      </c>
    </row>
    <row r="695" spans="9:19" x14ac:dyDescent="0.2">
      <c r="I695" s="365"/>
      <c r="J695" s="365"/>
      <c r="K695" s="365"/>
      <c r="L695" s="366"/>
      <c r="M695" s="324" t="s">
        <v>393</v>
      </c>
      <c r="N695" s="16" t="str">
        <f>IF(Planning!$I318=0,G315&amp;F315,"")</f>
        <v/>
      </c>
      <c r="O695" s="122">
        <f t="shared" si="18"/>
        <v>0</v>
      </c>
      <c r="P695" s="122" t="str">
        <f>IF(AND(O695&gt;0,Planning!$I318=0),W315&amp;Language!$E$90&amp;V315,"")</f>
        <v/>
      </c>
      <c r="Q695" s="2" t="str">
        <f>IF(Planning!$I318=1,G315&amp;F315,"")</f>
        <v/>
      </c>
      <c r="R695" s="88" t="str">
        <f>IF(AND(O695&gt;0,Planning!$I318=1),W315&amp;Language!$E$90&amp;V315,"")</f>
        <v/>
      </c>
      <c r="S695" s="395" t="str">
        <f>IF(O315&gt;0,Y315&amp;Language!$E$90&amp;X315,"")</f>
        <v/>
      </c>
    </row>
    <row r="696" spans="9:19" x14ac:dyDescent="0.2">
      <c r="I696" s="365"/>
      <c r="J696" s="365"/>
      <c r="K696" s="365"/>
      <c r="L696" s="366"/>
      <c r="M696" s="324" t="s">
        <v>394</v>
      </c>
      <c r="N696" s="16" t="str">
        <f>IF(Planning!$I319=0,G316&amp;F316,"")</f>
        <v/>
      </c>
      <c r="O696" s="122">
        <f t="shared" si="18"/>
        <v>0</v>
      </c>
      <c r="P696" s="122" t="str">
        <f>IF(AND(O696&gt;0,Planning!$I319=0),W316&amp;Language!$E$90&amp;V316,"")</f>
        <v/>
      </c>
      <c r="Q696" s="2" t="str">
        <f>IF(Planning!$I319=1,G316&amp;F316,"")</f>
        <v/>
      </c>
      <c r="R696" s="88" t="str">
        <f>IF(AND(O696&gt;0,Planning!$I319=1),W316&amp;Language!$E$90&amp;V316,"")</f>
        <v/>
      </c>
      <c r="S696" s="395" t="str">
        <f>IF(O316&gt;0,Y316&amp;Language!$E$90&amp;X316,"")</f>
        <v/>
      </c>
    </row>
    <row r="697" spans="9:19" x14ac:dyDescent="0.2">
      <c r="I697" s="365"/>
      <c r="J697" s="365"/>
      <c r="K697" s="365"/>
      <c r="L697" s="366"/>
      <c r="M697" s="324" t="s">
        <v>395</v>
      </c>
      <c r="N697" s="16" t="str">
        <f>IF(Planning!$I320=0,G317&amp;F317,"")</f>
        <v/>
      </c>
      <c r="O697" s="122">
        <f t="shared" si="18"/>
        <v>0</v>
      </c>
      <c r="P697" s="122" t="str">
        <f>IF(AND(O697&gt;0,Planning!$I320=0),W317&amp;Language!$E$90&amp;V317,"")</f>
        <v/>
      </c>
      <c r="Q697" s="2" t="str">
        <f>IF(Planning!$I320=1,G317&amp;F317,"")</f>
        <v/>
      </c>
      <c r="R697" s="88" t="str">
        <f>IF(AND(O697&gt;0,Planning!$I320=1),W317&amp;Language!$E$90&amp;V317,"")</f>
        <v/>
      </c>
      <c r="S697" s="395" t="str">
        <f>IF(O317&gt;0,Y317&amp;Language!$E$90&amp;X317,"")</f>
        <v/>
      </c>
    </row>
    <row r="698" spans="9:19" x14ac:dyDescent="0.2">
      <c r="I698" s="365"/>
      <c r="J698" s="365"/>
      <c r="K698" s="365"/>
      <c r="L698" s="366"/>
      <c r="M698" s="324" t="s">
        <v>396</v>
      </c>
      <c r="N698" s="16" t="str">
        <f>IF(Planning!$I321=0,G318&amp;F318,"")</f>
        <v/>
      </c>
      <c r="O698" s="122">
        <f t="shared" si="18"/>
        <v>0</v>
      </c>
      <c r="P698" s="122" t="str">
        <f>IF(AND(O698&gt;0,Planning!$I321=0),W318&amp;Language!$E$90&amp;V318,"")</f>
        <v/>
      </c>
      <c r="Q698" s="2" t="str">
        <f>IF(Planning!$I321=1,G318&amp;F318,"")</f>
        <v/>
      </c>
      <c r="R698" s="88" t="str">
        <f>IF(AND(O698&gt;0,Planning!$I321=1),W318&amp;Language!$E$90&amp;V318,"")</f>
        <v/>
      </c>
      <c r="S698" s="395" t="str">
        <f>IF(O318&gt;0,Y318&amp;Language!$E$90&amp;X318,"")</f>
        <v/>
      </c>
    </row>
    <row r="699" spans="9:19" x14ac:dyDescent="0.2">
      <c r="I699" s="365"/>
      <c r="J699" s="365"/>
      <c r="K699" s="365"/>
      <c r="L699" s="366"/>
      <c r="M699" s="324" t="s">
        <v>397</v>
      </c>
      <c r="N699" s="16" t="str">
        <f>IF(Planning!$I322=0,G319&amp;F319,"")</f>
        <v/>
      </c>
      <c r="O699" s="122">
        <f t="shared" si="18"/>
        <v>0</v>
      </c>
      <c r="P699" s="122" t="str">
        <f>IF(AND(O699&gt;0,Planning!$I322=0),W319&amp;Language!$E$90&amp;V319,"")</f>
        <v/>
      </c>
      <c r="Q699" s="2" t="str">
        <f>IF(Planning!$I322=1,G319&amp;F319,"")</f>
        <v/>
      </c>
      <c r="R699" s="88" t="str">
        <f>IF(AND(O699&gt;0,Planning!$I322=1),W319&amp;Language!$E$90&amp;V319,"")</f>
        <v/>
      </c>
      <c r="S699" s="395" t="str">
        <f>IF(O319&gt;0,Y319&amp;Language!$E$90&amp;X319,"")</f>
        <v/>
      </c>
    </row>
    <row r="700" spans="9:19" x14ac:dyDescent="0.2">
      <c r="I700" s="365"/>
      <c r="J700" s="365"/>
      <c r="K700" s="365"/>
      <c r="L700" s="366"/>
      <c r="M700" s="324" t="s">
        <v>398</v>
      </c>
      <c r="N700" s="16" t="str">
        <f>IF(Planning!$I323=0,G320&amp;F320,"")</f>
        <v/>
      </c>
      <c r="O700" s="122">
        <f t="shared" si="18"/>
        <v>0</v>
      </c>
      <c r="P700" s="122" t="str">
        <f>IF(AND(O700&gt;0,Planning!$I323=0),W320&amp;Language!$E$90&amp;V320,"")</f>
        <v/>
      </c>
      <c r="Q700" s="2" t="str">
        <f>IF(Planning!$I323=1,G320&amp;F320,"")</f>
        <v/>
      </c>
      <c r="R700" s="88" t="str">
        <f>IF(AND(O700&gt;0,Planning!$I323=1),W320&amp;Language!$E$90&amp;V320,"")</f>
        <v/>
      </c>
      <c r="S700" s="395" t="str">
        <f>IF(O320&gt;0,Y320&amp;Language!$E$90&amp;X320,"")</f>
        <v/>
      </c>
    </row>
    <row r="701" spans="9:19" x14ac:dyDescent="0.2">
      <c r="I701" s="365"/>
      <c r="J701" s="365"/>
      <c r="K701" s="365"/>
      <c r="L701" s="366"/>
      <c r="M701" s="324" t="s">
        <v>399</v>
      </c>
      <c r="N701" s="16" t="str">
        <f>IF(Planning!$I324=0,G321&amp;F321,"")</f>
        <v/>
      </c>
      <c r="O701" s="122">
        <f t="shared" si="18"/>
        <v>0</v>
      </c>
      <c r="P701" s="122" t="str">
        <f>IF(AND(O701&gt;0,Planning!$I324=0),W321&amp;Language!$E$90&amp;V321,"")</f>
        <v/>
      </c>
      <c r="Q701" s="2" t="str">
        <f>IF(Planning!$I324=1,G321&amp;F321,"")</f>
        <v/>
      </c>
      <c r="R701" s="88" t="str">
        <f>IF(AND(O701&gt;0,Planning!$I324=1),W321&amp;Language!$E$90&amp;V321,"")</f>
        <v/>
      </c>
      <c r="S701" s="395" t="str">
        <f>IF(O321&gt;0,Y321&amp;Language!$E$90&amp;X321,"")</f>
        <v/>
      </c>
    </row>
    <row r="702" spans="9:19" x14ac:dyDescent="0.2">
      <c r="I702" s="365"/>
      <c r="J702" s="365"/>
      <c r="K702" s="365"/>
      <c r="L702" s="366"/>
      <c r="M702" s="324" t="s">
        <v>400</v>
      </c>
      <c r="N702" s="16" t="str">
        <f>IF(Planning!$I325=0,G322&amp;F322,"")</f>
        <v/>
      </c>
      <c r="O702" s="122">
        <f t="shared" si="18"/>
        <v>0</v>
      </c>
      <c r="P702" s="122" t="str">
        <f>IF(AND(O702&gt;0,Planning!$I325=0),W322&amp;Language!$E$90&amp;V322,"")</f>
        <v/>
      </c>
      <c r="Q702" s="2" t="str">
        <f>IF(Planning!$I325=1,G322&amp;F322,"")</f>
        <v/>
      </c>
      <c r="R702" s="88" t="str">
        <f>IF(AND(O702&gt;0,Planning!$I325=1),W322&amp;Language!$E$90&amp;V322,"")</f>
        <v/>
      </c>
      <c r="S702" s="395" t="str">
        <f>IF(O322&gt;0,Y322&amp;Language!$E$90&amp;X322,"")</f>
        <v/>
      </c>
    </row>
    <row r="703" spans="9:19" x14ac:dyDescent="0.2">
      <c r="I703" s="365"/>
      <c r="J703" s="365"/>
      <c r="K703" s="365"/>
      <c r="L703" s="366"/>
      <c r="M703" s="324" t="s">
        <v>401</v>
      </c>
      <c r="N703" s="16" t="str">
        <f>IF(Planning!$I326=0,G323&amp;F323,"")</f>
        <v/>
      </c>
      <c r="O703" s="122">
        <f t="shared" si="18"/>
        <v>0</v>
      </c>
      <c r="P703" s="122" t="str">
        <f>IF(AND(O703&gt;0,Planning!$I326=0),W323&amp;Language!$E$90&amp;V323,"")</f>
        <v/>
      </c>
      <c r="Q703" s="2" t="str">
        <f>IF(Planning!$I326=1,G323&amp;F323,"")</f>
        <v/>
      </c>
      <c r="R703" s="88" t="str">
        <f>IF(AND(O703&gt;0,Planning!$I326=1),W323&amp;Language!$E$90&amp;V323,"")</f>
        <v/>
      </c>
      <c r="S703" s="395" t="str">
        <f>IF(O323&gt;0,Y323&amp;Language!$E$90&amp;X323,"")</f>
        <v/>
      </c>
    </row>
    <row r="704" spans="9:19" x14ac:dyDescent="0.2">
      <c r="I704" s="365"/>
      <c r="J704" s="365"/>
      <c r="K704" s="365"/>
      <c r="L704" s="366"/>
      <c r="M704" s="324" t="s">
        <v>402</v>
      </c>
      <c r="N704" s="16" t="str">
        <f>IF(Planning!$I327=0,G324&amp;F324,"")</f>
        <v/>
      </c>
      <c r="O704" s="122">
        <f t="shared" si="18"/>
        <v>0</v>
      </c>
      <c r="P704" s="122" t="str">
        <f>IF(AND(O704&gt;0,Planning!$I327=0),W324&amp;Language!$E$90&amp;V324,"")</f>
        <v/>
      </c>
      <c r="Q704" s="2" t="str">
        <f>IF(Planning!$I327=1,G324&amp;F324,"")</f>
        <v/>
      </c>
      <c r="R704" s="88" t="str">
        <f>IF(AND(O704&gt;0,Planning!$I327=1),W324&amp;Language!$E$90&amp;V324,"")</f>
        <v/>
      </c>
      <c r="S704" s="395" t="str">
        <f>IF(O324&gt;0,Y324&amp;Language!$E$90&amp;X324,"")</f>
        <v/>
      </c>
    </row>
    <row r="705" spans="9:19" x14ac:dyDescent="0.2">
      <c r="I705" s="365"/>
      <c r="J705" s="365"/>
      <c r="K705" s="365"/>
      <c r="L705" s="366"/>
      <c r="M705" s="324" t="s">
        <v>403</v>
      </c>
      <c r="N705" s="16" t="str">
        <f>IF(Planning!$I328=0,G325&amp;F325,"")</f>
        <v/>
      </c>
      <c r="O705" s="122">
        <f t="shared" si="18"/>
        <v>0</v>
      </c>
      <c r="P705" s="122" t="str">
        <f>IF(AND(O705&gt;0,Planning!$I328=0),W325&amp;Language!$E$90&amp;V325,"")</f>
        <v/>
      </c>
      <c r="Q705" s="2" t="str">
        <f>IF(Planning!$I328=1,G325&amp;F325,"")</f>
        <v/>
      </c>
      <c r="R705" s="88" t="str">
        <f>IF(AND(O705&gt;0,Planning!$I328=1),W325&amp;Language!$E$90&amp;V325,"")</f>
        <v/>
      </c>
      <c r="S705" s="395" t="str">
        <f>IF(O325&gt;0,Y325&amp;Language!$E$90&amp;X325,"")</f>
        <v/>
      </c>
    </row>
    <row r="706" spans="9:19" x14ac:dyDescent="0.2">
      <c r="I706" s="365"/>
      <c r="J706" s="365"/>
      <c r="K706" s="365"/>
      <c r="L706" s="366"/>
      <c r="M706" s="324" t="s">
        <v>404</v>
      </c>
      <c r="N706" s="16" t="str">
        <f>IF(Planning!$I329=0,G326&amp;F326,"")</f>
        <v/>
      </c>
      <c r="O706" s="122">
        <f t="shared" si="18"/>
        <v>0</v>
      </c>
      <c r="P706" s="122" t="str">
        <f>IF(AND(O706&gt;0,Planning!$I329=0),W326&amp;Language!$E$90&amp;V326,"")</f>
        <v/>
      </c>
      <c r="Q706" s="2" t="str">
        <f>IF(Planning!$I329=1,G326&amp;F326,"")</f>
        <v/>
      </c>
      <c r="R706" s="88" t="str">
        <f>IF(AND(O706&gt;0,Planning!$I329=1),W326&amp;Language!$E$90&amp;V326,"")</f>
        <v/>
      </c>
      <c r="S706" s="395" t="str">
        <f>IF(O326&gt;0,Y326&amp;Language!$E$90&amp;X326,"")</f>
        <v/>
      </c>
    </row>
    <row r="707" spans="9:19" x14ac:dyDescent="0.2">
      <c r="I707" s="365"/>
      <c r="J707" s="365"/>
      <c r="K707" s="365"/>
      <c r="L707" s="366"/>
      <c r="M707" s="324" t="s">
        <v>405</v>
      </c>
      <c r="N707" s="16" t="str">
        <f>IF(Planning!$I330=0,G327&amp;F327,"")</f>
        <v/>
      </c>
      <c r="O707" s="122">
        <f t="shared" si="18"/>
        <v>0</v>
      </c>
      <c r="P707" s="122" t="str">
        <f>IF(AND(O707&gt;0,Planning!$I330=0),W327&amp;Language!$E$90&amp;V327,"")</f>
        <v/>
      </c>
      <c r="Q707" s="2" t="str">
        <f>IF(Planning!$I330=1,G327&amp;F327,"")</f>
        <v/>
      </c>
      <c r="R707" s="88" t="str">
        <f>IF(AND(O707&gt;0,Planning!$I330=1),W327&amp;Language!$E$90&amp;V327,"")</f>
        <v/>
      </c>
      <c r="S707" s="395" t="str">
        <f>IF(O327&gt;0,Y327&amp;Language!$E$90&amp;X327,"")</f>
        <v/>
      </c>
    </row>
    <row r="708" spans="9:19" x14ac:dyDescent="0.2">
      <c r="I708" s="365"/>
      <c r="J708" s="365"/>
      <c r="K708" s="365"/>
      <c r="L708" s="366"/>
      <c r="M708" s="324" t="s">
        <v>406</v>
      </c>
      <c r="N708" s="16" t="str">
        <f>IF(Planning!$I331=0,G328&amp;F328,"")</f>
        <v/>
      </c>
      <c r="O708" s="122">
        <f t="shared" si="18"/>
        <v>0</v>
      </c>
      <c r="P708" s="122" t="str">
        <f>IF(AND(O708&gt;0,Planning!$I331=0),W328&amp;Language!$E$90&amp;V328,"")</f>
        <v/>
      </c>
      <c r="Q708" s="2" t="str">
        <f>IF(Planning!$I331=1,G328&amp;F328,"")</f>
        <v/>
      </c>
      <c r="R708" s="88" t="str">
        <f>IF(AND(O708&gt;0,Planning!$I331=1),W328&amp;Language!$E$90&amp;V328,"")</f>
        <v/>
      </c>
      <c r="S708" s="395" t="str">
        <f>IF(O328&gt;0,Y328&amp;Language!$E$90&amp;X328,"")</f>
        <v/>
      </c>
    </row>
    <row r="709" spans="9:19" x14ac:dyDescent="0.2">
      <c r="I709" s="365"/>
      <c r="J709" s="365"/>
      <c r="K709" s="365"/>
      <c r="L709" s="366"/>
      <c r="M709" s="324" t="s">
        <v>407</v>
      </c>
      <c r="N709" s="16" t="str">
        <f>IF(Planning!$I332=0,G329&amp;F329,"")</f>
        <v/>
      </c>
      <c r="O709" s="122">
        <f t="shared" si="18"/>
        <v>0</v>
      </c>
      <c r="P709" s="122" t="str">
        <f>IF(AND(O709&gt;0,Planning!$I332=0),W329&amp;Language!$E$90&amp;V329,"")</f>
        <v/>
      </c>
      <c r="Q709" s="2" t="str">
        <f>IF(Planning!$I332=1,G329&amp;F329,"")</f>
        <v/>
      </c>
      <c r="R709" s="88" t="str">
        <f>IF(AND(O709&gt;0,Planning!$I332=1),W329&amp;Language!$E$90&amp;V329,"")</f>
        <v/>
      </c>
      <c r="S709" s="395" t="str">
        <f>IF(O329&gt;0,Y329&amp;Language!$E$90&amp;X329,"")</f>
        <v/>
      </c>
    </row>
    <row r="710" spans="9:19" x14ac:dyDescent="0.2">
      <c r="I710" s="365"/>
      <c r="J710" s="365"/>
      <c r="K710" s="365"/>
      <c r="L710" s="366"/>
      <c r="M710" s="324" t="s">
        <v>408</v>
      </c>
      <c r="N710" s="16" t="str">
        <f>IF(Planning!$I333=0,G330&amp;F330,"")</f>
        <v/>
      </c>
      <c r="O710" s="122">
        <f t="shared" si="18"/>
        <v>0</v>
      </c>
      <c r="P710" s="122" t="str">
        <f>IF(AND(O710&gt;0,Planning!$I333=0),W330&amp;Language!$E$90&amp;V330,"")</f>
        <v/>
      </c>
      <c r="Q710" s="2" t="str">
        <f>IF(Planning!$I333=1,G330&amp;F330,"")</f>
        <v/>
      </c>
      <c r="R710" s="88" t="str">
        <f>IF(AND(O710&gt;0,Planning!$I333=1),W330&amp;Language!$E$90&amp;V330,"")</f>
        <v/>
      </c>
      <c r="S710" s="395" t="str">
        <f>IF(O330&gt;0,Y330&amp;Language!$E$90&amp;X330,"")</f>
        <v/>
      </c>
    </row>
    <row r="711" spans="9:19" x14ac:dyDescent="0.2">
      <c r="I711" s="365"/>
      <c r="J711" s="365"/>
      <c r="K711" s="365"/>
      <c r="L711" s="366"/>
      <c r="M711" s="324" t="s">
        <v>409</v>
      </c>
      <c r="N711" s="16" t="str">
        <f>IF(Planning!$I334=0,G331&amp;F331,"")</f>
        <v/>
      </c>
      <c r="O711" s="122">
        <f t="shared" ref="O711:O763" si="19">O331</f>
        <v>0</v>
      </c>
      <c r="P711" s="122" t="str">
        <f>IF(AND(O711&gt;0,Planning!$I334=0),W331&amp;Language!$E$90&amp;V331,"")</f>
        <v/>
      </c>
      <c r="Q711" s="2" t="str">
        <f>IF(Planning!$I334=1,G331&amp;F331,"")</f>
        <v/>
      </c>
      <c r="R711" s="88" t="str">
        <f>IF(AND(O711&gt;0,Planning!$I334=1),W331&amp;Language!$E$90&amp;V331,"")</f>
        <v/>
      </c>
      <c r="S711" s="395" t="str">
        <f>IF(O331&gt;0,Y331&amp;Language!$E$90&amp;X331,"")</f>
        <v/>
      </c>
    </row>
    <row r="712" spans="9:19" x14ac:dyDescent="0.2">
      <c r="I712" s="365"/>
      <c r="J712" s="365"/>
      <c r="K712" s="365"/>
      <c r="L712" s="366"/>
      <c r="M712" s="324" t="s">
        <v>410</v>
      </c>
      <c r="N712" s="16" t="str">
        <f>IF(Planning!$I335=0,G332&amp;F332,"")</f>
        <v/>
      </c>
      <c r="O712" s="122">
        <f t="shared" si="19"/>
        <v>0</v>
      </c>
      <c r="P712" s="122" t="str">
        <f>IF(AND(O712&gt;0,Planning!$I335=0),W332&amp;Language!$E$90&amp;V332,"")</f>
        <v/>
      </c>
      <c r="Q712" s="2" t="str">
        <f>IF(Planning!$I335=1,G332&amp;F332,"")</f>
        <v/>
      </c>
      <c r="R712" s="88" t="str">
        <f>IF(AND(O712&gt;0,Planning!$I335=1),W332&amp;Language!$E$90&amp;V332,"")</f>
        <v/>
      </c>
      <c r="S712" s="395" t="str">
        <f>IF(O332&gt;0,Y332&amp;Language!$E$90&amp;X332,"")</f>
        <v/>
      </c>
    </row>
    <row r="713" spans="9:19" x14ac:dyDescent="0.2">
      <c r="I713" s="365"/>
      <c r="J713" s="365"/>
      <c r="K713" s="365"/>
      <c r="L713" s="366"/>
      <c r="M713" s="324" t="s">
        <v>411</v>
      </c>
      <c r="N713" s="16" t="str">
        <f>IF(Planning!$I336=0,G333&amp;F333,"")</f>
        <v/>
      </c>
      <c r="O713" s="122">
        <f t="shared" si="19"/>
        <v>0</v>
      </c>
      <c r="P713" s="122" t="str">
        <f>IF(AND(O713&gt;0,Planning!$I336=0),W333&amp;Language!$E$90&amp;V333,"")</f>
        <v/>
      </c>
      <c r="Q713" s="2" t="str">
        <f>IF(Planning!$I336=1,G333&amp;F333,"")</f>
        <v/>
      </c>
      <c r="R713" s="88" t="str">
        <f>IF(AND(O713&gt;0,Planning!$I336=1),W333&amp;Language!$E$90&amp;V333,"")</f>
        <v/>
      </c>
      <c r="S713" s="395" t="str">
        <f>IF(O333&gt;0,Y333&amp;Language!$E$90&amp;X333,"")</f>
        <v/>
      </c>
    </row>
    <row r="714" spans="9:19" x14ac:dyDescent="0.2">
      <c r="I714" s="365"/>
      <c r="J714" s="365"/>
      <c r="K714" s="365"/>
      <c r="L714" s="366"/>
      <c r="M714" s="324" t="s">
        <v>412</v>
      </c>
      <c r="N714" s="16" t="str">
        <f>IF(Planning!$I337=0,G334&amp;F334,"")</f>
        <v/>
      </c>
      <c r="O714" s="122">
        <f t="shared" si="19"/>
        <v>0</v>
      </c>
      <c r="P714" s="122" t="str">
        <f>IF(AND(O714&gt;0,Planning!$I337=0),W334&amp;Language!$E$90&amp;V334,"")</f>
        <v/>
      </c>
      <c r="Q714" s="2" t="str">
        <f>IF(Planning!$I337=1,G334&amp;F334,"")</f>
        <v/>
      </c>
      <c r="R714" s="88" t="str">
        <f>IF(AND(O714&gt;0,Planning!$I337=1),W334&amp;Language!$E$90&amp;V334,"")</f>
        <v/>
      </c>
      <c r="S714" s="395" t="str">
        <f>IF(O334&gt;0,Y334&amp;Language!$E$90&amp;X334,"")</f>
        <v/>
      </c>
    </row>
    <row r="715" spans="9:19" x14ac:dyDescent="0.2">
      <c r="I715" s="365"/>
      <c r="J715" s="365"/>
      <c r="K715" s="365"/>
      <c r="L715" s="366"/>
      <c r="M715" s="324" t="s">
        <v>413</v>
      </c>
      <c r="N715" s="16" t="str">
        <f>IF(Planning!$I338=0,G335&amp;F335,"")</f>
        <v/>
      </c>
      <c r="O715" s="122">
        <f t="shared" si="19"/>
        <v>0</v>
      </c>
      <c r="P715" s="122" t="str">
        <f>IF(AND(O715&gt;0,Planning!$I338=0),W335&amp;Language!$E$90&amp;V335,"")</f>
        <v/>
      </c>
      <c r="Q715" s="2" t="str">
        <f>IF(Planning!$I338=1,G335&amp;F335,"")</f>
        <v/>
      </c>
      <c r="R715" s="88" t="str">
        <f>IF(AND(O715&gt;0,Planning!$I338=1),W335&amp;Language!$E$90&amp;V335,"")</f>
        <v/>
      </c>
      <c r="S715" s="395" t="str">
        <f>IF(O335&gt;0,Y335&amp;Language!$E$90&amp;X335,"")</f>
        <v/>
      </c>
    </row>
    <row r="716" spans="9:19" x14ac:dyDescent="0.2">
      <c r="I716" s="365"/>
      <c r="J716" s="365"/>
      <c r="K716" s="365"/>
      <c r="L716" s="366"/>
      <c r="M716" s="324" t="s">
        <v>414</v>
      </c>
      <c r="N716" s="16" t="str">
        <f>IF(Planning!$I339=0,G336&amp;F336,"")</f>
        <v/>
      </c>
      <c r="O716" s="122">
        <f t="shared" si="19"/>
        <v>0</v>
      </c>
      <c r="P716" s="122" t="str">
        <f>IF(AND(O716&gt;0,Planning!$I339=0),W336&amp;Language!$E$90&amp;V336,"")</f>
        <v/>
      </c>
      <c r="Q716" s="2" t="str">
        <f>IF(Planning!$I339=1,G336&amp;F336,"")</f>
        <v/>
      </c>
      <c r="R716" s="88" t="str">
        <f>IF(AND(O716&gt;0,Planning!$I339=1),W336&amp;Language!$E$90&amp;V336,"")</f>
        <v/>
      </c>
      <c r="S716" s="395" t="str">
        <f>IF(O336&gt;0,Y336&amp;Language!$E$90&amp;X336,"")</f>
        <v/>
      </c>
    </row>
    <row r="717" spans="9:19" x14ac:dyDescent="0.2">
      <c r="I717" s="365"/>
      <c r="J717" s="365"/>
      <c r="K717" s="365"/>
      <c r="L717" s="366"/>
      <c r="M717" s="324" t="s">
        <v>415</v>
      </c>
      <c r="N717" s="16" t="str">
        <f>IF(Planning!$I340=0,G337&amp;F337,"")</f>
        <v/>
      </c>
      <c r="O717" s="122">
        <f t="shared" si="19"/>
        <v>0</v>
      </c>
      <c r="P717" s="122" t="str">
        <f>IF(AND(O717&gt;0,Planning!$I340=0),W337&amp;Language!$E$90&amp;V337,"")</f>
        <v/>
      </c>
      <c r="Q717" s="2" t="str">
        <f>IF(Planning!$I340=1,G337&amp;F337,"")</f>
        <v/>
      </c>
      <c r="R717" s="88" t="str">
        <f>IF(AND(O717&gt;0,Planning!$I340=1),W337&amp;Language!$E$90&amp;V337,"")</f>
        <v/>
      </c>
      <c r="S717" s="395" t="str">
        <f>IF(O337&gt;0,Y337&amp;Language!$E$90&amp;X337,"")</f>
        <v/>
      </c>
    </row>
    <row r="718" spans="9:19" x14ac:dyDescent="0.2">
      <c r="I718" s="365"/>
      <c r="J718" s="365"/>
      <c r="K718" s="365"/>
      <c r="L718" s="366"/>
      <c r="M718" s="324" t="s">
        <v>416</v>
      </c>
      <c r="N718" s="16" t="str">
        <f>IF(Planning!$I341=0,G338&amp;F338,"")</f>
        <v/>
      </c>
      <c r="O718" s="122">
        <f t="shared" si="19"/>
        <v>0</v>
      </c>
      <c r="P718" s="122" t="str">
        <f>IF(AND(O718&gt;0,Planning!$I341=0),W338&amp;Language!$E$90&amp;V338,"")</f>
        <v/>
      </c>
      <c r="Q718" s="2" t="str">
        <f>IF(Planning!$I341=1,G338&amp;F338,"")</f>
        <v/>
      </c>
      <c r="R718" s="88" t="str">
        <f>IF(AND(O718&gt;0,Planning!$I341=1),W338&amp;Language!$E$90&amp;V338,"")</f>
        <v/>
      </c>
      <c r="S718" s="395" t="str">
        <f>IF(O338&gt;0,Y338&amp;Language!$E$90&amp;X338,"")</f>
        <v/>
      </c>
    </row>
    <row r="719" spans="9:19" x14ac:dyDescent="0.2">
      <c r="I719" s="365"/>
      <c r="J719" s="365"/>
      <c r="K719" s="365"/>
      <c r="L719" s="366"/>
      <c r="M719" s="324" t="s">
        <v>417</v>
      </c>
      <c r="N719" s="16" t="str">
        <f>IF(Planning!$I342=0,G339&amp;F339,"")</f>
        <v/>
      </c>
      <c r="O719" s="122">
        <f t="shared" si="19"/>
        <v>0</v>
      </c>
      <c r="P719" s="122" t="str">
        <f>IF(AND(O719&gt;0,Planning!$I342=0),W339&amp;Language!$E$90&amp;V339,"")</f>
        <v/>
      </c>
      <c r="Q719" s="2" t="str">
        <f>IF(Planning!$I342=1,G339&amp;F339,"")</f>
        <v/>
      </c>
      <c r="R719" s="88" t="str">
        <f>IF(AND(O719&gt;0,Planning!$I342=1),W339&amp;Language!$E$90&amp;V339,"")</f>
        <v/>
      </c>
      <c r="S719" s="395" t="str">
        <f>IF(O339&gt;0,Y339&amp;Language!$E$90&amp;X339,"")</f>
        <v/>
      </c>
    </row>
    <row r="720" spans="9:19" x14ac:dyDescent="0.2">
      <c r="I720" s="365"/>
      <c r="J720" s="365"/>
      <c r="K720" s="365"/>
      <c r="L720" s="366"/>
      <c r="M720" s="324" t="s">
        <v>418</v>
      </c>
      <c r="N720" s="16" t="str">
        <f>IF(Planning!$I343=0,G340&amp;F340,"")</f>
        <v/>
      </c>
      <c r="O720" s="122">
        <f t="shared" si="19"/>
        <v>0</v>
      </c>
      <c r="P720" s="122" t="str">
        <f>IF(AND(O720&gt;0,Planning!$I343=0),W340&amp;Language!$E$90&amp;V340,"")</f>
        <v/>
      </c>
      <c r="Q720" s="2" t="str">
        <f>IF(Planning!$I343=1,G340&amp;F340,"")</f>
        <v/>
      </c>
      <c r="R720" s="88" t="str">
        <f>IF(AND(O720&gt;0,Planning!$I343=1),W340&amp;Language!$E$90&amp;V340,"")</f>
        <v/>
      </c>
      <c r="S720" s="395" t="str">
        <f>IF(O340&gt;0,Y340&amp;Language!$E$90&amp;X340,"")</f>
        <v/>
      </c>
    </row>
    <row r="721" spans="9:19" x14ac:dyDescent="0.2">
      <c r="I721" s="365"/>
      <c r="J721" s="365"/>
      <c r="K721" s="365"/>
      <c r="L721" s="366"/>
      <c r="M721" s="324" t="s">
        <v>419</v>
      </c>
      <c r="N721" s="16" t="str">
        <f>IF(Planning!$I344=0,G341&amp;F341,"")</f>
        <v/>
      </c>
      <c r="O721" s="122">
        <f t="shared" si="19"/>
        <v>0</v>
      </c>
      <c r="P721" s="122" t="str">
        <f>IF(AND(O721&gt;0,Planning!$I344=0),W341&amp;Language!$E$90&amp;V341,"")</f>
        <v/>
      </c>
      <c r="Q721" s="2" t="str">
        <f>IF(Planning!$I344=1,G341&amp;F341,"")</f>
        <v/>
      </c>
      <c r="R721" s="88" t="str">
        <f>IF(AND(O721&gt;0,Planning!$I344=1),W341&amp;Language!$E$90&amp;V341,"")</f>
        <v/>
      </c>
      <c r="S721" s="395" t="str">
        <f>IF(O341&gt;0,Y341&amp;Language!$E$90&amp;X341,"")</f>
        <v/>
      </c>
    </row>
    <row r="722" spans="9:19" x14ac:dyDescent="0.2">
      <c r="I722" s="365"/>
      <c r="J722" s="365"/>
      <c r="K722" s="365"/>
      <c r="L722" s="366"/>
      <c r="M722" s="324" t="s">
        <v>420</v>
      </c>
      <c r="N722" s="16" t="str">
        <f>IF(Planning!$I345=0,G342&amp;F342,"")</f>
        <v/>
      </c>
      <c r="O722" s="122">
        <f t="shared" si="19"/>
        <v>0</v>
      </c>
      <c r="P722" s="122" t="str">
        <f>IF(AND(O722&gt;0,Planning!$I345=0),W342&amp;Language!$E$90&amp;V342,"")</f>
        <v/>
      </c>
      <c r="Q722" s="2" t="str">
        <f>IF(Planning!$I345=1,G342&amp;F342,"")</f>
        <v/>
      </c>
      <c r="R722" s="88" t="str">
        <f>IF(AND(O722&gt;0,Planning!$I345=1),W342&amp;Language!$E$90&amp;V342,"")</f>
        <v/>
      </c>
      <c r="S722" s="395" t="str">
        <f>IF(O342&gt;0,Y342&amp;Language!$E$90&amp;X342,"")</f>
        <v/>
      </c>
    </row>
    <row r="723" spans="9:19" x14ac:dyDescent="0.2">
      <c r="I723" s="365"/>
      <c r="J723" s="365"/>
      <c r="K723" s="365"/>
      <c r="L723" s="366"/>
      <c r="M723" s="324" t="s">
        <v>421</v>
      </c>
      <c r="N723" s="16" t="str">
        <f>IF(Planning!$I346=0,G343&amp;F343,"")</f>
        <v/>
      </c>
      <c r="O723" s="122">
        <f t="shared" si="19"/>
        <v>0</v>
      </c>
      <c r="P723" s="122" t="str">
        <f>IF(AND(O723&gt;0,Planning!$I346=0),W343&amp;Language!$E$90&amp;V343,"")</f>
        <v/>
      </c>
      <c r="Q723" s="2" t="str">
        <f>IF(Planning!$I346=1,G343&amp;F343,"")</f>
        <v/>
      </c>
      <c r="R723" s="88" t="str">
        <f>IF(AND(O723&gt;0,Planning!$I346=1),W343&amp;Language!$E$90&amp;V343,"")</f>
        <v/>
      </c>
      <c r="S723" s="395" t="str">
        <f>IF(O343&gt;0,Y343&amp;Language!$E$90&amp;X343,"")</f>
        <v/>
      </c>
    </row>
    <row r="724" spans="9:19" x14ac:dyDescent="0.2">
      <c r="I724" s="365"/>
      <c r="J724" s="365"/>
      <c r="K724" s="365"/>
      <c r="L724" s="366"/>
      <c r="M724" s="324" t="s">
        <v>422</v>
      </c>
      <c r="N724" s="16" t="str">
        <f>IF(Planning!$I347=0,G344&amp;F344,"")</f>
        <v/>
      </c>
      <c r="O724" s="122">
        <f t="shared" si="19"/>
        <v>0</v>
      </c>
      <c r="P724" s="122" t="str">
        <f>IF(AND(O724&gt;0,Planning!$I347=0),W344&amp;Language!$E$90&amp;V344,"")</f>
        <v/>
      </c>
      <c r="Q724" s="2" t="str">
        <f>IF(Planning!$I347=1,G344&amp;F344,"")</f>
        <v/>
      </c>
      <c r="R724" s="88" t="str">
        <f>IF(AND(O724&gt;0,Planning!$I347=1),W344&amp;Language!$E$90&amp;V344,"")</f>
        <v/>
      </c>
      <c r="S724" s="395" t="str">
        <f>IF(O344&gt;0,Y344&amp;Language!$E$90&amp;X344,"")</f>
        <v/>
      </c>
    </row>
    <row r="725" spans="9:19" x14ac:dyDescent="0.2">
      <c r="I725" s="365"/>
      <c r="J725" s="365"/>
      <c r="K725" s="365"/>
      <c r="L725" s="366"/>
      <c r="M725" s="324" t="s">
        <v>423</v>
      </c>
      <c r="N725" s="16" t="str">
        <f>IF(Planning!$I348=0,G345&amp;F345,"")</f>
        <v/>
      </c>
      <c r="O725" s="122">
        <f t="shared" si="19"/>
        <v>0</v>
      </c>
      <c r="P725" s="122" t="str">
        <f>IF(AND(O725&gt;0,Planning!$I348=0),W345&amp;Language!$E$90&amp;V345,"")</f>
        <v/>
      </c>
      <c r="Q725" s="2" t="str">
        <f>IF(Planning!$I348=1,G345&amp;F345,"")</f>
        <v/>
      </c>
      <c r="R725" s="88" t="str">
        <f>IF(AND(O725&gt;0,Planning!$I348=1),W345&amp;Language!$E$90&amp;V345,"")</f>
        <v/>
      </c>
      <c r="S725" s="395" t="str">
        <f>IF(O345&gt;0,Y345&amp;Language!$E$90&amp;X345,"")</f>
        <v/>
      </c>
    </row>
    <row r="726" spans="9:19" x14ac:dyDescent="0.2">
      <c r="I726" s="365"/>
      <c r="J726" s="365"/>
      <c r="K726" s="365"/>
      <c r="L726" s="366"/>
      <c r="M726" s="324" t="s">
        <v>424</v>
      </c>
      <c r="N726" s="16" t="str">
        <f>IF(Planning!$I349=0,G346&amp;F346,"")</f>
        <v/>
      </c>
      <c r="O726" s="122">
        <f t="shared" si="19"/>
        <v>0</v>
      </c>
      <c r="P726" s="122" t="str">
        <f>IF(AND(O726&gt;0,Planning!$I349=0),W346&amp;Language!$E$90&amp;V346,"")</f>
        <v/>
      </c>
      <c r="Q726" s="2" t="str">
        <f>IF(Planning!$I349=1,G346&amp;F346,"")</f>
        <v/>
      </c>
      <c r="R726" s="88" t="str">
        <f>IF(AND(O726&gt;0,Planning!$I349=1),W346&amp;Language!$E$90&amp;V346,"")</f>
        <v/>
      </c>
      <c r="S726" s="395" t="str">
        <f>IF(O346&gt;0,Y346&amp;Language!$E$90&amp;X346,"")</f>
        <v/>
      </c>
    </row>
    <row r="727" spans="9:19" x14ac:dyDescent="0.2">
      <c r="I727" s="365"/>
      <c r="J727" s="365"/>
      <c r="K727" s="365"/>
      <c r="L727" s="366"/>
      <c r="M727" s="324" t="s">
        <v>425</v>
      </c>
      <c r="N727" s="16" t="str">
        <f>IF(Planning!$I350=0,G347&amp;F347,"")</f>
        <v/>
      </c>
      <c r="O727" s="122">
        <f t="shared" si="19"/>
        <v>0</v>
      </c>
      <c r="P727" s="122" t="str">
        <f>IF(AND(O727&gt;0,Planning!$I350=0),W347&amp;Language!$E$90&amp;V347,"")</f>
        <v/>
      </c>
      <c r="Q727" s="2" t="str">
        <f>IF(Planning!$I350=1,G347&amp;F347,"")</f>
        <v/>
      </c>
      <c r="R727" s="88" t="str">
        <f>IF(AND(O727&gt;0,Planning!$I350=1),W347&amp;Language!$E$90&amp;V347,"")</f>
        <v/>
      </c>
      <c r="S727" s="395" t="str">
        <f>IF(O347&gt;0,Y347&amp;Language!$E$90&amp;X347,"")</f>
        <v/>
      </c>
    </row>
    <row r="728" spans="9:19" x14ac:dyDescent="0.2">
      <c r="I728" s="365"/>
      <c r="J728" s="365"/>
      <c r="K728" s="365"/>
      <c r="L728" s="366"/>
      <c r="M728" s="324" t="s">
        <v>426</v>
      </c>
      <c r="N728" s="16" t="str">
        <f>IF(Planning!$I351=0,G348&amp;F348,"")</f>
        <v/>
      </c>
      <c r="O728" s="122">
        <f t="shared" si="19"/>
        <v>0</v>
      </c>
      <c r="P728" s="122" t="str">
        <f>IF(AND(O728&gt;0,Planning!$I351=0),W348&amp;Language!$E$90&amp;V348,"")</f>
        <v/>
      </c>
      <c r="Q728" s="2" t="str">
        <f>IF(Planning!$I351=1,G348&amp;F348,"")</f>
        <v/>
      </c>
      <c r="R728" s="88" t="str">
        <f>IF(AND(O728&gt;0,Planning!$I351=1),W348&amp;Language!$E$90&amp;V348,"")</f>
        <v/>
      </c>
      <c r="S728" s="395" t="str">
        <f>IF(O348&gt;0,Y348&amp;Language!$E$90&amp;X348,"")</f>
        <v/>
      </c>
    </row>
    <row r="729" spans="9:19" x14ac:dyDescent="0.2">
      <c r="I729" s="365"/>
      <c r="J729" s="365"/>
      <c r="K729" s="365"/>
      <c r="L729" s="366"/>
      <c r="M729" s="324" t="s">
        <v>427</v>
      </c>
      <c r="N729" s="16" t="str">
        <f>IF(Planning!$I352=0,G349&amp;F349,"")</f>
        <v/>
      </c>
      <c r="O729" s="122">
        <f t="shared" si="19"/>
        <v>0</v>
      </c>
      <c r="P729" s="122" t="str">
        <f>IF(AND(O729&gt;0,Planning!$I352=0),W349&amp;Language!$E$90&amp;V349,"")</f>
        <v/>
      </c>
      <c r="Q729" s="2" t="str">
        <f>IF(Planning!$I352=1,G349&amp;F349,"")</f>
        <v/>
      </c>
      <c r="R729" s="88" t="str">
        <f>IF(AND(O729&gt;0,Planning!$I352=1),W349&amp;Language!$E$90&amp;V349,"")</f>
        <v/>
      </c>
      <c r="S729" s="395" t="str">
        <f>IF(O349&gt;0,Y349&amp;Language!$E$90&amp;X349,"")</f>
        <v/>
      </c>
    </row>
    <row r="730" spans="9:19" x14ac:dyDescent="0.2">
      <c r="I730" s="365"/>
      <c r="J730" s="365"/>
      <c r="K730" s="365"/>
      <c r="L730" s="366"/>
      <c r="M730" s="324" t="s">
        <v>428</v>
      </c>
      <c r="N730" s="16" t="str">
        <f>IF(Planning!$I353=0,G350&amp;F350,"")</f>
        <v/>
      </c>
      <c r="O730" s="122">
        <f t="shared" si="19"/>
        <v>0</v>
      </c>
      <c r="P730" s="122" t="str">
        <f>IF(AND(O730&gt;0,Planning!$I353=0),W350&amp;Language!$E$90&amp;V350,"")</f>
        <v/>
      </c>
      <c r="Q730" s="2" t="str">
        <f>IF(Planning!$I353=1,G350&amp;F350,"")</f>
        <v/>
      </c>
      <c r="R730" s="88" t="str">
        <f>IF(AND(O730&gt;0,Planning!$I353=1),W350&amp;Language!$E$90&amp;V350,"")</f>
        <v/>
      </c>
      <c r="S730" s="395" t="str">
        <f>IF(O350&gt;0,Y350&amp;Language!$E$90&amp;X350,"")</f>
        <v/>
      </c>
    </row>
    <row r="731" spans="9:19" x14ac:dyDescent="0.2">
      <c r="I731" s="365"/>
      <c r="J731" s="365"/>
      <c r="K731" s="365"/>
      <c r="L731" s="366"/>
      <c r="M731" s="324" t="s">
        <v>429</v>
      </c>
      <c r="N731" s="16" t="str">
        <f>IF(Planning!$I354=0,G351&amp;F351,"")</f>
        <v/>
      </c>
      <c r="O731" s="122">
        <f t="shared" si="19"/>
        <v>0</v>
      </c>
      <c r="P731" s="122" t="str">
        <f>IF(AND(O731&gt;0,Planning!$I354=0),W351&amp;Language!$E$90&amp;V351,"")</f>
        <v/>
      </c>
      <c r="Q731" s="2" t="str">
        <f>IF(Planning!$I354=1,G351&amp;F351,"")</f>
        <v/>
      </c>
      <c r="R731" s="88" t="str">
        <f>IF(AND(O731&gt;0,Planning!$I354=1),W351&amp;Language!$E$90&amp;V351,"")</f>
        <v/>
      </c>
      <c r="S731" s="395" t="str">
        <f>IF(O351&gt;0,Y351&amp;Language!$E$90&amp;X351,"")</f>
        <v/>
      </c>
    </row>
    <row r="732" spans="9:19" x14ac:dyDescent="0.2">
      <c r="I732" s="365"/>
      <c r="J732" s="365"/>
      <c r="K732" s="365"/>
      <c r="L732" s="366"/>
      <c r="M732" s="324" t="s">
        <v>430</v>
      </c>
      <c r="N732" s="16" t="str">
        <f>IF(Planning!$I355=0,G352&amp;F352,"")</f>
        <v/>
      </c>
      <c r="O732" s="122">
        <f t="shared" si="19"/>
        <v>0</v>
      </c>
      <c r="P732" s="122" t="str">
        <f>IF(AND(O732&gt;0,Planning!$I355=0),W352&amp;Language!$E$90&amp;V352,"")</f>
        <v/>
      </c>
      <c r="Q732" s="2" t="str">
        <f>IF(Planning!$I355=1,G352&amp;F352,"")</f>
        <v/>
      </c>
      <c r="R732" s="88" t="str">
        <f>IF(AND(O732&gt;0,Planning!$I355=1),W352&amp;Language!$E$90&amp;V352,"")</f>
        <v/>
      </c>
      <c r="S732" s="395" t="str">
        <f>IF(O352&gt;0,Y352&amp;Language!$E$90&amp;X352,"")</f>
        <v/>
      </c>
    </row>
    <row r="733" spans="9:19" x14ac:dyDescent="0.2">
      <c r="I733" s="365"/>
      <c r="J733" s="365"/>
      <c r="K733" s="365"/>
      <c r="L733" s="366"/>
      <c r="M733" s="324" t="s">
        <v>431</v>
      </c>
      <c r="N733" s="16" t="str">
        <f>IF(Planning!$I356=0,G353&amp;F353,"")</f>
        <v/>
      </c>
      <c r="O733" s="122">
        <f t="shared" si="19"/>
        <v>0</v>
      </c>
      <c r="P733" s="122" t="str">
        <f>IF(AND(O733&gt;0,Planning!$I356=0),W353&amp;Language!$E$90&amp;V353,"")</f>
        <v/>
      </c>
      <c r="Q733" s="2" t="str">
        <f>IF(Planning!$I356=1,G353&amp;F353,"")</f>
        <v/>
      </c>
      <c r="R733" s="88" t="str">
        <f>IF(AND(O733&gt;0,Planning!$I356=1),W353&amp;Language!$E$90&amp;V353,"")</f>
        <v/>
      </c>
      <c r="S733" s="395" t="str">
        <f>IF(O353&gt;0,Y353&amp;Language!$E$90&amp;X353,"")</f>
        <v/>
      </c>
    </row>
    <row r="734" spans="9:19" x14ac:dyDescent="0.2">
      <c r="I734" s="365"/>
      <c r="J734" s="365"/>
      <c r="K734" s="365"/>
      <c r="L734" s="366"/>
      <c r="M734" s="324" t="s">
        <v>432</v>
      </c>
      <c r="N734" s="16" t="str">
        <f>IF(Planning!$I357=0,G354&amp;F354,"")</f>
        <v/>
      </c>
      <c r="O734" s="122">
        <f t="shared" si="19"/>
        <v>0</v>
      </c>
      <c r="P734" s="122" t="str">
        <f>IF(AND(O734&gt;0,Planning!$I357=0),W354&amp;Language!$E$90&amp;V354,"")</f>
        <v/>
      </c>
      <c r="Q734" s="2" t="str">
        <f>IF(Planning!$I357=1,G354&amp;F354,"")</f>
        <v/>
      </c>
      <c r="R734" s="88" t="str">
        <f>IF(AND(O734&gt;0,Planning!$I357=1),W354&amp;Language!$E$90&amp;V354,"")</f>
        <v/>
      </c>
      <c r="S734" s="395" t="str">
        <f>IF(O354&gt;0,Y354&amp;Language!$E$90&amp;X354,"")</f>
        <v/>
      </c>
    </row>
    <row r="735" spans="9:19" x14ac:dyDescent="0.2">
      <c r="I735" s="365"/>
      <c r="J735" s="365"/>
      <c r="K735" s="365"/>
      <c r="L735" s="366"/>
      <c r="M735" s="324" t="s">
        <v>433</v>
      </c>
      <c r="N735" s="16" t="str">
        <f>IF(Planning!$I358=0,G355&amp;F355,"")</f>
        <v/>
      </c>
      <c r="O735" s="122">
        <f t="shared" si="19"/>
        <v>0</v>
      </c>
      <c r="P735" s="122" t="str">
        <f>IF(AND(O735&gt;0,Planning!$I358=0),W355&amp;Language!$E$90&amp;V355,"")</f>
        <v/>
      </c>
      <c r="Q735" s="2" t="str">
        <f>IF(Planning!$I358=1,G355&amp;F355,"")</f>
        <v/>
      </c>
      <c r="R735" s="88" t="str">
        <f>IF(AND(O735&gt;0,Planning!$I358=1),W355&amp;Language!$E$90&amp;V355,"")</f>
        <v/>
      </c>
      <c r="S735" s="395" t="str">
        <f>IF(O355&gt;0,Y355&amp;Language!$E$90&amp;X355,"")</f>
        <v/>
      </c>
    </row>
    <row r="736" spans="9:19" x14ac:dyDescent="0.2">
      <c r="I736" s="365"/>
      <c r="J736" s="365"/>
      <c r="K736" s="365"/>
      <c r="L736" s="366"/>
      <c r="M736" s="324" t="s">
        <v>434</v>
      </c>
      <c r="N736" s="16" t="str">
        <f>IF(Planning!$I359=0,G356&amp;F356,"")</f>
        <v/>
      </c>
      <c r="O736" s="122">
        <f t="shared" si="19"/>
        <v>0</v>
      </c>
      <c r="P736" s="122" t="str">
        <f>IF(AND(O736&gt;0,Planning!$I359=0),W356&amp;Language!$E$90&amp;V356,"")</f>
        <v/>
      </c>
      <c r="Q736" s="2" t="str">
        <f>IF(Planning!$I359=1,G356&amp;F356,"")</f>
        <v/>
      </c>
      <c r="R736" s="88" t="str">
        <f>IF(AND(O736&gt;0,Planning!$I359=1),W356&amp;Language!$E$90&amp;V356,"")</f>
        <v/>
      </c>
      <c r="S736" s="395" t="str">
        <f>IF(O356&gt;0,Y356&amp;Language!$E$90&amp;X356,"")</f>
        <v/>
      </c>
    </row>
    <row r="737" spans="9:19" x14ac:dyDescent="0.2">
      <c r="I737" s="365"/>
      <c r="J737" s="365"/>
      <c r="K737" s="365"/>
      <c r="L737" s="366"/>
      <c r="M737" s="324" t="s">
        <v>435</v>
      </c>
      <c r="N737" s="16" t="str">
        <f>IF(Planning!$I360=0,G357&amp;F357,"")</f>
        <v/>
      </c>
      <c r="O737" s="122">
        <f t="shared" si="19"/>
        <v>0</v>
      </c>
      <c r="P737" s="122" t="str">
        <f>IF(AND(O737&gt;0,Planning!$I360=0),W357&amp;Language!$E$90&amp;V357,"")</f>
        <v/>
      </c>
      <c r="Q737" s="2" t="str">
        <f>IF(Planning!$I360=1,G357&amp;F357,"")</f>
        <v/>
      </c>
      <c r="R737" s="88" t="str">
        <f>IF(AND(O737&gt;0,Planning!$I360=1),W357&amp;Language!$E$90&amp;V357,"")</f>
        <v/>
      </c>
      <c r="S737" s="395" t="str">
        <f>IF(O357&gt;0,Y357&amp;Language!$E$90&amp;X357,"")</f>
        <v/>
      </c>
    </row>
    <row r="738" spans="9:19" x14ac:dyDescent="0.2">
      <c r="I738" s="365"/>
      <c r="J738" s="365"/>
      <c r="K738" s="365"/>
      <c r="L738" s="366"/>
      <c r="M738" s="324" t="s">
        <v>436</v>
      </c>
      <c r="N738" s="16" t="str">
        <f>IF(Planning!$I361=0,G358&amp;F358,"")</f>
        <v/>
      </c>
      <c r="O738" s="122">
        <f t="shared" si="19"/>
        <v>0</v>
      </c>
      <c r="P738" s="122" t="str">
        <f>IF(AND(O738&gt;0,Planning!$I361=0),W358&amp;Language!$E$90&amp;V358,"")</f>
        <v/>
      </c>
      <c r="Q738" s="2" t="str">
        <f>IF(Planning!$I361=1,G358&amp;F358,"")</f>
        <v/>
      </c>
      <c r="R738" s="88" t="str">
        <f>IF(AND(O738&gt;0,Planning!$I361=1),W358&amp;Language!$E$90&amp;V358,"")</f>
        <v/>
      </c>
      <c r="S738" s="395" t="str">
        <f>IF(O358&gt;0,Y358&amp;Language!$E$90&amp;X358,"")</f>
        <v/>
      </c>
    </row>
    <row r="739" spans="9:19" x14ac:dyDescent="0.2">
      <c r="I739" s="365"/>
      <c r="J739" s="365"/>
      <c r="K739" s="365"/>
      <c r="L739" s="366"/>
      <c r="M739" s="324" t="s">
        <v>437</v>
      </c>
      <c r="N739" s="16" t="str">
        <f>IF(Planning!$I362=0,G359&amp;F359,"")</f>
        <v/>
      </c>
      <c r="O739" s="122">
        <f t="shared" si="19"/>
        <v>0</v>
      </c>
      <c r="P739" s="122" t="str">
        <f>IF(AND(O739&gt;0,Planning!$I362=0),W359&amp;Language!$E$90&amp;V359,"")</f>
        <v/>
      </c>
      <c r="Q739" s="2" t="str">
        <f>IF(Planning!$I362=1,G359&amp;F359,"")</f>
        <v/>
      </c>
      <c r="R739" s="88" t="str">
        <f>IF(AND(O739&gt;0,Planning!$I362=1),W359&amp;Language!$E$90&amp;V359,"")</f>
        <v/>
      </c>
      <c r="S739" s="395" t="str">
        <f>IF(O359&gt;0,Y359&amp;Language!$E$90&amp;X359,"")</f>
        <v/>
      </c>
    </row>
    <row r="740" spans="9:19" x14ac:dyDescent="0.2">
      <c r="I740" s="365"/>
      <c r="J740" s="365"/>
      <c r="K740" s="365"/>
      <c r="L740" s="366"/>
      <c r="M740" s="324" t="s">
        <v>438</v>
      </c>
      <c r="N740" s="16" t="str">
        <f>IF(Planning!$I363=0,G360&amp;F360,"")</f>
        <v/>
      </c>
      <c r="O740" s="122">
        <f t="shared" si="19"/>
        <v>0</v>
      </c>
      <c r="P740" s="122" t="str">
        <f>IF(AND(O740&gt;0,Planning!$I363=0),W360&amp;Language!$E$90&amp;V360,"")</f>
        <v/>
      </c>
      <c r="Q740" s="2" t="str">
        <f>IF(Planning!$I363=1,G360&amp;F360,"")</f>
        <v/>
      </c>
      <c r="R740" s="88" t="str">
        <f>IF(AND(O740&gt;0,Planning!$I363=1),W360&amp;Language!$E$90&amp;V360,"")</f>
        <v/>
      </c>
      <c r="S740" s="395" t="str">
        <f>IF(O360&gt;0,Y360&amp;Language!$E$90&amp;X360,"")</f>
        <v/>
      </c>
    </row>
    <row r="741" spans="9:19" x14ac:dyDescent="0.2">
      <c r="I741" s="365"/>
      <c r="J741" s="365"/>
      <c r="K741" s="365"/>
      <c r="L741" s="366"/>
      <c r="M741" s="324" t="s">
        <v>439</v>
      </c>
      <c r="N741" s="16" t="str">
        <f>IF(Planning!$I364=0,G361&amp;F361,"")</f>
        <v/>
      </c>
      <c r="O741" s="122">
        <f t="shared" si="19"/>
        <v>0</v>
      </c>
      <c r="P741" s="122" t="str">
        <f>IF(AND(O741&gt;0,Planning!$I364=0),W361&amp;Language!$E$90&amp;V361,"")</f>
        <v/>
      </c>
      <c r="Q741" s="2" t="str">
        <f>IF(Planning!$I364=1,G361&amp;F361,"")</f>
        <v/>
      </c>
      <c r="R741" s="88" t="str">
        <f>IF(AND(O741&gt;0,Planning!$I364=1),W361&amp;Language!$E$90&amp;V361,"")</f>
        <v/>
      </c>
      <c r="S741" s="395" t="str">
        <f>IF(O361&gt;0,Y361&amp;Language!$E$90&amp;X361,"")</f>
        <v/>
      </c>
    </row>
    <row r="742" spans="9:19" x14ac:dyDescent="0.2">
      <c r="I742" s="365"/>
      <c r="J742" s="365"/>
      <c r="K742" s="365"/>
      <c r="L742" s="366"/>
      <c r="M742" s="324" t="s">
        <v>440</v>
      </c>
      <c r="N742" s="16" t="str">
        <f>IF(Planning!$I365=0,G362&amp;F362,"")</f>
        <v/>
      </c>
      <c r="O742" s="122">
        <f t="shared" si="19"/>
        <v>0</v>
      </c>
      <c r="P742" s="122" t="str">
        <f>IF(AND(O742&gt;0,Planning!$I365=0),W362&amp;Language!$E$90&amp;V362,"")</f>
        <v/>
      </c>
      <c r="Q742" s="2" t="str">
        <f>IF(Planning!$I365=1,G362&amp;F362,"")</f>
        <v/>
      </c>
      <c r="R742" s="88" t="str">
        <f>IF(AND(O742&gt;0,Planning!$I365=1),W362&amp;Language!$E$90&amp;V362,"")</f>
        <v/>
      </c>
      <c r="S742" s="395" t="str">
        <f>IF(O362&gt;0,Y362&amp;Language!$E$90&amp;X362,"")</f>
        <v/>
      </c>
    </row>
    <row r="743" spans="9:19" x14ac:dyDescent="0.2">
      <c r="I743" s="365"/>
      <c r="J743" s="365"/>
      <c r="K743" s="365"/>
      <c r="L743" s="366"/>
      <c r="M743" s="324" t="s">
        <v>441</v>
      </c>
      <c r="N743" s="16" t="str">
        <f>IF(Planning!$I366=0,G363&amp;F363,"")</f>
        <v/>
      </c>
      <c r="O743" s="122">
        <f t="shared" si="19"/>
        <v>0</v>
      </c>
      <c r="P743" s="122" t="str">
        <f>IF(AND(O743&gt;0,Planning!$I366=0),W363&amp;Language!$E$90&amp;V363,"")</f>
        <v/>
      </c>
      <c r="Q743" s="2" t="str">
        <f>IF(Planning!$I366=1,G363&amp;F363,"")</f>
        <v/>
      </c>
      <c r="R743" s="88" t="str">
        <f>IF(AND(O743&gt;0,Planning!$I366=1),W363&amp;Language!$E$90&amp;V363,"")</f>
        <v/>
      </c>
      <c r="S743" s="395" t="str">
        <f>IF(O363&gt;0,Y363&amp;Language!$E$90&amp;X363,"")</f>
        <v/>
      </c>
    </row>
    <row r="744" spans="9:19" x14ac:dyDescent="0.2">
      <c r="I744" s="365"/>
      <c r="J744" s="365"/>
      <c r="K744" s="365"/>
      <c r="L744" s="366"/>
      <c r="M744" s="324" t="s">
        <v>442</v>
      </c>
      <c r="N744" s="16" t="str">
        <f>IF(Planning!$I367=0,G364&amp;F364,"")</f>
        <v/>
      </c>
      <c r="O744" s="122">
        <f t="shared" si="19"/>
        <v>0</v>
      </c>
      <c r="P744" s="122" t="str">
        <f>IF(AND(O744&gt;0,Planning!$I367=0),W364&amp;Language!$E$90&amp;V364,"")</f>
        <v/>
      </c>
      <c r="Q744" s="2" t="str">
        <f>IF(Planning!$I367=1,G364&amp;F364,"")</f>
        <v/>
      </c>
      <c r="R744" s="88" t="str">
        <f>IF(AND(O744&gt;0,Planning!$I367=1),W364&amp;Language!$E$90&amp;V364,"")</f>
        <v/>
      </c>
      <c r="S744" s="395" t="str">
        <f>IF(O364&gt;0,Y364&amp;Language!$E$90&amp;X364,"")</f>
        <v/>
      </c>
    </row>
    <row r="745" spans="9:19" x14ac:dyDescent="0.2">
      <c r="I745" s="365"/>
      <c r="J745" s="365"/>
      <c r="K745" s="365"/>
      <c r="L745" s="366"/>
      <c r="M745" s="324" t="s">
        <v>443</v>
      </c>
      <c r="N745" s="16" t="str">
        <f>IF(Planning!$I368=0,G365&amp;F365,"")</f>
        <v/>
      </c>
      <c r="O745" s="122">
        <f t="shared" si="19"/>
        <v>0</v>
      </c>
      <c r="P745" s="122" t="str">
        <f>IF(AND(O745&gt;0,Planning!$I368=0),W365&amp;Language!$E$90&amp;V365,"")</f>
        <v/>
      </c>
      <c r="Q745" s="2" t="str">
        <f>IF(Planning!$I368=1,G365&amp;F365,"")</f>
        <v/>
      </c>
      <c r="R745" s="88" t="str">
        <f>IF(AND(O745&gt;0,Planning!$I368=1),W365&amp;Language!$E$90&amp;V365,"")</f>
        <v/>
      </c>
      <c r="S745" s="395" t="str">
        <f>IF(O365&gt;0,Y365&amp;Language!$E$90&amp;X365,"")</f>
        <v/>
      </c>
    </row>
    <row r="746" spans="9:19" x14ac:dyDescent="0.2">
      <c r="I746" s="365"/>
      <c r="J746" s="365"/>
      <c r="K746" s="365"/>
      <c r="L746" s="366"/>
      <c r="M746" s="324" t="s">
        <v>444</v>
      </c>
      <c r="N746" s="16" t="str">
        <f>IF(Planning!$I369=0,G366&amp;F366,"")</f>
        <v/>
      </c>
      <c r="O746" s="122">
        <f t="shared" si="19"/>
        <v>0</v>
      </c>
      <c r="P746" s="122" t="str">
        <f>IF(AND(O746&gt;0,Planning!$I369=0),W366&amp;Language!$E$90&amp;V366,"")</f>
        <v/>
      </c>
      <c r="Q746" s="2" t="str">
        <f>IF(Planning!$I369=1,G366&amp;F366,"")</f>
        <v/>
      </c>
      <c r="R746" s="88" t="str">
        <f>IF(AND(O746&gt;0,Planning!$I369=1),W366&amp;Language!$E$90&amp;V366,"")</f>
        <v/>
      </c>
      <c r="S746" s="395" t="str">
        <f>IF(O366&gt;0,Y366&amp;Language!$E$90&amp;X366,"")</f>
        <v/>
      </c>
    </row>
    <row r="747" spans="9:19" x14ac:dyDescent="0.2">
      <c r="I747" s="365"/>
      <c r="J747" s="365"/>
      <c r="K747" s="365"/>
      <c r="L747" s="366"/>
      <c r="M747" s="324" t="s">
        <v>445</v>
      </c>
      <c r="N747" s="16" t="str">
        <f>IF(Planning!$I370=0,G367&amp;F367,"")</f>
        <v/>
      </c>
      <c r="O747" s="122">
        <f t="shared" si="19"/>
        <v>0</v>
      </c>
      <c r="P747" s="122" t="str">
        <f>IF(AND(O747&gt;0,Planning!$I370=0),W367&amp;Language!$E$90&amp;V367,"")</f>
        <v/>
      </c>
      <c r="Q747" s="2" t="str">
        <f>IF(Planning!$I370=1,G367&amp;F367,"")</f>
        <v/>
      </c>
      <c r="R747" s="88" t="str">
        <f>IF(AND(O747&gt;0,Planning!$I370=1),W367&amp;Language!$E$90&amp;V367,"")</f>
        <v/>
      </c>
      <c r="S747" s="395" t="str">
        <f>IF(O367&gt;0,Y367&amp;Language!$E$90&amp;X367,"")</f>
        <v/>
      </c>
    </row>
    <row r="748" spans="9:19" x14ac:dyDescent="0.2">
      <c r="I748" s="365"/>
      <c r="J748" s="365"/>
      <c r="K748" s="365"/>
      <c r="L748" s="366"/>
      <c r="M748" s="324" t="s">
        <v>446</v>
      </c>
      <c r="N748" s="16" t="str">
        <f>IF(Planning!$I371=0,G368&amp;F368,"")</f>
        <v/>
      </c>
      <c r="O748" s="122">
        <f t="shared" si="19"/>
        <v>0</v>
      </c>
      <c r="P748" s="122" t="str">
        <f>IF(AND(O748&gt;0,Planning!$I371=0),W368&amp;Language!$E$90&amp;V368,"")</f>
        <v/>
      </c>
      <c r="Q748" s="2" t="str">
        <f>IF(Planning!$I371=1,G368&amp;F368,"")</f>
        <v/>
      </c>
      <c r="R748" s="88" t="str">
        <f>IF(AND(O748&gt;0,Planning!$I371=1),W368&amp;Language!$E$90&amp;V368,"")</f>
        <v/>
      </c>
      <c r="S748" s="395" t="str">
        <f>IF(O368&gt;0,Y368&amp;Language!$E$90&amp;X368,"")</f>
        <v/>
      </c>
    </row>
    <row r="749" spans="9:19" x14ac:dyDescent="0.2">
      <c r="I749" s="365"/>
      <c r="J749" s="365"/>
      <c r="K749" s="365"/>
      <c r="L749" s="366"/>
      <c r="M749" s="324" t="s">
        <v>447</v>
      </c>
      <c r="N749" s="16" t="str">
        <f>IF(Planning!$I372=0,G369&amp;F369,"")</f>
        <v/>
      </c>
      <c r="O749" s="122">
        <f t="shared" si="19"/>
        <v>0</v>
      </c>
      <c r="P749" s="122" t="str">
        <f>IF(AND(O749&gt;0,Planning!$I372=0),W369&amp;Language!$E$90&amp;V369,"")</f>
        <v/>
      </c>
      <c r="Q749" s="2" t="str">
        <f>IF(Planning!$I372=1,G369&amp;F369,"")</f>
        <v/>
      </c>
      <c r="R749" s="88" t="str">
        <f>IF(AND(O749&gt;0,Planning!$I372=1),W369&amp;Language!$E$90&amp;V369,"")</f>
        <v/>
      </c>
      <c r="S749" s="395" t="str">
        <f>IF(O369&gt;0,Y369&amp;Language!$E$90&amp;X369,"")</f>
        <v/>
      </c>
    </row>
    <row r="750" spans="9:19" x14ac:dyDescent="0.2">
      <c r="I750" s="365"/>
      <c r="J750" s="365"/>
      <c r="K750" s="365"/>
      <c r="L750" s="366"/>
      <c r="M750" s="324" t="s">
        <v>448</v>
      </c>
      <c r="N750" s="16" t="str">
        <f>IF(Planning!$I373=0,G370&amp;F370,"")</f>
        <v/>
      </c>
      <c r="O750" s="122">
        <f t="shared" si="19"/>
        <v>0</v>
      </c>
      <c r="P750" s="122" t="str">
        <f>IF(AND(O750&gt;0,Planning!$I373=0),W370&amp;Language!$E$90&amp;V370,"")</f>
        <v/>
      </c>
      <c r="Q750" s="2" t="str">
        <f>IF(Planning!$I373=1,G370&amp;F370,"")</f>
        <v/>
      </c>
      <c r="R750" s="88" t="str">
        <f>IF(AND(O750&gt;0,Planning!$I373=1),W370&amp;Language!$E$90&amp;V370,"")</f>
        <v/>
      </c>
      <c r="S750" s="395" t="str">
        <f>IF(O370&gt;0,Y370&amp;Language!$E$90&amp;X370,"")</f>
        <v/>
      </c>
    </row>
    <row r="751" spans="9:19" x14ac:dyDescent="0.2">
      <c r="I751" s="365"/>
      <c r="J751" s="365"/>
      <c r="K751" s="365"/>
      <c r="L751" s="366"/>
      <c r="M751" s="324" t="s">
        <v>449</v>
      </c>
      <c r="N751" s="16" t="str">
        <f>IF(Planning!$I374=0,G371&amp;F371,"")</f>
        <v/>
      </c>
      <c r="O751" s="122">
        <f t="shared" si="19"/>
        <v>0</v>
      </c>
      <c r="P751" s="122" t="str">
        <f>IF(AND(O751&gt;0,Planning!$I374=0),W371&amp;Language!$E$90&amp;V371,"")</f>
        <v/>
      </c>
      <c r="Q751" s="2" t="str">
        <f>IF(Planning!$I374=1,G371&amp;F371,"")</f>
        <v/>
      </c>
      <c r="R751" s="88" t="str">
        <f>IF(AND(O751&gt;0,Planning!$I374=1),W371&amp;Language!$E$90&amp;V371,"")</f>
        <v/>
      </c>
      <c r="S751" s="395" t="str">
        <f>IF(O371&gt;0,Y371&amp;Language!$E$90&amp;X371,"")</f>
        <v/>
      </c>
    </row>
    <row r="752" spans="9:19" x14ac:dyDescent="0.2">
      <c r="I752" s="365"/>
      <c r="J752" s="365"/>
      <c r="K752" s="365"/>
      <c r="L752" s="366"/>
      <c r="M752" s="324" t="s">
        <v>450</v>
      </c>
      <c r="N752" s="16" t="str">
        <f>IF(Planning!$I375=0,G372&amp;F372,"")</f>
        <v/>
      </c>
      <c r="O752" s="122">
        <f t="shared" si="19"/>
        <v>0</v>
      </c>
      <c r="P752" s="122" t="str">
        <f>IF(AND(O752&gt;0,Planning!$I375=0),W372&amp;Language!$E$90&amp;V372,"")</f>
        <v/>
      </c>
      <c r="Q752" s="2" t="str">
        <f>IF(Planning!$I375=1,G372&amp;F372,"")</f>
        <v/>
      </c>
      <c r="R752" s="88" t="str">
        <f>IF(AND(O752&gt;0,Planning!$I375=1),W372&amp;Language!$E$90&amp;V372,"")</f>
        <v/>
      </c>
      <c r="S752" s="395" t="str">
        <f>IF(O372&gt;0,Y372&amp;Language!$E$90&amp;X372,"")</f>
        <v/>
      </c>
    </row>
    <row r="753" spans="9:19" x14ac:dyDescent="0.2">
      <c r="I753" s="365"/>
      <c r="J753" s="365"/>
      <c r="K753" s="365"/>
      <c r="L753" s="366"/>
      <c r="M753" s="324" t="s">
        <v>451</v>
      </c>
      <c r="N753" s="16" t="str">
        <f>IF(Planning!$I376=0,G373&amp;F373,"")</f>
        <v/>
      </c>
      <c r="O753" s="122">
        <f t="shared" si="19"/>
        <v>0</v>
      </c>
      <c r="P753" s="122" t="str">
        <f>IF(AND(O753&gt;0,Planning!$I376=0),W373&amp;Language!$E$90&amp;V373,"")</f>
        <v/>
      </c>
      <c r="Q753" s="2" t="str">
        <f>IF(Planning!$I376=1,G373&amp;F373,"")</f>
        <v/>
      </c>
      <c r="R753" s="88" t="str">
        <f>IF(AND(O753&gt;0,Planning!$I376=1),W373&amp;Language!$E$90&amp;V373,"")</f>
        <v/>
      </c>
      <c r="S753" s="395" t="str">
        <f>IF(O373&gt;0,Y373&amp;Language!$E$90&amp;X373,"")</f>
        <v/>
      </c>
    </row>
    <row r="754" spans="9:19" x14ac:dyDescent="0.2">
      <c r="I754" s="365"/>
      <c r="J754" s="365"/>
      <c r="K754" s="365"/>
      <c r="L754" s="366"/>
      <c r="M754" s="324" t="s">
        <v>452</v>
      </c>
      <c r="N754" s="16" t="str">
        <f>IF(Planning!$I377=0,G374&amp;F374,"")</f>
        <v/>
      </c>
      <c r="O754" s="122">
        <f t="shared" si="19"/>
        <v>0</v>
      </c>
      <c r="P754" s="122" t="str">
        <f>IF(AND(O754&gt;0,Planning!$I377=0),W374&amp;Language!$E$90&amp;V374,"")</f>
        <v/>
      </c>
      <c r="Q754" s="2" t="str">
        <f>IF(Planning!$I377=1,G374&amp;F374,"")</f>
        <v/>
      </c>
      <c r="R754" s="88" t="str">
        <f>IF(AND(O754&gt;0,Planning!$I377=1),W374&amp;Language!$E$90&amp;V374,"")</f>
        <v/>
      </c>
      <c r="S754" s="395" t="str">
        <f>IF(O374&gt;0,Y374&amp;Language!$E$90&amp;X374,"")</f>
        <v/>
      </c>
    </row>
    <row r="755" spans="9:19" x14ac:dyDescent="0.2">
      <c r="I755" s="365"/>
      <c r="J755" s="365"/>
      <c r="K755" s="365"/>
      <c r="L755" s="366"/>
      <c r="M755" s="324" t="s">
        <v>453</v>
      </c>
      <c r="N755" s="16" t="str">
        <f>IF(Planning!$I378=0,G375&amp;F375,"")</f>
        <v/>
      </c>
      <c r="O755" s="122">
        <f t="shared" si="19"/>
        <v>0</v>
      </c>
      <c r="P755" s="122" t="str">
        <f>IF(AND(O755&gt;0,Planning!$I378=0),W375&amp;Language!$E$90&amp;V375,"")</f>
        <v/>
      </c>
      <c r="Q755" s="2" t="str">
        <f>IF(Planning!$I378=1,G375&amp;F375,"")</f>
        <v/>
      </c>
      <c r="R755" s="88" t="str">
        <f>IF(AND(O755&gt;0,Planning!$I378=1),W375&amp;Language!$E$90&amp;V375,"")</f>
        <v/>
      </c>
      <c r="S755" s="395" t="str">
        <f>IF(O375&gt;0,Y375&amp;Language!$E$90&amp;X375,"")</f>
        <v/>
      </c>
    </row>
    <row r="756" spans="9:19" x14ac:dyDescent="0.2">
      <c r="I756" s="365"/>
      <c r="J756" s="365"/>
      <c r="K756" s="365"/>
      <c r="L756" s="366"/>
      <c r="M756" s="324" t="s">
        <v>454</v>
      </c>
      <c r="N756" s="16" t="str">
        <f>IF(Planning!$I379=0,G376&amp;F376,"")</f>
        <v/>
      </c>
      <c r="O756" s="122">
        <f t="shared" si="19"/>
        <v>0</v>
      </c>
      <c r="P756" s="122" t="str">
        <f>IF(AND(O756&gt;0,Planning!$I379=0),W376&amp;Language!$E$90&amp;V376,"")</f>
        <v/>
      </c>
      <c r="Q756" s="2" t="str">
        <f>IF(Planning!$I379=1,G376&amp;F376,"")</f>
        <v/>
      </c>
      <c r="R756" s="88" t="str">
        <f>IF(AND(O756&gt;0,Planning!$I379=1),W376&amp;Language!$E$90&amp;V376,"")</f>
        <v/>
      </c>
      <c r="S756" s="395" t="str">
        <f>IF(O376&gt;0,Y376&amp;Language!$E$90&amp;X376,"")</f>
        <v/>
      </c>
    </row>
    <row r="757" spans="9:19" x14ac:dyDescent="0.2">
      <c r="I757" s="365"/>
      <c r="J757" s="365"/>
      <c r="K757" s="365"/>
      <c r="L757" s="366"/>
      <c r="M757" s="324" t="s">
        <v>455</v>
      </c>
      <c r="N757" s="16" t="str">
        <f>IF(Planning!$I380=0,G377&amp;F377,"")</f>
        <v/>
      </c>
      <c r="O757" s="122">
        <f t="shared" si="19"/>
        <v>0</v>
      </c>
      <c r="P757" s="122" t="str">
        <f>IF(AND(O757&gt;0,Planning!$I380=0),W377&amp;Language!$E$90&amp;V377,"")</f>
        <v/>
      </c>
      <c r="Q757" s="2" t="str">
        <f>IF(Planning!$I380=1,G377&amp;F377,"")</f>
        <v/>
      </c>
      <c r="R757" s="88" t="str">
        <f>IF(AND(O757&gt;0,Planning!$I380=1),W377&amp;Language!$E$90&amp;V377,"")</f>
        <v/>
      </c>
      <c r="S757" s="395" t="str">
        <f>IF(O377&gt;0,Y377&amp;Language!$E$90&amp;X377,"")</f>
        <v/>
      </c>
    </row>
    <row r="758" spans="9:19" x14ac:dyDescent="0.2">
      <c r="I758" s="365"/>
      <c r="J758" s="365"/>
      <c r="K758" s="365"/>
      <c r="L758" s="366"/>
      <c r="M758" s="324" t="s">
        <v>456</v>
      </c>
      <c r="N758" s="16" t="str">
        <f>IF(Planning!$I381=0,G378&amp;F378,"")</f>
        <v/>
      </c>
      <c r="O758" s="122">
        <f t="shared" si="19"/>
        <v>0</v>
      </c>
      <c r="P758" s="122" t="str">
        <f>IF(AND(O758&gt;0,Planning!$I381=0),W378&amp;Language!$E$90&amp;V378,"")</f>
        <v/>
      </c>
      <c r="Q758" s="2" t="str">
        <f>IF(Planning!$I381=1,G378&amp;F378,"")</f>
        <v/>
      </c>
      <c r="R758" s="88" t="str">
        <f>IF(AND(O758&gt;0,Planning!$I381=1),W378&amp;Language!$E$90&amp;V378,"")</f>
        <v/>
      </c>
      <c r="S758" s="395" t="str">
        <f>IF(O378&gt;0,Y378&amp;Language!$E$90&amp;X378,"")</f>
        <v/>
      </c>
    </row>
    <row r="759" spans="9:19" x14ac:dyDescent="0.2">
      <c r="I759" s="365"/>
      <c r="J759" s="365"/>
      <c r="K759" s="365"/>
      <c r="L759" s="366"/>
      <c r="M759" s="324" t="s">
        <v>457</v>
      </c>
      <c r="N759" s="16" t="str">
        <f>IF(Planning!$I382=0,G379&amp;F379,"")</f>
        <v/>
      </c>
      <c r="O759" s="122">
        <f t="shared" si="19"/>
        <v>0</v>
      </c>
      <c r="P759" s="122" t="str">
        <f>IF(AND(O759&gt;0,Planning!$I382=0),W379&amp;Language!$E$90&amp;V379,"")</f>
        <v/>
      </c>
      <c r="Q759" s="2" t="str">
        <f>IF(Planning!$I382=1,G379&amp;F379,"")</f>
        <v/>
      </c>
      <c r="R759" s="88" t="str">
        <f>IF(AND(O759&gt;0,Planning!$I382=1),W379&amp;Language!$E$90&amp;V379,"")</f>
        <v/>
      </c>
      <c r="S759" s="395" t="str">
        <f>IF(O379&gt;0,Y379&amp;Language!$E$90&amp;X379,"")</f>
        <v/>
      </c>
    </row>
    <row r="760" spans="9:19" x14ac:dyDescent="0.2">
      <c r="I760" s="365"/>
      <c r="J760" s="365"/>
      <c r="K760" s="365"/>
      <c r="L760" s="366"/>
      <c r="M760" s="324" t="s">
        <v>458</v>
      </c>
      <c r="N760" s="16" t="str">
        <f>IF(Planning!$I383=0,G380&amp;F380,"")</f>
        <v/>
      </c>
      <c r="O760" s="122">
        <f t="shared" si="19"/>
        <v>0</v>
      </c>
      <c r="P760" s="122" t="str">
        <f>IF(AND(O760&gt;0,Planning!$I383=0),W380&amp;Language!$E$90&amp;V380,"")</f>
        <v/>
      </c>
      <c r="Q760" s="4" t="str">
        <f>IF(Planning!$I383=1,G380&amp;F380,"")</f>
        <v/>
      </c>
      <c r="R760" s="88" t="str">
        <f>IF(AND(O760&gt;0,Planning!$I383=1),W380&amp;Language!$E$90&amp;V380,"")</f>
        <v/>
      </c>
      <c r="S760" s="395" t="str">
        <f>IF(O380&gt;0,Y380&amp;Language!$E$90&amp;X380,"")</f>
        <v/>
      </c>
    </row>
    <row r="761" spans="9:19" x14ac:dyDescent="0.2">
      <c r="I761" s="365"/>
      <c r="J761" s="365"/>
      <c r="K761" s="365"/>
      <c r="L761" s="366"/>
      <c r="M761" s="324" t="s">
        <v>459</v>
      </c>
      <c r="N761" s="16" t="str">
        <f>IF(Planning!$I384=0,G381&amp;F381,"")</f>
        <v/>
      </c>
      <c r="O761" s="122">
        <f t="shared" si="19"/>
        <v>0</v>
      </c>
      <c r="P761" s="122" t="str">
        <f>IF(AND(O761&gt;0,Planning!$I384=0),W381&amp;Language!$E$90&amp;V381,"")</f>
        <v/>
      </c>
      <c r="Q761" s="4" t="str">
        <f>IF(Planning!$I384=1,G381&amp;F381,"")</f>
        <v/>
      </c>
      <c r="R761" s="88" t="str">
        <f>IF(AND(O761&gt;0,Planning!$I384=1),W381&amp;Language!$E$90&amp;V381,"")</f>
        <v/>
      </c>
      <c r="S761" s="395" t="str">
        <f>IF(O381&gt;0,Y381&amp;Language!$E$90&amp;X381,"")</f>
        <v/>
      </c>
    </row>
    <row r="762" spans="9:19" x14ac:dyDescent="0.2">
      <c r="I762" s="365"/>
      <c r="J762" s="365"/>
      <c r="K762" s="365"/>
      <c r="L762" s="366"/>
      <c r="M762" s="324" t="s">
        <v>460</v>
      </c>
      <c r="N762" s="16" t="str">
        <f>IF(Planning!$I385=0,G382&amp;F382,"")</f>
        <v/>
      </c>
      <c r="O762" s="122">
        <f t="shared" si="19"/>
        <v>0</v>
      </c>
      <c r="P762" s="122" t="str">
        <f>IF(AND(O762&gt;0,Planning!$I385=0),W382&amp;Language!$E$90&amp;V382,"")</f>
        <v/>
      </c>
      <c r="Q762" s="4" t="str">
        <f>IF(Planning!$I385=1,G382&amp;F382,"")</f>
        <v/>
      </c>
      <c r="R762" s="88" t="str">
        <f>IF(AND(O762&gt;0,Planning!$I385=1),W382&amp;Language!$E$90&amp;V382,"")</f>
        <v/>
      </c>
      <c r="S762" s="395" t="str">
        <f>IF(O382&gt;0,Y382&amp;Language!$E$90&amp;X382,"")</f>
        <v/>
      </c>
    </row>
    <row r="763" spans="9:19" ht="13.5" thickBot="1" x14ac:dyDescent="0.25">
      <c r="I763" s="365"/>
      <c r="J763" s="365"/>
      <c r="K763" s="365"/>
      <c r="L763" s="366"/>
      <c r="M763" s="324" t="s">
        <v>461</v>
      </c>
      <c r="N763" s="17" t="str">
        <f>IF(Planning!$I386=0,G383&amp;F383,"")</f>
        <v/>
      </c>
      <c r="O763" s="18">
        <f t="shared" si="19"/>
        <v>0</v>
      </c>
      <c r="P763" s="18" t="str">
        <f>IF(AND(O763&gt;0,Planning!$I386=0),W383&amp;Language!$E$90&amp;V383,"")</f>
        <v/>
      </c>
      <c r="Q763" s="176" t="str">
        <f>IF(Planning!$I386=1,G383&amp;F383,"")</f>
        <v/>
      </c>
      <c r="R763" s="177" t="str">
        <f>IF(AND(O763&gt;0,Planning!$I386=1),W383&amp;Language!$E$90&amp;V383,"")</f>
        <v/>
      </c>
      <c r="S763" s="396" t="str">
        <f>IF(O383&gt;0,Y383&amp;Language!$E$90&amp;X383,"")</f>
        <v/>
      </c>
    </row>
    <row r="764" spans="9:19" ht="13.5" thickTop="1" x14ac:dyDescent="0.2"/>
  </sheetData>
  <mergeCells count="7">
    <mergeCell ref="X3:Y3"/>
    <mergeCell ref="Z3:AA3"/>
    <mergeCell ref="T3:U3"/>
    <mergeCell ref="H3:I3"/>
    <mergeCell ref="J3:K3"/>
    <mergeCell ref="L3:M3"/>
    <mergeCell ref="V3:W3"/>
  </mergeCells>
  <phoneticPr fontId="3" type="noConversion"/>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B1:AA101"/>
  <sheetViews>
    <sheetView zoomScaleNormal="100" workbookViewId="0"/>
  </sheetViews>
  <sheetFormatPr baseColWidth="10" defaultColWidth="2.7109375" defaultRowHeight="12" x14ac:dyDescent="0.2"/>
  <cols>
    <col min="1" max="2" width="4.7109375" style="5" customWidth="1"/>
    <col min="3" max="3" width="8.140625" style="5" customWidth="1"/>
    <col min="4" max="4" width="9.140625" style="5" customWidth="1"/>
    <col min="5" max="5" width="7.140625" style="5" customWidth="1"/>
    <col min="6" max="6" width="18" style="174" customWidth="1"/>
    <col min="7" max="7" width="8.7109375" style="5" customWidth="1"/>
    <col min="8" max="8" width="6.42578125" style="5" customWidth="1"/>
    <col min="9" max="9" width="8" style="5" customWidth="1"/>
    <col min="10" max="10" width="8.28515625" style="5" customWidth="1"/>
    <col min="11" max="11" width="7.42578125" style="5" customWidth="1"/>
    <col min="12" max="12" width="8.7109375" style="5" customWidth="1"/>
    <col min="13" max="13" width="7.5703125" style="5" customWidth="1"/>
    <col min="14" max="14" width="7.140625" style="5" customWidth="1"/>
    <col min="15" max="15" width="7.7109375" style="5" customWidth="1"/>
    <col min="16" max="16" width="4.7109375" style="5" customWidth="1"/>
    <col min="17" max="17" width="21" style="5" customWidth="1"/>
    <col min="18" max="18" width="15.140625" style="5" customWidth="1"/>
    <col min="19" max="19" width="11.42578125" style="5" customWidth="1"/>
    <col min="20" max="20" width="10.5703125" style="5" customWidth="1"/>
    <col min="21" max="21" width="13.140625" style="5" customWidth="1"/>
    <col min="22" max="22" width="8.140625" style="5" customWidth="1"/>
    <col min="23" max="24" width="8.42578125" style="5" customWidth="1"/>
    <col min="25" max="25" width="9.5703125" style="5" customWidth="1"/>
    <col min="26" max="26" width="8" style="5" customWidth="1"/>
    <col min="27" max="27" width="5.42578125" style="5" customWidth="1"/>
    <col min="28" max="28" width="4.7109375" style="5" customWidth="1"/>
    <col min="29" max="29" width="11.7109375" style="5" customWidth="1"/>
    <col min="30" max="30" width="10.140625" style="5" customWidth="1"/>
    <col min="31" max="31" width="7.42578125" style="5" customWidth="1"/>
    <col min="32" max="32" width="6.140625" style="5" customWidth="1"/>
    <col min="33" max="48" width="4.7109375" style="5" customWidth="1"/>
    <col min="49" max="59" width="6.7109375" style="5" customWidth="1"/>
    <col min="60" max="16384" width="2.7109375" style="5"/>
  </cols>
  <sheetData>
    <row r="1" spans="2:27" s="2" customFormat="1" x14ac:dyDescent="0.2">
      <c r="F1" s="169"/>
      <c r="Q1" s="172" t="s">
        <v>462</v>
      </c>
    </row>
    <row r="2" spans="2:27" s="2" customFormat="1" x14ac:dyDescent="0.2">
      <c r="B2" s="3"/>
      <c r="C2" s="3"/>
      <c r="D2" s="3"/>
      <c r="E2" s="3"/>
      <c r="F2" s="169"/>
      <c r="G2" s="1"/>
      <c r="H2" s="1"/>
      <c r="I2" s="1"/>
      <c r="J2" s="1"/>
      <c r="K2" s="1"/>
      <c r="L2" s="1"/>
      <c r="M2" s="1"/>
      <c r="N2" s="3"/>
      <c r="O2" s="1"/>
      <c r="P2" s="1"/>
      <c r="Q2" s="1"/>
      <c r="Y2" s="1" t="s">
        <v>567</v>
      </c>
    </row>
    <row r="3" spans="2:27" s="2" customFormat="1" ht="13.5" customHeight="1" thickBot="1" x14ac:dyDescent="0.25">
      <c r="B3" s="1"/>
      <c r="C3" s="3"/>
      <c r="D3" s="3"/>
      <c r="E3" s="3"/>
      <c r="F3" s="11" t="s">
        <v>90</v>
      </c>
      <c r="G3" s="37" t="s">
        <v>95</v>
      </c>
      <c r="H3" s="37" t="s">
        <v>96</v>
      </c>
      <c r="I3" s="11" t="s">
        <v>626</v>
      </c>
      <c r="J3" s="11" t="s">
        <v>97</v>
      </c>
      <c r="K3" s="11" t="s">
        <v>91</v>
      </c>
      <c r="L3" s="12" t="s">
        <v>92</v>
      </c>
      <c r="M3" s="12" t="s">
        <v>93</v>
      </c>
      <c r="N3" s="12" t="s">
        <v>94</v>
      </c>
      <c r="O3" s="12" t="s">
        <v>520</v>
      </c>
      <c r="Q3" s="11" t="s">
        <v>90</v>
      </c>
      <c r="R3" s="121" t="s">
        <v>98</v>
      </c>
      <c r="S3" s="6" t="s">
        <v>478</v>
      </c>
      <c r="T3" s="115" t="s">
        <v>145</v>
      </c>
      <c r="U3" s="12" t="s">
        <v>627</v>
      </c>
      <c r="V3" s="12" t="s">
        <v>569</v>
      </c>
      <c r="W3" s="12" t="s">
        <v>568</v>
      </c>
      <c r="X3" s="12" t="s">
        <v>570</v>
      </c>
      <c r="Y3" s="12" t="s">
        <v>571</v>
      </c>
      <c r="Z3" s="12"/>
      <c r="AA3" s="12" t="s">
        <v>572</v>
      </c>
    </row>
    <row r="4" spans="2:27" s="2" customFormat="1" ht="12.75" thickTop="1" x14ac:dyDescent="0.2">
      <c r="B4" s="1">
        <v>1</v>
      </c>
      <c r="C4" s="8">
        <f>RANK(D4,$D$4:$D$23,1)</f>
        <v>10</v>
      </c>
      <c r="D4" s="3">
        <f>E4+ROW()/1000</f>
        <v>10.004</v>
      </c>
      <c r="E4" s="3">
        <f>RANK(T4,T$4:T$23,1)</f>
        <v>10</v>
      </c>
      <c r="F4" s="169" t="str">
        <f>Calc2!$C4</f>
        <v>1. FC Heidenheim 1846</v>
      </c>
      <c r="G4" s="1">
        <f>SUMIFS(Calc2!$V$4:$V$383,Calc2!$F$4:$F$383,$F4)+SUMIFS(Calc2!$W$4:$W$383,Calc2!$G$4:$G$383,$F4)</f>
        <v>254</v>
      </c>
      <c r="H4" s="1">
        <f>SUMIFS(Calc2!$W$4:$W$383,Calc2!$F$4:$F$383,$F4)+SUMIFS(Calc2!$V$4:$V$383,Calc2!$G$4:$G$383,$F4)</f>
        <v>254</v>
      </c>
      <c r="I4" s="3">
        <f>IF(Settings!$G$24,G4-H4,IF(H4=0,IF(G4=0,0,Settings!$F$24),G4/H4))</f>
        <v>0</v>
      </c>
      <c r="J4" s="12">
        <f>$L4*Settings!$C$4+$M4</f>
        <v>4</v>
      </c>
      <c r="K4" s="1">
        <f>SUMPRODUCT((Calc2!$F$4:$F$383=F4)*(Calc2!$X$4:$X$383&lt;&gt;"")*(Calc2!$O$4:$O$383=1))+SUMPRODUCT((Calc2!$G$4:$G$383=F4)*(Calc2!$Y$4:$Y$383&lt;&gt;"")*(Calc2!$O$4:$O$383=1))</f>
        <v>5</v>
      </c>
      <c r="L4" s="1">
        <f>SUMPRODUCT((Calc2!$F$4:$F$383=F4)*(Calc2!$X$4:$X$383&gt;Calc2!$Y$4:$Y$383)*(Calc2!$O$4:$O$383))+SUMPRODUCT((Calc2!$G$4:$G$383=F4)*(Calc2!$X$4:$X$383&lt;Calc2!$Y$4:$Y$383)*(Calc2!$O$4:$O$383))</f>
        <v>2</v>
      </c>
      <c r="M4" s="1">
        <f>SUMPRODUCT((Calc2!$F$4:$G$383=F4)*(Calc2!$X$4:$X$383=Calc2!$Y$4:$Y$383)*(Calc2!$O$4:$O$383))</f>
        <v>0</v>
      </c>
      <c r="N4" s="1">
        <f>K4-L4-M4</f>
        <v>3</v>
      </c>
      <c r="O4" s="120">
        <f>SUMPRODUCT((F4=Calc2!$F$4:$F$383)*Calc2!$T$4:$T$383)+SUMPRODUCT((F4=Calc2!$G$4:$G$383)*Calc2!$U$4:$U$383)</f>
        <v>0</v>
      </c>
      <c r="Q4" s="2" t="str">
        <f>Calc2!$C4</f>
        <v>1. FC Heidenheim 1846</v>
      </c>
      <c r="R4" s="13">
        <f>U4*$F$31+(X4+$H$32)*$F$32*Settings!$G$14+V4*$F$33*Settings!$G$19+AA4*$F$34</f>
        <v>6500000.0099999998</v>
      </c>
      <c r="S4" s="7">
        <f>Tie_Break!$D7</f>
        <v>0</v>
      </c>
      <c r="T4" s="8">
        <f>RANK($R4,$R$4:$R$23)+(9-$S4)/10000+(F4="")*1000</f>
        <v>10.0009</v>
      </c>
      <c r="U4" s="120">
        <f>IF(Settings!$G$9,J4,$V4)+$O4</f>
        <v>6</v>
      </c>
      <c r="V4" s="122">
        <f>SUMPRODUCT((Calc2!$F$4:$F$383=F4)*Calc2!$X$4:$X$383)+SUMPRODUCT((Calc2!$G$4:$G$383=F4)*Calc2!$Y$4:$Y$383)</f>
        <v>6</v>
      </c>
      <c r="W4" s="122">
        <f>SUMPRODUCT((Calc2!$G$4:$G$383=F4)*Calc2!$X$4:$X$383)+SUMPRODUCT((Calc2!$F$4:$F$383=F4)*Calc2!$Y$4:$Y$383)</f>
        <v>6</v>
      </c>
      <c r="X4" s="1">
        <f>V4-W4</f>
        <v>0</v>
      </c>
      <c r="Y4" s="1">
        <f>IF(Settings!$G$24,IF($I4&gt;0,"+"&amp;$I4,$I4),IF($I4=Settings!$F$24,Settings!$E$24,ROUND($I4,Settings!$H$24)))</f>
        <v>0</v>
      </c>
      <c r="Z4" s="1">
        <f>I4-(F4="")*10000</f>
        <v>0</v>
      </c>
      <c r="AA4" s="1">
        <f xml:space="preserve"> RANK(Z4,$Z$4:$Z$23,1)</f>
        <v>10</v>
      </c>
    </row>
    <row r="5" spans="2:27" s="2" customFormat="1" x14ac:dyDescent="0.2">
      <c r="B5" s="1">
        <v>2</v>
      </c>
      <c r="C5" s="9">
        <f t="shared" ref="C5:C23" si="0">RANK(D5,$D$4:$D$23,1)</f>
        <v>13</v>
      </c>
      <c r="D5" s="122">
        <f t="shared" ref="D5:D23" si="1">E5+ROW()/1000</f>
        <v>13.005000000000001</v>
      </c>
      <c r="E5" s="122">
        <f t="shared" ref="E5:E23" si="2">RANK(T5,T$4:T$23,1)</f>
        <v>13</v>
      </c>
      <c r="F5" s="169" t="str">
        <f>Calc2!$C5</f>
        <v>1. FC Köln</v>
      </c>
      <c r="G5" s="1">
        <f>SUMIFS(Calc2!$V$4:$V$383,Calc2!$F$4:$F$383,$F5)+SUMIFS(Calc2!$W$4:$W$383,Calc2!$G$4:$G$383,$F5)</f>
        <v>242</v>
      </c>
      <c r="H5" s="1">
        <f>SUMIFS(Calc2!$W$4:$W$383,Calc2!$F$4:$F$383,$F5)+SUMIFS(Calc2!$V$4:$V$383,Calc2!$G$4:$G$383,$F5)</f>
        <v>262</v>
      </c>
      <c r="I5" s="122">
        <f>IF(Settings!$G$24,G5-H5,IF(H5=0,IF(G5=0,0,Settings!$F$24),G5/H5))</f>
        <v>-20</v>
      </c>
      <c r="J5" s="12">
        <f>$L5*Settings!$C$4+$M5</f>
        <v>4</v>
      </c>
      <c r="K5" s="1">
        <f>SUMPRODUCT((Calc2!$F$4:$F$383=F5)*(Calc2!$X$4:$X$383&lt;&gt;"")*(Calc2!$O$4:$O$383=1))+SUMPRODUCT((Calc2!$G$4:$G$383=F5)*(Calc2!$Y$4:$Y$383&lt;&gt;"")*(Calc2!$O$4:$O$383=1))</f>
        <v>5</v>
      </c>
      <c r="L5" s="1">
        <f>SUMPRODUCT((Calc2!$F$4:$F$383=F5)*(Calc2!$X$4:$X$383&gt;Calc2!$Y$4:$Y$383)*(Calc2!$O$4:$O$383))+SUMPRODUCT((Calc2!$G$4:$G$383=F5)*(Calc2!$X$4:$X$383&lt;Calc2!$Y$4:$Y$383)*(Calc2!$O$4:$O$383))</f>
        <v>2</v>
      </c>
      <c r="M5" s="1">
        <f>SUMPRODUCT((Calc2!$F$4:$G$383=F5)*(Calc2!$X$4:$X$383=Calc2!$Y$4:$Y$383)*(Calc2!$O$4:$O$383))</f>
        <v>0</v>
      </c>
      <c r="N5" s="1">
        <f t="shared" ref="N5:N23" si="3">K5-L5-M5</f>
        <v>3</v>
      </c>
      <c r="O5" s="120">
        <f>SUMPRODUCT((F5=Calc2!$F$4:$F$383)*Calc2!$T$4:$T$383)+SUMPRODUCT((F5=Calc2!$G$4:$G$383)*Calc2!$U$4:$U$383)</f>
        <v>0</v>
      </c>
      <c r="Q5" s="2" t="str">
        <f>Calc2!$C5</f>
        <v>1. FC Köln</v>
      </c>
      <c r="R5" s="13">
        <f>U5*$F$31+(X5+$H$32)*$F$32*Settings!$G$14+V5*$F$33*Settings!$G$19+AA5*$F$34</f>
        <v>5498000.0060000001</v>
      </c>
      <c r="S5" s="7">
        <f>Tie_Break!$D8</f>
        <v>0</v>
      </c>
      <c r="T5" s="9">
        <f>RANK($R5,$R$4:$R$23)+(9-$S5)/10000+(F5="")*1000</f>
        <v>13.0009</v>
      </c>
      <c r="U5" s="120">
        <f>IF(Settings!$G$9,J5,$V5)+$O5</f>
        <v>5</v>
      </c>
      <c r="V5" s="122">
        <f>SUMPRODUCT((Calc2!$F$4:$F$383=F5)*Calc2!$X$4:$X$383)+SUMPRODUCT((Calc2!$G$4:$G$383=F5)*Calc2!$Y$4:$Y$383)</f>
        <v>5</v>
      </c>
      <c r="W5" s="122">
        <f>SUMPRODUCT((Calc2!$G$4:$G$383=F5)*Calc2!$X$4:$X$383)+SUMPRODUCT((Calc2!$F$4:$F$383=F5)*Calc2!$Y$4:$Y$383)</f>
        <v>7</v>
      </c>
      <c r="X5" s="1">
        <f t="shared" ref="X5:X23" si="4">V5-W5</f>
        <v>-2</v>
      </c>
      <c r="Y5" s="1">
        <f>IF(Settings!$G$24,IF($I5&gt;0,"+"&amp;$I5,$I5),IF($I5=Settings!$F$24,Settings!$E$24,ROUND($I5,Settings!$H$24)))</f>
        <v>-20</v>
      </c>
      <c r="Z5" s="1">
        <f t="shared" ref="Z5:Z23" si="5">I5-(F5="")*10000</f>
        <v>-20</v>
      </c>
      <c r="AA5" s="1">
        <f t="shared" ref="AA5:AA23" si="6" xml:space="preserve"> RANK(Z5,$Z$4:$Z$23,1)</f>
        <v>6</v>
      </c>
    </row>
    <row r="6" spans="2:27" s="2" customFormat="1" x14ac:dyDescent="0.2">
      <c r="B6" s="1">
        <v>3</v>
      </c>
      <c r="C6" s="9">
        <f t="shared" si="0"/>
        <v>11</v>
      </c>
      <c r="D6" s="122">
        <f t="shared" si="1"/>
        <v>11.006</v>
      </c>
      <c r="E6" s="122">
        <f t="shared" si="2"/>
        <v>11</v>
      </c>
      <c r="F6" s="169" t="str">
        <f>Calc2!$C6</f>
        <v>1. FC Union Berlin</v>
      </c>
      <c r="G6" s="1">
        <f>SUMIFS(Calc2!$V$4:$V$383,Calc2!$F$4:$F$383,$F6)+SUMIFS(Calc2!$W$4:$W$383,Calc2!$G$4:$G$383,$F6)</f>
        <v>240</v>
      </c>
      <c r="H6" s="1">
        <f>SUMIFS(Calc2!$W$4:$W$383,Calc2!$F$4:$F$383,$F6)+SUMIFS(Calc2!$V$4:$V$383,Calc2!$G$4:$G$383,$F6)</f>
        <v>230</v>
      </c>
      <c r="I6" s="122">
        <f>IF(Settings!$G$24,G6-H6,IF(H6=0,IF(G6=0,0,Settings!$F$24),G6/H6))</f>
        <v>10</v>
      </c>
      <c r="J6" s="12">
        <f>$L6*Settings!$C$4+$M6</f>
        <v>4</v>
      </c>
      <c r="K6" s="1">
        <f>SUMPRODUCT((Calc2!$F$4:$F$383=F6)*(Calc2!$X$4:$X$383&lt;&gt;"")*(Calc2!$O$4:$O$383=1))+SUMPRODUCT((Calc2!$G$4:$G$383=F6)*(Calc2!$Y$4:$Y$383&lt;&gt;"")*(Calc2!$O$4:$O$383=1))</f>
        <v>5</v>
      </c>
      <c r="L6" s="1">
        <f>SUMPRODUCT((Calc2!$F$4:$F$383=F6)*(Calc2!$X$4:$X$383&gt;Calc2!$Y$4:$Y$383)*(Calc2!$O$4:$O$383))+SUMPRODUCT((Calc2!$G$4:$G$383=F6)*(Calc2!$X$4:$X$383&lt;Calc2!$Y$4:$Y$383)*(Calc2!$O$4:$O$383))</f>
        <v>2</v>
      </c>
      <c r="M6" s="1">
        <f>SUMPRODUCT((Calc2!$F$4:$G$383=F6)*(Calc2!$X$4:$X$383=Calc2!$Y$4:$Y$383)*(Calc2!$O$4:$O$383))</f>
        <v>0</v>
      </c>
      <c r="N6" s="1">
        <f t="shared" si="3"/>
        <v>3</v>
      </c>
      <c r="O6" s="120">
        <f>SUMPRODUCT((F6=Calc2!$F$4:$F$383)*Calc2!$T$4:$T$383)+SUMPRODUCT((F6=Calc2!$G$4:$G$383)*Calc2!$U$4:$U$383)</f>
        <v>0</v>
      </c>
      <c r="Q6" s="2" t="str">
        <f>Calc2!$C6</f>
        <v>1. FC Union Berlin</v>
      </c>
      <c r="R6" s="13">
        <f>U6*$F$31+(X6+$H$32)*$F$32*Settings!$G$14+V6*$F$33*Settings!$G$19+AA6*$F$34</f>
        <v>5499000.0149999997</v>
      </c>
      <c r="S6" s="7">
        <f>Tie_Break!$D9</f>
        <v>0</v>
      </c>
      <c r="T6" s="9">
        <f t="shared" ref="T6:T22" si="7">RANK($R6,$R$4:$R$23)+(9-$S6)/10000+(F6="")*1000</f>
        <v>11.0009</v>
      </c>
      <c r="U6" s="120">
        <f>IF(Settings!$G$9,J6,$V6)+$O6</f>
        <v>5</v>
      </c>
      <c r="V6" s="122">
        <f>SUMPRODUCT((Calc2!$F$4:$F$383=F6)*Calc2!$X$4:$X$383)+SUMPRODUCT((Calc2!$G$4:$G$383=F6)*Calc2!$Y$4:$Y$383)</f>
        <v>5</v>
      </c>
      <c r="W6" s="122">
        <f>SUMPRODUCT((Calc2!$G$4:$G$383=F6)*Calc2!$X$4:$X$383)+SUMPRODUCT((Calc2!$F$4:$F$383=F6)*Calc2!$Y$4:$Y$383)</f>
        <v>6</v>
      </c>
      <c r="X6" s="1">
        <f t="shared" si="4"/>
        <v>-1</v>
      </c>
      <c r="Y6" s="1" t="str">
        <f>IF(Settings!$G$24,IF($I6&gt;0,"+"&amp;$I6,$I6),IF($I6=Settings!$F$24,Settings!$E$24,ROUND($I6,Settings!$H$24)))</f>
        <v>+10</v>
      </c>
      <c r="Z6" s="1">
        <f t="shared" si="5"/>
        <v>10</v>
      </c>
      <c r="AA6" s="1">
        <f t="shared" si="6"/>
        <v>15</v>
      </c>
    </row>
    <row r="7" spans="2:27" s="2" customFormat="1" x14ac:dyDescent="0.2">
      <c r="B7" s="1">
        <v>4</v>
      </c>
      <c r="C7" s="9">
        <f t="shared" si="0"/>
        <v>7</v>
      </c>
      <c r="D7" s="122">
        <f t="shared" si="1"/>
        <v>7.0069999999999997</v>
      </c>
      <c r="E7" s="122">
        <f t="shared" si="2"/>
        <v>7</v>
      </c>
      <c r="F7" s="169" t="str">
        <f>Calc2!$C7</f>
        <v>1. FSV Mainz 05</v>
      </c>
      <c r="G7" s="1">
        <f>SUMIFS(Calc2!$V$4:$V$383,Calc2!$F$4:$F$383,$F7)+SUMIFS(Calc2!$W$4:$W$383,Calc2!$G$4:$G$383,$F7)</f>
        <v>234</v>
      </c>
      <c r="H7" s="1">
        <f>SUMIFS(Calc2!$W$4:$W$383,Calc2!$F$4:$F$383,$F7)+SUMIFS(Calc2!$V$4:$V$383,Calc2!$G$4:$G$383,$F7)</f>
        <v>212</v>
      </c>
      <c r="I7" s="122">
        <f>IF(Settings!$G$24,G7-H7,IF(H7=0,IF(G7=0,0,Settings!$F$24),G7/H7))</f>
        <v>22</v>
      </c>
      <c r="J7" s="12">
        <f>$L7*Settings!$C$4+$M7</f>
        <v>6</v>
      </c>
      <c r="K7" s="1">
        <f>SUMPRODUCT((Calc2!$F$4:$F$383=F7)*(Calc2!$X$4:$X$383&lt;&gt;"")*(Calc2!$O$4:$O$383=1))+SUMPRODUCT((Calc2!$G$4:$G$383=F7)*(Calc2!$Y$4:$Y$383&lt;&gt;"")*(Calc2!$O$4:$O$383=1))</f>
        <v>5</v>
      </c>
      <c r="L7" s="1">
        <f>SUMPRODUCT((Calc2!$F$4:$F$383=F7)*(Calc2!$X$4:$X$383&gt;Calc2!$Y$4:$Y$383)*(Calc2!$O$4:$O$383))+SUMPRODUCT((Calc2!$G$4:$G$383=F7)*(Calc2!$X$4:$X$383&lt;Calc2!$Y$4:$Y$383)*(Calc2!$O$4:$O$383))</f>
        <v>3</v>
      </c>
      <c r="M7" s="1">
        <f>SUMPRODUCT((Calc2!$F$4:$G$383=F7)*(Calc2!$X$4:$X$383=Calc2!$Y$4:$Y$383)*(Calc2!$O$4:$O$383))</f>
        <v>0</v>
      </c>
      <c r="N7" s="1">
        <f t="shared" si="3"/>
        <v>2</v>
      </c>
      <c r="O7" s="120">
        <f>SUMPRODUCT((F7=Calc2!$F$4:$F$383)*Calc2!$T$4:$T$383)+SUMPRODUCT((F7=Calc2!$G$4:$G$383)*Calc2!$U$4:$U$383)</f>
        <v>0</v>
      </c>
      <c r="Q7" s="2" t="str">
        <f>Calc2!$C7</f>
        <v>1. FSV Mainz 05</v>
      </c>
      <c r="R7" s="13">
        <f>U7*$F$31+(X7+$H$32)*$F$32*Settings!$G$14+V7*$F$33*Settings!$G$19+AA7*$F$34</f>
        <v>6502000.0180000002</v>
      </c>
      <c r="S7" s="7">
        <f>Tie_Break!$D10</f>
        <v>0</v>
      </c>
      <c r="T7" s="9">
        <f t="shared" si="7"/>
        <v>7.0008999999999997</v>
      </c>
      <c r="U7" s="120">
        <f>IF(Settings!$G$9,J7,$V7)+$O7</f>
        <v>6</v>
      </c>
      <c r="V7" s="122">
        <f>SUMPRODUCT((Calc2!$F$4:$F$383=F7)*Calc2!$X$4:$X$383)+SUMPRODUCT((Calc2!$G$4:$G$383=F7)*Calc2!$Y$4:$Y$383)</f>
        <v>6</v>
      </c>
      <c r="W7" s="122">
        <f>SUMPRODUCT((Calc2!$G$4:$G$383=F7)*Calc2!$X$4:$X$383)+SUMPRODUCT((Calc2!$F$4:$F$383=F7)*Calc2!$Y$4:$Y$383)</f>
        <v>4</v>
      </c>
      <c r="X7" s="1">
        <f t="shared" si="4"/>
        <v>2</v>
      </c>
      <c r="Y7" s="1" t="str">
        <f>IF(Settings!$G$24,IF($I7&gt;0,"+"&amp;$I7,$I7),IF($I7=Settings!$F$24,Settings!$E$24,ROUND($I7,Settings!$H$24)))</f>
        <v>+22</v>
      </c>
      <c r="Z7" s="1">
        <f t="shared" si="5"/>
        <v>22</v>
      </c>
      <c r="AA7" s="1">
        <f t="shared" si="6"/>
        <v>18</v>
      </c>
    </row>
    <row r="8" spans="2:27" s="2" customFormat="1" x14ac:dyDescent="0.2">
      <c r="B8" s="1">
        <v>5</v>
      </c>
      <c r="C8" s="9">
        <f t="shared" si="0"/>
        <v>9</v>
      </c>
      <c r="D8" s="122">
        <f t="shared" si="1"/>
        <v>9.0079999999999991</v>
      </c>
      <c r="E8" s="122">
        <f t="shared" si="2"/>
        <v>9</v>
      </c>
      <c r="F8" s="169" t="str">
        <f>Calc2!$C8</f>
        <v>Bayer 04 Leverkusen</v>
      </c>
      <c r="G8" s="1">
        <f>SUMIFS(Calc2!$V$4:$V$383,Calc2!$F$4:$F$383,$F8)+SUMIFS(Calc2!$W$4:$W$383,Calc2!$G$4:$G$383,$F8)</f>
        <v>224</v>
      </c>
      <c r="H8" s="1">
        <f>SUMIFS(Calc2!$W$4:$W$383,Calc2!$F$4:$F$383,$F8)+SUMIFS(Calc2!$V$4:$V$383,Calc2!$G$4:$G$383,$F8)</f>
        <v>228</v>
      </c>
      <c r="I8" s="122">
        <f>IF(Settings!$G$24,G8-H8,IF(H8=0,IF(G8=0,0,Settings!$F$24),G8/H8))</f>
        <v>-4</v>
      </c>
      <c r="J8" s="12">
        <f>$L8*Settings!$C$4+$M8</f>
        <v>6</v>
      </c>
      <c r="K8" s="1">
        <f>SUMPRODUCT((Calc2!$F$4:$F$383=F8)*(Calc2!$X$4:$X$383&lt;&gt;"")*(Calc2!$O$4:$O$383=1))+SUMPRODUCT((Calc2!$G$4:$G$383=F8)*(Calc2!$Y$4:$Y$383&lt;&gt;"")*(Calc2!$O$4:$O$383=1))</f>
        <v>5</v>
      </c>
      <c r="L8" s="1">
        <f>SUMPRODUCT((Calc2!$F$4:$F$383=F8)*(Calc2!$X$4:$X$383&gt;Calc2!$Y$4:$Y$383)*(Calc2!$O$4:$O$383))+SUMPRODUCT((Calc2!$G$4:$G$383=F8)*(Calc2!$X$4:$X$383&lt;Calc2!$Y$4:$Y$383)*(Calc2!$O$4:$O$383))</f>
        <v>3</v>
      </c>
      <c r="M8" s="1">
        <f>SUMPRODUCT((Calc2!$F$4:$G$383=F8)*(Calc2!$X$4:$X$383=Calc2!$Y$4:$Y$383)*(Calc2!$O$4:$O$383))</f>
        <v>0</v>
      </c>
      <c r="N8" s="1">
        <f t="shared" si="3"/>
        <v>2</v>
      </c>
      <c r="O8" s="120">
        <f>SUMPRODUCT((F8=Calc2!$F$4:$F$383)*Calc2!$T$4:$T$383)+SUMPRODUCT((F8=Calc2!$G$4:$G$383)*Calc2!$U$4:$U$383)</f>
        <v>0</v>
      </c>
      <c r="Q8" s="2" t="str">
        <f>Calc2!$C8</f>
        <v>Bayer 04 Leverkusen</v>
      </c>
      <c r="R8" s="13">
        <f>U8*$F$31+(X8+$H$32)*$F$32*Settings!$G$14+V8*$F$33*Settings!$G$19+AA8*$F$34</f>
        <v>6502000.0089999996</v>
      </c>
      <c r="S8" s="7">
        <f>Tie_Break!$D11</f>
        <v>0</v>
      </c>
      <c r="T8" s="9">
        <f t="shared" si="7"/>
        <v>9.0008999999999997</v>
      </c>
      <c r="U8" s="120">
        <f>IF(Settings!$G$9,J8,$V8)+$O8</f>
        <v>6</v>
      </c>
      <c r="V8" s="122">
        <f>SUMPRODUCT((Calc2!$F$4:$F$383=F8)*Calc2!$X$4:$X$383)+SUMPRODUCT((Calc2!$G$4:$G$383=F8)*Calc2!$Y$4:$Y$383)</f>
        <v>6</v>
      </c>
      <c r="W8" s="122">
        <f>SUMPRODUCT((Calc2!$G$4:$G$383=F8)*Calc2!$X$4:$X$383)+SUMPRODUCT((Calc2!$F$4:$F$383=F8)*Calc2!$Y$4:$Y$383)</f>
        <v>4</v>
      </c>
      <c r="X8" s="1">
        <f t="shared" si="4"/>
        <v>2</v>
      </c>
      <c r="Y8" s="1">
        <f>IF(Settings!$G$24,IF($I8&gt;0,"+"&amp;$I8,$I8),IF($I8=Settings!$F$24,Settings!$E$24,ROUND($I8,Settings!$H$24)))</f>
        <v>-4</v>
      </c>
      <c r="Z8" s="1">
        <f t="shared" si="5"/>
        <v>-4</v>
      </c>
      <c r="AA8" s="1">
        <f t="shared" si="6"/>
        <v>9</v>
      </c>
    </row>
    <row r="9" spans="2:27" s="2" customFormat="1" x14ac:dyDescent="0.2">
      <c r="B9" s="1">
        <v>6</v>
      </c>
      <c r="C9" s="9">
        <f t="shared" si="0"/>
        <v>14</v>
      </c>
      <c r="D9" s="122">
        <f t="shared" si="1"/>
        <v>14.009</v>
      </c>
      <c r="E9" s="122">
        <f t="shared" si="2"/>
        <v>14</v>
      </c>
      <c r="F9" s="169" t="str">
        <f>Calc2!$C9</f>
        <v>Borussia Dortmund</v>
      </c>
      <c r="G9" s="1">
        <f>SUMIFS(Calc2!$V$4:$V$383,Calc2!$F$4:$F$383,$F9)+SUMIFS(Calc2!$W$4:$W$383,Calc2!$G$4:$G$383,$F9)</f>
        <v>220</v>
      </c>
      <c r="H9" s="1">
        <f>SUMIFS(Calc2!$W$4:$W$383,Calc2!$F$4:$F$383,$F9)+SUMIFS(Calc2!$V$4:$V$383,Calc2!$G$4:$G$383,$F9)</f>
        <v>215</v>
      </c>
      <c r="I9" s="122">
        <f>IF(Settings!$G$24,G9-H9,IF(H9=0,IF(G9=0,0,Settings!$F$24),G9/H9))</f>
        <v>5</v>
      </c>
      <c r="J9" s="12">
        <f>$L9*Settings!$C$4+$M9</f>
        <v>4</v>
      </c>
      <c r="K9" s="1">
        <f>SUMPRODUCT((Calc2!$F$4:$F$383=F9)*(Calc2!$X$4:$X$383&lt;&gt;"")*(Calc2!$O$4:$O$383=1))+SUMPRODUCT((Calc2!$G$4:$G$383=F9)*(Calc2!$Y$4:$Y$383&lt;&gt;"")*(Calc2!$O$4:$O$383=1))</f>
        <v>5</v>
      </c>
      <c r="L9" s="1">
        <f>SUMPRODUCT((Calc2!$F$4:$F$383=F9)*(Calc2!$X$4:$X$383&gt;Calc2!$Y$4:$Y$383)*(Calc2!$O$4:$O$383))+SUMPRODUCT((Calc2!$G$4:$G$383=F9)*(Calc2!$X$4:$X$383&lt;Calc2!$Y$4:$Y$383)*(Calc2!$O$4:$O$383))</f>
        <v>2</v>
      </c>
      <c r="M9" s="1">
        <f>SUMPRODUCT((Calc2!$F$4:$G$383=F9)*(Calc2!$X$4:$X$383=Calc2!$Y$4:$Y$383)*(Calc2!$O$4:$O$383))</f>
        <v>0</v>
      </c>
      <c r="N9" s="1">
        <f t="shared" si="3"/>
        <v>3</v>
      </c>
      <c r="O9" s="120">
        <f>SUMPRODUCT((F9=Calc2!$F$4:$F$383)*Calc2!$T$4:$T$383)+SUMPRODUCT((F9=Calc2!$G$4:$G$383)*Calc2!$U$4:$U$383)</f>
        <v>0</v>
      </c>
      <c r="Q9" s="2" t="str">
        <f>Calc2!$C9</f>
        <v>Borussia Dortmund</v>
      </c>
      <c r="R9" s="13">
        <f>U9*$F$31+(X9+$H$32)*$F$32*Settings!$G$14+V9*$F$33*Settings!$G$19+AA9*$F$34</f>
        <v>4498000.0120000001</v>
      </c>
      <c r="S9" s="7">
        <f>Tie_Break!$D12</f>
        <v>0</v>
      </c>
      <c r="T9" s="9">
        <f t="shared" si="7"/>
        <v>14.0009</v>
      </c>
      <c r="U9" s="120">
        <f>IF(Settings!$G$9,J9,$V9)+$O9</f>
        <v>4</v>
      </c>
      <c r="V9" s="122">
        <f>SUMPRODUCT((Calc2!$F$4:$F$383=F9)*Calc2!$X$4:$X$383)+SUMPRODUCT((Calc2!$G$4:$G$383=F9)*Calc2!$Y$4:$Y$383)</f>
        <v>4</v>
      </c>
      <c r="W9" s="122">
        <f>SUMPRODUCT((Calc2!$G$4:$G$383=F9)*Calc2!$X$4:$X$383)+SUMPRODUCT((Calc2!$F$4:$F$383=F9)*Calc2!$Y$4:$Y$383)</f>
        <v>6</v>
      </c>
      <c r="X9" s="1">
        <f t="shared" si="4"/>
        <v>-2</v>
      </c>
      <c r="Y9" s="1" t="str">
        <f>IF(Settings!$G$24,IF($I9&gt;0,"+"&amp;$I9,$I9),IF($I9=Settings!$F$24,Settings!$E$24,ROUND($I9,Settings!$H$24)))</f>
        <v>+5</v>
      </c>
      <c r="Z9" s="1">
        <f t="shared" si="5"/>
        <v>5</v>
      </c>
      <c r="AA9" s="1">
        <f t="shared" si="6"/>
        <v>12</v>
      </c>
    </row>
    <row r="10" spans="2:27" s="2" customFormat="1" x14ac:dyDescent="0.2">
      <c r="B10" s="1">
        <v>7</v>
      </c>
      <c r="C10" s="9">
        <f t="shared" si="0"/>
        <v>18</v>
      </c>
      <c r="D10" s="122">
        <f t="shared" si="1"/>
        <v>18.010000000000002</v>
      </c>
      <c r="E10" s="122">
        <f t="shared" si="2"/>
        <v>18</v>
      </c>
      <c r="F10" s="169" t="str">
        <f>Calc2!$C10</f>
        <v>Borussia Mönchengladbach</v>
      </c>
      <c r="G10" s="1">
        <f>SUMIFS(Calc2!$V$4:$V$383,Calc2!$F$4:$F$383,$F10)+SUMIFS(Calc2!$W$4:$W$383,Calc2!$G$4:$G$383,$F10)</f>
        <v>225</v>
      </c>
      <c r="H10" s="1">
        <f>SUMIFS(Calc2!$W$4:$W$383,Calc2!$F$4:$F$383,$F10)+SUMIFS(Calc2!$V$4:$V$383,Calc2!$G$4:$G$383,$F10)</f>
        <v>265</v>
      </c>
      <c r="I10" s="122">
        <f>IF(Settings!$G$24,G10-H10,IF(H10=0,IF(G10=0,0,Settings!$F$24),G10/H10))</f>
        <v>-40</v>
      </c>
      <c r="J10" s="12">
        <f>$L10*Settings!$C$4+$M10</f>
        <v>0</v>
      </c>
      <c r="K10" s="1">
        <f>SUMPRODUCT((Calc2!$F$4:$F$383=F10)*(Calc2!$X$4:$X$383&lt;&gt;"")*(Calc2!$O$4:$O$383=1))+SUMPRODUCT((Calc2!$G$4:$G$383=F10)*(Calc2!$Y$4:$Y$383&lt;&gt;"")*(Calc2!$O$4:$O$383=1))</f>
        <v>5</v>
      </c>
      <c r="L10" s="1">
        <f>SUMPRODUCT((Calc2!$F$4:$F$383=F10)*(Calc2!$X$4:$X$383&gt;Calc2!$Y$4:$Y$383)*(Calc2!$O$4:$O$383))+SUMPRODUCT((Calc2!$G$4:$G$383=F10)*(Calc2!$X$4:$X$383&lt;Calc2!$Y$4:$Y$383)*(Calc2!$O$4:$O$383))</f>
        <v>0</v>
      </c>
      <c r="M10" s="1">
        <f>SUMPRODUCT((Calc2!$F$4:$G$383=F10)*(Calc2!$X$4:$X$383=Calc2!$Y$4:$Y$383)*(Calc2!$O$4:$O$383))</f>
        <v>0</v>
      </c>
      <c r="N10" s="1">
        <f t="shared" si="3"/>
        <v>5</v>
      </c>
      <c r="O10" s="120">
        <f>SUMPRODUCT((F10=Calc2!$F$4:$F$383)*Calc2!$T$4:$T$383)+SUMPRODUCT((F10=Calc2!$G$4:$G$383)*Calc2!$U$4:$U$383)</f>
        <v>0</v>
      </c>
      <c r="Q10" s="2" t="str">
        <f>Calc2!$C10</f>
        <v>Borussia Mönchengladbach</v>
      </c>
      <c r="R10" s="13">
        <f>U10*$F$31+(X10+$H$32)*$F$32*Settings!$G$14+V10*$F$33*Settings!$G$19+AA10*$F$34</f>
        <v>1491000.003</v>
      </c>
      <c r="S10" s="7">
        <f>Tie_Break!$D13</f>
        <v>0</v>
      </c>
      <c r="T10" s="9">
        <f t="shared" si="7"/>
        <v>18.000900000000001</v>
      </c>
      <c r="U10" s="120">
        <f>IF(Settings!$G$9,J10,$V10)+$O10</f>
        <v>1</v>
      </c>
      <c r="V10" s="122">
        <f>SUMPRODUCT((Calc2!$F$4:$F$383=F10)*Calc2!$X$4:$X$383)+SUMPRODUCT((Calc2!$G$4:$G$383=F10)*Calc2!$Y$4:$Y$383)</f>
        <v>1</v>
      </c>
      <c r="W10" s="122">
        <f>SUMPRODUCT((Calc2!$G$4:$G$383=F10)*Calc2!$X$4:$X$383)+SUMPRODUCT((Calc2!$F$4:$F$383=F10)*Calc2!$Y$4:$Y$383)</f>
        <v>10</v>
      </c>
      <c r="X10" s="1">
        <f t="shared" si="4"/>
        <v>-9</v>
      </c>
      <c r="Y10" s="1">
        <f>IF(Settings!$G$24,IF($I10&gt;0,"+"&amp;$I10,$I10),IF($I10=Settings!$F$24,Settings!$E$24,ROUND($I10,Settings!$H$24)))</f>
        <v>-40</v>
      </c>
      <c r="Z10" s="1">
        <f t="shared" si="5"/>
        <v>-40</v>
      </c>
      <c r="AA10" s="1">
        <f t="shared" si="6"/>
        <v>3</v>
      </c>
    </row>
    <row r="11" spans="2:27" s="2" customFormat="1" x14ac:dyDescent="0.2">
      <c r="B11" s="1">
        <v>8</v>
      </c>
      <c r="C11" s="9">
        <f t="shared" si="0"/>
        <v>4</v>
      </c>
      <c r="D11" s="122">
        <f t="shared" si="1"/>
        <v>4.0110000000000001</v>
      </c>
      <c r="E11" s="122">
        <f t="shared" si="2"/>
        <v>4</v>
      </c>
      <c r="F11" s="169" t="str">
        <f>Calc2!$C11</f>
        <v>Eintracht Frankfurt</v>
      </c>
      <c r="G11" s="1">
        <f>SUMIFS(Calc2!$V$4:$V$383,Calc2!$F$4:$F$383,$F11)+SUMIFS(Calc2!$W$4:$W$383,Calc2!$G$4:$G$383,$F11)</f>
        <v>244</v>
      </c>
      <c r="H11" s="1">
        <f>SUMIFS(Calc2!$W$4:$W$383,Calc2!$F$4:$F$383,$F11)+SUMIFS(Calc2!$V$4:$V$383,Calc2!$G$4:$G$383,$F11)</f>
        <v>227</v>
      </c>
      <c r="I11" s="122">
        <f>IF(Settings!$G$24,G11-H11,IF(H11=0,IF(G11=0,0,Settings!$F$24),G11/H11))</f>
        <v>17</v>
      </c>
      <c r="J11" s="12">
        <f>$L11*Settings!$C$4+$M11</f>
        <v>6</v>
      </c>
      <c r="K11" s="1">
        <f>SUMPRODUCT((Calc2!$F$4:$F$383=F11)*(Calc2!$X$4:$X$383&lt;&gt;"")*(Calc2!$O$4:$O$383=1))+SUMPRODUCT((Calc2!$G$4:$G$383=F11)*(Calc2!$Y$4:$Y$383&lt;&gt;"")*(Calc2!$O$4:$O$383=1))</f>
        <v>5</v>
      </c>
      <c r="L11" s="1">
        <f>SUMPRODUCT((Calc2!$F$4:$F$383=F11)*(Calc2!$X$4:$X$383&gt;Calc2!$Y$4:$Y$383)*(Calc2!$O$4:$O$383))+SUMPRODUCT((Calc2!$G$4:$G$383=F11)*(Calc2!$X$4:$X$383&lt;Calc2!$Y$4:$Y$383)*(Calc2!$O$4:$O$383))</f>
        <v>3</v>
      </c>
      <c r="M11" s="1">
        <f>SUMPRODUCT((Calc2!$F$4:$G$383=F11)*(Calc2!$X$4:$X$383=Calc2!$Y$4:$Y$383)*(Calc2!$O$4:$O$383))</f>
        <v>0</v>
      </c>
      <c r="N11" s="1">
        <f t="shared" si="3"/>
        <v>2</v>
      </c>
      <c r="O11" s="120">
        <f>SUMPRODUCT((F11=Calc2!$F$4:$F$383)*Calc2!$T$4:$T$383)+SUMPRODUCT((F11=Calc2!$G$4:$G$383)*Calc2!$U$4:$U$383)</f>
        <v>0</v>
      </c>
      <c r="Q11" s="2" t="str">
        <f>Calc2!$C11</f>
        <v>Eintracht Frankfurt</v>
      </c>
      <c r="R11" s="13">
        <f>U11*$F$31+(X11+$H$32)*$F$32*Settings!$G$14+V11*$F$33*Settings!$G$19+AA11*$F$34</f>
        <v>7503000.017</v>
      </c>
      <c r="S11" s="7">
        <f>Tie_Break!$D14</f>
        <v>0</v>
      </c>
      <c r="T11" s="9">
        <f t="shared" si="7"/>
        <v>4.0008999999999997</v>
      </c>
      <c r="U11" s="120">
        <f>IF(Settings!$G$9,J11,$V11)+$O11</f>
        <v>7</v>
      </c>
      <c r="V11" s="122">
        <f>SUMPRODUCT((Calc2!$F$4:$F$383=F11)*Calc2!$X$4:$X$383)+SUMPRODUCT((Calc2!$G$4:$G$383=F11)*Calc2!$Y$4:$Y$383)</f>
        <v>7</v>
      </c>
      <c r="W11" s="122">
        <f>SUMPRODUCT((Calc2!$G$4:$G$383=F11)*Calc2!$X$4:$X$383)+SUMPRODUCT((Calc2!$F$4:$F$383=F11)*Calc2!$Y$4:$Y$383)</f>
        <v>4</v>
      </c>
      <c r="X11" s="1">
        <f t="shared" si="4"/>
        <v>3</v>
      </c>
      <c r="Y11" s="1" t="str">
        <f>IF(Settings!$G$24,IF($I11&gt;0,"+"&amp;$I11,$I11),IF($I11=Settings!$F$24,Settings!$E$24,ROUND($I11,Settings!$H$24)))</f>
        <v>+17</v>
      </c>
      <c r="Z11" s="1">
        <f t="shared" si="5"/>
        <v>17</v>
      </c>
      <c r="AA11" s="1">
        <f t="shared" si="6"/>
        <v>17</v>
      </c>
    </row>
    <row r="12" spans="2:27" s="2" customFormat="1" x14ac:dyDescent="0.2">
      <c r="B12" s="1">
        <v>9</v>
      </c>
      <c r="C12" s="9">
        <f t="shared" si="0"/>
        <v>6</v>
      </c>
      <c r="D12" s="122">
        <f t="shared" si="1"/>
        <v>6.0119999999999996</v>
      </c>
      <c r="E12" s="122">
        <f t="shared" si="2"/>
        <v>6</v>
      </c>
      <c r="F12" s="169" t="str">
        <f>Calc2!$C12</f>
        <v>FC Augsburg</v>
      </c>
      <c r="G12" s="1">
        <f>SUMIFS(Calc2!$V$4:$V$383,Calc2!$F$4:$F$383,$F12)+SUMIFS(Calc2!$W$4:$W$383,Calc2!$G$4:$G$383,$F12)</f>
        <v>245</v>
      </c>
      <c r="H12" s="1">
        <f>SUMIFS(Calc2!$W$4:$W$383,Calc2!$F$4:$F$383,$F12)+SUMIFS(Calc2!$V$4:$V$383,Calc2!$G$4:$G$383,$F12)</f>
        <v>250</v>
      </c>
      <c r="I12" s="122">
        <f>IF(Settings!$G$24,G12-H12,IF(H12=0,IF(G12=0,0,Settings!$F$24),G12/H12))</f>
        <v>-5</v>
      </c>
      <c r="J12" s="12">
        <f>$L12*Settings!$C$4+$M12</f>
        <v>6</v>
      </c>
      <c r="K12" s="1">
        <f>SUMPRODUCT((Calc2!$F$4:$F$383=F12)*(Calc2!$X$4:$X$383&lt;&gt;"")*(Calc2!$O$4:$O$383=1))+SUMPRODUCT((Calc2!$G$4:$G$383=F12)*(Calc2!$Y$4:$Y$383&lt;&gt;"")*(Calc2!$O$4:$O$383=1))</f>
        <v>5</v>
      </c>
      <c r="L12" s="1">
        <f>SUMPRODUCT((Calc2!$F$4:$F$383=F12)*(Calc2!$X$4:$X$383&gt;Calc2!$Y$4:$Y$383)*(Calc2!$O$4:$O$383))+SUMPRODUCT((Calc2!$G$4:$G$383=F12)*(Calc2!$X$4:$X$383&lt;Calc2!$Y$4:$Y$383)*(Calc2!$O$4:$O$383))</f>
        <v>3</v>
      </c>
      <c r="M12" s="1">
        <f>SUMPRODUCT((Calc2!$F$4:$G$383=F12)*(Calc2!$X$4:$X$383=Calc2!$Y$4:$Y$383)*(Calc2!$O$4:$O$383))</f>
        <v>0</v>
      </c>
      <c r="N12" s="1">
        <f t="shared" si="3"/>
        <v>2</v>
      </c>
      <c r="O12" s="120">
        <f>SUMPRODUCT((F12=Calc2!$F$4:$F$383)*Calc2!$T$4:$T$383)+SUMPRODUCT((F12=Calc2!$G$4:$G$383)*Calc2!$U$4:$U$383)</f>
        <v>0</v>
      </c>
      <c r="Q12" s="2" t="str">
        <f>Calc2!$C12</f>
        <v>FC Augsburg</v>
      </c>
      <c r="R12" s="13">
        <f>U12*$F$31+(X12+$H$32)*$F$32*Settings!$G$14+V12*$F$33*Settings!$G$19+AA12*$F$34</f>
        <v>7502000.0080000004</v>
      </c>
      <c r="S12" s="122">
        <f>Tie_Break!$D15</f>
        <v>0</v>
      </c>
      <c r="T12" s="9">
        <f t="shared" si="7"/>
        <v>6.0008999999999997</v>
      </c>
      <c r="U12" s="120">
        <f>IF(Settings!$G$9,J12,$V12)+$O12</f>
        <v>7</v>
      </c>
      <c r="V12" s="122">
        <f>SUMPRODUCT((Calc2!$F$4:$F$383=F12)*Calc2!$X$4:$X$383)+SUMPRODUCT((Calc2!$G$4:$G$383=F12)*Calc2!$Y$4:$Y$383)</f>
        <v>7</v>
      </c>
      <c r="W12" s="122">
        <f>SUMPRODUCT((Calc2!$G$4:$G$383=F12)*Calc2!$X$4:$X$383)+SUMPRODUCT((Calc2!$F$4:$F$383=F12)*Calc2!$Y$4:$Y$383)</f>
        <v>5</v>
      </c>
      <c r="X12" s="1">
        <f t="shared" si="4"/>
        <v>2</v>
      </c>
      <c r="Y12" s="1">
        <f>IF(Settings!$G$24,IF($I12&gt;0,"+"&amp;$I12,$I12),IF($I12=Settings!$F$24,Settings!$E$24,ROUND($I12,Settings!$H$24)))</f>
        <v>-5</v>
      </c>
      <c r="Z12" s="1">
        <f t="shared" si="5"/>
        <v>-5</v>
      </c>
      <c r="AA12" s="1">
        <f t="shared" si="6"/>
        <v>8</v>
      </c>
    </row>
    <row r="13" spans="2:27" s="2" customFormat="1" x14ac:dyDescent="0.2">
      <c r="B13" s="1">
        <v>10</v>
      </c>
      <c r="C13" s="9">
        <f t="shared" si="0"/>
        <v>5</v>
      </c>
      <c r="D13" s="122">
        <f t="shared" si="1"/>
        <v>5.0129999999999999</v>
      </c>
      <c r="E13" s="122">
        <f t="shared" si="2"/>
        <v>5</v>
      </c>
      <c r="F13" s="169" t="str">
        <f>Calc2!$C13</f>
        <v>FC Bayern München</v>
      </c>
      <c r="G13" s="1">
        <f>SUMIFS(Calc2!$V$4:$V$383,Calc2!$F$4:$F$383,$F13)+SUMIFS(Calc2!$W$4:$W$383,Calc2!$G$4:$G$383,$F13)</f>
        <v>255</v>
      </c>
      <c r="H13" s="1">
        <f>SUMIFS(Calc2!$W$4:$W$383,Calc2!$F$4:$F$383,$F13)+SUMIFS(Calc2!$V$4:$V$383,Calc2!$G$4:$G$383,$F13)</f>
        <v>246</v>
      </c>
      <c r="I13" s="122">
        <f>IF(Settings!$G$24,G13-H13,IF(H13=0,IF(G13=0,0,Settings!$F$24),G13/H13))</f>
        <v>9</v>
      </c>
      <c r="J13" s="12">
        <f>$L13*Settings!$C$4+$M13</f>
        <v>6</v>
      </c>
      <c r="K13" s="1">
        <f>SUMPRODUCT((Calc2!$F$4:$F$383=F13)*(Calc2!$X$4:$X$383&lt;&gt;"")*(Calc2!$O$4:$O$383=1))+SUMPRODUCT((Calc2!$G$4:$G$383=F13)*(Calc2!$Y$4:$Y$383&lt;&gt;"")*(Calc2!$O$4:$O$383=1))</f>
        <v>5</v>
      </c>
      <c r="L13" s="1">
        <f>SUMPRODUCT((Calc2!$F$4:$F$383=F13)*(Calc2!$X$4:$X$383&gt;Calc2!$Y$4:$Y$383)*(Calc2!$O$4:$O$383))+SUMPRODUCT((Calc2!$G$4:$G$383=F13)*(Calc2!$X$4:$X$383&lt;Calc2!$Y$4:$Y$383)*(Calc2!$O$4:$O$383))</f>
        <v>3</v>
      </c>
      <c r="M13" s="1">
        <f>SUMPRODUCT((Calc2!$F$4:$G$383=F13)*(Calc2!$X$4:$X$383=Calc2!$Y$4:$Y$383)*(Calc2!$O$4:$O$383))</f>
        <v>0</v>
      </c>
      <c r="N13" s="1">
        <f t="shared" si="3"/>
        <v>2</v>
      </c>
      <c r="O13" s="120">
        <f>SUMPRODUCT((F13=Calc2!$F$4:$F$383)*Calc2!$T$4:$T$383)+SUMPRODUCT((F13=Calc2!$G$4:$G$383)*Calc2!$U$4:$U$383)</f>
        <v>0</v>
      </c>
      <c r="Q13" s="2" t="str">
        <f>Calc2!$C13</f>
        <v>FC Bayern München</v>
      </c>
      <c r="R13" s="13">
        <f>U13*$F$31+(X13+$H$32)*$F$32*Settings!$G$14+V13*$F$33*Settings!$G$19+AA13*$F$34</f>
        <v>7502000.0130000003</v>
      </c>
      <c r="S13" s="122">
        <f>Tie_Break!$D16</f>
        <v>0</v>
      </c>
      <c r="T13" s="9">
        <f t="shared" si="7"/>
        <v>5.0008999999999997</v>
      </c>
      <c r="U13" s="120">
        <f>IF(Settings!$G$9,J13,$V13)+$O13</f>
        <v>7</v>
      </c>
      <c r="V13" s="122">
        <f>SUMPRODUCT((Calc2!$F$4:$F$383=F13)*Calc2!$X$4:$X$383)+SUMPRODUCT((Calc2!$G$4:$G$383=F13)*Calc2!$Y$4:$Y$383)</f>
        <v>7</v>
      </c>
      <c r="W13" s="122">
        <f>SUMPRODUCT((Calc2!$G$4:$G$383=F13)*Calc2!$X$4:$X$383)+SUMPRODUCT((Calc2!$F$4:$F$383=F13)*Calc2!$Y$4:$Y$383)</f>
        <v>5</v>
      </c>
      <c r="X13" s="1">
        <f t="shared" si="4"/>
        <v>2</v>
      </c>
      <c r="Y13" s="1" t="str">
        <f>IF(Settings!$G$24,IF($I13&gt;0,"+"&amp;$I13,$I13),IF($I13=Settings!$F$24,Settings!$E$24,ROUND($I13,Settings!$H$24)))</f>
        <v>+9</v>
      </c>
      <c r="Z13" s="1">
        <f t="shared" si="5"/>
        <v>9</v>
      </c>
      <c r="AA13" s="1">
        <f t="shared" si="6"/>
        <v>13</v>
      </c>
    </row>
    <row r="14" spans="2:27" s="2" customFormat="1" x14ac:dyDescent="0.2">
      <c r="B14" s="1">
        <v>11</v>
      </c>
      <c r="C14" s="9">
        <f t="shared" si="0"/>
        <v>1</v>
      </c>
      <c r="D14" s="122">
        <f t="shared" si="1"/>
        <v>1.014</v>
      </c>
      <c r="E14" s="122">
        <f t="shared" si="2"/>
        <v>1</v>
      </c>
      <c r="F14" s="169" t="str">
        <f>Calc2!$C14</f>
        <v>FC St. Pauli</v>
      </c>
      <c r="G14" s="1">
        <f>SUMIFS(Calc2!$V$4:$V$383,Calc2!$F$4:$F$383,$F14)+SUMIFS(Calc2!$W$4:$W$383,Calc2!$G$4:$G$383,$F14)</f>
        <v>248</v>
      </c>
      <c r="H14" s="1">
        <f>SUMIFS(Calc2!$W$4:$W$383,Calc2!$F$4:$F$383,$F14)+SUMIFS(Calc2!$V$4:$V$383,Calc2!$G$4:$G$383,$F14)</f>
        <v>212</v>
      </c>
      <c r="I14" s="122">
        <f>IF(Settings!$G$24,G14-H14,IF(H14=0,IF(G14=0,0,Settings!$F$24),G14/H14))</f>
        <v>36</v>
      </c>
      <c r="J14" s="12">
        <f>$L14*Settings!$C$4+$M14</f>
        <v>8</v>
      </c>
      <c r="K14" s="1">
        <f>SUMPRODUCT((Calc2!$F$4:$F$383=F14)*(Calc2!$X$4:$X$383&lt;&gt;"")*(Calc2!$O$4:$O$383=1))+SUMPRODUCT((Calc2!$G$4:$G$383=F14)*(Calc2!$Y$4:$Y$383&lt;&gt;"")*(Calc2!$O$4:$O$383=1))</f>
        <v>5</v>
      </c>
      <c r="L14" s="1">
        <f>SUMPRODUCT((Calc2!$F$4:$F$383=F14)*(Calc2!$X$4:$X$383&gt;Calc2!$Y$4:$Y$383)*(Calc2!$O$4:$O$383))+SUMPRODUCT((Calc2!$G$4:$G$383=F14)*(Calc2!$X$4:$X$383&lt;Calc2!$Y$4:$Y$383)*(Calc2!$O$4:$O$383))</f>
        <v>4</v>
      </c>
      <c r="M14" s="1">
        <f>SUMPRODUCT((Calc2!$F$4:$G$383=F14)*(Calc2!$X$4:$X$383=Calc2!$Y$4:$Y$383)*(Calc2!$O$4:$O$383))</f>
        <v>0</v>
      </c>
      <c r="N14" s="1">
        <f t="shared" si="3"/>
        <v>1</v>
      </c>
      <c r="O14" s="120">
        <f>SUMPRODUCT((F14=Calc2!$F$4:$F$383)*Calc2!$T$4:$T$383)+SUMPRODUCT((F14=Calc2!$G$4:$G$383)*Calc2!$U$4:$U$383)</f>
        <v>0</v>
      </c>
      <c r="Q14" s="2" t="str">
        <f>Calc2!$C14</f>
        <v>FC St. Pauli</v>
      </c>
      <c r="R14" s="13">
        <f>U14*$F$31+(X14+$H$32)*$F$32*Settings!$G$14+V14*$F$33*Settings!$G$19+AA14*$F$34</f>
        <v>8505000.0199999996</v>
      </c>
      <c r="S14" s="122">
        <f>Tie_Break!$D17</f>
        <v>0</v>
      </c>
      <c r="T14" s="9">
        <f t="shared" si="7"/>
        <v>1.0008999999999999</v>
      </c>
      <c r="U14" s="120">
        <f>IF(Settings!$G$9,J14,$V14)+$O14</f>
        <v>8</v>
      </c>
      <c r="V14" s="122">
        <f>SUMPRODUCT((Calc2!$F$4:$F$383=F14)*Calc2!$X$4:$X$383)+SUMPRODUCT((Calc2!$G$4:$G$383=F14)*Calc2!$Y$4:$Y$383)</f>
        <v>8</v>
      </c>
      <c r="W14" s="122">
        <f>SUMPRODUCT((Calc2!$G$4:$G$383=F14)*Calc2!$X$4:$X$383)+SUMPRODUCT((Calc2!$F$4:$F$383=F14)*Calc2!$Y$4:$Y$383)</f>
        <v>3</v>
      </c>
      <c r="X14" s="1">
        <f t="shared" si="4"/>
        <v>5</v>
      </c>
      <c r="Y14" s="1" t="str">
        <f>IF(Settings!$G$24,IF($I14&gt;0,"+"&amp;$I14,$I14),IF($I14=Settings!$F$24,Settings!$E$24,ROUND($I14,Settings!$H$24)))</f>
        <v>+36</v>
      </c>
      <c r="Z14" s="1">
        <f t="shared" si="5"/>
        <v>36</v>
      </c>
      <c r="AA14" s="1">
        <f t="shared" si="6"/>
        <v>20</v>
      </c>
    </row>
    <row r="15" spans="2:27" s="2" customFormat="1" x14ac:dyDescent="0.2">
      <c r="B15" s="1">
        <v>12</v>
      </c>
      <c r="C15" s="9">
        <f t="shared" si="0"/>
        <v>3</v>
      </c>
      <c r="D15" s="122">
        <f t="shared" si="1"/>
        <v>3.0150000000000001</v>
      </c>
      <c r="E15" s="122">
        <f t="shared" si="2"/>
        <v>3</v>
      </c>
      <c r="F15" s="169" t="str">
        <f>Calc2!$C15</f>
        <v>Hamburger SV</v>
      </c>
      <c r="G15" s="1">
        <f>SUMIFS(Calc2!$V$4:$V$383,Calc2!$F$4:$F$383,$F15)+SUMIFS(Calc2!$W$4:$W$383,Calc2!$G$4:$G$383,$F15)</f>
        <v>257</v>
      </c>
      <c r="H15" s="1">
        <f>SUMIFS(Calc2!$W$4:$W$383,Calc2!$F$4:$F$383,$F15)+SUMIFS(Calc2!$V$4:$V$383,Calc2!$G$4:$G$383,$F15)</f>
        <v>243</v>
      </c>
      <c r="I15" s="122">
        <f>IF(Settings!$G$24,G15-H15,IF(H15=0,IF(G15=0,0,Settings!$F$24),G15/H15))</f>
        <v>14</v>
      </c>
      <c r="J15" s="12">
        <f>$L15*Settings!$C$4+$M15</f>
        <v>8</v>
      </c>
      <c r="K15" s="1">
        <f>SUMPRODUCT((Calc2!$F$4:$F$383=F15)*(Calc2!$X$4:$X$383&lt;&gt;"")*(Calc2!$O$4:$O$383=1))+SUMPRODUCT((Calc2!$G$4:$G$383=F15)*(Calc2!$Y$4:$Y$383&lt;&gt;"")*(Calc2!$O$4:$O$383=1))</f>
        <v>5</v>
      </c>
      <c r="L15" s="1">
        <f>SUMPRODUCT((Calc2!$F$4:$F$383=F15)*(Calc2!$X$4:$X$383&gt;Calc2!$Y$4:$Y$383)*(Calc2!$O$4:$O$383))+SUMPRODUCT((Calc2!$G$4:$G$383=F15)*(Calc2!$X$4:$X$383&lt;Calc2!$Y$4:$Y$383)*(Calc2!$O$4:$O$383))</f>
        <v>4</v>
      </c>
      <c r="M15" s="1">
        <f>SUMPRODUCT((Calc2!$F$4:$G$383=F15)*(Calc2!$X$4:$X$383=Calc2!$Y$4:$Y$383)*(Calc2!$O$4:$O$383))</f>
        <v>0</v>
      </c>
      <c r="N15" s="1">
        <f t="shared" si="3"/>
        <v>1</v>
      </c>
      <c r="O15" s="120">
        <f>SUMPRODUCT((F15=Calc2!$F$4:$F$383)*Calc2!$T$4:$T$383)+SUMPRODUCT((F15=Calc2!$G$4:$G$383)*Calc2!$U$4:$U$383)</f>
        <v>0</v>
      </c>
      <c r="Q15" s="2" t="str">
        <f>Calc2!$C15</f>
        <v>Hamburger SV</v>
      </c>
      <c r="R15" s="13">
        <f>U15*$F$31+(X15+$H$32)*$F$32*Settings!$G$14+V15*$F$33*Settings!$G$19+AA15*$F$34</f>
        <v>8505000.0160000008</v>
      </c>
      <c r="S15" s="122">
        <f>Tie_Break!$D18</f>
        <v>0</v>
      </c>
      <c r="T15" s="9">
        <f t="shared" si="7"/>
        <v>3.0009000000000001</v>
      </c>
      <c r="U15" s="120">
        <f>IF(Settings!$G$9,J15,$V15)+$O15</f>
        <v>8</v>
      </c>
      <c r="V15" s="122">
        <f>SUMPRODUCT((Calc2!$F$4:$F$383=F15)*Calc2!$X$4:$X$383)+SUMPRODUCT((Calc2!$G$4:$G$383=F15)*Calc2!$Y$4:$Y$383)</f>
        <v>8</v>
      </c>
      <c r="W15" s="122">
        <f>SUMPRODUCT((Calc2!$G$4:$G$383=F15)*Calc2!$X$4:$X$383)+SUMPRODUCT((Calc2!$F$4:$F$383=F15)*Calc2!$Y$4:$Y$383)</f>
        <v>3</v>
      </c>
      <c r="X15" s="1">
        <f t="shared" si="4"/>
        <v>5</v>
      </c>
      <c r="Y15" s="1" t="str">
        <f>IF(Settings!$G$24,IF($I15&gt;0,"+"&amp;$I15,$I15),IF($I15=Settings!$F$24,Settings!$E$24,ROUND($I15,Settings!$H$24)))</f>
        <v>+14</v>
      </c>
      <c r="Z15" s="1">
        <f t="shared" si="5"/>
        <v>14</v>
      </c>
      <c r="AA15" s="1">
        <f t="shared" si="6"/>
        <v>16</v>
      </c>
    </row>
    <row r="16" spans="2:27" s="2" customFormat="1" x14ac:dyDescent="0.2">
      <c r="B16" s="1">
        <v>13</v>
      </c>
      <c r="C16" s="9">
        <f t="shared" si="0"/>
        <v>2</v>
      </c>
      <c r="D16" s="122">
        <f t="shared" si="1"/>
        <v>2.016</v>
      </c>
      <c r="E16" s="122">
        <f t="shared" si="2"/>
        <v>2</v>
      </c>
      <c r="F16" s="169" t="str">
        <f>Calc2!$C16</f>
        <v>RB Leipzig</v>
      </c>
      <c r="G16" s="1">
        <f>SUMIFS(Calc2!$V$4:$V$383,Calc2!$F$4:$F$383,$F16)+SUMIFS(Calc2!$W$4:$W$383,Calc2!$G$4:$G$383,$F16)</f>
        <v>252</v>
      </c>
      <c r="H16" s="1">
        <f>SUMIFS(Calc2!$W$4:$W$383,Calc2!$F$4:$F$383,$F16)+SUMIFS(Calc2!$V$4:$V$383,Calc2!$G$4:$G$383,$F16)</f>
        <v>220</v>
      </c>
      <c r="I16" s="122">
        <f>IF(Settings!$G$24,G16-H16,IF(H16=0,IF(G16=0,0,Settings!$F$24),G16/H16))</f>
        <v>32</v>
      </c>
      <c r="J16" s="12">
        <f>$L16*Settings!$C$4+$M16</f>
        <v>8</v>
      </c>
      <c r="K16" s="1">
        <f>SUMPRODUCT((Calc2!$F$4:$F$383=F16)*(Calc2!$X$4:$X$383&lt;&gt;"")*(Calc2!$O$4:$O$383=1))+SUMPRODUCT((Calc2!$G$4:$G$383=F16)*(Calc2!$Y$4:$Y$383&lt;&gt;"")*(Calc2!$O$4:$O$383=1))</f>
        <v>5</v>
      </c>
      <c r="L16" s="1">
        <f>SUMPRODUCT((Calc2!$F$4:$F$383=F16)*(Calc2!$X$4:$X$383&gt;Calc2!$Y$4:$Y$383)*(Calc2!$O$4:$O$383))+SUMPRODUCT((Calc2!$G$4:$G$383=F16)*(Calc2!$X$4:$X$383&lt;Calc2!$Y$4:$Y$383)*(Calc2!$O$4:$O$383))</f>
        <v>4</v>
      </c>
      <c r="M16" s="1">
        <f>SUMPRODUCT((Calc2!$F$4:$G$383=F16)*(Calc2!$X$4:$X$383=Calc2!$Y$4:$Y$383)*(Calc2!$O$4:$O$383))</f>
        <v>0</v>
      </c>
      <c r="N16" s="1">
        <f t="shared" si="3"/>
        <v>1</v>
      </c>
      <c r="O16" s="120">
        <f>SUMPRODUCT((F16=Calc2!$F$4:$F$383)*Calc2!$T$4:$T$383)+SUMPRODUCT((F16=Calc2!$G$4:$G$383)*Calc2!$U$4:$U$383)</f>
        <v>0</v>
      </c>
      <c r="Q16" s="2" t="str">
        <f>Calc2!$C16</f>
        <v>RB Leipzig</v>
      </c>
      <c r="R16" s="13">
        <f>U16*$F$31+(X16+$H$32)*$F$32*Settings!$G$14+V16*$F$33*Settings!$G$19+AA16*$F$34</f>
        <v>8505000.0189999994</v>
      </c>
      <c r="S16" s="122">
        <f>Tie_Break!$D19</f>
        <v>0</v>
      </c>
      <c r="T16" s="9">
        <f t="shared" si="7"/>
        <v>2.0009000000000001</v>
      </c>
      <c r="U16" s="120">
        <f>IF(Settings!$G$9,J16,$V16)+$O16</f>
        <v>8</v>
      </c>
      <c r="V16" s="122">
        <f>SUMPRODUCT((Calc2!$F$4:$F$383=F16)*Calc2!$X$4:$X$383)+SUMPRODUCT((Calc2!$G$4:$G$383=F16)*Calc2!$Y$4:$Y$383)</f>
        <v>8</v>
      </c>
      <c r="W16" s="122">
        <f>SUMPRODUCT((Calc2!$G$4:$G$383=F16)*Calc2!$X$4:$X$383)+SUMPRODUCT((Calc2!$F$4:$F$383=F16)*Calc2!$Y$4:$Y$383)</f>
        <v>3</v>
      </c>
      <c r="X16" s="1">
        <f t="shared" si="4"/>
        <v>5</v>
      </c>
      <c r="Y16" s="1" t="str">
        <f>IF(Settings!$G$24,IF($I16&gt;0,"+"&amp;$I16,$I16),IF($I16=Settings!$F$24,Settings!$E$24,ROUND($I16,Settings!$H$24)))</f>
        <v>+32</v>
      </c>
      <c r="Z16" s="1">
        <f t="shared" si="5"/>
        <v>32</v>
      </c>
      <c r="AA16" s="1">
        <f t="shared" si="6"/>
        <v>19</v>
      </c>
    </row>
    <row r="17" spans="2:27" s="2" customFormat="1" x14ac:dyDescent="0.2">
      <c r="B17" s="1">
        <v>14</v>
      </c>
      <c r="C17" s="9">
        <f t="shared" si="0"/>
        <v>17</v>
      </c>
      <c r="D17" s="122">
        <f t="shared" si="1"/>
        <v>17.016999999999999</v>
      </c>
      <c r="E17" s="122">
        <f t="shared" si="2"/>
        <v>17</v>
      </c>
      <c r="F17" s="169" t="str">
        <f>Calc2!$C17</f>
        <v>SC Freiburg</v>
      </c>
      <c r="G17" s="1">
        <f>SUMIFS(Calc2!$V$4:$V$383,Calc2!$F$4:$F$383,$F17)+SUMIFS(Calc2!$W$4:$W$383,Calc2!$G$4:$G$383,$F17)</f>
        <v>200</v>
      </c>
      <c r="H17" s="1">
        <f>SUMIFS(Calc2!$W$4:$W$383,Calc2!$F$4:$F$383,$F17)+SUMIFS(Calc2!$V$4:$V$383,Calc2!$G$4:$G$383,$F17)</f>
        <v>240</v>
      </c>
      <c r="I17" s="122">
        <f>IF(Settings!$G$24,G17-H17,IF(H17=0,IF(G17=0,0,Settings!$F$24),G17/H17))</f>
        <v>-40</v>
      </c>
      <c r="J17" s="12">
        <f>$L17*Settings!$C$4+$M17</f>
        <v>2</v>
      </c>
      <c r="K17" s="1">
        <f>SUMPRODUCT((Calc2!$F$4:$F$383=F17)*(Calc2!$X$4:$X$383&lt;&gt;"")*(Calc2!$O$4:$O$383=1))+SUMPRODUCT((Calc2!$G$4:$G$383=F17)*(Calc2!$Y$4:$Y$383&lt;&gt;"")*(Calc2!$O$4:$O$383=1))</f>
        <v>5</v>
      </c>
      <c r="L17" s="1">
        <f>SUMPRODUCT((Calc2!$F$4:$F$383=F17)*(Calc2!$X$4:$X$383&gt;Calc2!$Y$4:$Y$383)*(Calc2!$O$4:$O$383))+SUMPRODUCT((Calc2!$G$4:$G$383=F17)*(Calc2!$X$4:$X$383&lt;Calc2!$Y$4:$Y$383)*(Calc2!$O$4:$O$383))</f>
        <v>1</v>
      </c>
      <c r="M17" s="1">
        <f>SUMPRODUCT((Calc2!$F$4:$G$383=F17)*(Calc2!$X$4:$X$383=Calc2!$Y$4:$Y$383)*(Calc2!$O$4:$O$383))</f>
        <v>0</v>
      </c>
      <c r="N17" s="1">
        <f t="shared" si="3"/>
        <v>4</v>
      </c>
      <c r="O17" s="120">
        <f>SUMPRODUCT((F17=Calc2!$F$4:$F$383)*Calc2!$T$4:$T$383)+SUMPRODUCT((F17=Calc2!$G$4:$G$383)*Calc2!$U$4:$U$383)</f>
        <v>0</v>
      </c>
      <c r="Q17" s="2" t="str">
        <f>Calc2!$C17</f>
        <v>SC Freiburg</v>
      </c>
      <c r="R17" s="13">
        <f>U17*$F$31+(X17+$H$32)*$F$32*Settings!$G$14+V17*$F$33*Settings!$G$19+AA17*$F$34</f>
        <v>2494000.003</v>
      </c>
      <c r="S17" s="122">
        <f>Tie_Break!$D20</f>
        <v>0</v>
      </c>
      <c r="T17" s="9">
        <f t="shared" si="7"/>
        <v>17.000900000000001</v>
      </c>
      <c r="U17" s="120">
        <f>IF(Settings!$G$9,J17,$V17)+$O17</f>
        <v>2</v>
      </c>
      <c r="V17" s="122">
        <f>SUMPRODUCT((Calc2!$F$4:$F$383=F17)*Calc2!$X$4:$X$383)+SUMPRODUCT((Calc2!$G$4:$G$383=F17)*Calc2!$Y$4:$Y$383)</f>
        <v>2</v>
      </c>
      <c r="W17" s="122">
        <f>SUMPRODUCT((Calc2!$G$4:$G$383=F17)*Calc2!$X$4:$X$383)+SUMPRODUCT((Calc2!$F$4:$F$383=F17)*Calc2!$Y$4:$Y$383)</f>
        <v>8</v>
      </c>
      <c r="X17" s="1">
        <f t="shared" si="4"/>
        <v>-6</v>
      </c>
      <c r="Y17" s="1">
        <f>IF(Settings!$G$24,IF($I17&gt;0,"+"&amp;$I17,$I17),IF($I17=Settings!$F$24,Settings!$E$24,ROUND($I17,Settings!$H$24)))</f>
        <v>-40</v>
      </c>
      <c r="Z17" s="1">
        <f t="shared" si="5"/>
        <v>-40</v>
      </c>
      <c r="AA17" s="1">
        <f t="shared" si="6"/>
        <v>3</v>
      </c>
    </row>
    <row r="18" spans="2:27" s="2" customFormat="1" x14ac:dyDescent="0.2">
      <c r="B18" s="1">
        <v>15</v>
      </c>
      <c r="C18" s="9">
        <f t="shared" si="0"/>
        <v>16</v>
      </c>
      <c r="D18" s="122">
        <f t="shared" si="1"/>
        <v>16.018000000000001</v>
      </c>
      <c r="E18" s="122">
        <f t="shared" si="2"/>
        <v>16</v>
      </c>
      <c r="F18" s="169" t="str">
        <f>Calc2!$C18</f>
        <v>SV Werder Bremen</v>
      </c>
      <c r="G18" s="1">
        <f>SUMIFS(Calc2!$V$4:$V$383,Calc2!$F$4:$F$383,$F18)+SUMIFS(Calc2!$W$4:$W$383,Calc2!$G$4:$G$383,$F18)</f>
        <v>224</v>
      </c>
      <c r="H18" s="1">
        <f>SUMIFS(Calc2!$W$4:$W$383,Calc2!$F$4:$F$383,$F18)+SUMIFS(Calc2!$V$4:$V$383,Calc2!$G$4:$G$383,$F18)</f>
        <v>257</v>
      </c>
      <c r="I18" s="122">
        <f>IF(Settings!$G$24,G18-H18,IF(H18=0,IF(G18=0,0,Settings!$F$24),G18/H18))</f>
        <v>-33</v>
      </c>
      <c r="J18" s="12">
        <f>$L18*Settings!$C$4+$M18</f>
        <v>4</v>
      </c>
      <c r="K18" s="1">
        <f>SUMPRODUCT((Calc2!$F$4:$F$383=F18)*(Calc2!$X$4:$X$383&lt;&gt;"")*(Calc2!$O$4:$O$383=1))+SUMPRODUCT((Calc2!$G$4:$G$383=F18)*(Calc2!$Y$4:$Y$383&lt;&gt;"")*(Calc2!$O$4:$O$383=1))</f>
        <v>5</v>
      </c>
      <c r="L18" s="1">
        <f>SUMPRODUCT((Calc2!$F$4:$F$383=F18)*(Calc2!$X$4:$X$383&gt;Calc2!$Y$4:$Y$383)*(Calc2!$O$4:$O$383))+SUMPRODUCT((Calc2!$G$4:$G$383=F18)*(Calc2!$X$4:$X$383&lt;Calc2!$Y$4:$Y$383)*(Calc2!$O$4:$O$383))</f>
        <v>2</v>
      </c>
      <c r="M18" s="1">
        <f>SUMPRODUCT((Calc2!$F$4:$G$383=F18)*(Calc2!$X$4:$X$383=Calc2!$Y$4:$Y$383)*(Calc2!$O$4:$O$383))</f>
        <v>0</v>
      </c>
      <c r="N18" s="1">
        <f t="shared" si="3"/>
        <v>3</v>
      </c>
      <c r="O18" s="120">
        <f>SUMPRODUCT((F18=Calc2!$F$4:$F$383)*Calc2!$T$4:$T$383)+SUMPRODUCT((F18=Calc2!$G$4:$G$383)*Calc2!$U$4:$U$383)</f>
        <v>0</v>
      </c>
      <c r="Q18" s="2" t="str">
        <f>Calc2!$C18</f>
        <v>SV Werder Bremen</v>
      </c>
      <c r="R18" s="13">
        <f>U18*$F$31+(X18+$H$32)*$F$32*Settings!$G$14+V18*$F$33*Settings!$G$19+AA18*$F$34</f>
        <v>4497000.0049999999</v>
      </c>
      <c r="S18" s="122">
        <f>Tie_Break!$D21</f>
        <v>0</v>
      </c>
      <c r="T18" s="9">
        <f t="shared" si="7"/>
        <v>16.000900000000001</v>
      </c>
      <c r="U18" s="120">
        <f>IF(Settings!$G$9,J18,$V18)+$O18</f>
        <v>4</v>
      </c>
      <c r="V18" s="122">
        <f>SUMPRODUCT((Calc2!$F$4:$F$383=F18)*Calc2!$X$4:$X$383)+SUMPRODUCT((Calc2!$G$4:$G$383=F18)*Calc2!$Y$4:$Y$383)</f>
        <v>4</v>
      </c>
      <c r="W18" s="122">
        <f>SUMPRODUCT((Calc2!$G$4:$G$383=F18)*Calc2!$X$4:$X$383)+SUMPRODUCT((Calc2!$F$4:$F$383=F18)*Calc2!$Y$4:$Y$383)</f>
        <v>7</v>
      </c>
      <c r="X18" s="1">
        <f t="shared" si="4"/>
        <v>-3</v>
      </c>
      <c r="Y18" s="1">
        <f>IF(Settings!$G$24,IF($I18&gt;0,"+"&amp;$I18,$I18),IF($I18=Settings!$F$24,Settings!$E$24,ROUND($I18,Settings!$H$24)))</f>
        <v>-33</v>
      </c>
      <c r="Z18" s="1">
        <f t="shared" si="5"/>
        <v>-33</v>
      </c>
      <c r="AA18" s="1">
        <f t="shared" si="6"/>
        <v>5</v>
      </c>
    </row>
    <row r="19" spans="2:27" s="2" customFormat="1" x14ac:dyDescent="0.2">
      <c r="B19" s="1">
        <v>16</v>
      </c>
      <c r="C19" s="9">
        <f t="shared" si="0"/>
        <v>15</v>
      </c>
      <c r="D19" s="122">
        <f t="shared" si="1"/>
        <v>15.019</v>
      </c>
      <c r="E19" s="122">
        <f t="shared" si="2"/>
        <v>15</v>
      </c>
      <c r="F19" s="169" t="str">
        <f>Calc2!$C19</f>
        <v>TSG Hoffenheim</v>
      </c>
      <c r="G19" s="1">
        <f>SUMIFS(Calc2!$V$4:$V$383,Calc2!$F$4:$F$383,$F19)+SUMIFS(Calc2!$W$4:$W$383,Calc2!$G$4:$G$383,$F19)</f>
        <v>233</v>
      </c>
      <c r="H19" s="1">
        <f>SUMIFS(Calc2!$W$4:$W$383,Calc2!$F$4:$F$383,$F19)+SUMIFS(Calc2!$V$4:$V$383,Calc2!$G$4:$G$383,$F19)</f>
        <v>247</v>
      </c>
      <c r="I19" s="122">
        <f>IF(Settings!$G$24,G19-H19,IF(H19=0,IF(G19=0,0,Settings!$F$24),G19/H19))</f>
        <v>-14</v>
      </c>
      <c r="J19" s="12">
        <f>$L19*Settings!$C$4+$M19</f>
        <v>4</v>
      </c>
      <c r="K19" s="1">
        <f>SUMPRODUCT((Calc2!$F$4:$F$383=F19)*(Calc2!$X$4:$X$383&lt;&gt;"")*(Calc2!$O$4:$O$383=1))+SUMPRODUCT((Calc2!$G$4:$G$383=F19)*(Calc2!$Y$4:$Y$383&lt;&gt;"")*(Calc2!$O$4:$O$383=1))</f>
        <v>5</v>
      </c>
      <c r="L19" s="1">
        <f>SUMPRODUCT((Calc2!$F$4:$F$383=F19)*(Calc2!$X$4:$X$383&gt;Calc2!$Y$4:$Y$383)*(Calc2!$O$4:$O$383))+SUMPRODUCT((Calc2!$G$4:$G$383=F19)*(Calc2!$X$4:$X$383&lt;Calc2!$Y$4:$Y$383)*(Calc2!$O$4:$O$383))</f>
        <v>2</v>
      </c>
      <c r="M19" s="1">
        <f>SUMPRODUCT((Calc2!$F$4:$G$383=F19)*(Calc2!$X$4:$X$383=Calc2!$Y$4:$Y$383)*(Calc2!$O$4:$O$383))</f>
        <v>0</v>
      </c>
      <c r="N19" s="1">
        <f t="shared" si="3"/>
        <v>3</v>
      </c>
      <c r="O19" s="120">
        <f>SUMPRODUCT((F19=Calc2!$F$4:$F$383)*Calc2!$T$4:$T$383)+SUMPRODUCT((F19=Calc2!$G$4:$G$383)*Calc2!$U$4:$U$383)</f>
        <v>0</v>
      </c>
      <c r="Q19" s="2" t="str">
        <f>Calc2!$C19</f>
        <v>TSG Hoffenheim</v>
      </c>
      <c r="R19" s="13">
        <f>U19*$F$31+(X19+$H$32)*$F$32*Settings!$G$14+V19*$F$33*Settings!$G$19+AA19*$F$34</f>
        <v>4497000.0070000002</v>
      </c>
      <c r="S19" s="122">
        <f>Tie_Break!$D22</f>
        <v>0</v>
      </c>
      <c r="T19" s="9">
        <f t="shared" si="7"/>
        <v>15.0009</v>
      </c>
      <c r="U19" s="120">
        <f>IF(Settings!$G$9,J19,$V19)+$O19</f>
        <v>4</v>
      </c>
      <c r="V19" s="122">
        <f>SUMPRODUCT((Calc2!$F$4:$F$383=F19)*Calc2!$X$4:$X$383)+SUMPRODUCT((Calc2!$G$4:$G$383=F19)*Calc2!$Y$4:$Y$383)</f>
        <v>4</v>
      </c>
      <c r="W19" s="122">
        <f>SUMPRODUCT((Calc2!$G$4:$G$383=F19)*Calc2!$X$4:$X$383)+SUMPRODUCT((Calc2!$F$4:$F$383=F19)*Calc2!$Y$4:$Y$383)</f>
        <v>7</v>
      </c>
      <c r="X19" s="1">
        <f t="shared" si="4"/>
        <v>-3</v>
      </c>
      <c r="Y19" s="1">
        <f>IF(Settings!$G$24,IF($I19&gt;0,"+"&amp;$I19,$I19),IF($I19=Settings!$F$24,Settings!$E$24,ROUND($I19,Settings!$H$24)))</f>
        <v>-14</v>
      </c>
      <c r="Z19" s="1">
        <f t="shared" si="5"/>
        <v>-14</v>
      </c>
      <c r="AA19" s="1">
        <f t="shared" si="6"/>
        <v>7</v>
      </c>
    </row>
    <row r="20" spans="2:27" s="2" customFormat="1" x14ac:dyDescent="0.2">
      <c r="B20" s="1">
        <v>17</v>
      </c>
      <c r="C20" s="9">
        <f t="shared" si="0"/>
        <v>8</v>
      </c>
      <c r="D20" s="122">
        <f t="shared" si="1"/>
        <v>8.02</v>
      </c>
      <c r="E20" s="122">
        <f t="shared" si="2"/>
        <v>8</v>
      </c>
      <c r="F20" s="169" t="str">
        <f>Calc2!$C20</f>
        <v>VfB Stuttgart</v>
      </c>
      <c r="G20" s="1">
        <f>SUMIFS(Calc2!$V$4:$V$383,Calc2!$F$4:$F$383,$F20)+SUMIFS(Calc2!$W$4:$W$383,Calc2!$G$4:$G$383,$F20)</f>
        <v>231</v>
      </c>
      <c r="H20" s="1">
        <f>SUMIFS(Calc2!$W$4:$W$383,Calc2!$F$4:$F$383,$F20)+SUMIFS(Calc2!$V$4:$V$383,Calc2!$G$4:$G$383,$F20)</f>
        <v>222</v>
      </c>
      <c r="I20" s="122">
        <f>IF(Settings!$G$24,G20-H20,IF(H20=0,IF(G20=0,0,Settings!$F$24),G20/H20))</f>
        <v>9</v>
      </c>
      <c r="J20" s="12">
        <f>$L20*Settings!$C$4+$M20</f>
        <v>6</v>
      </c>
      <c r="K20" s="1">
        <f>SUMPRODUCT((Calc2!$F$4:$F$383=F20)*(Calc2!$X$4:$X$383&lt;&gt;"")*(Calc2!$O$4:$O$383=1))+SUMPRODUCT((Calc2!$G$4:$G$383=F20)*(Calc2!$Y$4:$Y$383&lt;&gt;"")*(Calc2!$O$4:$O$383=1))</f>
        <v>5</v>
      </c>
      <c r="L20" s="1">
        <f>SUMPRODUCT((Calc2!$F$4:$F$383=F20)*(Calc2!$X$4:$X$383&gt;Calc2!$Y$4:$Y$383)*(Calc2!$O$4:$O$383))+SUMPRODUCT((Calc2!$G$4:$G$383=F20)*(Calc2!$X$4:$X$383&lt;Calc2!$Y$4:$Y$383)*(Calc2!$O$4:$O$383))</f>
        <v>3</v>
      </c>
      <c r="M20" s="1">
        <f>SUMPRODUCT((Calc2!$F$4:$G$383=F20)*(Calc2!$X$4:$X$383=Calc2!$Y$4:$Y$383)*(Calc2!$O$4:$O$383))</f>
        <v>0</v>
      </c>
      <c r="N20" s="1">
        <f t="shared" si="3"/>
        <v>2</v>
      </c>
      <c r="O20" s="120">
        <f>SUMPRODUCT((F20=Calc2!$F$4:$F$383)*Calc2!$T$4:$T$383)+SUMPRODUCT((F20=Calc2!$G$4:$G$383)*Calc2!$U$4:$U$383)</f>
        <v>0</v>
      </c>
      <c r="Q20" s="2" t="str">
        <f>Calc2!$C20</f>
        <v>VfB Stuttgart</v>
      </c>
      <c r="R20" s="13">
        <f>U20*$F$31+(X20+$H$32)*$F$32*Settings!$G$14+V20*$F$33*Settings!$G$19+AA20*$F$34</f>
        <v>6502000.0130000003</v>
      </c>
      <c r="S20" s="122">
        <f>Tie_Break!$D23</f>
        <v>0</v>
      </c>
      <c r="T20" s="9">
        <f t="shared" si="7"/>
        <v>8.0008999999999997</v>
      </c>
      <c r="U20" s="120">
        <f>IF(Settings!$G$9,J20,$V20)+$O20</f>
        <v>6</v>
      </c>
      <c r="V20" s="122">
        <f>SUMPRODUCT((Calc2!$F$4:$F$383=F20)*Calc2!$X$4:$X$383)+SUMPRODUCT((Calc2!$G$4:$G$383=F20)*Calc2!$Y$4:$Y$383)</f>
        <v>6</v>
      </c>
      <c r="W20" s="122">
        <f>SUMPRODUCT((Calc2!$G$4:$G$383=F20)*Calc2!$X$4:$X$383)+SUMPRODUCT((Calc2!$F$4:$F$383=F20)*Calc2!$Y$4:$Y$383)</f>
        <v>4</v>
      </c>
      <c r="X20" s="1">
        <f t="shared" si="4"/>
        <v>2</v>
      </c>
      <c r="Y20" s="1" t="str">
        <f>IF(Settings!$G$24,IF($I20&gt;0,"+"&amp;$I20,$I20),IF($I20=Settings!$F$24,Settings!$E$24,ROUND($I20,Settings!$H$24)))</f>
        <v>+9</v>
      </c>
      <c r="Z20" s="1">
        <f t="shared" si="5"/>
        <v>9</v>
      </c>
      <c r="AA20" s="1">
        <f t="shared" si="6"/>
        <v>13</v>
      </c>
    </row>
    <row r="21" spans="2:27" s="2" customFormat="1" x14ac:dyDescent="0.2">
      <c r="B21" s="1">
        <v>18</v>
      </c>
      <c r="C21" s="9">
        <f t="shared" si="0"/>
        <v>12</v>
      </c>
      <c r="D21" s="122">
        <f t="shared" si="1"/>
        <v>12.021000000000001</v>
      </c>
      <c r="E21" s="122">
        <f t="shared" si="2"/>
        <v>12</v>
      </c>
      <c r="F21" s="169" t="str">
        <f>Calc2!$C21</f>
        <v>VfL Wolfsburg</v>
      </c>
      <c r="G21" s="1">
        <f>SUMIFS(Calc2!$V$4:$V$383,Calc2!$F$4:$F$383,$F21)+SUMIFS(Calc2!$W$4:$W$383,Calc2!$G$4:$G$383,$F21)</f>
        <v>246</v>
      </c>
      <c r="H21" s="1">
        <f>SUMIFS(Calc2!$W$4:$W$383,Calc2!$F$4:$F$383,$F21)+SUMIFS(Calc2!$V$4:$V$383,Calc2!$G$4:$G$383,$F21)</f>
        <v>244</v>
      </c>
      <c r="I21" s="122">
        <f>IF(Settings!$G$24,G21-H21,IF(H21=0,IF(G21=0,0,Settings!$F$24),G21/H21))</f>
        <v>2</v>
      </c>
      <c r="J21" s="12">
        <f>$L21*Settings!$C$4+$M21</f>
        <v>4</v>
      </c>
      <c r="K21" s="1">
        <f>SUMPRODUCT((Calc2!$F$4:$F$383=F21)*(Calc2!$X$4:$X$383&lt;&gt;"")*(Calc2!$O$4:$O$383=1))+SUMPRODUCT((Calc2!$G$4:$G$383=F21)*(Calc2!$Y$4:$Y$383&lt;&gt;"")*(Calc2!$O$4:$O$383=1))</f>
        <v>5</v>
      </c>
      <c r="L21" s="1">
        <f>SUMPRODUCT((Calc2!$F$4:$F$383=F21)*(Calc2!$X$4:$X$383&gt;Calc2!$Y$4:$Y$383)*(Calc2!$O$4:$O$383))+SUMPRODUCT((Calc2!$G$4:$G$383=F21)*(Calc2!$X$4:$X$383&lt;Calc2!$Y$4:$Y$383)*(Calc2!$O$4:$O$383))</f>
        <v>2</v>
      </c>
      <c r="M21" s="1">
        <f>SUMPRODUCT((Calc2!$F$4:$G$383=F21)*(Calc2!$X$4:$X$383=Calc2!$Y$4:$Y$383)*(Calc2!$O$4:$O$383))</f>
        <v>0</v>
      </c>
      <c r="N21" s="1">
        <f t="shared" si="3"/>
        <v>3</v>
      </c>
      <c r="O21" s="120">
        <f>SUMPRODUCT((F21=Calc2!$F$4:$F$383)*Calc2!$T$4:$T$383)+SUMPRODUCT((F21=Calc2!$G$4:$G$383)*Calc2!$U$4:$U$383)</f>
        <v>0</v>
      </c>
      <c r="Q21" s="2" t="str">
        <f>Calc2!$C21</f>
        <v>VfL Wolfsburg</v>
      </c>
      <c r="R21" s="13">
        <f>U21*$F$31+(X21+$H$32)*$F$32*Settings!$G$14+V21*$F$33*Settings!$G$19+AA21*$F$34</f>
        <v>5498000.0109999999</v>
      </c>
      <c r="S21" s="122">
        <f>Tie_Break!$D24</f>
        <v>0</v>
      </c>
      <c r="T21" s="9">
        <f t="shared" si="7"/>
        <v>12.0009</v>
      </c>
      <c r="U21" s="120">
        <f>IF(Settings!$G$9,J21,$V21)+$O21</f>
        <v>5</v>
      </c>
      <c r="V21" s="122">
        <f>SUMPRODUCT((Calc2!$F$4:$F$383=F21)*Calc2!$X$4:$X$383)+SUMPRODUCT((Calc2!$G$4:$G$383=F21)*Calc2!$Y$4:$Y$383)</f>
        <v>5</v>
      </c>
      <c r="W21" s="122">
        <f>SUMPRODUCT((Calc2!$G$4:$G$383=F21)*Calc2!$X$4:$X$383)+SUMPRODUCT((Calc2!$F$4:$F$383=F21)*Calc2!$Y$4:$Y$383)</f>
        <v>7</v>
      </c>
      <c r="X21" s="1">
        <f t="shared" si="4"/>
        <v>-2</v>
      </c>
      <c r="Y21" s="1" t="str">
        <f>IF(Settings!$G$24,IF($I21&gt;0,"+"&amp;$I21,$I21),IF($I21=Settings!$F$24,Settings!$E$24,ROUND($I21,Settings!$H$24)))</f>
        <v>+2</v>
      </c>
      <c r="Z21" s="1">
        <f t="shared" si="5"/>
        <v>2</v>
      </c>
      <c r="AA21" s="1">
        <f t="shared" si="6"/>
        <v>11</v>
      </c>
    </row>
    <row r="22" spans="2:27" s="2" customFormat="1" x14ac:dyDescent="0.2">
      <c r="B22" s="1">
        <v>19</v>
      </c>
      <c r="C22" s="9">
        <f t="shared" si="0"/>
        <v>19</v>
      </c>
      <c r="D22" s="122">
        <f t="shared" si="1"/>
        <v>19.021999999999998</v>
      </c>
      <c r="E22" s="122">
        <f t="shared" si="2"/>
        <v>19</v>
      </c>
      <c r="F22" s="169" t="str">
        <f>Calc2!$C22</f>
        <v/>
      </c>
      <c r="G22" s="1">
        <f>SUMIFS(Calc2!$V$4:$V$383,Calc2!$F$4:$F$383,$F22)+SUMIFS(Calc2!$W$4:$W$383,Calc2!$G$4:$G$383,$F22)</f>
        <v>0</v>
      </c>
      <c r="H22" s="1">
        <f>SUMIFS(Calc2!$W$4:$W$383,Calc2!$F$4:$F$383,$F22)+SUMIFS(Calc2!$V$4:$V$383,Calc2!$G$4:$G$383,$F22)</f>
        <v>0</v>
      </c>
      <c r="I22" s="122">
        <f>IF(Settings!$G$24,G22-H22,IF(H22=0,IF(G22=0,0,Settings!$F$24),G22/H22))</f>
        <v>0</v>
      </c>
      <c r="J22" s="12">
        <f>$L22*Settings!$C$4+$M22</f>
        <v>0</v>
      </c>
      <c r="K22" s="1">
        <f>SUMPRODUCT((Calc2!$F$4:$F$383=F22)*(Calc2!$X$4:$X$383&lt;&gt;"")*(Calc2!$O$4:$O$383=1))+SUMPRODUCT((Calc2!$G$4:$G$383=F22)*(Calc2!$Y$4:$Y$383&lt;&gt;"")*(Calc2!$O$4:$O$383=1))</f>
        <v>0</v>
      </c>
      <c r="L22" s="1">
        <f>SUMPRODUCT((Calc2!$F$4:$F$383=F22)*(Calc2!$X$4:$X$383&gt;Calc2!$Y$4:$Y$383)*(Calc2!$O$4:$O$383))+SUMPRODUCT((Calc2!$G$4:$G$383=F22)*(Calc2!$X$4:$X$383&lt;Calc2!$Y$4:$Y$383)*(Calc2!$O$4:$O$383))</f>
        <v>0</v>
      </c>
      <c r="M22" s="1">
        <f>SUMPRODUCT((Calc2!$F$4:$G$383=F22)*(Calc2!$X$4:$X$383=Calc2!$Y$4:$Y$383)*(Calc2!$O$4:$O$383))</f>
        <v>0</v>
      </c>
      <c r="N22" s="1">
        <f t="shared" si="3"/>
        <v>0</v>
      </c>
      <c r="O22" s="120">
        <f>SUMPRODUCT((F22=Calc2!$F$4:$F$383)*Calc2!$T$4:$T$383)+SUMPRODUCT((F22=Calc2!$G$4:$G$383)*Calc2!$U$4:$U$383)</f>
        <v>0</v>
      </c>
      <c r="Q22" s="2" t="str">
        <f>Calc2!$C22</f>
        <v/>
      </c>
      <c r="R22" s="13">
        <f>U22*$F$31+(X22+$H$32)*$F$32*Settings!$G$14+V22*$F$33*Settings!$G$19+AA22*$F$34</f>
        <v>500000.00099999999</v>
      </c>
      <c r="S22" s="122">
        <f>Tie_Break!$D25</f>
        <v>0</v>
      </c>
      <c r="T22" s="9">
        <f t="shared" si="7"/>
        <v>1019.0009</v>
      </c>
      <c r="U22" s="120">
        <f>IF(Settings!$G$9,J22,$V22)+$O22</f>
        <v>0</v>
      </c>
      <c r="V22" s="122">
        <f>SUMPRODUCT((Calc2!$F$4:$F$383=F22)*Calc2!$X$4:$X$383)+SUMPRODUCT((Calc2!$G$4:$G$383=F22)*Calc2!$Y$4:$Y$383)</f>
        <v>0</v>
      </c>
      <c r="W22" s="122">
        <f>SUMPRODUCT((Calc2!$G$4:$G$383=F22)*Calc2!$X$4:$X$383)+SUMPRODUCT((Calc2!$F$4:$F$383=F22)*Calc2!$Y$4:$Y$383)</f>
        <v>0</v>
      </c>
      <c r="X22" s="1">
        <f t="shared" si="4"/>
        <v>0</v>
      </c>
      <c r="Y22" s="1">
        <f>IF(Settings!$G$24,IF($I22&gt;0,"+"&amp;$I22,$I22),IF($I22=Settings!$F$24,Settings!$E$24,ROUND($I22,Settings!$H$24)))</f>
        <v>0</v>
      </c>
      <c r="Z22" s="1">
        <f t="shared" si="5"/>
        <v>-10000</v>
      </c>
      <c r="AA22" s="1">
        <f t="shared" si="6"/>
        <v>1</v>
      </c>
    </row>
    <row r="23" spans="2:27" s="2" customFormat="1" ht="12.75" thickBot="1" x14ac:dyDescent="0.25">
      <c r="B23" s="1">
        <v>20</v>
      </c>
      <c r="C23" s="10">
        <f t="shared" si="0"/>
        <v>20</v>
      </c>
      <c r="D23" s="122">
        <f t="shared" si="1"/>
        <v>19.023</v>
      </c>
      <c r="E23" s="122">
        <f t="shared" si="2"/>
        <v>19</v>
      </c>
      <c r="F23" s="169" t="str">
        <f>Calc2!$C23</f>
        <v/>
      </c>
      <c r="G23" s="1">
        <f>SUMIFS(Calc2!$V$4:$V$383,Calc2!$F$4:$F$383,$F23)+SUMIFS(Calc2!$W$4:$W$383,Calc2!$G$4:$G$383,$F23)</f>
        <v>0</v>
      </c>
      <c r="H23" s="1">
        <f>SUMIFS(Calc2!$W$4:$W$383,Calc2!$F$4:$F$383,$F23)+SUMIFS(Calc2!$V$4:$V$383,Calc2!$G$4:$G$383,$F23)</f>
        <v>0</v>
      </c>
      <c r="I23" s="122">
        <f>IF(Settings!$G$24,G23-H23,IF(H23=0,IF(G23=0,0,Settings!$F$24),G23/H23))</f>
        <v>0</v>
      </c>
      <c r="J23" s="12">
        <f>$L23*Settings!$C$4+$M23</f>
        <v>0</v>
      </c>
      <c r="K23" s="1">
        <f>SUMPRODUCT((Calc2!$F$4:$F$383=F23)*(Calc2!$X$4:$X$383&lt;&gt;"")*(Calc2!$O$4:$O$383=1))+SUMPRODUCT((Calc2!$G$4:$G$383=F23)*(Calc2!$Y$4:$Y$383&lt;&gt;"")*(Calc2!$O$4:$O$383=1))</f>
        <v>0</v>
      </c>
      <c r="L23" s="1">
        <f>SUMPRODUCT((Calc2!$F$4:$F$383=F23)*(Calc2!$X$4:$X$383&gt;Calc2!$Y$4:$Y$383)*(Calc2!$O$4:$O$383))+SUMPRODUCT((Calc2!$G$4:$G$383=F23)*(Calc2!$X$4:$X$383&lt;Calc2!$Y$4:$Y$383)*(Calc2!$O$4:$O$383))</f>
        <v>0</v>
      </c>
      <c r="M23" s="1">
        <f>SUMPRODUCT((Calc2!$F$4:$G$383=F23)*(Calc2!$X$4:$X$383=Calc2!$Y$4:$Y$383)*(Calc2!$O$4:$O$383))</f>
        <v>0</v>
      </c>
      <c r="N23" s="1">
        <f t="shared" si="3"/>
        <v>0</v>
      </c>
      <c r="O23" s="120">
        <f>SUMPRODUCT((F23=Calc2!$F$4:$F$383)*Calc2!$T$4:$T$383)+SUMPRODUCT((F23=Calc2!$G$4:$G$383)*Calc2!$U$4:$U$383)</f>
        <v>0</v>
      </c>
      <c r="Q23" s="2" t="str">
        <f>Calc2!$C23</f>
        <v/>
      </c>
      <c r="R23" s="13">
        <f>U23*$F$31+(X23+$H$32)*$F$32*Settings!$G$14+V23*$F$33*Settings!$G$19+AA23*$F$34</f>
        <v>500000.00099999999</v>
      </c>
      <c r="S23" s="122">
        <f>Tie_Break!$D26</f>
        <v>0</v>
      </c>
      <c r="T23" s="10">
        <f>RANK($R23,$R$4:$R$23)+(9-$S23)/10000+(F23="")*1000</f>
        <v>1019.0009</v>
      </c>
      <c r="U23" s="120">
        <f>IF(Settings!$G$9,J23,$V23)+$O23</f>
        <v>0</v>
      </c>
      <c r="V23" s="122">
        <f>SUMPRODUCT((Calc2!$F$4:$F$383=F23)*Calc2!$X$4:$X$383)+SUMPRODUCT((Calc2!$G$4:$G$383=F23)*Calc2!$Y$4:$Y$383)</f>
        <v>0</v>
      </c>
      <c r="W23" s="122">
        <f>SUMPRODUCT((Calc2!$G$4:$G$383=F23)*Calc2!$X$4:$X$383)+SUMPRODUCT((Calc2!$F$4:$F$383=F23)*Calc2!$Y$4:$Y$383)</f>
        <v>0</v>
      </c>
      <c r="X23" s="1">
        <f t="shared" si="4"/>
        <v>0</v>
      </c>
      <c r="Y23" s="1">
        <f>IF(Settings!$G$24,IF($I23&gt;0,"+"&amp;$I23,$I23),IF($I23=Settings!$F$24,Settings!$E$24,ROUND($I23,Settings!$H$24)))</f>
        <v>0</v>
      </c>
      <c r="Z23" s="1">
        <f t="shared" si="5"/>
        <v>-10000</v>
      </c>
      <c r="AA23" s="1">
        <f t="shared" si="6"/>
        <v>1</v>
      </c>
    </row>
    <row r="24" spans="2:27" s="2" customFormat="1" ht="21.75" customHeight="1" thickTop="1" x14ac:dyDescent="0.2">
      <c r="B24" s="12">
        <f>$F$24*($F$24-1)</f>
        <v>306</v>
      </c>
      <c r="F24" s="190">
        <f>20-COUNTBLANK($F$4:$F$23)</f>
        <v>18</v>
      </c>
      <c r="K24" s="12">
        <f>QUOTIENT(SUM(K4:K23),2)</f>
        <v>45</v>
      </c>
      <c r="Q24" s="4"/>
      <c r="R24" s="1"/>
      <c r="S24" s="1"/>
    </row>
    <row r="25" spans="2:27" s="2" customFormat="1" ht="51" customHeight="1" x14ac:dyDescent="0.2">
      <c r="B25" s="475" t="s">
        <v>463</v>
      </c>
      <c r="C25" s="475"/>
      <c r="F25" s="191" t="s">
        <v>464</v>
      </c>
      <c r="K25" s="191" t="s">
        <v>465</v>
      </c>
      <c r="Q25" s="4"/>
      <c r="R25" s="1"/>
      <c r="S25" s="1"/>
    </row>
    <row r="26" spans="2:27" s="2" customFormat="1" x14ac:dyDescent="0.2">
      <c r="F26" s="190">
        <f>QUOTIENT($F$24,2)</f>
        <v>9</v>
      </c>
      <c r="O26" s="1"/>
      <c r="P26" s="1"/>
      <c r="Q26" s="1"/>
    </row>
    <row r="27" spans="2:27" s="2" customFormat="1" ht="22.5" x14ac:dyDescent="0.2">
      <c r="F27" s="191" t="s">
        <v>475</v>
      </c>
      <c r="O27" s="1"/>
      <c r="P27" s="1"/>
      <c r="Q27" s="1"/>
    </row>
    <row r="28" spans="2:27" s="2" customFormat="1" x14ac:dyDescent="0.2">
      <c r="F28" s="169"/>
      <c r="W28" s="4"/>
    </row>
    <row r="29" spans="2:27" s="2" customFormat="1" x14ac:dyDescent="0.2">
      <c r="F29" s="169"/>
      <c r="W29" s="4"/>
    </row>
    <row r="30" spans="2:27" s="2" customFormat="1" ht="12.75" thickBot="1" x14ac:dyDescent="0.25">
      <c r="F30" s="115" t="s">
        <v>146</v>
      </c>
    </row>
    <row r="31" spans="2:27" s="2" customFormat="1" ht="13.5" thickBot="1" x14ac:dyDescent="0.25">
      <c r="F31" s="383">
        <v>1000000</v>
      </c>
      <c r="G31" s="384" t="s">
        <v>628</v>
      </c>
    </row>
    <row r="32" spans="2:27" s="2" customFormat="1" ht="13.5" thickBot="1" x14ac:dyDescent="0.25">
      <c r="F32" s="385">
        <v>1000</v>
      </c>
      <c r="G32" s="386" t="s">
        <v>629</v>
      </c>
      <c r="H32" s="387">
        <v>500</v>
      </c>
      <c r="I32" s="116" t="s">
        <v>630</v>
      </c>
    </row>
    <row r="33" spans="2:13" s="2" customFormat="1" ht="12.75" x14ac:dyDescent="0.2">
      <c r="F33" s="385">
        <v>1</v>
      </c>
      <c r="G33" s="386" t="s">
        <v>631</v>
      </c>
    </row>
    <row r="34" spans="2:13" s="2" customFormat="1" ht="12.75" thickBot="1" x14ac:dyDescent="0.25">
      <c r="F34" s="388">
        <v>1E-3</v>
      </c>
      <c r="G34" s="389" t="s">
        <v>632</v>
      </c>
    </row>
    <row r="35" spans="2:13" s="2" customFormat="1" x14ac:dyDescent="0.2">
      <c r="F35" s="169"/>
    </row>
    <row r="36" spans="2:13" s="2" customFormat="1" x14ac:dyDescent="0.2">
      <c r="B36" s="4"/>
      <c r="C36" s="4"/>
      <c r="D36" s="4"/>
      <c r="E36" s="4"/>
      <c r="F36" s="172"/>
      <c r="G36" s="4"/>
      <c r="H36" s="4"/>
      <c r="I36" s="4"/>
      <c r="J36" s="4"/>
      <c r="K36" s="4"/>
      <c r="L36" s="4"/>
      <c r="M36" s="4"/>
    </row>
    <row r="37" spans="2:13" s="2" customFormat="1" x14ac:dyDescent="0.2">
      <c r="B37" s="4"/>
      <c r="C37" s="4"/>
      <c r="D37" s="4"/>
      <c r="E37" s="4"/>
      <c r="F37" s="172"/>
      <c r="G37" s="7"/>
      <c r="H37" s="7"/>
      <c r="I37" s="7"/>
      <c r="J37" s="7"/>
      <c r="K37" s="7"/>
      <c r="L37" s="7"/>
      <c r="M37" s="7"/>
    </row>
    <row r="38" spans="2:13" s="2" customFormat="1" x14ac:dyDescent="0.2">
      <c r="B38" s="4"/>
      <c r="C38" s="4"/>
      <c r="D38" s="4"/>
      <c r="E38" s="4"/>
      <c r="F38" s="172"/>
      <c r="G38" s="7"/>
      <c r="H38" s="7"/>
      <c r="I38" s="7"/>
      <c r="J38" s="7"/>
      <c r="K38" s="7"/>
      <c r="L38" s="7"/>
      <c r="M38" s="7"/>
    </row>
    <row r="39" spans="2:13" s="2" customFormat="1" x14ac:dyDescent="0.2">
      <c r="B39" s="4"/>
      <c r="C39" s="4"/>
      <c r="D39" s="4"/>
      <c r="E39" s="4"/>
      <c r="F39" s="172"/>
      <c r="G39" s="7"/>
      <c r="H39" s="7"/>
      <c r="I39" s="7"/>
      <c r="J39" s="7"/>
      <c r="K39" s="7"/>
      <c r="L39" s="7"/>
      <c r="M39" s="7"/>
    </row>
    <row r="40" spans="2:13" s="2" customFormat="1" x14ac:dyDescent="0.2">
      <c r="B40" s="4"/>
      <c r="C40" s="4"/>
      <c r="D40" s="4"/>
      <c r="E40" s="4"/>
      <c r="F40" s="172"/>
      <c r="G40" s="7"/>
      <c r="H40" s="7"/>
      <c r="I40" s="7"/>
      <c r="J40" s="7"/>
      <c r="K40" s="7"/>
      <c r="L40" s="7"/>
      <c r="M40" s="7"/>
    </row>
    <row r="41" spans="2:13" s="2" customFormat="1" x14ac:dyDescent="0.2">
      <c r="B41" s="4"/>
      <c r="C41" s="4"/>
      <c r="D41" s="4"/>
      <c r="E41" s="4"/>
      <c r="F41" s="172"/>
      <c r="G41" s="7"/>
      <c r="H41" s="7"/>
      <c r="I41" s="7"/>
      <c r="J41" s="7"/>
      <c r="K41" s="7"/>
      <c r="L41" s="7"/>
      <c r="M41" s="7"/>
    </row>
    <row r="42" spans="2:13" s="2" customFormat="1" x14ac:dyDescent="0.2">
      <c r="B42" s="4"/>
      <c r="C42" s="4"/>
      <c r="D42" s="4"/>
      <c r="E42" s="4"/>
      <c r="F42" s="172"/>
      <c r="G42" s="7"/>
      <c r="H42" s="7"/>
      <c r="I42" s="7"/>
      <c r="J42" s="7"/>
      <c r="K42" s="7"/>
      <c r="L42" s="7"/>
      <c r="M42" s="7"/>
    </row>
    <row r="43" spans="2:13" s="2" customFormat="1" x14ac:dyDescent="0.2">
      <c r="B43" s="4"/>
      <c r="C43" s="4"/>
      <c r="D43" s="4"/>
      <c r="E43" s="4"/>
      <c r="F43" s="172"/>
      <c r="G43" s="7"/>
      <c r="H43" s="7"/>
      <c r="I43" s="7"/>
      <c r="J43" s="7"/>
      <c r="K43" s="7"/>
      <c r="L43" s="7"/>
      <c r="M43" s="7"/>
    </row>
    <row r="44" spans="2:13" s="2" customFormat="1" x14ac:dyDescent="0.2">
      <c r="B44" s="4"/>
      <c r="C44" s="4"/>
      <c r="D44" s="4"/>
      <c r="E44" s="4"/>
      <c r="F44" s="172"/>
      <c r="G44" s="7"/>
      <c r="H44" s="7"/>
      <c r="I44" s="7"/>
      <c r="J44" s="7"/>
      <c r="K44" s="7"/>
      <c r="L44" s="7"/>
      <c r="M44" s="7"/>
    </row>
    <row r="45" spans="2:13" s="2" customFormat="1" x14ac:dyDescent="0.2">
      <c r="B45" s="4"/>
      <c r="C45" s="4"/>
      <c r="D45" s="4"/>
      <c r="E45" s="4"/>
      <c r="F45" s="172"/>
      <c r="G45" s="7"/>
      <c r="H45" s="7"/>
      <c r="I45" s="7"/>
      <c r="J45" s="7"/>
      <c r="K45" s="7"/>
      <c r="L45" s="7"/>
      <c r="M45" s="7"/>
    </row>
    <row r="46" spans="2:13" s="2" customFormat="1" x14ac:dyDescent="0.2">
      <c r="B46" s="4"/>
      <c r="C46" s="4"/>
      <c r="D46" s="4"/>
      <c r="E46" s="4"/>
      <c r="F46" s="172"/>
      <c r="G46" s="7"/>
      <c r="H46" s="7"/>
      <c r="I46" s="7"/>
      <c r="J46" s="7"/>
      <c r="K46" s="7"/>
      <c r="L46" s="7"/>
      <c r="M46" s="7"/>
    </row>
    <row r="47" spans="2:13" s="2" customFormat="1" x14ac:dyDescent="0.2">
      <c r="B47" s="4"/>
      <c r="C47" s="4"/>
      <c r="D47" s="4"/>
      <c r="E47" s="4"/>
      <c r="F47" s="172"/>
      <c r="G47" s="7"/>
      <c r="H47" s="7"/>
      <c r="I47" s="7"/>
      <c r="J47" s="7"/>
      <c r="K47" s="7"/>
      <c r="L47" s="7"/>
      <c r="M47" s="7"/>
    </row>
    <row r="48" spans="2:13" s="2" customFormat="1" x14ac:dyDescent="0.2">
      <c r="B48" s="4"/>
      <c r="C48" s="4"/>
      <c r="D48" s="4"/>
      <c r="E48" s="4"/>
      <c r="F48" s="172"/>
      <c r="G48" s="7"/>
      <c r="H48" s="7"/>
      <c r="I48" s="7"/>
      <c r="J48" s="7"/>
      <c r="K48" s="7"/>
      <c r="L48" s="7"/>
      <c r="M48" s="7"/>
    </row>
    <row r="49" spans="2:13" s="2" customFormat="1" x14ac:dyDescent="0.2">
      <c r="B49" s="4"/>
      <c r="C49" s="4"/>
      <c r="D49" s="4"/>
      <c r="E49" s="4"/>
      <c r="F49" s="172"/>
      <c r="G49" s="7"/>
      <c r="H49" s="7"/>
      <c r="I49" s="7"/>
      <c r="J49" s="7"/>
      <c r="K49" s="7"/>
      <c r="L49" s="7"/>
      <c r="M49" s="7"/>
    </row>
    <row r="50" spans="2:13" s="2" customFormat="1" x14ac:dyDescent="0.2">
      <c r="B50" s="4"/>
      <c r="C50" s="4"/>
      <c r="D50" s="4"/>
      <c r="E50" s="4"/>
      <c r="F50" s="172"/>
      <c r="G50" s="7"/>
      <c r="H50" s="7"/>
      <c r="I50" s="7"/>
      <c r="J50" s="7"/>
      <c r="K50" s="7"/>
      <c r="L50" s="7"/>
      <c r="M50" s="7"/>
    </row>
    <row r="51" spans="2:13" s="2" customFormat="1" x14ac:dyDescent="0.2">
      <c r="B51" s="4"/>
      <c r="C51" s="4"/>
      <c r="D51" s="4"/>
      <c r="E51" s="4"/>
      <c r="F51" s="172"/>
      <c r="G51" s="7"/>
      <c r="H51" s="7"/>
      <c r="I51" s="7"/>
      <c r="J51" s="7"/>
      <c r="K51" s="7"/>
      <c r="L51" s="7"/>
      <c r="M51" s="7"/>
    </row>
    <row r="52" spans="2:13" s="2" customFormat="1" x14ac:dyDescent="0.2">
      <c r="B52" s="4"/>
      <c r="C52" s="4"/>
      <c r="D52" s="4"/>
      <c r="E52" s="4"/>
      <c r="F52" s="172"/>
      <c r="G52" s="7"/>
      <c r="H52" s="7"/>
      <c r="I52" s="7"/>
      <c r="J52" s="7"/>
      <c r="K52" s="7"/>
      <c r="L52" s="7"/>
      <c r="M52" s="7"/>
    </row>
    <row r="53" spans="2:13" s="2" customFormat="1" x14ac:dyDescent="0.2">
      <c r="B53" s="4"/>
      <c r="C53" s="4"/>
      <c r="D53" s="4"/>
      <c r="E53" s="4"/>
      <c r="F53" s="172"/>
      <c r="G53" s="7"/>
      <c r="H53" s="7"/>
      <c r="I53" s="7"/>
      <c r="J53" s="7"/>
      <c r="K53" s="7"/>
      <c r="L53" s="7"/>
      <c r="M53" s="7"/>
    </row>
    <row r="54" spans="2:13" s="2" customFormat="1" x14ac:dyDescent="0.2">
      <c r="B54" s="4"/>
      <c r="C54" s="4"/>
      <c r="D54" s="4"/>
      <c r="E54" s="4"/>
      <c r="F54" s="172"/>
      <c r="G54" s="7"/>
      <c r="H54" s="7"/>
      <c r="I54" s="7"/>
      <c r="J54" s="7"/>
      <c r="K54" s="7"/>
      <c r="L54" s="7"/>
      <c r="M54" s="7"/>
    </row>
    <row r="55" spans="2:13" s="2" customFormat="1" x14ac:dyDescent="0.2">
      <c r="B55" s="4"/>
      <c r="C55" s="4"/>
      <c r="D55" s="4"/>
      <c r="E55" s="4"/>
      <c r="F55" s="172"/>
      <c r="G55" s="7"/>
      <c r="H55" s="7"/>
      <c r="I55" s="7"/>
      <c r="J55" s="7"/>
      <c r="K55" s="7"/>
      <c r="L55" s="7"/>
      <c r="M55" s="7"/>
    </row>
    <row r="56" spans="2:13" s="2" customFormat="1" x14ac:dyDescent="0.2">
      <c r="B56" s="4"/>
      <c r="C56" s="4"/>
      <c r="D56" s="4"/>
      <c r="E56" s="4"/>
      <c r="F56" s="172"/>
      <c r="G56" s="7"/>
      <c r="H56" s="7"/>
      <c r="I56" s="7"/>
      <c r="J56" s="7"/>
      <c r="K56" s="7"/>
      <c r="L56" s="7"/>
      <c r="M56" s="7"/>
    </row>
    <row r="57" spans="2:13" s="2" customFormat="1" x14ac:dyDescent="0.2">
      <c r="B57" s="4"/>
      <c r="C57" s="4"/>
      <c r="D57" s="4"/>
      <c r="E57" s="4"/>
      <c r="F57" s="172"/>
      <c r="G57" s="7"/>
      <c r="H57" s="7"/>
      <c r="I57" s="7"/>
      <c r="J57" s="7"/>
      <c r="K57" s="7"/>
      <c r="L57" s="7"/>
      <c r="M57" s="7"/>
    </row>
    <row r="58" spans="2:13" s="2" customFormat="1" x14ac:dyDescent="0.2">
      <c r="B58" s="4"/>
      <c r="C58" s="4"/>
      <c r="D58" s="4"/>
      <c r="E58" s="4"/>
      <c r="F58" s="172"/>
      <c r="G58" s="7"/>
      <c r="H58" s="7"/>
      <c r="I58" s="7"/>
      <c r="J58" s="7"/>
      <c r="K58" s="7"/>
      <c r="L58" s="7"/>
      <c r="M58" s="7"/>
    </row>
    <row r="59" spans="2:13" s="2" customFormat="1" x14ac:dyDescent="0.2">
      <c r="B59" s="4"/>
      <c r="C59" s="4"/>
      <c r="D59" s="4"/>
      <c r="E59" s="4"/>
      <c r="F59" s="172"/>
      <c r="G59" s="7"/>
      <c r="H59" s="7"/>
      <c r="I59" s="7"/>
      <c r="J59" s="7"/>
      <c r="K59" s="7"/>
      <c r="L59" s="7"/>
      <c r="M59" s="7"/>
    </row>
    <row r="60" spans="2:13" s="2" customFormat="1" x14ac:dyDescent="0.2">
      <c r="B60" s="4"/>
      <c r="C60" s="4"/>
      <c r="D60" s="4"/>
      <c r="E60" s="4"/>
      <c r="F60" s="172"/>
      <c r="G60" s="7"/>
      <c r="H60" s="7"/>
      <c r="I60" s="7"/>
      <c r="J60" s="7"/>
      <c r="K60" s="7"/>
      <c r="L60" s="7"/>
      <c r="M60" s="7"/>
    </row>
    <row r="61" spans="2:13" s="2" customFormat="1" x14ac:dyDescent="0.2">
      <c r="B61" s="4"/>
      <c r="C61" s="4"/>
      <c r="D61" s="4"/>
      <c r="E61" s="4"/>
      <c r="F61" s="172"/>
      <c r="G61" s="7"/>
      <c r="H61" s="7"/>
      <c r="I61" s="7"/>
      <c r="J61" s="7"/>
      <c r="K61" s="7"/>
      <c r="L61" s="7"/>
      <c r="M61" s="7"/>
    </row>
    <row r="62" spans="2:13" s="2" customFormat="1" x14ac:dyDescent="0.2">
      <c r="B62" s="4"/>
      <c r="C62" s="4"/>
      <c r="D62" s="4"/>
      <c r="E62" s="4"/>
      <c r="F62" s="172"/>
      <c r="G62" s="7"/>
      <c r="H62" s="7"/>
      <c r="I62" s="7"/>
      <c r="J62" s="7"/>
      <c r="K62" s="7"/>
      <c r="L62" s="7"/>
      <c r="M62" s="7"/>
    </row>
    <row r="63" spans="2:13" s="2" customFormat="1" x14ac:dyDescent="0.2">
      <c r="B63" s="4"/>
      <c r="C63" s="4"/>
      <c r="D63" s="4"/>
      <c r="E63" s="4"/>
      <c r="F63" s="172"/>
      <c r="G63" s="7"/>
      <c r="H63" s="7"/>
      <c r="I63" s="7"/>
      <c r="J63" s="7"/>
      <c r="K63" s="7"/>
      <c r="L63" s="7"/>
      <c r="M63" s="7"/>
    </row>
    <row r="64" spans="2:13" s="2" customFormat="1" x14ac:dyDescent="0.2">
      <c r="B64" s="4"/>
      <c r="C64" s="4"/>
      <c r="D64" s="4"/>
      <c r="E64" s="4"/>
      <c r="F64" s="172"/>
      <c r="G64" s="7"/>
      <c r="H64" s="7"/>
      <c r="I64" s="7"/>
      <c r="J64" s="7"/>
      <c r="K64" s="7"/>
      <c r="L64" s="7"/>
      <c r="M64" s="7"/>
    </row>
    <row r="65" spans="2:13" s="2" customFormat="1" x14ac:dyDescent="0.2">
      <c r="B65" s="4"/>
      <c r="C65" s="4"/>
      <c r="D65" s="4"/>
      <c r="E65" s="4"/>
      <c r="F65" s="172"/>
      <c r="G65" s="7"/>
      <c r="H65" s="7"/>
      <c r="I65" s="7"/>
      <c r="J65" s="7"/>
      <c r="K65" s="7"/>
      <c r="L65" s="7"/>
      <c r="M65" s="7"/>
    </row>
    <row r="66" spans="2:13" s="2" customFormat="1" x14ac:dyDescent="0.2">
      <c r="B66" s="4"/>
      <c r="C66" s="4"/>
      <c r="D66" s="4"/>
      <c r="E66" s="4"/>
      <c r="F66" s="172"/>
      <c r="G66" s="7"/>
      <c r="H66" s="7"/>
      <c r="I66" s="7"/>
      <c r="J66" s="7"/>
      <c r="K66" s="7"/>
      <c r="L66" s="7"/>
      <c r="M66" s="7"/>
    </row>
    <row r="67" spans="2:13" s="2" customFormat="1" x14ac:dyDescent="0.2">
      <c r="B67" s="4"/>
      <c r="C67" s="4"/>
      <c r="D67" s="4"/>
      <c r="E67" s="4"/>
      <c r="F67" s="172"/>
      <c r="G67" s="7"/>
      <c r="H67" s="7"/>
      <c r="I67" s="7"/>
      <c r="J67" s="7"/>
      <c r="K67" s="7"/>
      <c r="L67" s="7"/>
      <c r="M67" s="7"/>
    </row>
    <row r="68" spans="2:13" s="2" customFormat="1" x14ac:dyDescent="0.2">
      <c r="B68" s="4"/>
      <c r="C68" s="4"/>
      <c r="D68" s="4"/>
      <c r="E68" s="4"/>
      <c r="F68" s="172"/>
      <c r="G68" s="7"/>
      <c r="H68" s="7"/>
      <c r="I68" s="7"/>
      <c r="J68" s="7"/>
      <c r="K68" s="7"/>
      <c r="L68" s="7"/>
      <c r="M68" s="7"/>
    </row>
    <row r="69" spans="2:13" s="2" customFormat="1" x14ac:dyDescent="0.2">
      <c r="B69" s="4"/>
      <c r="C69" s="4"/>
      <c r="D69" s="4"/>
      <c r="E69" s="4"/>
      <c r="F69" s="172"/>
      <c r="G69" s="7"/>
      <c r="H69" s="7"/>
      <c r="I69" s="7"/>
      <c r="J69" s="7"/>
      <c r="K69" s="7"/>
      <c r="L69" s="7"/>
      <c r="M69" s="7"/>
    </row>
    <row r="70" spans="2:13" s="2" customFormat="1" x14ac:dyDescent="0.2">
      <c r="B70" s="4"/>
      <c r="C70" s="4"/>
      <c r="D70" s="4"/>
      <c r="E70" s="4"/>
      <c r="F70" s="172"/>
      <c r="G70" s="7"/>
      <c r="H70" s="7"/>
      <c r="I70" s="7"/>
      <c r="J70" s="7"/>
      <c r="K70" s="7"/>
      <c r="L70" s="7"/>
      <c r="M70" s="7"/>
    </row>
    <row r="71" spans="2:13" s="2" customFormat="1" x14ac:dyDescent="0.2">
      <c r="B71" s="4"/>
      <c r="C71" s="4"/>
      <c r="D71" s="4"/>
      <c r="E71" s="4"/>
      <c r="F71" s="172"/>
      <c r="G71" s="7"/>
      <c r="H71" s="7"/>
      <c r="I71" s="7"/>
      <c r="J71" s="7"/>
      <c r="K71" s="7"/>
      <c r="L71" s="7"/>
      <c r="M71" s="7"/>
    </row>
    <row r="72" spans="2:13" s="2" customFormat="1" x14ac:dyDescent="0.2">
      <c r="B72" s="4"/>
      <c r="C72" s="4"/>
      <c r="D72" s="4"/>
      <c r="E72" s="4"/>
      <c r="F72" s="172"/>
      <c r="G72" s="7"/>
      <c r="H72" s="7"/>
      <c r="I72" s="7"/>
      <c r="J72" s="7"/>
      <c r="K72" s="7"/>
      <c r="L72" s="7"/>
      <c r="M72" s="7"/>
    </row>
    <row r="73" spans="2:13" s="2" customFormat="1" x14ac:dyDescent="0.2">
      <c r="B73" s="4"/>
      <c r="C73" s="4"/>
      <c r="D73" s="4"/>
      <c r="E73" s="4"/>
      <c r="F73" s="172"/>
      <c r="G73" s="7"/>
      <c r="H73" s="7"/>
      <c r="I73" s="7"/>
      <c r="J73" s="7"/>
      <c r="K73" s="7"/>
      <c r="L73" s="7"/>
      <c r="M73" s="7"/>
    </row>
    <row r="74" spans="2:13" s="2" customFormat="1" x14ac:dyDescent="0.2">
      <c r="B74" s="4"/>
      <c r="C74" s="4"/>
      <c r="D74" s="4"/>
      <c r="E74" s="4"/>
      <c r="F74" s="172"/>
      <c r="G74" s="7"/>
      <c r="H74" s="7"/>
      <c r="I74" s="7"/>
      <c r="J74" s="7"/>
      <c r="K74" s="7"/>
      <c r="L74" s="7"/>
      <c r="M74" s="7"/>
    </row>
    <row r="75" spans="2:13" s="2" customFormat="1" x14ac:dyDescent="0.2">
      <c r="B75" s="4"/>
      <c r="C75" s="4"/>
      <c r="D75" s="4"/>
      <c r="E75" s="4"/>
      <c r="F75" s="172"/>
      <c r="G75" s="7"/>
      <c r="H75" s="7"/>
      <c r="I75" s="7"/>
      <c r="J75" s="7"/>
      <c r="K75" s="7"/>
      <c r="L75" s="7"/>
      <c r="M75" s="7"/>
    </row>
    <row r="76" spans="2:13" s="2" customFormat="1" x14ac:dyDescent="0.2">
      <c r="B76" s="4"/>
      <c r="C76" s="4"/>
      <c r="D76" s="4"/>
      <c r="E76" s="4"/>
      <c r="F76" s="172"/>
      <c r="G76" s="7"/>
      <c r="H76" s="7"/>
      <c r="I76" s="7"/>
      <c r="J76" s="7"/>
      <c r="K76" s="7"/>
      <c r="L76" s="7"/>
      <c r="M76" s="7"/>
    </row>
    <row r="77" spans="2:13" s="2" customFormat="1" x14ac:dyDescent="0.2">
      <c r="B77" s="4"/>
      <c r="C77" s="4"/>
      <c r="D77" s="4"/>
      <c r="E77" s="4"/>
      <c r="F77" s="172"/>
      <c r="G77" s="7"/>
      <c r="H77" s="7"/>
      <c r="I77" s="7"/>
      <c r="J77" s="7"/>
      <c r="K77" s="7"/>
      <c r="L77" s="7"/>
      <c r="M77" s="7"/>
    </row>
    <row r="78" spans="2:13" s="2" customFormat="1" x14ac:dyDescent="0.2">
      <c r="B78" s="4"/>
      <c r="C78" s="4"/>
      <c r="D78" s="4"/>
      <c r="E78" s="4"/>
      <c r="F78" s="172"/>
      <c r="G78" s="7"/>
      <c r="H78" s="7"/>
      <c r="I78" s="7"/>
      <c r="J78" s="7"/>
      <c r="K78" s="7"/>
      <c r="L78" s="7"/>
      <c r="M78" s="7"/>
    </row>
    <row r="79" spans="2:13" s="2" customFormat="1" x14ac:dyDescent="0.2">
      <c r="B79" s="4"/>
      <c r="C79" s="4"/>
      <c r="D79" s="4"/>
      <c r="E79" s="4"/>
      <c r="F79" s="172"/>
      <c r="G79" s="7"/>
      <c r="H79" s="7"/>
      <c r="I79" s="7"/>
      <c r="J79" s="7"/>
      <c r="K79" s="7"/>
      <c r="L79" s="7"/>
      <c r="M79" s="7"/>
    </row>
    <row r="80" spans="2:13" s="2" customFormat="1" x14ac:dyDescent="0.2">
      <c r="B80" s="4"/>
      <c r="C80" s="4"/>
      <c r="D80" s="4"/>
      <c r="E80" s="4"/>
      <c r="F80" s="172"/>
      <c r="G80" s="7"/>
      <c r="H80" s="7"/>
      <c r="I80" s="7"/>
      <c r="J80" s="7"/>
      <c r="K80" s="7"/>
      <c r="L80" s="7"/>
      <c r="M80" s="7"/>
    </row>
    <row r="81" spans="2:13" s="2" customFormat="1" x14ac:dyDescent="0.2">
      <c r="B81" s="4"/>
      <c r="C81" s="4"/>
      <c r="D81" s="4"/>
      <c r="E81" s="4"/>
      <c r="F81" s="172"/>
      <c r="G81" s="7"/>
      <c r="H81" s="7"/>
      <c r="I81" s="7"/>
      <c r="J81" s="7"/>
      <c r="K81" s="7"/>
      <c r="L81" s="7"/>
      <c r="M81" s="7"/>
    </row>
    <row r="82" spans="2:13" s="2" customFormat="1" x14ac:dyDescent="0.2">
      <c r="B82" s="4"/>
      <c r="C82" s="4"/>
      <c r="D82" s="4"/>
      <c r="E82" s="4"/>
      <c r="F82" s="172"/>
      <c r="G82" s="7"/>
      <c r="H82" s="7"/>
      <c r="I82" s="7"/>
      <c r="J82" s="7"/>
      <c r="K82" s="7"/>
      <c r="L82" s="7"/>
      <c r="M82" s="7"/>
    </row>
    <row r="83" spans="2:13" s="2" customFormat="1" x14ac:dyDescent="0.2">
      <c r="B83" s="4"/>
      <c r="C83" s="4"/>
      <c r="D83" s="4"/>
      <c r="E83" s="4"/>
      <c r="F83" s="172"/>
      <c r="G83" s="7"/>
      <c r="H83" s="7"/>
      <c r="I83" s="7"/>
      <c r="J83" s="7"/>
      <c r="K83" s="7"/>
      <c r="L83" s="7"/>
      <c r="M83" s="7"/>
    </row>
    <row r="84" spans="2:13" s="2" customFormat="1" x14ac:dyDescent="0.2">
      <c r="B84" s="4"/>
      <c r="C84" s="4"/>
      <c r="D84" s="4"/>
      <c r="E84" s="4"/>
      <c r="F84" s="172"/>
      <c r="G84" s="7"/>
      <c r="H84" s="7"/>
      <c r="I84" s="7"/>
      <c r="J84" s="7"/>
      <c r="K84" s="7"/>
      <c r="L84" s="7"/>
      <c r="M84" s="7"/>
    </row>
    <row r="85" spans="2:13" s="2" customFormat="1" x14ac:dyDescent="0.2">
      <c r="B85" s="4"/>
      <c r="C85" s="4"/>
      <c r="D85" s="4"/>
      <c r="E85" s="4"/>
      <c r="F85" s="172"/>
      <c r="G85" s="7"/>
      <c r="H85" s="7"/>
      <c r="I85" s="7"/>
      <c r="J85" s="7"/>
      <c r="K85" s="7"/>
      <c r="L85" s="7"/>
      <c r="M85" s="7"/>
    </row>
    <row r="86" spans="2:13" s="2" customFormat="1" x14ac:dyDescent="0.2">
      <c r="B86" s="4"/>
      <c r="C86" s="4"/>
      <c r="D86" s="4"/>
      <c r="E86" s="4"/>
      <c r="F86" s="172"/>
      <c r="G86" s="7"/>
      <c r="H86" s="7"/>
      <c r="I86" s="7"/>
      <c r="J86" s="7"/>
      <c r="K86" s="7"/>
      <c r="L86" s="7"/>
      <c r="M86" s="7"/>
    </row>
    <row r="87" spans="2:13" s="2" customFormat="1" x14ac:dyDescent="0.2">
      <c r="B87" s="4"/>
      <c r="C87" s="4"/>
      <c r="D87" s="4"/>
      <c r="E87" s="4"/>
      <c r="F87" s="172"/>
      <c r="G87" s="7"/>
      <c r="H87" s="7"/>
      <c r="I87" s="7"/>
      <c r="J87" s="7"/>
      <c r="K87" s="7"/>
      <c r="L87" s="7"/>
      <c r="M87" s="7"/>
    </row>
    <row r="88" spans="2:13" s="2" customFormat="1" x14ac:dyDescent="0.2">
      <c r="B88" s="4"/>
      <c r="C88" s="4"/>
      <c r="D88" s="4"/>
      <c r="E88" s="4"/>
      <c r="F88" s="172"/>
      <c r="G88" s="7"/>
      <c r="H88" s="7"/>
      <c r="I88" s="7"/>
      <c r="J88" s="7"/>
      <c r="K88" s="7"/>
      <c r="L88" s="7"/>
      <c r="M88" s="7"/>
    </row>
    <row r="89" spans="2:13" s="2" customFormat="1" x14ac:dyDescent="0.2">
      <c r="B89" s="4"/>
      <c r="C89" s="4"/>
      <c r="D89" s="4"/>
      <c r="E89" s="4"/>
      <c r="F89" s="172"/>
      <c r="G89" s="7"/>
      <c r="H89" s="7"/>
      <c r="I89" s="7"/>
      <c r="J89" s="7"/>
      <c r="K89" s="7"/>
      <c r="L89" s="7"/>
      <c r="M89" s="7"/>
    </row>
    <row r="90" spans="2:13" s="2" customFormat="1" x14ac:dyDescent="0.2">
      <c r="B90" s="4"/>
      <c r="C90" s="4"/>
      <c r="D90" s="4"/>
      <c r="E90" s="4"/>
      <c r="F90" s="172"/>
      <c r="G90" s="7"/>
      <c r="H90" s="7"/>
      <c r="I90" s="7"/>
      <c r="J90" s="7"/>
      <c r="K90" s="7"/>
      <c r="L90" s="7"/>
      <c r="M90" s="7"/>
    </row>
    <row r="91" spans="2:13" s="2" customFormat="1" x14ac:dyDescent="0.2">
      <c r="B91" s="4"/>
      <c r="C91" s="4"/>
      <c r="D91" s="4"/>
      <c r="E91" s="4"/>
      <c r="F91" s="172"/>
      <c r="G91" s="7"/>
      <c r="H91" s="7"/>
      <c r="I91" s="7"/>
      <c r="J91" s="7"/>
      <c r="K91" s="7"/>
      <c r="L91" s="7"/>
      <c r="M91" s="7"/>
    </row>
    <row r="92" spans="2:13" s="2" customFormat="1" x14ac:dyDescent="0.2">
      <c r="B92" s="4"/>
      <c r="C92" s="4"/>
      <c r="D92" s="4"/>
      <c r="E92" s="4"/>
      <c r="F92" s="172"/>
      <c r="G92" s="7"/>
      <c r="H92" s="7"/>
      <c r="I92" s="7"/>
      <c r="J92" s="7"/>
      <c r="K92" s="7"/>
      <c r="L92" s="7"/>
      <c r="M92" s="7"/>
    </row>
    <row r="93" spans="2:13" s="2" customFormat="1" x14ac:dyDescent="0.2">
      <c r="B93" s="4"/>
      <c r="C93" s="4"/>
      <c r="D93" s="4"/>
      <c r="E93" s="4"/>
      <c r="F93" s="172"/>
      <c r="G93" s="7"/>
      <c r="H93" s="7"/>
      <c r="I93" s="7"/>
      <c r="J93" s="7"/>
      <c r="K93" s="7"/>
      <c r="L93" s="7"/>
      <c r="M93" s="7"/>
    </row>
    <row r="94" spans="2:13" s="2" customFormat="1" x14ac:dyDescent="0.2">
      <c r="B94" s="4"/>
      <c r="C94" s="4"/>
      <c r="D94" s="4"/>
      <c r="E94" s="4"/>
      <c r="F94" s="172"/>
      <c r="G94" s="7"/>
      <c r="H94" s="7"/>
      <c r="I94" s="7"/>
      <c r="J94" s="7"/>
      <c r="K94" s="7"/>
      <c r="L94" s="7"/>
      <c r="M94" s="7"/>
    </row>
    <row r="95" spans="2:13" s="2" customFormat="1" x14ac:dyDescent="0.2">
      <c r="B95" s="4"/>
      <c r="C95" s="4"/>
      <c r="D95" s="4"/>
      <c r="E95" s="4"/>
      <c r="F95" s="172"/>
      <c r="G95" s="7"/>
      <c r="H95" s="7"/>
      <c r="I95" s="7"/>
      <c r="J95" s="7"/>
      <c r="K95" s="7"/>
      <c r="L95" s="7"/>
      <c r="M95" s="7"/>
    </row>
    <row r="96" spans="2:13" s="2" customFormat="1" x14ac:dyDescent="0.2">
      <c r="B96" s="4"/>
      <c r="C96" s="4"/>
      <c r="D96" s="4"/>
      <c r="E96" s="4"/>
      <c r="F96" s="172"/>
      <c r="G96" s="7"/>
      <c r="H96" s="7"/>
      <c r="I96" s="7"/>
      <c r="J96" s="7"/>
      <c r="K96" s="7"/>
      <c r="L96" s="7"/>
      <c r="M96" s="7"/>
    </row>
    <row r="97" spans="2:13" s="2" customFormat="1" x14ac:dyDescent="0.2">
      <c r="B97" s="4"/>
      <c r="C97" s="4"/>
      <c r="D97" s="4"/>
      <c r="E97" s="4"/>
      <c r="F97" s="172"/>
      <c r="G97" s="7"/>
      <c r="H97" s="7"/>
      <c r="I97" s="7"/>
      <c r="J97" s="7"/>
      <c r="K97" s="7"/>
      <c r="L97" s="7"/>
      <c r="M97" s="7"/>
    </row>
    <row r="98" spans="2:13" s="2" customFormat="1" x14ac:dyDescent="0.2">
      <c r="B98" s="4"/>
      <c r="C98" s="4"/>
      <c r="D98" s="4"/>
      <c r="E98" s="4"/>
      <c r="F98" s="172"/>
      <c r="G98" s="7"/>
      <c r="H98" s="7"/>
      <c r="I98" s="7"/>
      <c r="J98" s="7"/>
      <c r="K98" s="7"/>
      <c r="L98" s="7"/>
      <c r="M98" s="7"/>
    </row>
    <row r="99" spans="2:13" s="2" customFormat="1" x14ac:dyDescent="0.2">
      <c r="B99" s="4"/>
      <c r="C99" s="4"/>
      <c r="D99" s="4"/>
      <c r="E99" s="4"/>
      <c r="F99" s="172"/>
      <c r="G99" s="7"/>
      <c r="H99" s="7"/>
      <c r="I99" s="7"/>
      <c r="J99" s="7"/>
      <c r="K99" s="7"/>
      <c r="L99" s="7"/>
      <c r="M99" s="7"/>
    </row>
    <row r="100" spans="2:13" s="2" customFormat="1" x14ac:dyDescent="0.2">
      <c r="B100" s="4"/>
      <c r="C100" s="4"/>
      <c r="D100" s="4"/>
      <c r="E100" s="4"/>
      <c r="F100" s="172"/>
      <c r="G100" s="7"/>
      <c r="H100" s="7"/>
      <c r="I100" s="7"/>
      <c r="J100" s="7"/>
      <c r="K100" s="7"/>
      <c r="L100" s="7"/>
      <c r="M100" s="7"/>
    </row>
    <row r="101" spans="2:13" s="2" customFormat="1" x14ac:dyDescent="0.2">
      <c r="B101" s="4"/>
      <c r="C101" s="4"/>
      <c r="D101" s="4"/>
      <c r="E101" s="4"/>
      <c r="F101" s="172"/>
      <c r="G101" s="7"/>
      <c r="H101" s="7"/>
      <c r="I101" s="7"/>
      <c r="J101" s="7"/>
      <c r="K101" s="7"/>
      <c r="L101" s="7"/>
      <c r="M101" s="7"/>
    </row>
  </sheetData>
  <mergeCells count="1">
    <mergeCell ref="B25:C25"/>
  </mergeCells>
  <phoneticPr fontId="3" type="noConversion"/>
  <pageMargins left="0.78740157499999996" right="0.78740157499999996" top="0.984251969" bottom="0.984251969" header="0.4921259845" footer="0.4921259845"/>
  <pageSetup paperSize="9" orientation="portrait" horizontalDpi="0"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CE873-B56A-4B09-920B-531CB96A4EE3}">
  <sheetPr codeName="Tabelle7"/>
  <dimension ref="A2:T27"/>
  <sheetViews>
    <sheetView showGridLines="0" showRowColHeaders="0" workbookViewId="0">
      <selection activeCell="D7" sqref="D7"/>
    </sheetView>
  </sheetViews>
  <sheetFormatPr baseColWidth="10" defaultColWidth="0" defaultRowHeight="12.75" x14ac:dyDescent="0.2"/>
  <cols>
    <col min="1" max="2" width="11.42578125" style="23" customWidth="1"/>
    <col min="3" max="3" width="34.7109375" style="23" customWidth="1"/>
    <col min="4" max="11" width="11.42578125" style="23" customWidth="1"/>
    <col min="12" max="12" width="9.5703125" style="23" customWidth="1"/>
    <col min="13" max="13" width="11.42578125" style="23" customWidth="1"/>
    <col min="14" max="20" width="0" style="23" hidden="1" customWidth="1"/>
    <col min="21" max="16384" width="11.42578125" style="23" hidden="1"/>
  </cols>
  <sheetData>
    <row r="2" spans="2:12" ht="33.75" x14ac:dyDescent="0.2">
      <c r="B2" s="476" t="str">
        <f>Language!$E$6</f>
        <v>Tie break</v>
      </c>
      <c r="C2" s="476"/>
      <c r="D2" s="476"/>
    </row>
    <row r="4" spans="2:12" ht="66.75" customHeight="1" x14ac:dyDescent="0.2">
      <c r="B4" s="477" t="str">
        <f>Language!$E$82</f>
        <v>If two or more teams cannot be distinguished and a direct comparison or a decisive match decides, it is sufficient to enter bonus points for the preferred teams.</v>
      </c>
      <c r="C4" s="477"/>
      <c r="D4" s="477"/>
    </row>
    <row r="5" spans="2:12" ht="13.5" thickBot="1" x14ac:dyDescent="0.25"/>
    <row r="6" spans="2:12" ht="27.95" customHeight="1" thickTop="1" x14ac:dyDescent="0.2">
      <c r="B6" s="28" t="str">
        <f>Language!$E$9</f>
        <v>No.</v>
      </c>
      <c r="C6" s="34" t="str">
        <f>Language!$E$10</f>
        <v>Participant or Team</v>
      </c>
      <c r="D6" s="29" t="str">
        <f>Language!$E$49</f>
        <v>Bonus</v>
      </c>
      <c r="F6" s="478" t="str">
        <f>Language!$E$89</f>
        <v>Explanation</v>
      </c>
      <c r="G6" s="479"/>
      <c r="H6" s="479"/>
      <c r="I6" s="479"/>
      <c r="J6" s="479"/>
      <c r="K6" s="479"/>
      <c r="L6" s="480"/>
    </row>
    <row r="7" spans="2:12" ht="24" customHeight="1" x14ac:dyDescent="0.2">
      <c r="B7" s="30" t="s">
        <v>5</v>
      </c>
      <c r="C7" s="35" t="str">
        <f>IF(Planning!$D7="","",Planning!$D7)</f>
        <v>1. FC Heidenheim 1846</v>
      </c>
      <c r="D7" s="31"/>
      <c r="F7" s="481" t="str">
        <f>Language!$E$88</f>
        <v>If two (or more) teams are tied in the rankings at the end of the season and a draw or play-off is held, it is sufficient to enter one bonus point for the preferred team here.</v>
      </c>
      <c r="G7" s="482"/>
      <c r="H7" s="482"/>
      <c r="I7" s="482"/>
      <c r="J7" s="482"/>
      <c r="K7" s="482"/>
      <c r="L7" s="483"/>
    </row>
    <row r="8" spans="2:12" ht="24" customHeight="1" x14ac:dyDescent="0.2">
      <c r="B8" s="27" t="s">
        <v>6</v>
      </c>
      <c r="C8" s="35" t="str">
        <f>IF(Planning!$D8="","",Planning!$D8)</f>
        <v>1. FC Köln</v>
      </c>
      <c r="D8" s="32"/>
      <c r="F8" s="481"/>
      <c r="G8" s="482"/>
      <c r="H8" s="482"/>
      <c r="I8" s="482"/>
      <c r="J8" s="482"/>
      <c r="K8" s="482"/>
      <c r="L8" s="483"/>
    </row>
    <row r="9" spans="2:12" ht="24" customHeight="1" x14ac:dyDescent="0.2">
      <c r="B9" s="27" t="s">
        <v>7</v>
      </c>
      <c r="C9" s="35" t="str">
        <f>IF(Planning!$D9="","",Planning!$D9)</f>
        <v>1. FC Union Berlin</v>
      </c>
      <c r="D9" s="32"/>
      <c r="F9" s="481"/>
      <c r="G9" s="482"/>
      <c r="H9" s="482"/>
      <c r="I9" s="482"/>
      <c r="J9" s="482"/>
      <c r="K9" s="482"/>
      <c r="L9" s="483"/>
    </row>
    <row r="10" spans="2:12" ht="24" customHeight="1" x14ac:dyDescent="0.2">
      <c r="B10" s="27" t="s">
        <v>8</v>
      </c>
      <c r="C10" s="35" t="str">
        <f>IF(Planning!$D10="","",Planning!$D10)</f>
        <v>1. FSV Mainz 05</v>
      </c>
      <c r="D10" s="32"/>
      <c r="F10" s="403"/>
      <c r="G10" s="403"/>
      <c r="H10" s="403"/>
      <c r="I10" s="403"/>
      <c r="J10" s="403"/>
      <c r="K10" s="403"/>
      <c r="L10" s="403"/>
    </row>
    <row r="11" spans="2:12" ht="24" customHeight="1" x14ac:dyDescent="0.2">
      <c r="B11" s="27" t="s">
        <v>9</v>
      </c>
      <c r="C11" s="35" t="str">
        <f>IF(Planning!$D11="","",Planning!$D11)</f>
        <v>Bayer 04 Leverkusen</v>
      </c>
      <c r="D11" s="32"/>
      <c r="F11" s="402"/>
      <c r="G11" s="402"/>
      <c r="H11" s="402"/>
      <c r="I11" s="402"/>
      <c r="J11" s="402"/>
      <c r="K11" s="402"/>
      <c r="L11" s="402"/>
    </row>
    <row r="12" spans="2:12" ht="24" customHeight="1" x14ac:dyDescent="0.2">
      <c r="B12" s="27" t="s">
        <v>10</v>
      </c>
      <c r="C12" s="35" t="str">
        <f>IF(Planning!$D12="","",Planning!$D12)</f>
        <v>Borussia Dortmund</v>
      </c>
      <c r="D12" s="32"/>
      <c r="F12" s="402"/>
      <c r="G12" s="402"/>
      <c r="H12" s="402"/>
      <c r="I12" s="402"/>
      <c r="J12" s="402"/>
      <c r="K12" s="402"/>
      <c r="L12" s="402"/>
    </row>
    <row r="13" spans="2:12" ht="24" customHeight="1" x14ac:dyDescent="0.2">
      <c r="B13" s="27" t="s">
        <v>13</v>
      </c>
      <c r="C13" s="35" t="str">
        <f>IF(Planning!$D13="","",Planning!$D13)</f>
        <v>Borussia Mönchengladbach</v>
      </c>
      <c r="D13" s="32"/>
      <c r="F13" s="402"/>
      <c r="G13" s="402"/>
      <c r="H13" s="402"/>
      <c r="I13" s="402"/>
      <c r="J13" s="402"/>
      <c r="K13" s="402"/>
      <c r="L13" s="402"/>
    </row>
    <row r="14" spans="2:12" ht="24" customHeight="1" x14ac:dyDescent="0.2">
      <c r="B14" s="27" t="s">
        <v>14</v>
      </c>
      <c r="C14" s="35" t="str">
        <f>IF(Planning!$D14="","",Planning!$D14)</f>
        <v>Eintracht Frankfurt</v>
      </c>
      <c r="D14" s="32"/>
      <c r="F14" s="402"/>
      <c r="G14" s="402"/>
      <c r="H14" s="402"/>
      <c r="I14" s="402"/>
      <c r="J14" s="402"/>
      <c r="K14" s="402"/>
      <c r="L14" s="402"/>
    </row>
    <row r="15" spans="2:12" ht="24" customHeight="1" x14ac:dyDescent="0.2">
      <c r="B15" s="27" t="s">
        <v>15</v>
      </c>
      <c r="C15" s="35" t="str">
        <f>IF(Planning!$D15="","",Planning!$D15)</f>
        <v>FC Augsburg</v>
      </c>
      <c r="D15" s="32"/>
      <c r="F15" s="402"/>
      <c r="G15" s="402"/>
      <c r="H15" s="402"/>
      <c r="I15" s="402"/>
      <c r="J15" s="402"/>
      <c r="K15" s="402"/>
      <c r="L15" s="402"/>
    </row>
    <row r="16" spans="2:12" ht="24" customHeight="1" x14ac:dyDescent="0.2">
      <c r="B16" s="27" t="s">
        <v>21</v>
      </c>
      <c r="C16" s="35" t="str">
        <f>IF(Planning!$D16="","",Planning!$D16)</f>
        <v>FC Bayern München</v>
      </c>
      <c r="D16" s="32"/>
      <c r="F16" s="402"/>
      <c r="G16" s="402"/>
      <c r="H16" s="402"/>
      <c r="I16" s="402"/>
      <c r="J16" s="402"/>
      <c r="K16" s="402"/>
      <c r="L16" s="402"/>
    </row>
    <row r="17" spans="2:12" ht="24" customHeight="1" x14ac:dyDescent="0.2">
      <c r="B17" s="27" t="s">
        <v>22</v>
      </c>
      <c r="C17" s="35" t="str">
        <f>IF(Planning!$D17="","",Planning!$D17)</f>
        <v>FC St. Pauli</v>
      </c>
      <c r="D17" s="32"/>
      <c r="F17" s="402"/>
      <c r="G17" s="402"/>
      <c r="H17" s="402"/>
      <c r="I17" s="402"/>
      <c r="J17" s="402"/>
      <c r="K17" s="402"/>
      <c r="L17" s="402"/>
    </row>
    <row r="18" spans="2:12" ht="24" customHeight="1" x14ac:dyDescent="0.2">
      <c r="B18" s="27" t="s">
        <v>23</v>
      </c>
      <c r="C18" s="35" t="str">
        <f>IF(Planning!$D18="","",Planning!$D18)</f>
        <v>Hamburger SV</v>
      </c>
      <c r="D18" s="32"/>
    </row>
    <row r="19" spans="2:12" ht="24" customHeight="1" x14ac:dyDescent="0.2">
      <c r="B19" s="27" t="s">
        <v>24</v>
      </c>
      <c r="C19" s="35" t="str">
        <f>IF(Planning!$D19="","",Planning!$D19)</f>
        <v>RB Leipzig</v>
      </c>
      <c r="D19" s="32"/>
    </row>
    <row r="20" spans="2:12" ht="24" customHeight="1" x14ac:dyDescent="0.2">
      <c r="B20" s="27" t="s">
        <v>25</v>
      </c>
      <c r="C20" s="35" t="str">
        <f>IF(Planning!$D20="","",Planning!$D20)</f>
        <v>SC Freiburg</v>
      </c>
      <c r="D20" s="32"/>
    </row>
    <row r="21" spans="2:12" ht="24" customHeight="1" x14ac:dyDescent="0.2">
      <c r="B21" s="27" t="s">
        <v>26</v>
      </c>
      <c r="C21" s="35" t="str">
        <f>IF(Planning!$D21="","",Planning!$D21)</f>
        <v>SV Werder Bremen</v>
      </c>
      <c r="D21" s="32"/>
    </row>
    <row r="22" spans="2:12" ht="24" customHeight="1" x14ac:dyDescent="0.2">
      <c r="B22" s="27" t="s">
        <v>27</v>
      </c>
      <c r="C22" s="35" t="str">
        <f>IF(Planning!$D22="","",Planning!$D22)</f>
        <v>TSG Hoffenheim</v>
      </c>
      <c r="D22" s="32"/>
    </row>
    <row r="23" spans="2:12" ht="24" customHeight="1" x14ac:dyDescent="0.2">
      <c r="B23" s="27" t="s">
        <v>28</v>
      </c>
      <c r="C23" s="35" t="str">
        <f>IF(Planning!$D23="","",Planning!$D23)</f>
        <v>VfB Stuttgart</v>
      </c>
      <c r="D23" s="32"/>
    </row>
    <row r="24" spans="2:12" ht="24" customHeight="1" x14ac:dyDescent="0.2">
      <c r="B24" s="27" t="s">
        <v>29</v>
      </c>
      <c r="C24" s="218" t="str">
        <f>IF(Planning!$D24="","",Planning!$D24)</f>
        <v>VfL Wolfsburg</v>
      </c>
      <c r="D24" s="32"/>
    </row>
    <row r="25" spans="2:12" ht="24" customHeight="1" x14ac:dyDescent="0.2">
      <c r="B25" s="27" t="s">
        <v>30</v>
      </c>
      <c r="C25" s="35" t="str">
        <f>IF(Planning!$D25="","",Planning!$D25)</f>
        <v/>
      </c>
      <c r="D25" s="32"/>
    </row>
    <row r="26" spans="2:12" ht="24" customHeight="1" thickBot="1" x14ac:dyDescent="0.25">
      <c r="B26" s="219" t="s">
        <v>31</v>
      </c>
      <c r="C26" s="220" t="str">
        <f>IF(Planning!$D26="","",Planning!$D26)</f>
        <v/>
      </c>
      <c r="D26" s="221"/>
    </row>
    <row r="27" spans="2:12" ht="13.5" thickTop="1" x14ac:dyDescent="0.2"/>
  </sheetData>
  <sheetProtection sheet="1" selectLockedCells="1"/>
  <mergeCells count="4">
    <mergeCell ref="B2:D2"/>
    <mergeCell ref="B4:D4"/>
    <mergeCell ref="F6:L6"/>
    <mergeCell ref="F7:L9"/>
  </mergeCells>
  <phoneticPr fontId="3" type="noConversion"/>
  <dataValidations count="1">
    <dataValidation type="whole" allowBlank="1" showInputMessage="1" showErrorMessage="1" errorTitle="Unzulässiger Wert für den Bonus" error="Es können Zahlen von 0 bis 9 eingetragen werden!" sqref="D7:D26" xr:uid="{3F406D40-B52E-431A-8897-E0EF9852E3B0}">
      <formula1>0</formula1>
      <formula2>9</formula2>
    </dataValidation>
  </dataValidations>
  <pageMargins left="0.7" right="0.7" top="0.78740157499999996" bottom="0.78740157499999996"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FB76-691C-4935-A7AE-5AD94D84567E}">
  <sheetPr codeName="Tabelle8"/>
  <dimension ref="A1:M105"/>
  <sheetViews>
    <sheetView showGridLines="0" showRowColHeaders="0" workbookViewId="0">
      <selection activeCell="J1" sqref="J1"/>
    </sheetView>
  </sheetViews>
  <sheetFormatPr baseColWidth="10" defaultColWidth="0" defaultRowHeight="12.75" x14ac:dyDescent="0.2"/>
  <cols>
    <col min="1" max="1" width="11.42578125" customWidth="1"/>
    <col min="2" max="2" width="15.140625" hidden="1" customWidth="1"/>
    <col min="3" max="3" width="11.42578125" hidden="1" customWidth="1"/>
    <col min="4" max="4" width="7" style="38" hidden="1" customWidth="1"/>
    <col min="5" max="5" width="44.7109375" hidden="1" customWidth="1"/>
    <col min="6" max="8" width="44.7109375" customWidth="1"/>
    <col min="9" max="9" width="3.42578125" customWidth="1"/>
    <col min="10" max="10" width="17.7109375" customWidth="1"/>
    <col min="11" max="11" width="9.140625" customWidth="1"/>
    <col min="12" max="12" width="19.7109375" customWidth="1"/>
    <col min="13" max="16384" width="11.42578125" hidden="1"/>
  </cols>
  <sheetData>
    <row r="1" spans="2:12" ht="34.5" thickBot="1" x14ac:dyDescent="0.55000000000000004">
      <c r="B1" s="58"/>
      <c r="F1" s="484" t="str">
        <f>$E$35</f>
        <v>Choose language</v>
      </c>
      <c r="G1" s="484"/>
      <c r="H1" s="484"/>
      <c r="I1" s="77"/>
      <c r="J1" s="79" t="s">
        <v>101</v>
      </c>
      <c r="K1" s="106" t="str">
        <f>_xlfn.UNICHAR(8592)</f>
        <v>←</v>
      </c>
      <c r="L1" s="105" t="str">
        <f>$E$86</f>
        <v>Click here and choose language</v>
      </c>
    </row>
    <row r="2" spans="2:12" ht="11.25" customHeight="1" thickBot="1" x14ac:dyDescent="0.25">
      <c r="F2" s="487"/>
      <c r="G2" s="487"/>
      <c r="I2" s="39"/>
      <c r="J2" s="40"/>
    </row>
    <row r="3" spans="2:12" ht="13.5" thickTop="1" x14ac:dyDescent="0.2">
      <c r="B3" s="41" t="s">
        <v>101</v>
      </c>
      <c r="C3" s="42">
        <f>IF(AND($J$1&lt;&gt;B4,$J$1&lt;&gt;B5),1,0)</f>
        <v>1</v>
      </c>
      <c r="D3" s="488"/>
      <c r="E3" s="490"/>
      <c r="F3" s="491" t="s">
        <v>101</v>
      </c>
      <c r="G3" s="493" t="s">
        <v>128</v>
      </c>
      <c r="H3" s="485" t="s">
        <v>100</v>
      </c>
      <c r="I3" s="43"/>
    </row>
    <row r="4" spans="2:12" ht="13.5" thickBot="1" x14ac:dyDescent="0.25">
      <c r="B4" s="41" t="s">
        <v>128</v>
      </c>
      <c r="C4" s="42">
        <f>IF($J$1=B4,1,0)</f>
        <v>0</v>
      </c>
      <c r="D4" s="489"/>
      <c r="E4" s="490"/>
      <c r="F4" s="492"/>
      <c r="G4" s="494"/>
      <c r="H4" s="486"/>
      <c r="I4" s="44"/>
      <c r="J4" s="45"/>
    </row>
    <row r="5" spans="2:12" ht="29.25" thickTop="1" x14ac:dyDescent="0.45">
      <c r="B5" s="41" t="s">
        <v>100</v>
      </c>
      <c r="C5" s="42">
        <f>IF($J$1=B5,1,0)</f>
        <v>0</v>
      </c>
      <c r="E5" s="41"/>
      <c r="F5" s="49" t="str">
        <f>$E$36</f>
        <v>Captions</v>
      </c>
      <c r="G5" s="50"/>
      <c r="H5" s="51"/>
      <c r="I5" s="44"/>
      <c r="J5" s="45"/>
    </row>
    <row r="6" spans="2:12" x14ac:dyDescent="0.2">
      <c r="E6" s="41" t="str">
        <f>IF($C$3,F6,IF($C$4,G6,IF($H6&lt;&gt;"",$H6,$F6)))</f>
        <v>Tie break</v>
      </c>
      <c r="F6" s="48" t="s">
        <v>478</v>
      </c>
      <c r="G6" s="46" t="s">
        <v>479</v>
      </c>
      <c r="H6" s="73"/>
    </row>
    <row r="7" spans="2:12" x14ac:dyDescent="0.2">
      <c r="E7" s="41" t="str">
        <f t="shared" ref="E7:E90" si="0">IF($C$3,F7,IF($C$4,G7,IF($H7&lt;&gt;"",$H7,$F7)))</f>
        <v>Settings</v>
      </c>
      <c r="F7" s="48" t="s">
        <v>503</v>
      </c>
      <c r="G7" s="46" t="s">
        <v>504</v>
      </c>
      <c r="H7" s="47"/>
    </row>
    <row r="8" spans="2:12" x14ac:dyDescent="0.2">
      <c r="E8" s="41" t="str">
        <f t="shared" si="0"/>
        <v>Your date</v>
      </c>
      <c r="F8" s="71" t="s">
        <v>125</v>
      </c>
      <c r="G8" s="70" t="s">
        <v>124</v>
      </c>
      <c r="H8" s="47"/>
    </row>
    <row r="9" spans="2:12" ht="15" customHeight="1" x14ac:dyDescent="0.45">
      <c r="E9" s="41" t="str">
        <f t="shared" si="0"/>
        <v>No.</v>
      </c>
      <c r="F9" s="68" t="s">
        <v>105</v>
      </c>
      <c r="G9" s="67" t="s">
        <v>0</v>
      </c>
      <c r="H9" s="47"/>
      <c r="I9" s="55"/>
    </row>
    <row r="10" spans="2:12" ht="15" customHeight="1" x14ac:dyDescent="0.45">
      <c r="E10" s="41" t="str">
        <f t="shared" si="0"/>
        <v>Participant or Team</v>
      </c>
      <c r="F10" s="68" t="s">
        <v>467</v>
      </c>
      <c r="G10" s="67" t="s">
        <v>18</v>
      </c>
      <c r="H10" s="47"/>
      <c r="I10" s="55"/>
    </row>
    <row r="11" spans="2:12" ht="15" customHeight="1" x14ac:dyDescent="0.45">
      <c r="E11" s="41" t="str">
        <f t="shared" si="0"/>
        <v>Results</v>
      </c>
      <c r="F11" s="68" t="s">
        <v>106</v>
      </c>
      <c r="G11" s="67" t="s">
        <v>19</v>
      </c>
      <c r="H11" s="47"/>
      <c r="I11" s="55"/>
    </row>
    <row r="12" spans="2:12" ht="15" customHeight="1" x14ac:dyDescent="0.45">
      <c r="E12" s="41" t="str">
        <f t="shared" si="0"/>
        <v>Table</v>
      </c>
      <c r="F12" s="68" t="s">
        <v>466</v>
      </c>
      <c r="G12" s="67" t="s">
        <v>11</v>
      </c>
      <c r="H12" s="47"/>
      <c r="I12" s="55"/>
    </row>
    <row r="13" spans="2:12" ht="15" customHeight="1" x14ac:dyDescent="0.45">
      <c r="E13" s="41" t="str">
        <f t="shared" si="0"/>
        <v>Matchups</v>
      </c>
      <c r="F13" s="68" t="s">
        <v>484</v>
      </c>
      <c r="G13" s="67" t="s">
        <v>485</v>
      </c>
      <c r="H13" s="47"/>
      <c r="I13" s="55"/>
    </row>
    <row r="14" spans="2:12" ht="15" customHeight="1" x14ac:dyDescent="0.45">
      <c r="E14" s="41" t="str">
        <f t="shared" si="0"/>
        <v>Matchup</v>
      </c>
      <c r="F14" s="68" t="s">
        <v>518</v>
      </c>
      <c r="G14" s="67" t="s">
        <v>1</v>
      </c>
      <c r="H14" s="47"/>
      <c r="I14" s="55"/>
    </row>
    <row r="15" spans="2:12" ht="15" customHeight="1" x14ac:dyDescent="0.45">
      <c r="E15" s="41" t="str">
        <f t="shared" si="0"/>
        <v>Result</v>
      </c>
      <c r="F15" s="68" t="s">
        <v>107</v>
      </c>
      <c r="G15" s="67" t="s">
        <v>2</v>
      </c>
      <c r="H15" s="47"/>
      <c r="I15" s="55"/>
    </row>
    <row r="16" spans="2:12" ht="15" customHeight="1" x14ac:dyDescent="0.45">
      <c r="E16" s="41" t="str">
        <f t="shared" si="0"/>
        <v>Matchweeks</v>
      </c>
      <c r="F16" s="68" t="s">
        <v>515</v>
      </c>
      <c r="G16" s="67" t="s">
        <v>507</v>
      </c>
      <c r="H16" s="47"/>
      <c r="I16" s="55"/>
    </row>
    <row r="17" spans="5:13" ht="15" customHeight="1" x14ac:dyDescent="0.45">
      <c r="E17" s="41" t="str">
        <f t="shared" si="0"/>
        <v>Match-week</v>
      </c>
      <c r="F17" s="68" t="s">
        <v>637</v>
      </c>
      <c r="G17" s="67" t="s">
        <v>636</v>
      </c>
      <c r="H17" s="47"/>
      <c r="I17" s="55"/>
    </row>
    <row r="18" spans="5:13" ht="15" customHeight="1" x14ac:dyDescent="0.45">
      <c r="E18" s="41" t="str">
        <f t="shared" si="0"/>
        <v>First legs</v>
      </c>
      <c r="F18" s="68" t="s">
        <v>137</v>
      </c>
      <c r="G18" s="67" t="s">
        <v>135</v>
      </c>
      <c r="H18" s="47"/>
      <c r="I18" s="55"/>
    </row>
    <row r="19" spans="5:13" ht="15" customHeight="1" x14ac:dyDescent="0.45">
      <c r="E19" s="41" t="str">
        <f t="shared" si="0"/>
        <v>Second legs</v>
      </c>
      <c r="F19" s="68" t="s">
        <v>138</v>
      </c>
      <c r="G19" s="67" t="s">
        <v>136</v>
      </c>
      <c r="H19" s="47"/>
      <c r="I19" s="55"/>
    </row>
    <row r="20" spans="5:13" ht="15" x14ac:dyDescent="0.25">
      <c r="E20" s="41" t="str">
        <f t="shared" si="0"/>
        <v>Name</v>
      </c>
      <c r="F20" s="71" t="s">
        <v>508</v>
      </c>
      <c r="G20" s="70" t="s">
        <v>508</v>
      </c>
      <c r="H20" s="47"/>
      <c r="I20" s="56"/>
      <c r="J20" s="56"/>
      <c r="K20" s="56"/>
      <c r="L20" s="56"/>
      <c r="M20" s="56"/>
    </row>
    <row r="21" spans="5:13" ht="15" x14ac:dyDescent="0.25">
      <c r="E21" s="41" t="str">
        <f t="shared" si="0"/>
        <v>Pl</v>
      </c>
      <c r="F21" s="71" t="s">
        <v>470</v>
      </c>
      <c r="G21" s="70" t="s">
        <v>472</v>
      </c>
      <c r="H21" s="47"/>
      <c r="I21" s="56"/>
      <c r="J21" s="56"/>
      <c r="K21" s="56"/>
      <c r="L21" s="56"/>
      <c r="M21" s="56"/>
    </row>
    <row r="22" spans="5:13" ht="15" x14ac:dyDescent="0.25">
      <c r="E22" s="41" t="str">
        <f t="shared" si="0"/>
        <v>W</v>
      </c>
      <c r="F22" s="71" t="s">
        <v>92</v>
      </c>
      <c r="G22" s="70" t="s">
        <v>511</v>
      </c>
      <c r="H22" s="47"/>
      <c r="I22" s="56"/>
      <c r="J22" s="56"/>
      <c r="K22" s="56"/>
      <c r="L22" s="56"/>
      <c r="M22" s="56"/>
    </row>
    <row r="23" spans="5:13" ht="15" x14ac:dyDescent="0.25">
      <c r="E23" s="41" t="str">
        <f t="shared" si="0"/>
        <v>D</v>
      </c>
      <c r="F23" s="71" t="s">
        <v>93</v>
      </c>
      <c r="G23" s="70" t="s">
        <v>108</v>
      </c>
      <c r="H23" s="47"/>
      <c r="I23" s="56"/>
      <c r="J23" s="56"/>
      <c r="K23" s="56"/>
      <c r="L23" s="56"/>
      <c r="M23" s="56"/>
    </row>
    <row r="24" spans="5:13" ht="15" x14ac:dyDescent="0.25">
      <c r="E24" s="41" t="str">
        <f t="shared" si="0"/>
        <v>L</v>
      </c>
      <c r="F24" s="71" t="s">
        <v>94</v>
      </c>
      <c r="G24" s="70" t="s">
        <v>512</v>
      </c>
      <c r="H24" s="47"/>
      <c r="I24" s="56"/>
      <c r="J24" s="56"/>
      <c r="K24" s="56"/>
      <c r="L24" s="56"/>
      <c r="M24" s="56"/>
    </row>
    <row r="25" spans="5:13" ht="15" x14ac:dyDescent="0.25">
      <c r="E25" s="41" t="str">
        <f t="shared" si="0"/>
        <v>GF  -  GA</v>
      </c>
      <c r="F25" s="71" t="s">
        <v>471</v>
      </c>
      <c r="G25" s="70" t="s">
        <v>3</v>
      </c>
      <c r="H25" s="47"/>
      <c r="I25" s="56"/>
      <c r="J25" s="56"/>
      <c r="K25" s="56"/>
      <c r="L25" s="56"/>
      <c r="M25" s="56"/>
    </row>
    <row r="26" spans="5:13" ht="15" x14ac:dyDescent="0.25">
      <c r="E26" s="41" t="str">
        <f t="shared" si="0"/>
        <v>Diff.</v>
      </c>
      <c r="F26" s="71" t="s">
        <v>635</v>
      </c>
      <c r="G26" s="70" t="s">
        <v>635</v>
      </c>
      <c r="H26" s="47"/>
      <c r="I26" s="56"/>
      <c r="J26" s="56"/>
      <c r="K26" s="56"/>
      <c r="L26" s="56"/>
      <c r="M26" s="56"/>
    </row>
    <row r="27" spans="5:13" ht="15" x14ac:dyDescent="0.25">
      <c r="E27" s="41" t="str">
        <f t="shared" si="0"/>
        <v>Pts</v>
      </c>
      <c r="F27" s="71" t="s">
        <v>97</v>
      </c>
      <c r="G27" s="70" t="s">
        <v>109</v>
      </c>
      <c r="H27" s="47"/>
      <c r="I27" s="56"/>
      <c r="J27" s="56"/>
      <c r="K27" s="56"/>
      <c r="L27" s="56"/>
      <c r="M27" s="56"/>
    </row>
    <row r="28" spans="5:13" ht="15" x14ac:dyDescent="0.25">
      <c r="E28" s="41" t="str">
        <f t="shared" si="0"/>
        <v>GF</v>
      </c>
      <c r="F28" s="71" t="s">
        <v>95</v>
      </c>
      <c r="G28" s="70" t="s">
        <v>131</v>
      </c>
      <c r="H28" s="47"/>
      <c r="I28" s="56"/>
      <c r="J28" s="56"/>
      <c r="K28" s="56"/>
      <c r="L28" s="56"/>
      <c r="M28" s="56"/>
    </row>
    <row r="29" spans="5:13" x14ac:dyDescent="0.2">
      <c r="E29" s="41" t="str">
        <f t="shared" si="0"/>
        <v>INVALID TABLE</v>
      </c>
      <c r="F29" s="71" t="s">
        <v>111</v>
      </c>
      <c r="G29" s="70" t="s">
        <v>110</v>
      </c>
      <c r="H29" s="47"/>
    </row>
    <row r="30" spans="5:13" x14ac:dyDescent="0.2">
      <c r="E30" s="41" t="str">
        <f t="shared" si="0"/>
        <v>Participants and schedule</v>
      </c>
      <c r="F30" s="71" t="s">
        <v>112</v>
      </c>
      <c r="G30" s="70" t="s">
        <v>16</v>
      </c>
      <c r="H30" s="47"/>
    </row>
    <row r="31" spans="5:13" x14ac:dyDescent="0.2">
      <c r="E31" s="41" t="str">
        <f t="shared" si="0"/>
        <v>Participants</v>
      </c>
      <c r="F31" s="72" t="s">
        <v>113</v>
      </c>
      <c r="G31" s="70" t="s">
        <v>17</v>
      </c>
      <c r="H31" s="47"/>
    </row>
    <row r="32" spans="5:13" x14ac:dyDescent="0.2">
      <c r="E32" s="41" t="str">
        <f t="shared" si="0"/>
        <v>Schedule</v>
      </c>
      <c r="F32" s="72" t="s">
        <v>114</v>
      </c>
      <c r="G32" s="70" t="s">
        <v>20</v>
      </c>
      <c r="H32" s="47"/>
    </row>
    <row r="33" spans="5:8" x14ac:dyDescent="0.2">
      <c r="E33" s="41" t="str">
        <f t="shared" si="0"/>
        <v>Game no.</v>
      </c>
      <c r="F33" s="72" t="s">
        <v>115</v>
      </c>
      <c r="G33" s="70" t="s">
        <v>48</v>
      </c>
      <c r="H33" s="47"/>
    </row>
    <row r="34" spans="5:8" x14ac:dyDescent="0.2">
      <c r="E34" s="41" t="str">
        <f t="shared" si="0"/>
        <v>Pairings</v>
      </c>
      <c r="F34" s="72" t="s">
        <v>118</v>
      </c>
      <c r="G34" s="70" t="s">
        <v>49</v>
      </c>
      <c r="H34" s="47"/>
    </row>
    <row r="35" spans="5:8" x14ac:dyDescent="0.2">
      <c r="E35" s="41" t="str">
        <f t="shared" si="0"/>
        <v>Choose language</v>
      </c>
      <c r="F35" s="71" t="s">
        <v>99</v>
      </c>
      <c r="G35" s="70" t="s">
        <v>123</v>
      </c>
      <c r="H35" s="47"/>
    </row>
    <row r="36" spans="5:8" x14ac:dyDescent="0.2">
      <c r="E36" s="41" t="str">
        <f t="shared" si="0"/>
        <v>Captions</v>
      </c>
      <c r="F36" s="71" t="s">
        <v>102</v>
      </c>
      <c r="G36" s="70" t="s">
        <v>120</v>
      </c>
      <c r="H36" s="47"/>
    </row>
    <row r="37" spans="5:8" x14ac:dyDescent="0.2">
      <c r="E37" s="41" t="str">
        <f t="shared" si="0"/>
        <v>Messages</v>
      </c>
      <c r="F37" s="71" t="s">
        <v>121</v>
      </c>
      <c r="G37" s="70" t="s">
        <v>122</v>
      </c>
      <c r="H37" s="47"/>
    </row>
    <row r="38" spans="5:8" x14ac:dyDescent="0.2">
      <c r="E38" s="41" t="str">
        <f t="shared" si="0"/>
        <v>Your captions</v>
      </c>
      <c r="F38" s="71" t="s">
        <v>127</v>
      </c>
      <c r="G38" s="70" t="s">
        <v>126</v>
      </c>
      <c r="H38" s="47"/>
    </row>
    <row r="39" spans="5:8" x14ac:dyDescent="0.2">
      <c r="E39" s="41" t="str">
        <f t="shared" si="0"/>
        <v>Number of points for a win:</v>
      </c>
      <c r="F39" s="71" t="s">
        <v>506</v>
      </c>
      <c r="G39" s="70" t="s">
        <v>505</v>
      </c>
      <c r="H39" s="47"/>
    </row>
    <row r="40" spans="5:8" ht="27" customHeight="1" x14ac:dyDescent="0.2">
      <c r="E40" s="281" t="str">
        <f t="shared" si="0"/>
        <v>Individual teams compared for a specific time period</v>
      </c>
      <c r="F40" s="69" t="s">
        <v>514</v>
      </c>
      <c r="G40" s="85" t="s">
        <v>513</v>
      </c>
      <c r="H40" s="47"/>
    </row>
    <row r="41" spans="5:8" x14ac:dyDescent="0.2">
      <c r="E41" s="41" t="str">
        <f t="shared" si="0"/>
        <v>from</v>
      </c>
      <c r="F41" s="71" t="s">
        <v>516</v>
      </c>
      <c r="G41" s="70" t="s">
        <v>509</v>
      </c>
      <c r="H41" s="47"/>
    </row>
    <row r="42" spans="5:8" x14ac:dyDescent="0.2">
      <c r="E42" s="41" t="str">
        <f t="shared" si="0"/>
        <v>Abbreviation</v>
      </c>
      <c r="F42" s="71" t="s">
        <v>474</v>
      </c>
      <c r="G42" s="70" t="s">
        <v>473</v>
      </c>
      <c r="H42" s="47"/>
    </row>
    <row r="43" spans="5:8" x14ac:dyDescent="0.2">
      <c r="E43" s="41" t="str">
        <f t="shared" si="0"/>
        <v>Length of abbreviations:</v>
      </c>
      <c r="F43" s="71" t="s">
        <v>153</v>
      </c>
      <c r="G43" s="70" t="s">
        <v>152</v>
      </c>
      <c r="H43" s="47"/>
    </row>
    <row r="44" spans="5:8" x14ac:dyDescent="0.2">
      <c r="E44" s="41" t="str">
        <f t="shared" si="0"/>
        <v>to</v>
      </c>
      <c r="F44" s="71" t="s">
        <v>517</v>
      </c>
      <c r="G44" s="70" t="s">
        <v>510</v>
      </c>
      <c r="H44" s="47"/>
    </row>
    <row r="45" spans="5:8" x14ac:dyDescent="0.2">
      <c r="E45" s="41" t="str">
        <f t="shared" si="0"/>
        <v>Date</v>
      </c>
      <c r="F45" s="71" t="s">
        <v>151</v>
      </c>
      <c r="G45" s="70" t="s">
        <v>150</v>
      </c>
      <c r="H45" s="47"/>
    </row>
    <row r="46" spans="5:8" x14ac:dyDescent="0.2">
      <c r="E46" s="41" t="str">
        <f t="shared" si="0"/>
        <v>Match against</v>
      </c>
      <c r="F46" s="71" t="s">
        <v>142</v>
      </c>
      <c r="G46" s="70" t="s">
        <v>141</v>
      </c>
      <c r="H46" s="47"/>
    </row>
    <row r="47" spans="5:8" x14ac:dyDescent="0.2">
      <c r="E47" s="41" t="str">
        <f t="shared" si="0"/>
        <v>Note</v>
      </c>
      <c r="F47" s="71" t="s">
        <v>143</v>
      </c>
      <c r="G47" s="70" t="s">
        <v>144</v>
      </c>
      <c r="H47" s="47"/>
    </row>
    <row r="48" spans="5:8" x14ac:dyDescent="0.2">
      <c r="E48" s="41" t="str">
        <f t="shared" si="0"/>
        <v>Time</v>
      </c>
      <c r="F48" s="71" t="s">
        <v>149</v>
      </c>
      <c r="G48" s="70" t="s">
        <v>148</v>
      </c>
      <c r="H48" s="47"/>
    </row>
    <row r="49" spans="5:8" x14ac:dyDescent="0.2">
      <c r="E49" s="41" t="str">
        <f t="shared" si="0"/>
        <v>Bonus</v>
      </c>
      <c r="F49" s="48" t="s">
        <v>53</v>
      </c>
      <c r="G49" s="46" t="s">
        <v>53</v>
      </c>
      <c r="H49" s="47"/>
    </row>
    <row r="50" spans="5:8" x14ac:dyDescent="0.2">
      <c r="E50" s="41" t="str">
        <f t="shared" si="0"/>
        <v>Team</v>
      </c>
      <c r="F50" s="71" t="s">
        <v>90</v>
      </c>
      <c r="G50" s="70" t="s">
        <v>90</v>
      </c>
      <c r="H50" s="47"/>
    </row>
    <row r="51" spans="5:8" x14ac:dyDescent="0.2">
      <c r="E51" s="41" t="str">
        <f t="shared" si="0"/>
        <v>Penalty points</v>
      </c>
      <c r="F51" s="71" t="s">
        <v>519</v>
      </c>
      <c r="G51" s="70" t="s">
        <v>642</v>
      </c>
      <c r="H51" s="47"/>
    </row>
    <row r="52" spans="5:8" x14ac:dyDescent="0.2">
      <c r="E52" s="41" t="str">
        <f t="shared" si="0"/>
        <v>PenPts</v>
      </c>
      <c r="F52" s="71" t="s">
        <v>521</v>
      </c>
      <c r="G52" s="70" t="s">
        <v>522</v>
      </c>
      <c r="H52" s="47"/>
    </row>
    <row r="53" spans="5:8" x14ac:dyDescent="0.2">
      <c r="E53" s="41" t="str">
        <f t="shared" si="0"/>
        <v>Sets</v>
      </c>
      <c r="F53" s="71" t="s">
        <v>634</v>
      </c>
      <c r="G53" s="70" t="s">
        <v>633</v>
      </c>
      <c r="H53" s="47"/>
    </row>
    <row r="54" spans="5:8" x14ac:dyDescent="0.2">
      <c r="E54" s="41" t="str">
        <f t="shared" si="0"/>
        <v>1st set</v>
      </c>
      <c r="F54" s="71" t="s">
        <v>607</v>
      </c>
      <c r="G54" s="70" t="s">
        <v>608</v>
      </c>
      <c r="H54" s="47"/>
    </row>
    <row r="55" spans="5:8" x14ac:dyDescent="0.2">
      <c r="E55" s="41" t="str">
        <f t="shared" si="0"/>
        <v>2nd set</v>
      </c>
      <c r="F55" s="71" t="s">
        <v>609</v>
      </c>
      <c r="G55" s="70" t="s">
        <v>610</v>
      </c>
      <c r="H55" s="47"/>
    </row>
    <row r="56" spans="5:8" x14ac:dyDescent="0.2">
      <c r="E56" s="41" t="str">
        <f t="shared" si="0"/>
        <v>3rd set</v>
      </c>
      <c r="F56" s="71" t="s">
        <v>611</v>
      </c>
      <c r="G56" s="70" t="s">
        <v>612</v>
      </c>
      <c r="H56" s="47"/>
    </row>
    <row r="57" spans="5:8" x14ac:dyDescent="0.2">
      <c r="E57" s="41" t="str">
        <f t="shared" si="0"/>
        <v>balls</v>
      </c>
      <c r="F57" s="71" t="s">
        <v>564</v>
      </c>
      <c r="G57" s="70" t="s">
        <v>613</v>
      </c>
      <c r="H57" s="47"/>
    </row>
    <row r="58" spans="5:8" x14ac:dyDescent="0.2">
      <c r="E58" s="41" t="str">
        <f t="shared" si="0"/>
        <v>Winner</v>
      </c>
      <c r="F58" s="71" t="s">
        <v>603</v>
      </c>
      <c r="G58" s="70" t="s">
        <v>604</v>
      </c>
      <c r="H58" s="47"/>
    </row>
    <row r="59" spans="5:8" x14ac:dyDescent="0.2">
      <c r="E59" s="41" t="str">
        <f t="shared" si="0"/>
        <v>Quot.</v>
      </c>
      <c r="F59" s="71" t="s">
        <v>614</v>
      </c>
      <c r="G59" s="70" t="s">
        <v>614</v>
      </c>
      <c r="H59" s="47"/>
    </row>
    <row r="60" spans="5:8" x14ac:dyDescent="0.2">
      <c r="E60" s="41" t="str">
        <f t="shared" si="0"/>
        <v>Referee</v>
      </c>
      <c r="F60" s="71" t="s">
        <v>615</v>
      </c>
      <c r="G60" s="70" t="s">
        <v>616</v>
      </c>
      <c r="H60" s="47"/>
    </row>
    <row r="61" spans="5:8" x14ac:dyDescent="0.2">
      <c r="E61" s="41" t="str">
        <f t="shared" si="0"/>
        <v>Matchweek</v>
      </c>
      <c r="F61" s="71" t="s">
        <v>641</v>
      </c>
      <c r="G61" s="70" t="s">
        <v>640</v>
      </c>
      <c r="H61" s="47"/>
    </row>
    <row r="62" spans="5:8" x14ac:dyDescent="0.2">
      <c r="E62" s="41">
        <f t="shared" si="0"/>
        <v>0</v>
      </c>
      <c r="F62" s="71"/>
      <c r="G62" s="70"/>
      <c r="H62" s="47"/>
    </row>
    <row r="63" spans="5:8" x14ac:dyDescent="0.2">
      <c r="E63" s="41" t="str">
        <f t="shared" si="0"/>
        <v>Ball difference or ball quotient:</v>
      </c>
      <c r="F63" s="71" t="s">
        <v>573</v>
      </c>
      <c r="G63" s="70" t="s">
        <v>574</v>
      </c>
      <c r="H63" s="47"/>
    </row>
    <row r="64" spans="5:8" x14ac:dyDescent="0.2">
      <c r="E64" s="41" t="str">
        <f t="shared" si="0"/>
        <v>Ball difference</v>
      </c>
      <c r="F64" s="71" t="s">
        <v>575</v>
      </c>
      <c r="G64" s="70" t="s">
        <v>576</v>
      </c>
      <c r="H64" s="47"/>
    </row>
    <row r="65" spans="5:8" x14ac:dyDescent="0.2">
      <c r="E65" s="41" t="str">
        <f t="shared" si="0"/>
        <v>Ball quotient</v>
      </c>
      <c r="F65" s="71" t="s">
        <v>577</v>
      </c>
      <c r="G65" s="70" t="s">
        <v>578</v>
      </c>
      <c r="H65" s="47"/>
    </row>
    <row r="66" spans="5:8" x14ac:dyDescent="0.2">
      <c r="E66" s="41" t="str">
        <f t="shared" si="0"/>
        <v>Ball points</v>
      </c>
      <c r="F66" s="71" t="s">
        <v>579</v>
      </c>
      <c r="G66" s="70" t="s">
        <v>580</v>
      </c>
      <c r="H66" s="47"/>
    </row>
    <row r="67" spans="5:8" x14ac:dyDescent="0.2">
      <c r="E67" s="41" t="str">
        <f t="shared" si="0"/>
        <v>Set points</v>
      </c>
      <c r="F67" s="71" t="s">
        <v>581</v>
      </c>
      <c r="G67" s="70" t="s">
        <v>582</v>
      </c>
      <c r="H67" s="47"/>
    </row>
    <row r="68" spans="5:8" x14ac:dyDescent="0.2">
      <c r="E68" s="41" t="str">
        <f t="shared" si="0"/>
        <v>Set difference as the second criterion?</v>
      </c>
      <c r="F68" s="71" t="s">
        <v>583</v>
      </c>
      <c r="G68" s="70" t="s">
        <v>584</v>
      </c>
      <c r="H68" s="47"/>
    </row>
    <row r="69" spans="5:8" x14ac:dyDescent="0.2">
      <c r="E69" s="41" t="str">
        <f t="shared" si="0"/>
        <v>Yes</v>
      </c>
      <c r="F69" s="71" t="s">
        <v>585</v>
      </c>
      <c r="G69" s="70" t="s">
        <v>586</v>
      </c>
      <c r="H69" s="47"/>
    </row>
    <row r="70" spans="5:8" x14ac:dyDescent="0.2">
      <c r="E70" s="41" t="str">
        <f t="shared" si="0"/>
        <v>No</v>
      </c>
      <c r="F70" s="71" t="s">
        <v>587</v>
      </c>
      <c r="G70" s="70" t="s">
        <v>588</v>
      </c>
      <c r="H70" s="47"/>
    </row>
    <row r="71" spans="5:8" x14ac:dyDescent="0.2">
      <c r="E71" s="41" t="str">
        <f t="shared" si="0"/>
        <v>Setpts.</v>
      </c>
      <c r="F71" s="71" t="s">
        <v>589</v>
      </c>
      <c r="G71" s="70" t="s">
        <v>590</v>
      </c>
      <c r="H71" s="47"/>
    </row>
    <row r="72" spans="5:8" x14ac:dyDescent="0.2">
      <c r="E72" s="41" t="str">
        <f t="shared" si="0"/>
        <v>First criterion for the ranking:</v>
      </c>
      <c r="F72" s="71" t="s">
        <v>591</v>
      </c>
      <c r="G72" s="70" t="s">
        <v>592</v>
      </c>
      <c r="H72" s="47"/>
    </row>
    <row r="73" spans="5:8" x14ac:dyDescent="0.2">
      <c r="E73" s="41" t="str">
        <f t="shared" si="0"/>
        <v>Number of (victory) points</v>
      </c>
      <c r="F73" s="71" t="s">
        <v>593</v>
      </c>
      <c r="G73" s="70" t="s">
        <v>594</v>
      </c>
      <c r="H73" s="47"/>
    </row>
    <row r="74" spans="5:8" x14ac:dyDescent="0.2">
      <c r="E74" s="41" t="str">
        <f t="shared" si="0"/>
        <v>Number of sets won</v>
      </c>
      <c r="F74" s="71" t="s">
        <v>595</v>
      </c>
      <c r="G74" s="70" t="s">
        <v>596</v>
      </c>
      <c r="H74" s="47"/>
    </row>
    <row r="75" spans="5:8" x14ac:dyDescent="0.2">
      <c r="E75" s="41" t="str">
        <f t="shared" si="0"/>
        <v>Sets won as the third criterion?</v>
      </c>
      <c r="F75" s="71" t="s">
        <v>597</v>
      </c>
      <c r="G75" s="70" t="s">
        <v>598</v>
      </c>
      <c r="H75" s="47"/>
    </row>
    <row r="76" spans="5:8" x14ac:dyDescent="0.2">
      <c r="E76" s="41" t="str">
        <f t="shared" si="0"/>
        <v>Only makes sense if the number of (victory) points is the first criterion</v>
      </c>
      <c r="F76" s="71" t="s">
        <v>599</v>
      </c>
      <c r="G76" s="70" t="s">
        <v>600</v>
      </c>
      <c r="H76" s="47"/>
    </row>
    <row r="77" spans="5:8" x14ac:dyDescent="0.2">
      <c r="E77" s="41" t="str">
        <f t="shared" si="0"/>
        <v>Team numbers</v>
      </c>
      <c r="F77" s="71" t="s">
        <v>601</v>
      </c>
      <c r="G77" s="70" t="s">
        <v>602</v>
      </c>
      <c r="H77" s="47"/>
    </row>
    <row r="78" spans="5:8" x14ac:dyDescent="0.2">
      <c r="E78" s="41" t="str">
        <f t="shared" si="0"/>
        <v>Winner</v>
      </c>
      <c r="F78" s="71" t="s">
        <v>603</v>
      </c>
      <c r="G78" s="70" t="s">
        <v>604</v>
      </c>
      <c r="H78" s="47"/>
    </row>
    <row r="79" spans="5:8" x14ac:dyDescent="0.2">
      <c r="E79" s="41" t="str">
        <f t="shared" si="0"/>
        <v>Display in the crosstabs of the preliminary round:</v>
      </c>
      <c r="F79" s="71" t="s">
        <v>605</v>
      </c>
      <c r="G79" s="70" t="s">
        <v>606</v>
      </c>
      <c r="H79" s="47"/>
    </row>
    <row r="80" spans="5:8" x14ac:dyDescent="0.2">
      <c r="E80" s="41">
        <f t="shared" si="0"/>
        <v>0</v>
      </c>
      <c r="F80" s="71"/>
      <c r="G80" s="70"/>
      <c r="H80" s="47"/>
    </row>
    <row r="81" spans="5:8" ht="28.5" x14ac:dyDescent="0.45">
      <c r="E81" s="41"/>
      <c r="F81" s="52" t="str">
        <f>$E$37</f>
        <v>Messages</v>
      </c>
      <c r="G81" s="53"/>
      <c r="H81" s="54"/>
    </row>
    <row r="82" spans="5:8" ht="79.5" customHeight="1" x14ac:dyDescent="0.2">
      <c r="E82" s="41" t="str">
        <f t="shared" si="0"/>
        <v>If two or more teams cannot be distinguished and a direct comparison or a decisive match decides, it is sufficient to enter bonus points for the preferred teams.</v>
      </c>
      <c r="F82" s="59" t="s">
        <v>481</v>
      </c>
      <c r="G82" s="60" t="s">
        <v>480</v>
      </c>
      <c r="H82" s="61"/>
    </row>
    <row r="83" spans="5:8" ht="51.75" customHeight="1" x14ac:dyDescent="0.2">
      <c r="E83" s="41" t="str">
        <f t="shared" si="0"/>
        <v>Double match pairings and matches against oneself
lead to incorrect values in the overall table!</v>
      </c>
      <c r="F83" s="69" t="s">
        <v>132</v>
      </c>
      <c r="G83" s="85" t="s">
        <v>50</v>
      </c>
      <c r="H83" s="61"/>
    </row>
    <row r="84" spans="5:8" ht="51.75" customHeight="1" x14ac:dyDescent="0.2">
      <c r="E84" s="41">
        <f t="shared" si="0"/>
        <v>0</v>
      </c>
      <c r="F84" s="69"/>
      <c r="G84" s="60"/>
      <c r="H84" s="61"/>
    </row>
    <row r="85" spans="5:8" ht="16.5" customHeight="1" x14ac:dyDescent="0.2">
      <c r="E85" s="41" t="str">
        <f t="shared" si="0"/>
        <v>double</v>
      </c>
      <c r="F85" s="75" t="s">
        <v>476</v>
      </c>
      <c r="G85" s="74" t="s">
        <v>477</v>
      </c>
      <c r="H85" s="62"/>
    </row>
    <row r="86" spans="5:8" ht="20.25" customHeight="1" x14ac:dyDescent="0.2">
      <c r="E86" s="41" t="str">
        <f t="shared" si="0"/>
        <v>Click here and choose language</v>
      </c>
      <c r="F86" s="80" t="s">
        <v>130</v>
      </c>
      <c r="G86" s="78" t="s">
        <v>129</v>
      </c>
      <c r="H86" s="63"/>
    </row>
    <row r="87" spans="5:8" ht="32.25" customHeight="1" x14ac:dyDescent="0.2">
      <c r="E87" s="41" t="str">
        <f t="shared" si="0"/>
        <v>Duplicate names</v>
      </c>
      <c r="F87" s="94" t="s">
        <v>469</v>
      </c>
      <c r="G87" s="93" t="s">
        <v>468</v>
      </c>
      <c r="H87" s="63"/>
    </row>
    <row r="88" spans="5:8" ht="88.5" customHeight="1" x14ac:dyDescent="0.2">
      <c r="E88" s="41" t="str">
        <f t="shared" si="0"/>
        <v>If two (or more) teams are tied in the rankings at the end of the season and a draw or play-off is held, it is sufficient to enter one bonus point for the preferred team here.</v>
      </c>
      <c r="F88" s="82" t="s">
        <v>639</v>
      </c>
      <c r="G88" s="81" t="s">
        <v>638</v>
      </c>
      <c r="H88" s="57"/>
    </row>
    <row r="89" spans="5:8" ht="17.25" customHeight="1" x14ac:dyDescent="0.2">
      <c r="E89" s="41" t="str">
        <f t="shared" si="0"/>
        <v>Explanation</v>
      </c>
      <c r="F89" s="82" t="s">
        <v>483</v>
      </c>
      <c r="G89" s="104" t="s">
        <v>482</v>
      </c>
      <c r="H89" s="57"/>
    </row>
    <row r="90" spans="5:8" ht="16.5" customHeight="1" x14ac:dyDescent="0.2">
      <c r="E90" s="41" t="str">
        <f t="shared" si="0"/>
        <v xml:space="preserve"> - </v>
      </c>
      <c r="F90" s="82" t="s">
        <v>103</v>
      </c>
      <c r="G90" s="104" t="s">
        <v>104</v>
      </c>
      <c r="H90" s="57"/>
    </row>
    <row r="91" spans="5:8" ht="16.5" customHeight="1" x14ac:dyDescent="0.2">
      <c r="E91" s="41">
        <f t="shared" ref="E91:E100" si="1">IF($C$3,F91,IF($C$4,G91,IF($H91&lt;&gt;"",$H91,$F91)))</f>
        <v>0</v>
      </c>
      <c r="F91" s="82"/>
      <c r="G91" s="104"/>
      <c r="H91" s="57"/>
    </row>
    <row r="92" spans="5:8" ht="16.5" customHeight="1" x14ac:dyDescent="0.2">
      <c r="E92" s="41" t="str">
        <f t="shared" si="1"/>
        <v>Abbreviations of the team names:</v>
      </c>
      <c r="F92" s="82" t="s">
        <v>617</v>
      </c>
      <c r="G92" s="104" t="s">
        <v>618</v>
      </c>
      <c r="H92" s="57"/>
    </row>
    <row r="93" spans="5:8" ht="16.5" customHeight="1" x14ac:dyDescent="0.2">
      <c r="E93" s="41" t="str">
        <f t="shared" si="1"/>
        <v>letters</v>
      </c>
      <c r="F93" s="82" t="s">
        <v>619</v>
      </c>
      <c r="G93" s="104" t="s">
        <v>620</v>
      </c>
      <c r="H93" s="57"/>
    </row>
    <row r="94" spans="5:8" ht="16.5" customHeight="1" x14ac:dyDescent="0.2">
      <c r="E94" s="41">
        <f t="shared" si="1"/>
        <v>0</v>
      </c>
      <c r="F94" s="82"/>
      <c r="G94" s="104"/>
      <c r="H94" s="57"/>
    </row>
    <row r="95" spans="5:8" ht="16.5" customHeight="1" x14ac:dyDescent="0.2">
      <c r="E95" s="41">
        <f t="shared" si="1"/>
        <v>0</v>
      </c>
      <c r="F95" s="82"/>
      <c r="G95" s="104"/>
      <c r="H95" s="57"/>
    </row>
    <row r="96" spans="5:8" ht="16.5" customHeight="1" x14ac:dyDescent="0.2">
      <c r="E96" s="41">
        <f t="shared" si="1"/>
        <v>0</v>
      </c>
      <c r="F96" s="82"/>
      <c r="G96" s="104"/>
      <c r="H96" s="57"/>
    </row>
    <row r="97" spans="5:9" ht="16.5" customHeight="1" x14ac:dyDescent="0.2">
      <c r="E97" s="41">
        <f t="shared" si="1"/>
        <v>0</v>
      </c>
      <c r="F97" s="82"/>
      <c r="G97" s="104"/>
      <c r="H97" s="57"/>
    </row>
    <row r="98" spans="5:9" ht="16.5" customHeight="1" x14ac:dyDescent="0.2">
      <c r="E98" s="41">
        <f t="shared" si="1"/>
        <v>0</v>
      </c>
      <c r="F98" s="82"/>
      <c r="G98" s="104"/>
      <c r="H98" s="57"/>
    </row>
    <row r="99" spans="5:9" ht="16.5" customHeight="1" x14ac:dyDescent="0.2">
      <c r="E99" s="41">
        <f t="shared" si="1"/>
        <v>0</v>
      </c>
      <c r="F99" s="82"/>
      <c r="G99" s="104"/>
      <c r="H99" s="57"/>
    </row>
    <row r="100" spans="5:9" ht="16.5" customHeight="1" thickBot="1" x14ac:dyDescent="0.25">
      <c r="E100" s="41">
        <f t="shared" si="1"/>
        <v>0</v>
      </c>
      <c r="F100" s="64"/>
      <c r="G100" s="65"/>
      <c r="H100" s="66"/>
    </row>
    <row r="101" spans="5:9" ht="13.5" thickTop="1" x14ac:dyDescent="0.2"/>
    <row r="105" spans="5:9" x14ac:dyDescent="0.2">
      <c r="I105" s="76"/>
    </row>
  </sheetData>
  <sheetProtection sheet="1" selectLockedCells="1"/>
  <mergeCells count="7">
    <mergeCell ref="F1:H1"/>
    <mergeCell ref="H3:H4"/>
    <mergeCell ref="F2:G2"/>
    <mergeCell ref="D3:D4"/>
    <mergeCell ref="E3:E4"/>
    <mergeCell ref="F3:F4"/>
    <mergeCell ref="G3:G4"/>
  </mergeCells>
  <conditionalFormatting sqref="F3:F4">
    <cfRule type="expression" dxfId="3" priority="7">
      <formula>C3</formula>
    </cfRule>
  </conditionalFormatting>
  <conditionalFormatting sqref="G3:G4">
    <cfRule type="expression" dxfId="2" priority="3">
      <formula>C4</formula>
    </cfRule>
  </conditionalFormatting>
  <conditionalFormatting sqref="D3:D4">
    <cfRule type="expression" dxfId="1" priority="84">
      <formula>#REF!</formula>
    </cfRule>
  </conditionalFormatting>
  <conditionalFormatting sqref="H3:H4">
    <cfRule type="expression" dxfId="0" priority="85">
      <formula>C5</formula>
    </cfRule>
  </conditionalFormatting>
  <dataValidations count="3">
    <dataValidation allowBlank="1" showErrorMessage="1" errorTitle="Language" error="Invalid language" promptTitle="Language" prompt="Please choose a language for the country names" sqref="I3" xr:uid="{D74F54ED-A484-497F-B60B-4572799DBFBF}"/>
    <dataValidation type="whole" allowBlank="1" showInputMessage="1" showErrorMessage="1" sqref="J2" xr:uid="{3B6319A8-0080-4C57-8EFB-9F91E387C351}">
      <formula1>1</formula1>
      <formula2>5</formula2>
    </dataValidation>
    <dataValidation type="list" allowBlank="1" showErrorMessage="1" errorTitle="Language" error="Invalid language" sqref="J1" xr:uid="{D7322420-D554-4832-9E07-C0DBCDC53145}">
      <formula1>$B$3:$B$5</formula1>
    </dataValidation>
  </dataValidations>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73398-4D2D-4ED7-97B2-D10DB76B65C4}">
  <sheetPr codeName="Tabelle9"/>
  <dimension ref="A1:BQ380"/>
  <sheetViews>
    <sheetView workbookViewId="0">
      <selection activeCell="B1" sqref="B1"/>
    </sheetView>
  </sheetViews>
  <sheetFormatPr baseColWidth="10" defaultRowHeight="12.75" x14ac:dyDescent="0.2"/>
  <cols>
    <col min="2" max="2" width="3.7109375" customWidth="1"/>
    <col min="3" max="3" width="8.85546875" customWidth="1"/>
    <col min="4" max="5" width="5.7109375" customWidth="1"/>
    <col min="6" max="7" width="8.85546875" customWidth="1"/>
    <col min="8" max="9" width="5.7109375" customWidth="1"/>
    <col min="10" max="11" width="8.85546875" customWidth="1"/>
    <col min="12" max="13" width="5.7109375" customWidth="1"/>
    <col min="14" max="15" width="8.85546875" customWidth="1"/>
    <col min="16" max="17" width="5.7109375" customWidth="1"/>
    <col min="18" max="19" width="8.85546875" customWidth="1"/>
    <col min="20" max="21" width="5.7109375" customWidth="1"/>
    <col min="22" max="23" width="8.85546875" customWidth="1"/>
    <col min="24" max="25" width="5.7109375" customWidth="1"/>
    <col min="26" max="27" width="8.85546875" customWidth="1"/>
    <col min="28" max="29" width="5.7109375" customWidth="1"/>
    <col min="30" max="31" width="8.85546875" customWidth="1"/>
    <col min="32" max="33" width="5.7109375" customWidth="1"/>
    <col min="34" max="35" width="8.85546875" customWidth="1"/>
    <col min="36" max="37" width="5.7109375" customWidth="1"/>
    <col min="38" max="39" width="8.85546875" customWidth="1"/>
    <col min="40" max="41" width="5.7109375" customWidth="1"/>
    <col min="42" max="43" width="8.85546875" customWidth="1"/>
    <col min="44" max="45" width="5.7109375" customWidth="1"/>
    <col min="46" max="47" width="8.85546875" customWidth="1"/>
    <col min="48" max="49" width="5.7109375" customWidth="1"/>
    <col min="50" max="51" width="8.85546875" customWidth="1"/>
    <col min="52" max="53" width="5.7109375" customWidth="1"/>
    <col min="54" max="55" width="8.85546875" customWidth="1"/>
    <col min="56" max="57" width="5.7109375" customWidth="1"/>
    <col min="58" max="59" width="8.85546875" customWidth="1"/>
    <col min="60" max="61" width="5.7109375" customWidth="1"/>
    <col min="62" max="63" width="8.85546875" customWidth="1"/>
    <col min="64" max="65" width="5.7109375" customWidth="1"/>
    <col min="66" max="67" width="8.85546875" customWidth="1"/>
    <col min="68" max="69" width="5.7109375" customWidth="1"/>
    <col min="70" max="70" width="8.85546875" customWidth="1"/>
  </cols>
  <sheetData>
    <row r="1" spans="1:69" x14ac:dyDescent="0.2">
      <c r="A1" s="498" t="str">
        <f>Language!$E$13</f>
        <v>Matchups</v>
      </c>
      <c r="C1" s="271" t="s">
        <v>486</v>
      </c>
      <c r="D1" s="42">
        <v>1</v>
      </c>
      <c r="E1" s="42">
        <v>4</v>
      </c>
      <c r="G1" s="271" t="s">
        <v>488</v>
      </c>
      <c r="H1" s="42">
        <v>5</v>
      </c>
      <c r="I1" s="42">
        <v>2</v>
      </c>
      <c r="K1" s="271" t="s">
        <v>487</v>
      </c>
      <c r="L1" s="42">
        <v>1</v>
      </c>
      <c r="M1" s="42">
        <v>6</v>
      </c>
      <c r="O1" s="271" t="s">
        <v>489</v>
      </c>
      <c r="P1" s="42">
        <v>7</v>
      </c>
      <c r="Q1" s="42">
        <v>2</v>
      </c>
      <c r="S1" s="271" t="s">
        <v>490</v>
      </c>
      <c r="T1" s="42">
        <v>1</v>
      </c>
      <c r="U1" s="42">
        <v>8</v>
      </c>
      <c r="W1" s="271" t="s">
        <v>502</v>
      </c>
      <c r="X1" s="42">
        <v>9</v>
      </c>
      <c r="Y1" s="42">
        <v>2</v>
      </c>
      <c r="AA1" s="271" t="s">
        <v>491</v>
      </c>
      <c r="AB1" s="42">
        <v>1</v>
      </c>
      <c r="AC1" s="42">
        <v>10</v>
      </c>
      <c r="AE1" s="271" t="s">
        <v>492</v>
      </c>
      <c r="AF1" s="42">
        <v>11</v>
      </c>
      <c r="AG1" s="42">
        <v>2</v>
      </c>
      <c r="AI1" s="271" t="s">
        <v>493</v>
      </c>
      <c r="AJ1" s="42">
        <v>1</v>
      </c>
      <c r="AK1" s="42">
        <v>12</v>
      </c>
      <c r="AM1" s="271" t="s">
        <v>494</v>
      </c>
      <c r="AN1" s="42">
        <v>13</v>
      </c>
      <c r="AO1" s="42">
        <v>2</v>
      </c>
      <c r="AQ1" s="271" t="s">
        <v>501</v>
      </c>
      <c r="AR1" s="42">
        <v>1</v>
      </c>
      <c r="AS1" s="42">
        <v>14</v>
      </c>
      <c r="AU1" s="271" t="s">
        <v>500</v>
      </c>
      <c r="AV1" s="42">
        <v>15</v>
      </c>
      <c r="AW1" s="42">
        <v>2</v>
      </c>
      <c r="AY1" s="271" t="s">
        <v>499</v>
      </c>
      <c r="AZ1" s="42">
        <v>1</v>
      </c>
      <c r="BA1" s="42">
        <v>16</v>
      </c>
      <c r="BC1" s="271" t="s">
        <v>498</v>
      </c>
      <c r="BD1" s="42">
        <v>17</v>
      </c>
      <c r="BE1" s="42">
        <v>2</v>
      </c>
      <c r="BG1" s="271" t="s">
        <v>497</v>
      </c>
      <c r="BH1" s="42">
        <v>1</v>
      </c>
      <c r="BI1" s="42">
        <v>18</v>
      </c>
      <c r="BK1" s="271" t="s">
        <v>496</v>
      </c>
      <c r="BL1" s="42">
        <v>19</v>
      </c>
      <c r="BM1" s="42">
        <v>2</v>
      </c>
      <c r="BO1" s="271" t="s">
        <v>495</v>
      </c>
      <c r="BP1" s="42">
        <v>1</v>
      </c>
      <c r="BQ1" s="42">
        <v>20</v>
      </c>
    </row>
    <row r="2" spans="1:69" x14ac:dyDescent="0.2">
      <c r="A2" s="498"/>
      <c r="C2" s="495" t="str">
        <f>Language!$E$18</f>
        <v>First legs</v>
      </c>
      <c r="D2" s="42">
        <v>3</v>
      </c>
      <c r="E2" s="42">
        <v>2</v>
      </c>
      <c r="G2" s="270"/>
      <c r="H2" s="42">
        <v>3</v>
      </c>
      <c r="I2" s="42">
        <v>4</v>
      </c>
      <c r="K2" s="270"/>
      <c r="L2" s="42">
        <v>5</v>
      </c>
      <c r="M2" s="42">
        <v>2</v>
      </c>
      <c r="O2" s="270"/>
      <c r="P2" s="42">
        <v>3</v>
      </c>
      <c r="Q2" s="42">
        <v>6</v>
      </c>
      <c r="S2" s="270"/>
      <c r="T2" s="42">
        <v>7</v>
      </c>
      <c r="U2" s="42">
        <v>2</v>
      </c>
      <c r="W2" s="270"/>
      <c r="X2" s="42">
        <v>3</v>
      </c>
      <c r="Y2" s="42">
        <v>8</v>
      </c>
      <c r="AA2" s="270"/>
      <c r="AB2" s="42">
        <v>9</v>
      </c>
      <c r="AC2" s="42">
        <v>2</v>
      </c>
      <c r="AE2" s="270"/>
      <c r="AF2" s="42">
        <v>3</v>
      </c>
      <c r="AG2" s="42">
        <v>10</v>
      </c>
      <c r="AI2" s="270"/>
      <c r="AJ2" s="42">
        <v>11</v>
      </c>
      <c r="AK2" s="42">
        <v>2</v>
      </c>
      <c r="AM2" s="270"/>
      <c r="AN2" s="42">
        <v>3</v>
      </c>
      <c r="AO2" s="42">
        <v>12</v>
      </c>
      <c r="AQ2" s="270"/>
      <c r="AR2" s="42">
        <v>13</v>
      </c>
      <c r="AS2" s="42">
        <v>2</v>
      </c>
      <c r="AU2" s="270"/>
      <c r="AV2" s="42">
        <v>3</v>
      </c>
      <c r="AW2" s="42">
        <v>14</v>
      </c>
      <c r="AY2" s="270"/>
      <c r="AZ2" s="42">
        <v>15</v>
      </c>
      <c r="BA2" s="42">
        <v>2</v>
      </c>
      <c r="BC2" s="270"/>
      <c r="BD2" s="42">
        <v>3</v>
      </c>
      <c r="BE2" s="42">
        <v>16</v>
      </c>
      <c r="BG2" s="270"/>
      <c r="BH2" s="42">
        <v>17</v>
      </c>
      <c r="BI2" s="42">
        <v>2</v>
      </c>
      <c r="BK2" s="270"/>
      <c r="BL2" s="42">
        <v>3</v>
      </c>
      <c r="BM2" s="42">
        <v>18</v>
      </c>
      <c r="BO2" s="270"/>
      <c r="BP2" s="42">
        <v>19</v>
      </c>
      <c r="BQ2" s="42">
        <v>2</v>
      </c>
    </row>
    <row r="3" spans="1:69" x14ac:dyDescent="0.2">
      <c r="A3" s="498"/>
      <c r="C3" s="495"/>
      <c r="D3" s="42">
        <v>3</v>
      </c>
      <c r="E3" s="42">
        <v>1</v>
      </c>
      <c r="H3" s="42">
        <v>5</v>
      </c>
      <c r="I3" s="42">
        <v>1</v>
      </c>
      <c r="L3" s="42">
        <v>3</v>
      </c>
      <c r="M3" s="42">
        <v>4</v>
      </c>
      <c r="P3" s="42">
        <v>5</v>
      </c>
      <c r="Q3" s="42">
        <v>4</v>
      </c>
      <c r="T3" s="42">
        <v>3</v>
      </c>
      <c r="U3" s="42">
        <v>6</v>
      </c>
      <c r="X3" s="42">
        <v>7</v>
      </c>
      <c r="Y3" s="42">
        <v>4</v>
      </c>
      <c r="AB3" s="42">
        <v>3</v>
      </c>
      <c r="AC3" s="42">
        <v>8</v>
      </c>
      <c r="AF3" s="42">
        <v>9</v>
      </c>
      <c r="AG3" s="42">
        <v>4</v>
      </c>
      <c r="AJ3" s="42">
        <v>3</v>
      </c>
      <c r="AK3" s="42">
        <v>10</v>
      </c>
      <c r="AN3" s="42">
        <v>11</v>
      </c>
      <c r="AO3" s="42">
        <v>4</v>
      </c>
      <c r="AR3" s="42">
        <v>3</v>
      </c>
      <c r="AS3" s="42">
        <v>12</v>
      </c>
      <c r="AV3" s="42">
        <v>13</v>
      </c>
      <c r="AW3" s="42">
        <v>4</v>
      </c>
      <c r="AZ3" s="42">
        <v>3</v>
      </c>
      <c r="BA3" s="42">
        <v>14</v>
      </c>
      <c r="BD3" s="42">
        <v>15</v>
      </c>
      <c r="BE3" s="42">
        <v>4</v>
      </c>
      <c r="BH3" s="42">
        <v>3</v>
      </c>
      <c r="BI3" s="42">
        <v>16</v>
      </c>
      <c r="BL3" s="42">
        <v>17</v>
      </c>
      <c r="BM3" s="42">
        <v>4</v>
      </c>
      <c r="BP3" s="42">
        <v>3</v>
      </c>
      <c r="BQ3" s="42">
        <v>18</v>
      </c>
    </row>
    <row r="4" spans="1:69" x14ac:dyDescent="0.2">
      <c r="A4" s="498"/>
      <c r="C4" s="495"/>
      <c r="D4" s="42">
        <v>2</v>
      </c>
      <c r="E4" s="42">
        <v>4</v>
      </c>
      <c r="H4" s="42">
        <v>2</v>
      </c>
      <c r="I4" s="42">
        <v>3</v>
      </c>
      <c r="L4" s="42">
        <v>5</v>
      </c>
      <c r="M4" s="42">
        <v>1</v>
      </c>
      <c r="P4" s="42">
        <v>7</v>
      </c>
      <c r="Q4" s="42">
        <v>1</v>
      </c>
      <c r="T4" s="42">
        <v>5</v>
      </c>
      <c r="U4" s="42">
        <v>4</v>
      </c>
      <c r="X4" s="42">
        <v>5</v>
      </c>
      <c r="Y4" s="42">
        <v>6</v>
      </c>
      <c r="AB4" s="42">
        <v>7</v>
      </c>
      <c r="AC4" s="42">
        <v>4</v>
      </c>
      <c r="AF4" s="42">
        <v>5</v>
      </c>
      <c r="AG4" s="42">
        <v>8</v>
      </c>
      <c r="AJ4" s="42">
        <v>9</v>
      </c>
      <c r="AK4" s="42">
        <v>4</v>
      </c>
      <c r="AN4" s="42">
        <v>5</v>
      </c>
      <c r="AO4" s="42">
        <v>10</v>
      </c>
      <c r="AR4" s="42">
        <v>11</v>
      </c>
      <c r="AS4" s="42">
        <v>4</v>
      </c>
      <c r="AV4" s="42">
        <v>5</v>
      </c>
      <c r="AW4" s="42">
        <v>12</v>
      </c>
      <c r="AZ4" s="42">
        <v>13</v>
      </c>
      <c r="BA4" s="42">
        <v>4</v>
      </c>
      <c r="BD4" s="42">
        <v>5</v>
      </c>
      <c r="BE4" s="42">
        <v>14</v>
      </c>
      <c r="BH4" s="42">
        <v>15</v>
      </c>
      <c r="BI4" s="42">
        <v>4</v>
      </c>
      <c r="BL4" s="42">
        <v>5</v>
      </c>
      <c r="BM4" s="42">
        <v>16</v>
      </c>
      <c r="BP4" s="42">
        <v>17</v>
      </c>
      <c r="BQ4" s="42">
        <v>4</v>
      </c>
    </row>
    <row r="5" spans="1:69" x14ac:dyDescent="0.2">
      <c r="A5" s="498"/>
      <c r="C5" s="495"/>
      <c r="D5" s="42">
        <v>1</v>
      </c>
      <c r="E5" s="42">
        <v>2</v>
      </c>
      <c r="H5" s="42">
        <v>1</v>
      </c>
      <c r="I5" s="42">
        <v>4</v>
      </c>
      <c r="L5" s="42">
        <v>4</v>
      </c>
      <c r="M5" s="42">
        <v>6</v>
      </c>
      <c r="P5" s="42">
        <v>2</v>
      </c>
      <c r="Q5" s="42">
        <v>5</v>
      </c>
      <c r="T5" s="42">
        <v>7</v>
      </c>
      <c r="U5" s="42">
        <v>1</v>
      </c>
      <c r="X5" s="42">
        <v>9</v>
      </c>
      <c r="Y5" s="42">
        <v>1</v>
      </c>
      <c r="AB5" s="42">
        <v>5</v>
      </c>
      <c r="AC5" s="42">
        <v>6</v>
      </c>
      <c r="AF5" s="42">
        <v>7</v>
      </c>
      <c r="AG5" s="42">
        <v>6</v>
      </c>
      <c r="AJ5" s="42">
        <v>5</v>
      </c>
      <c r="AK5" s="42">
        <v>8</v>
      </c>
      <c r="AN5" s="42">
        <v>9</v>
      </c>
      <c r="AO5" s="42">
        <v>6</v>
      </c>
      <c r="AR5" s="42">
        <v>5</v>
      </c>
      <c r="AS5" s="42">
        <v>10</v>
      </c>
      <c r="AV5" s="42">
        <v>11</v>
      </c>
      <c r="AW5" s="42">
        <v>6</v>
      </c>
      <c r="AZ5" s="42">
        <v>5</v>
      </c>
      <c r="BA5" s="42">
        <v>12</v>
      </c>
      <c r="BD5" s="42">
        <v>13</v>
      </c>
      <c r="BE5" s="42">
        <v>6</v>
      </c>
      <c r="BH5" s="42">
        <v>5</v>
      </c>
      <c r="BI5" s="42">
        <v>14</v>
      </c>
      <c r="BL5" s="42">
        <v>15</v>
      </c>
      <c r="BM5" s="42">
        <v>6</v>
      </c>
      <c r="BP5" s="42">
        <v>5</v>
      </c>
      <c r="BQ5" s="42">
        <v>16</v>
      </c>
    </row>
    <row r="6" spans="1:69" ht="13.5" thickBot="1" x14ac:dyDescent="0.25">
      <c r="A6" s="498"/>
      <c r="C6" s="496"/>
      <c r="D6" s="42">
        <v>4</v>
      </c>
      <c r="E6" s="42">
        <v>3</v>
      </c>
      <c r="G6" s="495" t="str">
        <f>Language!$E$18</f>
        <v>First legs</v>
      </c>
      <c r="H6" s="42">
        <v>3</v>
      </c>
      <c r="I6" s="42">
        <v>5</v>
      </c>
      <c r="L6" s="42">
        <v>2</v>
      </c>
      <c r="M6" s="42">
        <v>3</v>
      </c>
      <c r="P6" s="42">
        <v>4</v>
      </c>
      <c r="Q6" s="42">
        <v>3</v>
      </c>
      <c r="T6" s="42">
        <v>6</v>
      </c>
      <c r="U6" s="42">
        <v>8</v>
      </c>
      <c r="X6" s="42">
        <v>2</v>
      </c>
      <c r="Y6" s="42">
        <v>7</v>
      </c>
      <c r="AB6" s="42">
        <v>9</v>
      </c>
      <c r="AC6" s="42">
        <v>1</v>
      </c>
      <c r="AF6" s="42">
        <v>11</v>
      </c>
      <c r="AG6" s="42">
        <v>1</v>
      </c>
      <c r="AJ6" s="42">
        <v>7</v>
      </c>
      <c r="AK6" s="42">
        <v>6</v>
      </c>
      <c r="AN6" s="42">
        <v>7</v>
      </c>
      <c r="AO6" s="42">
        <v>8</v>
      </c>
      <c r="AR6" s="42">
        <v>9</v>
      </c>
      <c r="AS6" s="42">
        <v>6</v>
      </c>
      <c r="AV6" s="42">
        <v>7</v>
      </c>
      <c r="AW6" s="42">
        <v>10</v>
      </c>
      <c r="AZ6" s="42">
        <v>11</v>
      </c>
      <c r="BA6" s="42">
        <v>6</v>
      </c>
      <c r="BD6" s="42">
        <v>7</v>
      </c>
      <c r="BE6" s="42">
        <v>12</v>
      </c>
      <c r="BH6" s="42">
        <v>13</v>
      </c>
      <c r="BI6" s="42">
        <v>6</v>
      </c>
      <c r="BL6" s="42">
        <v>7</v>
      </c>
      <c r="BM6" s="42">
        <v>14</v>
      </c>
      <c r="BP6" s="42">
        <v>15</v>
      </c>
      <c r="BQ6" s="42">
        <v>6</v>
      </c>
    </row>
    <row r="7" spans="1:69" x14ac:dyDescent="0.2">
      <c r="A7" s="498"/>
      <c r="C7" s="497" t="str">
        <f>Language!$E$19</f>
        <v>Second legs</v>
      </c>
      <c r="D7" s="42">
        <v>4</v>
      </c>
      <c r="E7" s="42">
        <v>1</v>
      </c>
      <c r="G7" s="495"/>
      <c r="H7" s="42">
        <v>3</v>
      </c>
      <c r="I7" s="42">
        <v>1</v>
      </c>
      <c r="L7" s="42">
        <v>1</v>
      </c>
      <c r="M7" s="42">
        <v>4</v>
      </c>
      <c r="P7" s="42">
        <v>1</v>
      </c>
      <c r="Q7" s="42">
        <v>6</v>
      </c>
      <c r="T7" s="42">
        <v>2</v>
      </c>
      <c r="U7" s="42">
        <v>5</v>
      </c>
      <c r="X7" s="42">
        <v>6</v>
      </c>
      <c r="Y7" s="42">
        <v>3</v>
      </c>
      <c r="AB7" s="42">
        <v>8</v>
      </c>
      <c r="AC7" s="42">
        <v>10</v>
      </c>
      <c r="AF7" s="42">
        <v>2</v>
      </c>
      <c r="AG7" s="42">
        <v>9</v>
      </c>
      <c r="AJ7" s="42">
        <v>11</v>
      </c>
      <c r="AK7" s="42">
        <v>1</v>
      </c>
      <c r="AN7" s="42">
        <v>13</v>
      </c>
      <c r="AO7" s="42">
        <v>1</v>
      </c>
      <c r="AR7" s="42">
        <v>7</v>
      </c>
      <c r="AS7" s="42">
        <v>8</v>
      </c>
      <c r="AV7" s="42">
        <v>9</v>
      </c>
      <c r="AW7" s="42">
        <v>8</v>
      </c>
      <c r="AZ7" s="42">
        <v>7</v>
      </c>
      <c r="BA7" s="42">
        <v>10</v>
      </c>
      <c r="BD7" s="42">
        <v>11</v>
      </c>
      <c r="BE7" s="42">
        <v>8</v>
      </c>
      <c r="BH7" s="42">
        <v>7</v>
      </c>
      <c r="BI7" s="42">
        <v>12</v>
      </c>
      <c r="BL7" s="42">
        <v>13</v>
      </c>
      <c r="BM7" s="42">
        <v>8</v>
      </c>
      <c r="BP7" s="42">
        <v>7</v>
      </c>
      <c r="BQ7" s="42">
        <v>14</v>
      </c>
    </row>
    <row r="8" spans="1:69" x14ac:dyDescent="0.2">
      <c r="A8" s="498"/>
      <c r="C8" s="497"/>
      <c r="D8" s="42">
        <v>2</v>
      </c>
      <c r="E8" s="42">
        <v>3</v>
      </c>
      <c r="G8" s="495"/>
      <c r="H8" s="42">
        <v>2</v>
      </c>
      <c r="I8" s="42">
        <v>4</v>
      </c>
      <c r="L8" s="42">
        <v>3</v>
      </c>
      <c r="M8" s="42">
        <v>5</v>
      </c>
      <c r="P8" s="42">
        <v>5</v>
      </c>
      <c r="Q8" s="42">
        <v>7</v>
      </c>
      <c r="T8" s="42">
        <v>4</v>
      </c>
      <c r="U8" s="42">
        <v>3</v>
      </c>
      <c r="X8" s="42">
        <v>4</v>
      </c>
      <c r="Y8" s="42">
        <v>5</v>
      </c>
      <c r="AB8" s="42">
        <v>2</v>
      </c>
      <c r="AC8" s="42">
        <v>7</v>
      </c>
      <c r="AF8" s="42">
        <v>8</v>
      </c>
      <c r="AG8" s="42">
        <v>3</v>
      </c>
      <c r="AJ8" s="42">
        <v>10</v>
      </c>
      <c r="AK8" s="42">
        <v>12</v>
      </c>
      <c r="AN8" s="42">
        <v>2</v>
      </c>
      <c r="AO8" s="42">
        <v>11</v>
      </c>
      <c r="AR8" s="42">
        <v>13</v>
      </c>
      <c r="AS8" s="42">
        <v>1</v>
      </c>
      <c r="AV8" s="42">
        <v>15</v>
      </c>
      <c r="AW8" s="42">
        <v>1</v>
      </c>
      <c r="AZ8" s="42">
        <v>9</v>
      </c>
      <c r="BA8" s="42">
        <v>8</v>
      </c>
      <c r="BD8" s="42">
        <v>9</v>
      </c>
      <c r="BE8" s="42">
        <v>10</v>
      </c>
      <c r="BH8" s="42">
        <v>11</v>
      </c>
      <c r="BI8" s="42">
        <v>8</v>
      </c>
      <c r="BL8" s="42">
        <v>9</v>
      </c>
      <c r="BM8" s="42">
        <v>12</v>
      </c>
      <c r="BP8" s="42">
        <v>13</v>
      </c>
      <c r="BQ8" s="42">
        <v>8</v>
      </c>
    </row>
    <row r="9" spans="1:69" x14ac:dyDescent="0.2">
      <c r="A9" s="498"/>
      <c r="C9" s="497"/>
      <c r="D9" s="42">
        <v>1</v>
      </c>
      <c r="E9" s="42">
        <v>3</v>
      </c>
      <c r="G9" s="495"/>
      <c r="H9" s="42">
        <v>1</v>
      </c>
      <c r="I9" s="42">
        <v>2</v>
      </c>
      <c r="L9" s="42">
        <v>6</v>
      </c>
      <c r="M9" s="42">
        <v>2</v>
      </c>
      <c r="P9" s="42">
        <v>3</v>
      </c>
      <c r="Q9" s="42">
        <v>2</v>
      </c>
      <c r="T9" s="42">
        <v>1</v>
      </c>
      <c r="U9" s="42">
        <v>6</v>
      </c>
      <c r="X9" s="42">
        <v>1</v>
      </c>
      <c r="Y9" s="42">
        <v>8</v>
      </c>
      <c r="AB9" s="42">
        <v>6</v>
      </c>
      <c r="AC9" s="42">
        <v>3</v>
      </c>
      <c r="AF9" s="42">
        <v>4</v>
      </c>
      <c r="AG9" s="42">
        <v>7</v>
      </c>
      <c r="AJ9" s="42">
        <v>2</v>
      </c>
      <c r="AK9" s="42">
        <v>9</v>
      </c>
      <c r="AN9" s="42">
        <v>10</v>
      </c>
      <c r="AO9" s="42">
        <v>3</v>
      </c>
      <c r="AR9" s="42">
        <v>12</v>
      </c>
      <c r="AS9" s="42">
        <v>14</v>
      </c>
      <c r="AV9" s="42">
        <v>2</v>
      </c>
      <c r="AW9" s="42">
        <v>13</v>
      </c>
      <c r="AZ9" s="42">
        <v>15</v>
      </c>
      <c r="BA9" s="42">
        <v>1</v>
      </c>
      <c r="BD9" s="42">
        <v>17</v>
      </c>
      <c r="BE9" s="42">
        <v>1</v>
      </c>
      <c r="BH9" s="42">
        <v>9</v>
      </c>
      <c r="BI9" s="42">
        <v>10</v>
      </c>
      <c r="BL9" s="42">
        <v>11</v>
      </c>
      <c r="BM9" s="42">
        <v>10</v>
      </c>
      <c r="BP9" s="42">
        <v>9</v>
      </c>
      <c r="BQ9" s="42">
        <v>12</v>
      </c>
    </row>
    <row r="10" spans="1:69" ht="13.5" thickBot="1" x14ac:dyDescent="0.25">
      <c r="A10" s="498"/>
      <c r="C10" s="497"/>
      <c r="D10" s="42">
        <v>4</v>
      </c>
      <c r="E10" s="42">
        <v>2</v>
      </c>
      <c r="G10" s="496"/>
      <c r="H10" s="42">
        <v>4</v>
      </c>
      <c r="I10" s="42">
        <v>5</v>
      </c>
      <c r="L10" s="42">
        <v>3</v>
      </c>
      <c r="M10" s="42">
        <v>1</v>
      </c>
      <c r="P10" s="42">
        <v>5</v>
      </c>
      <c r="Q10" s="42">
        <v>1</v>
      </c>
      <c r="T10" s="42">
        <v>5</v>
      </c>
      <c r="U10" s="42">
        <v>7</v>
      </c>
      <c r="X10" s="42">
        <v>7</v>
      </c>
      <c r="Y10" s="42">
        <v>9</v>
      </c>
      <c r="AB10" s="42">
        <v>4</v>
      </c>
      <c r="AC10" s="42">
        <v>5</v>
      </c>
      <c r="AF10" s="42">
        <v>6</v>
      </c>
      <c r="AG10" s="42">
        <v>5</v>
      </c>
      <c r="AJ10" s="42">
        <v>8</v>
      </c>
      <c r="AK10" s="42">
        <v>3</v>
      </c>
      <c r="AN10" s="42">
        <v>4</v>
      </c>
      <c r="AO10" s="42">
        <v>9</v>
      </c>
      <c r="AR10" s="42">
        <v>2</v>
      </c>
      <c r="AS10" s="42">
        <v>11</v>
      </c>
      <c r="AV10" s="42">
        <v>12</v>
      </c>
      <c r="AW10" s="42">
        <v>3</v>
      </c>
      <c r="AZ10" s="42">
        <v>14</v>
      </c>
      <c r="BA10" s="42">
        <v>16</v>
      </c>
      <c r="BD10" s="42">
        <v>2</v>
      </c>
      <c r="BE10" s="42">
        <v>15</v>
      </c>
      <c r="BH10" s="42">
        <v>17</v>
      </c>
      <c r="BI10" s="42">
        <v>1</v>
      </c>
      <c r="BL10" s="42">
        <v>19</v>
      </c>
      <c r="BM10" s="42">
        <v>1</v>
      </c>
      <c r="BP10" s="42">
        <v>11</v>
      </c>
      <c r="BQ10" s="42">
        <v>10</v>
      </c>
    </row>
    <row r="11" spans="1:69" x14ac:dyDescent="0.2">
      <c r="A11" s="498"/>
      <c r="C11" s="497"/>
      <c r="D11" s="42">
        <v>2</v>
      </c>
      <c r="E11" s="42">
        <v>1</v>
      </c>
      <c r="G11" s="497" t="str">
        <f>Language!$E$19</f>
        <v>Second legs</v>
      </c>
      <c r="H11" s="42">
        <v>2</v>
      </c>
      <c r="I11" s="42">
        <v>5</v>
      </c>
      <c r="K11" s="495" t="str">
        <f>Language!$E$18</f>
        <v>First legs</v>
      </c>
      <c r="L11" s="42">
        <v>2</v>
      </c>
      <c r="M11" s="42">
        <v>4</v>
      </c>
      <c r="P11" s="42">
        <v>4</v>
      </c>
      <c r="Q11" s="42">
        <v>6</v>
      </c>
      <c r="T11" s="42">
        <v>8</v>
      </c>
      <c r="U11" s="42">
        <v>4</v>
      </c>
      <c r="X11" s="42">
        <v>5</v>
      </c>
      <c r="Y11" s="42">
        <v>2</v>
      </c>
      <c r="AB11" s="42">
        <v>1</v>
      </c>
      <c r="AC11" s="42">
        <v>8</v>
      </c>
      <c r="AF11" s="42">
        <v>1</v>
      </c>
      <c r="AG11" s="42">
        <v>10</v>
      </c>
      <c r="AJ11" s="42">
        <v>4</v>
      </c>
      <c r="AK11" s="42">
        <v>7</v>
      </c>
      <c r="AN11" s="42">
        <v>8</v>
      </c>
      <c r="AO11" s="42">
        <v>5</v>
      </c>
      <c r="AR11" s="42">
        <v>10</v>
      </c>
      <c r="AS11" s="42">
        <v>3</v>
      </c>
      <c r="AV11" s="42">
        <v>4</v>
      </c>
      <c r="AW11" s="42">
        <v>11</v>
      </c>
      <c r="AZ11" s="42">
        <v>2</v>
      </c>
      <c r="BA11" s="42">
        <v>13</v>
      </c>
      <c r="BD11" s="42">
        <v>14</v>
      </c>
      <c r="BE11" s="42">
        <v>3</v>
      </c>
      <c r="BH11" s="42">
        <v>16</v>
      </c>
      <c r="BI11" s="42">
        <v>18</v>
      </c>
      <c r="BL11" s="42">
        <v>2</v>
      </c>
      <c r="BM11" s="42">
        <v>17</v>
      </c>
      <c r="BP11" s="42">
        <v>19</v>
      </c>
      <c r="BQ11" s="42">
        <v>1</v>
      </c>
    </row>
    <row r="12" spans="1:69" x14ac:dyDescent="0.2">
      <c r="A12" s="498"/>
      <c r="D12" s="42">
        <v>3</v>
      </c>
      <c r="E12" s="42">
        <v>4</v>
      </c>
      <c r="G12" s="497"/>
      <c r="H12" s="42">
        <v>4</v>
      </c>
      <c r="I12" s="42">
        <v>3</v>
      </c>
      <c r="K12" s="495"/>
      <c r="L12" s="42">
        <v>5</v>
      </c>
      <c r="M12" s="42">
        <v>6</v>
      </c>
      <c r="P12" s="42">
        <v>7</v>
      </c>
      <c r="Q12" s="42">
        <v>3</v>
      </c>
      <c r="T12" s="42">
        <v>3</v>
      </c>
      <c r="U12" s="42">
        <v>2</v>
      </c>
      <c r="X12" s="42">
        <v>3</v>
      </c>
      <c r="Y12" s="42">
        <v>4</v>
      </c>
      <c r="AB12" s="42">
        <v>7</v>
      </c>
      <c r="AC12" s="42">
        <v>9</v>
      </c>
      <c r="AF12" s="42">
        <v>9</v>
      </c>
      <c r="AG12" s="42">
        <v>11</v>
      </c>
      <c r="AJ12" s="42">
        <v>6</v>
      </c>
      <c r="AK12" s="42">
        <v>5</v>
      </c>
      <c r="AN12" s="42">
        <v>6</v>
      </c>
      <c r="AO12" s="42">
        <v>7</v>
      </c>
      <c r="AR12" s="42">
        <v>4</v>
      </c>
      <c r="AS12" s="42">
        <v>9</v>
      </c>
      <c r="AV12" s="42">
        <v>10</v>
      </c>
      <c r="AW12" s="42">
        <v>5</v>
      </c>
      <c r="AZ12" s="42">
        <v>12</v>
      </c>
      <c r="BA12" s="42">
        <v>3</v>
      </c>
      <c r="BD12" s="42">
        <v>4</v>
      </c>
      <c r="BE12" s="42">
        <v>13</v>
      </c>
      <c r="BH12" s="42">
        <v>2</v>
      </c>
      <c r="BI12" s="42">
        <v>15</v>
      </c>
      <c r="BL12" s="42">
        <v>16</v>
      </c>
      <c r="BM12" s="42">
        <v>3</v>
      </c>
      <c r="BP12" s="42">
        <v>18</v>
      </c>
      <c r="BQ12" s="42">
        <v>20</v>
      </c>
    </row>
    <row r="13" spans="1:69" x14ac:dyDescent="0.2">
      <c r="A13" s="498"/>
      <c r="G13" s="497"/>
      <c r="H13" s="42">
        <v>1</v>
      </c>
      <c r="I13" s="42">
        <v>5</v>
      </c>
      <c r="K13" s="495"/>
      <c r="L13" s="42">
        <v>1</v>
      </c>
      <c r="M13" s="42">
        <v>2</v>
      </c>
      <c r="P13" s="42">
        <v>1</v>
      </c>
      <c r="Q13" s="42">
        <v>4</v>
      </c>
      <c r="T13" s="42">
        <v>5</v>
      </c>
      <c r="U13" s="42">
        <v>1</v>
      </c>
      <c r="X13" s="42">
        <v>7</v>
      </c>
      <c r="Y13" s="42">
        <v>1</v>
      </c>
      <c r="AB13" s="42">
        <v>10</v>
      </c>
      <c r="AC13" s="42">
        <v>6</v>
      </c>
      <c r="AF13" s="42">
        <v>7</v>
      </c>
      <c r="AG13" s="42">
        <v>2</v>
      </c>
      <c r="AJ13" s="42">
        <v>1</v>
      </c>
      <c r="AK13" s="42">
        <v>10</v>
      </c>
      <c r="AN13" s="42">
        <v>1</v>
      </c>
      <c r="AO13" s="42">
        <v>12</v>
      </c>
      <c r="AR13" s="42">
        <v>8</v>
      </c>
      <c r="AS13" s="42">
        <v>5</v>
      </c>
      <c r="AV13" s="42">
        <v>6</v>
      </c>
      <c r="AW13" s="42">
        <v>9</v>
      </c>
      <c r="AZ13" s="42">
        <v>4</v>
      </c>
      <c r="BA13" s="42">
        <v>11</v>
      </c>
      <c r="BD13" s="42">
        <v>12</v>
      </c>
      <c r="BE13" s="42">
        <v>5</v>
      </c>
      <c r="BH13" s="42">
        <v>14</v>
      </c>
      <c r="BI13" s="42">
        <v>3</v>
      </c>
      <c r="BL13" s="42">
        <v>4</v>
      </c>
      <c r="BM13" s="42">
        <v>15</v>
      </c>
      <c r="BP13" s="42">
        <v>2</v>
      </c>
      <c r="BQ13" s="42">
        <v>17</v>
      </c>
    </row>
    <row r="14" spans="1:69" x14ac:dyDescent="0.2">
      <c r="A14" s="498"/>
      <c r="G14" s="497"/>
      <c r="H14" s="42">
        <v>3</v>
      </c>
      <c r="I14" s="42">
        <v>2</v>
      </c>
      <c r="K14" s="495"/>
      <c r="L14" s="42">
        <v>6</v>
      </c>
      <c r="M14" s="42">
        <v>3</v>
      </c>
      <c r="P14" s="42">
        <v>3</v>
      </c>
      <c r="Q14" s="42">
        <v>5</v>
      </c>
      <c r="T14" s="42">
        <v>4</v>
      </c>
      <c r="U14" s="42">
        <v>6</v>
      </c>
      <c r="X14" s="42">
        <v>6</v>
      </c>
      <c r="Y14" s="42">
        <v>8</v>
      </c>
      <c r="AB14" s="42">
        <v>5</v>
      </c>
      <c r="AC14" s="42">
        <v>2</v>
      </c>
      <c r="AF14" s="42">
        <v>3</v>
      </c>
      <c r="AG14" s="42">
        <v>6</v>
      </c>
      <c r="AJ14" s="42">
        <v>9</v>
      </c>
      <c r="AK14" s="42">
        <v>11</v>
      </c>
      <c r="AN14" s="42">
        <v>11</v>
      </c>
      <c r="AO14" s="42">
        <v>13</v>
      </c>
      <c r="AR14" s="42">
        <v>6</v>
      </c>
      <c r="AS14" s="42">
        <v>7</v>
      </c>
      <c r="AV14" s="42">
        <v>8</v>
      </c>
      <c r="AW14" s="42">
        <v>7</v>
      </c>
      <c r="AZ14" s="42">
        <v>10</v>
      </c>
      <c r="BA14" s="42">
        <v>5</v>
      </c>
      <c r="BD14" s="42">
        <v>6</v>
      </c>
      <c r="BE14" s="42">
        <v>11</v>
      </c>
      <c r="BH14" s="42">
        <v>4</v>
      </c>
      <c r="BI14" s="42">
        <v>13</v>
      </c>
      <c r="BL14" s="42">
        <v>14</v>
      </c>
      <c r="BM14" s="42">
        <v>5</v>
      </c>
      <c r="BP14" s="42">
        <v>16</v>
      </c>
      <c r="BQ14" s="42">
        <v>3</v>
      </c>
    </row>
    <row r="15" spans="1:69" ht="13.5" thickBot="1" x14ac:dyDescent="0.25">
      <c r="A15" s="498"/>
      <c r="G15" s="497"/>
      <c r="H15" s="42">
        <v>4</v>
      </c>
      <c r="I15" s="42">
        <v>1</v>
      </c>
      <c r="K15" s="496"/>
      <c r="L15" s="42">
        <v>4</v>
      </c>
      <c r="M15" s="42">
        <v>5</v>
      </c>
      <c r="P15" s="42">
        <v>6</v>
      </c>
      <c r="Q15" s="42">
        <v>2</v>
      </c>
      <c r="T15" s="42">
        <v>7</v>
      </c>
      <c r="U15" s="42">
        <v>3</v>
      </c>
      <c r="X15" s="42">
        <v>9</v>
      </c>
      <c r="Y15" s="42">
        <v>5</v>
      </c>
      <c r="AB15" s="42">
        <v>3</v>
      </c>
      <c r="AC15" s="42">
        <v>4</v>
      </c>
      <c r="AF15" s="42">
        <v>5</v>
      </c>
      <c r="AG15" s="42">
        <v>4</v>
      </c>
      <c r="AJ15" s="42">
        <v>12</v>
      </c>
      <c r="AK15" s="42">
        <v>8</v>
      </c>
      <c r="AN15" s="42">
        <v>9</v>
      </c>
      <c r="AO15" s="42">
        <v>2</v>
      </c>
      <c r="AR15" s="42">
        <v>1</v>
      </c>
      <c r="AS15" s="42">
        <v>12</v>
      </c>
      <c r="AV15" s="42">
        <v>1</v>
      </c>
      <c r="AW15" s="42">
        <v>14</v>
      </c>
      <c r="AZ15" s="42">
        <v>6</v>
      </c>
      <c r="BA15" s="42">
        <v>9</v>
      </c>
      <c r="BD15" s="42">
        <v>10</v>
      </c>
      <c r="BE15" s="42">
        <v>7</v>
      </c>
      <c r="BH15" s="42">
        <v>12</v>
      </c>
      <c r="BI15" s="42">
        <v>5</v>
      </c>
      <c r="BL15" s="42">
        <v>6</v>
      </c>
      <c r="BM15" s="42">
        <v>13</v>
      </c>
      <c r="BP15" s="42">
        <v>4</v>
      </c>
      <c r="BQ15" s="42">
        <v>15</v>
      </c>
    </row>
    <row r="16" spans="1:69" x14ac:dyDescent="0.2">
      <c r="A16" s="498"/>
      <c r="H16" s="42">
        <v>5</v>
      </c>
      <c r="I16" s="42">
        <v>3</v>
      </c>
      <c r="K16" s="497" t="str">
        <f>Language!$E$19</f>
        <v>Second legs</v>
      </c>
      <c r="L16" s="42">
        <v>6</v>
      </c>
      <c r="M16" s="42">
        <v>1</v>
      </c>
      <c r="P16" s="42">
        <v>3</v>
      </c>
      <c r="Q16" s="42">
        <v>1</v>
      </c>
      <c r="T16" s="42">
        <v>2</v>
      </c>
      <c r="U16" s="42">
        <v>8</v>
      </c>
      <c r="X16" s="42">
        <v>2</v>
      </c>
      <c r="Y16" s="42">
        <v>3</v>
      </c>
      <c r="AB16" s="42">
        <v>7</v>
      </c>
      <c r="AC16" s="42">
        <v>1</v>
      </c>
      <c r="AF16" s="42">
        <v>9</v>
      </c>
      <c r="AG16" s="42">
        <v>1</v>
      </c>
      <c r="AJ16" s="42">
        <v>7</v>
      </c>
      <c r="AK16" s="42">
        <v>2</v>
      </c>
      <c r="AN16" s="42">
        <v>3</v>
      </c>
      <c r="AO16" s="42">
        <v>8</v>
      </c>
      <c r="AR16" s="42">
        <v>11</v>
      </c>
      <c r="AS16" s="42">
        <v>13</v>
      </c>
      <c r="AV16" s="42">
        <v>13</v>
      </c>
      <c r="AW16" s="42">
        <v>15</v>
      </c>
      <c r="AZ16" s="42">
        <v>8</v>
      </c>
      <c r="BA16" s="42">
        <v>7</v>
      </c>
      <c r="BD16" s="42">
        <v>8</v>
      </c>
      <c r="BE16" s="42">
        <v>9</v>
      </c>
      <c r="BH16" s="42">
        <v>6</v>
      </c>
      <c r="BI16" s="42">
        <v>11</v>
      </c>
      <c r="BL16" s="42">
        <v>12</v>
      </c>
      <c r="BM16" s="42">
        <v>7</v>
      </c>
      <c r="BP16" s="42">
        <v>14</v>
      </c>
      <c r="BQ16" s="42">
        <v>5</v>
      </c>
    </row>
    <row r="17" spans="1:69" x14ac:dyDescent="0.2">
      <c r="A17" s="498"/>
      <c r="H17" s="42">
        <v>1</v>
      </c>
      <c r="I17" s="42">
        <v>3</v>
      </c>
      <c r="K17" s="497"/>
      <c r="L17" s="42">
        <v>2</v>
      </c>
      <c r="M17" s="42">
        <v>5</v>
      </c>
      <c r="O17" s="495" t="str">
        <f>Language!$E$18</f>
        <v>First legs</v>
      </c>
      <c r="P17" s="42">
        <v>2</v>
      </c>
      <c r="Q17" s="42">
        <v>4</v>
      </c>
      <c r="T17" s="42">
        <v>1</v>
      </c>
      <c r="U17" s="42">
        <v>4</v>
      </c>
      <c r="X17" s="42">
        <v>1</v>
      </c>
      <c r="Y17" s="42">
        <v>6</v>
      </c>
      <c r="AB17" s="42">
        <v>6</v>
      </c>
      <c r="AC17" s="42">
        <v>8</v>
      </c>
      <c r="AF17" s="42">
        <v>8</v>
      </c>
      <c r="AG17" s="42">
        <v>10</v>
      </c>
      <c r="AJ17" s="42">
        <v>3</v>
      </c>
      <c r="AK17" s="42">
        <v>6</v>
      </c>
      <c r="AN17" s="42">
        <v>7</v>
      </c>
      <c r="AO17" s="42">
        <v>4</v>
      </c>
      <c r="AR17" s="42">
        <v>14</v>
      </c>
      <c r="AS17" s="42">
        <v>10</v>
      </c>
      <c r="AV17" s="42">
        <v>11</v>
      </c>
      <c r="AW17" s="42">
        <v>2</v>
      </c>
      <c r="AZ17" s="42">
        <v>1</v>
      </c>
      <c r="BA17" s="42">
        <v>14</v>
      </c>
      <c r="BD17" s="42">
        <v>1</v>
      </c>
      <c r="BE17" s="42">
        <v>16</v>
      </c>
      <c r="BH17" s="42">
        <v>10</v>
      </c>
      <c r="BI17" s="42">
        <v>7</v>
      </c>
      <c r="BL17" s="42">
        <v>8</v>
      </c>
      <c r="BM17" s="42">
        <v>11</v>
      </c>
      <c r="BP17" s="42">
        <v>6</v>
      </c>
      <c r="BQ17" s="42">
        <v>13</v>
      </c>
    </row>
    <row r="18" spans="1:69" x14ac:dyDescent="0.2">
      <c r="A18" s="498"/>
      <c r="H18" s="42">
        <v>4</v>
      </c>
      <c r="I18" s="42">
        <v>2</v>
      </c>
      <c r="K18" s="497"/>
      <c r="L18" s="42">
        <v>4</v>
      </c>
      <c r="M18" s="42">
        <v>3</v>
      </c>
      <c r="O18" s="495"/>
      <c r="P18" s="42">
        <v>7</v>
      </c>
      <c r="Q18" s="42">
        <v>6</v>
      </c>
      <c r="T18" s="42">
        <v>3</v>
      </c>
      <c r="U18" s="42">
        <v>5</v>
      </c>
      <c r="X18" s="42">
        <v>5</v>
      </c>
      <c r="Y18" s="42">
        <v>7</v>
      </c>
      <c r="AB18" s="42">
        <v>9</v>
      </c>
      <c r="AC18" s="42">
        <v>5</v>
      </c>
      <c r="AF18" s="42">
        <v>11</v>
      </c>
      <c r="AG18" s="42">
        <v>7</v>
      </c>
      <c r="AJ18" s="42">
        <v>5</v>
      </c>
      <c r="AK18" s="42">
        <v>4</v>
      </c>
      <c r="AN18" s="42">
        <v>5</v>
      </c>
      <c r="AO18" s="42">
        <v>6</v>
      </c>
      <c r="AR18" s="42">
        <v>9</v>
      </c>
      <c r="AS18" s="42">
        <v>2</v>
      </c>
      <c r="AV18" s="42">
        <v>3</v>
      </c>
      <c r="AW18" s="42">
        <v>10</v>
      </c>
      <c r="AZ18" s="42">
        <v>13</v>
      </c>
      <c r="BA18" s="42">
        <v>15</v>
      </c>
      <c r="BD18" s="42">
        <v>15</v>
      </c>
      <c r="BE18" s="42">
        <v>17</v>
      </c>
      <c r="BH18" s="42">
        <v>8</v>
      </c>
      <c r="BI18" s="42">
        <v>9</v>
      </c>
      <c r="BL18" s="42">
        <v>10</v>
      </c>
      <c r="BM18" s="42">
        <v>9</v>
      </c>
      <c r="BP18" s="42">
        <v>12</v>
      </c>
      <c r="BQ18" s="42">
        <v>7</v>
      </c>
    </row>
    <row r="19" spans="1:69" x14ac:dyDescent="0.2">
      <c r="H19" s="42">
        <v>2</v>
      </c>
      <c r="I19" s="42">
        <v>1</v>
      </c>
      <c r="K19" s="497"/>
      <c r="L19" s="42">
        <v>1</v>
      </c>
      <c r="M19" s="42">
        <v>5</v>
      </c>
      <c r="O19" s="495"/>
      <c r="P19" s="42">
        <v>1</v>
      </c>
      <c r="Q19" s="42">
        <v>2</v>
      </c>
      <c r="T19" s="42">
        <v>6</v>
      </c>
      <c r="U19" s="42">
        <v>2</v>
      </c>
      <c r="X19" s="42">
        <v>8</v>
      </c>
      <c r="Y19" s="42">
        <v>4</v>
      </c>
      <c r="AB19" s="42">
        <v>4</v>
      </c>
      <c r="AC19" s="42">
        <v>10</v>
      </c>
      <c r="AF19" s="42">
        <v>2</v>
      </c>
      <c r="AG19" s="42">
        <v>5</v>
      </c>
      <c r="AJ19" s="42">
        <v>9</v>
      </c>
      <c r="AK19" s="42">
        <v>1</v>
      </c>
      <c r="AN19" s="42">
        <v>11</v>
      </c>
      <c r="AO19" s="42">
        <v>1</v>
      </c>
      <c r="AR19" s="42">
        <v>3</v>
      </c>
      <c r="AS19" s="42">
        <v>8</v>
      </c>
      <c r="AV19" s="42">
        <v>9</v>
      </c>
      <c r="AW19" s="42">
        <v>4</v>
      </c>
      <c r="AZ19" s="42">
        <v>16</v>
      </c>
      <c r="BA19" s="42">
        <v>12</v>
      </c>
      <c r="BD19" s="42">
        <v>13</v>
      </c>
      <c r="BE19" s="42">
        <v>2</v>
      </c>
      <c r="BH19" s="42">
        <v>1</v>
      </c>
      <c r="BI19" s="42">
        <v>16</v>
      </c>
      <c r="BL19" s="42">
        <v>1</v>
      </c>
      <c r="BM19" s="42">
        <v>18</v>
      </c>
      <c r="BP19" s="42">
        <v>8</v>
      </c>
      <c r="BQ19" s="42">
        <v>11</v>
      </c>
    </row>
    <row r="20" spans="1:69" x14ac:dyDescent="0.2">
      <c r="H20" s="42">
        <v>5</v>
      </c>
      <c r="I20" s="42">
        <v>4</v>
      </c>
      <c r="K20" s="497"/>
      <c r="L20" s="42">
        <v>6</v>
      </c>
      <c r="M20" s="42">
        <v>4</v>
      </c>
      <c r="O20" s="495"/>
      <c r="P20" s="42">
        <v>4</v>
      </c>
      <c r="Q20" s="42">
        <v>7</v>
      </c>
      <c r="T20" s="42">
        <v>8</v>
      </c>
      <c r="U20" s="42">
        <v>7</v>
      </c>
      <c r="X20" s="42">
        <v>3</v>
      </c>
      <c r="Y20" s="42">
        <v>9</v>
      </c>
      <c r="AB20" s="42">
        <v>2</v>
      </c>
      <c r="AC20" s="42">
        <v>3</v>
      </c>
      <c r="AF20" s="42">
        <v>4</v>
      </c>
      <c r="AG20" s="42">
        <v>3</v>
      </c>
      <c r="AJ20" s="42">
        <v>8</v>
      </c>
      <c r="AK20" s="42">
        <v>10</v>
      </c>
      <c r="AN20" s="42">
        <v>10</v>
      </c>
      <c r="AO20" s="42">
        <v>12</v>
      </c>
      <c r="AR20" s="42">
        <v>7</v>
      </c>
      <c r="AS20" s="42">
        <v>4</v>
      </c>
      <c r="AV20" s="42">
        <v>5</v>
      </c>
      <c r="AW20" s="42">
        <v>8</v>
      </c>
      <c r="AZ20" s="42">
        <v>11</v>
      </c>
      <c r="BA20" s="42">
        <v>2</v>
      </c>
      <c r="BD20" s="42">
        <v>3</v>
      </c>
      <c r="BE20" s="42">
        <v>12</v>
      </c>
      <c r="BH20" s="42">
        <v>15</v>
      </c>
      <c r="BI20" s="42">
        <v>17</v>
      </c>
      <c r="BL20" s="42">
        <v>17</v>
      </c>
      <c r="BM20" s="42">
        <v>19</v>
      </c>
      <c r="BP20" s="42">
        <v>10</v>
      </c>
      <c r="BQ20" s="42">
        <v>9</v>
      </c>
    </row>
    <row r="21" spans="1:69" ht="13.5" thickBot="1" x14ac:dyDescent="0.25">
      <c r="L21" s="42">
        <v>3</v>
      </c>
      <c r="M21" s="42">
        <v>2</v>
      </c>
      <c r="O21" s="496"/>
      <c r="P21" s="42">
        <v>6</v>
      </c>
      <c r="Q21" s="42">
        <v>5</v>
      </c>
      <c r="T21" s="42">
        <v>3</v>
      </c>
      <c r="U21" s="42">
        <v>1</v>
      </c>
      <c r="X21" s="42">
        <v>5</v>
      </c>
      <c r="Y21" s="42">
        <v>1</v>
      </c>
      <c r="AB21" s="42">
        <v>1</v>
      </c>
      <c r="AC21" s="42">
        <v>6</v>
      </c>
      <c r="AF21" s="42">
        <v>1</v>
      </c>
      <c r="AG21" s="42">
        <v>8</v>
      </c>
      <c r="AJ21" s="42">
        <v>11</v>
      </c>
      <c r="AK21" s="42">
        <v>7</v>
      </c>
      <c r="AN21" s="42">
        <v>13</v>
      </c>
      <c r="AO21" s="42">
        <v>9</v>
      </c>
      <c r="AR21" s="42">
        <v>5</v>
      </c>
      <c r="AS21" s="42">
        <v>6</v>
      </c>
      <c r="AV21" s="42">
        <v>7</v>
      </c>
      <c r="AW21" s="42">
        <v>6</v>
      </c>
      <c r="AZ21" s="42">
        <v>3</v>
      </c>
      <c r="BA21" s="42">
        <v>10</v>
      </c>
      <c r="BD21" s="42">
        <v>11</v>
      </c>
      <c r="BE21" s="42">
        <v>4</v>
      </c>
      <c r="BH21" s="42">
        <v>18</v>
      </c>
      <c r="BI21" s="42">
        <v>14</v>
      </c>
      <c r="BL21" s="42">
        <v>15</v>
      </c>
      <c r="BM21" s="42">
        <v>2</v>
      </c>
      <c r="BP21" s="42">
        <v>1</v>
      </c>
      <c r="BQ21" s="42">
        <v>18</v>
      </c>
    </row>
    <row r="22" spans="1:69" x14ac:dyDescent="0.2">
      <c r="L22" s="42">
        <v>4</v>
      </c>
      <c r="M22" s="42">
        <v>1</v>
      </c>
      <c r="O22" s="497" t="str">
        <f>Language!$E$19</f>
        <v>Second legs</v>
      </c>
      <c r="P22" s="42">
        <v>2</v>
      </c>
      <c r="Q22" s="42">
        <v>7</v>
      </c>
      <c r="T22" s="42">
        <v>2</v>
      </c>
      <c r="U22" s="42">
        <v>4</v>
      </c>
      <c r="X22" s="42">
        <v>4</v>
      </c>
      <c r="Y22" s="42">
        <v>6</v>
      </c>
      <c r="AB22" s="42">
        <v>5</v>
      </c>
      <c r="AC22" s="42">
        <v>7</v>
      </c>
      <c r="AF22" s="42">
        <v>7</v>
      </c>
      <c r="AG22" s="42">
        <v>9</v>
      </c>
      <c r="AJ22" s="42">
        <v>6</v>
      </c>
      <c r="AK22" s="42">
        <v>12</v>
      </c>
      <c r="AN22" s="42">
        <v>2</v>
      </c>
      <c r="AO22" s="42">
        <v>7</v>
      </c>
      <c r="AR22" s="42">
        <v>11</v>
      </c>
      <c r="AS22" s="42">
        <v>1</v>
      </c>
      <c r="AV22" s="42">
        <v>13</v>
      </c>
      <c r="AW22" s="42">
        <v>1</v>
      </c>
      <c r="AZ22" s="42">
        <v>9</v>
      </c>
      <c r="BA22" s="42">
        <v>4</v>
      </c>
      <c r="BD22" s="42">
        <v>5</v>
      </c>
      <c r="BE22" s="42">
        <v>10</v>
      </c>
      <c r="BH22" s="42">
        <v>13</v>
      </c>
      <c r="BI22" s="42">
        <v>2</v>
      </c>
      <c r="BL22" s="42">
        <v>3</v>
      </c>
      <c r="BM22" s="42">
        <v>14</v>
      </c>
      <c r="BP22" s="42">
        <v>17</v>
      </c>
      <c r="BQ22" s="42">
        <v>19</v>
      </c>
    </row>
    <row r="23" spans="1:69" x14ac:dyDescent="0.2">
      <c r="L23" s="42">
        <v>5</v>
      </c>
      <c r="M23" s="42">
        <v>3</v>
      </c>
      <c r="O23" s="497"/>
      <c r="P23" s="42">
        <v>6</v>
      </c>
      <c r="Q23" s="42">
        <v>3</v>
      </c>
      <c r="T23" s="42">
        <v>5</v>
      </c>
      <c r="U23" s="42">
        <v>8</v>
      </c>
      <c r="X23" s="42">
        <v>7</v>
      </c>
      <c r="Y23" s="42">
        <v>3</v>
      </c>
      <c r="AB23" s="42">
        <v>8</v>
      </c>
      <c r="AC23" s="42">
        <v>4</v>
      </c>
      <c r="AF23" s="42">
        <v>10</v>
      </c>
      <c r="AG23" s="42">
        <v>6</v>
      </c>
      <c r="AJ23" s="42">
        <v>2</v>
      </c>
      <c r="AK23" s="42">
        <v>5</v>
      </c>
      <c r="AN23" s="42">
        <v>6</v>
      </c>
      <c r="AO23" s="42">
        <v>3</v>
      </c>
      <c r="AR23" s="42">
        <v>10</v>
      </c>
      <c r="AS23" s="42">
        <v>12</v>
      </c>
      <c r="AV23" s="42">
        <v>12</v>
      </c>
      <c r="AW23" s="42">
        <v>14</v>
      </c>
      <c r="AZ23" s="42">
        <v>5</v>
      </c>
      <c r="BA23" s="42">
        <v>8</v>
      </c>
      <c r="BD23" s="42">
        <v>9</v>
      </c>
      <c r="BE23" s="42">
        <v>6</v>
      </c>
      <c r="BH23" s="42">
        <v>3</v>
      </c>
      <c r="BI23" s="42">
        <v>12</v>
      </c>
      <c r="BL23" s="42">
        <v>13</v>
      </c>
      <c r="BM23" s="42">
        <v>4</v>
      </c>
      <c r="BP23" s="42">
        <v>20</v>
      </c>
      <c r="BQ23" s="42">
        <v>16</v>
      </c>
    </row>
    <row r="24" spans="1:69" x14ac:dyDescent="0.2">
      <c r="L24" s="42">
        <v>2</v>
      </c>
      <c r="M24" s="42">
        <v>6</v>
      </c>
      <c r="O24" s="497"/>
      <c r="P24" s="42">
        <v>4</v>
      </c>
      <c r="Q24" s="42">
        <v>5</v>
      </c>
      <c r="S24" s="495" t="str">
        <f>Language!$E$18</f>
        <v>First legs</v>
      </c>
      <c r="T24" s="42">
        <v>7</v>
      </c>
      <c r="U24" s="42">
        <v>6</v>
      </c>
      <c r="X24" s="42">
        <v>2</v>
      </c>
      <c r="Y24" s="42">
        <v>8</v>
      </c>
      <c r="AB24" s="42">
        <v>3</v>
      </c>
      <c r="AC24" s="42">
        <v>9</v>
      </c>
      <c r="AF24" s="42">
        <v>5</v>
      </c>
      <c r="AG24" s="42">
        <v>11</v>
      </c>
      <c r="AJ24" s="42">
        <v>4</v>
      </c>
      <c r="AK24" s="42">
        <v>3</v>
      </c>
      <c r="AN24" s="42">
        <v>4</v>
      </c>
      <c r="AO24" s="42">
        <v>5</v>
      </c>
      <c r="AR24" s="42">
        <v>13</v>
      </c>
      <c r="AS24" s="42">
        <v>9</v>
      </c>
      <c r="AV24" s="42">
        <v>15</v>
      </c>
      <c r="AW24" s="42">
        <v>11</v>
      </c>
      <c r="AZ24" s="42">
        <v>7</v>
      </c>
      <c r="BA24" s="42">
        <v>6</v>
      </c>
      <c r="BD24" s="42">
        <v>7</v>
      </c>
      <c r="BE24" s="42">
        <v>8</v>
      </c>
      <c r="BH24" s="42">
        <v>11</v>
      </c>
      <c r="BI24" s="42">
        <v>4</v>
      </c>
      <c r="BL24" s="42">
        <v>5</v>
      </c>
      <c r="BM24" s="42">
        <v>12</v>
      </c>
      <c r="BP24" s="42">
        <v>15</v>
      </c>
      <c r="BQ24" s="42">
        <v>2</v>
      </c>
    </row>
    <row r="25" spans="1:69" x14ac:dyDescent="0.2">
      <c r="L25" s="42">
        <v>1</v>
      </c>
      <c r="M25" s="42">
        <v>3</v>
      </c>
      <c r="O25" s="497"/>
      <c r="P25" s="42">
        <v>1</v>
      </c>
      <c r="Q25" s="42">
        <v>7</v>
      </c>
      <c r="S25" s="495"/>
      <c r="T25" s="42">
        <v>1</v>
      </c>
      <c r="U25" s="42">
        <v>2</v>
      </c>
      <c r="X25" s="42">
        <v>1</v>
      </c>
      <c r="Y25" s="42">
        <v>4</v>
      </c>
      <c r="AB25" s="42">
        <v>10</v>
      </c>
      <c r="AC25" s="42">
        <v>2</v>
      </c>
      <c r="AF25" s="42">
        <v>3</v>
      </c>
      <c r="AG25" s="42">
        <v>2</v>
      </c>
      <c r="AJ25" s="42">
        <v>1</v>
      </c>
      <c r="AK25" s="42">
        <v>8</v>
      </c>
      <c r="AN25" s="42">
        <v>1</v>
      </c>
      <c r="AO25" s="42">
        <v>10</v>
      </c>
      <c r="AR25" s="42">
        <v>8</v>
      </c>
      <c r="AS25" s="42">
        <v>14</v>
      </c>
      <c r="AV25" s="42">
        <v>2</v>
      </c>
      <c r="AW25" s="42">
        <v>9</v>
      </c>
      <c r="AZ25" s="42">
        <v>13</v>
      </c>
      <c r="BA25" s="42">
        <v>1</v>
      </c>
      <c r="BD25" s="42">
        <v>15</v>
      </c>
      <c r="BE25" s="42">
        <v>1</v>
      </c>
      <c r="BH25" s="42">
        <v>5</v>
      </c>
      <c r="BI25" s="42">
        <v>10</v>
      </c>
      <c r="BL25" s="42">
        <v>11</v>
      </c>
      <c r="BM25" s="42">
        <v>6</v>
      </c>
      <c r="BP25" s="42">
        <v>3</v>
      </c>
      <c r="BQ25" s="42">
        <v>14</v>
      </c>
    </row>
    <row r="26" spans="1:69" x14ac:dyDescent="0.2">
      <c r="L26" s="42">
        <v>4</v>
      </c>
      <c r="M26" s="42">
        <v>2</v>
      </c>
      <c r="O26" s="497"/>
      <c r="P26" s="42">
        <v>5</v>
      </c>
      <c r="Q26" s="42">
        <v>2</v>
      </c>
      <c r="S26" s="495"/>
      <c r="T26" s="42">
        <v>8</v>
      </c>
      <c r="U26" s="42">
        <v>3</v>
      </c>
      <c r="X26" s="42">
        <v>3</v>
      </c>
      <c r="Y26" s="42">
        <v>5</v>
      </c>
      <c r="AB26" s="42">
        <v>5</v>
      </c>
      <c r="AC26" s="42">
        <v>1</v>
      </c>
      <c r="AF26" s="42">
        <v>7</v>
      </c>
      <c r="AG26" s="42">
        <v>1</v>
      </c>
      <c r="AJ26" s="42">
        <v>7</v>
      </c>
      <c r="AK26" s="42">
        <v>9</v>
      </c>
      <c r="AN26" s="42">
        <v>9</v>
      </c>
      <c r="AO26" s="42">
        <v>11</v>
      </c>
      <c r="AR26" s="42">
        <v>2</v>
      </c>
      <c r="AS26" s="42">
        <v>7</v>
      </c>
      <c r="AV26" s="42">
        <v>8</v>
      </c>
      <c r="AW26" s="42">
        <v>3</v>
      </c>
      <c r="AZ26" s="42">
        <v>12</v>
      </c>
      <c r="BA26" s="42">
        <v>14</v>
      </c>
      <c r="BD26" s="42">
        <v>14</v>
      </c>
      <c r="BE26" s="42">
        <v>16</v>
      </c>
      <c r="BH26" s="42">
        <v>9</v>
      </c>
      <c r="BI26" s="42">
        <v>6</v>
      </c>
      <c r="BL26" s="42">
        <v>7</v>
      </c>
      <c r="BM26" s="42">
        <v>10</v>
      </c>
      <c r="BP26" s="42">
        <v>13</v>
      </c>
      <c r="BQ26" s="42">
        <v>4</v>
      </c>
    </row>
    <row r="27" spans="1:69" x14ac:dyDescent="0.2">
      <c r="L27" s="42">
        <v>6</v>
      </c>
      <c r="M27" s="42">
        <v>5</v>
      </c>
      <c r="P27" s="42">
        <v>3</v>
      </c>
      <c r="Q27" s="42">
        <v>4</v>
      </c>
      <c r="S27" s="495"/>
      <c r="T27" s="42">
        <v>4</v>
      </c>
      <c r="U27" s="42">
        <v>7</v>
      </c>
      <c r="X27" s="42">
        <v>6</v>
      </c>
      <c r="Y27" s="42">
        <v>2</v>
      </c>
      <c r="AB27" s="42">
        <v>4</v>
      </c>
      <c r="AC27" s="42">
        <v>6</v>
      </c>
      <c r="AF27" s="42">
        <v>6</v>
      </c>
      <c r="AG27" s="42">
        <v>8</v>
      </c>
      <c r="AJ27" s="42">
        <v>10</v>
      </c>
      <c r="AK27" s="42">
        <v>6</v>
      </c>
      <c r="AN27" s="42">
        <v>12</v>
      </c>
      <c r="AO27" s="42">
        <v>8</v>
      </c>
      <c r="AR27" s="42">
        <v>6</v>
      </c>
      <c r="AS27" s="42">
        <v>3</v>
      </c>
      <c r="AV27" s="42">
        <v>4</v>
      </c>
      <c r="AW27" s="42">
        <v>7</v>
      </c>
      <c r="AZ27" s="42">
        <v>15</v>
      </c>
      <c r="BA27" s="42">
        <v>11</v>
      </c>
      <c r="BD27" s="42">
        <v>17</v>
      </c>
      <c r="BE27" s="42">
        <v>13</v>
      </c>
      <c r="BH27" s="42">
        <v>7</v>
      </c>
      <c r="BI27" s="42">
        <v>8</v>
      </c>
      <c r="BL27" s="42">
        <v>9</v>
      </c>
      <c r="BM27" s="42">
        <v>8</v>
      </c>
      <c r="BP27" s="42">
        <v>5</v>
      </c>
      <c r="BQ27" s="42">
        <v>12</v>
      </c>
    </row>
    <row r="28" spans="1:69" ht="13.5" thickBot="1" x14ac:dyDescent="0.25">
      <c r="L28" s="42">
        <v>2</v>
      </c>
      <c r="M28" s="42">
        <v>1</v>
      </c>
      <c r="P28" s="42">
        <v>6</v>
      </c>
      <c r="Q28" s="42">
        <v>1</v>
      </c>
      <c r="S28" s="496"/>
      <c r="T28" s="42">
        <v>6</v>
      </c>
      <c r="U28" s="42">
        <v>5</v>
      </c>
      <c r="X28" s="42">
        <v>8</v>
      </c>
      <c r="Y28" s="42">
        <v>9</v>
      </c>
      <c r="AB28" s="42">
        <v>7</v>
      </c>
      <c r="AC28" s="42">
        <v>3</v>
      </c>
      <c r="AF28" s="42">
        <v>9</v>
      </c>
      <c r="AG28" s="42">
        <v>5</v>
      </c>
      <c r="AJ28" s="42">
        <v>5</v>
      </c>
      <c r="AK28" s="42">
        <v>11</v>
      </c>
      <c r="AN28" s="42">
        <v>7</v>
      </c>
      <c r="AO28" s="42">
        <v>13</v>
      </c>
      <c r="AR28" s="42">
        <v>4</v>
      </c>
      <c r="AS28" s="42">
        <v>5</v>
      </c>
      <c r="AV28" s="42">
        <v>6</v>
      </c>
      <c r="AW28" s="42">
        <v>5</v>
      </c>
      <c r="AZ28" s="42">
        <v>10</v>
      </c>
      <c r="BA28" s="42">
        <v>16</v>
      </c>
      <c r="BD28" s="42">
        <v>2</v>
      </c>
      <c r="BE28" s="42">
        <v>11</v>
      </c>
      <c r="BH28" s="42">
        <v>15</v>
      </c>
      <c r="BI28" s="42">
        <v>1</v>
      </c>
      <c r="BL28" s="42">
        <v>17</v>
      </c>
      <c r="BM28" s="42">
        <v>1</v>
      </c>
      <c r="BP28" s="42">
        <v>11</v>
      </c>
      <c r="BQ28" s="42">
        <v>6</v>
      </c>
    </row>
    <row r="29" spans="1:69" x14ac:dyDescent="0.2">
      <c r="L29" s="42">
        <v>3</v>
      </c>
      <c r="M29" s="42">
        <v>6</v>
      </c>
      <c r="P29" s="42">
        <v>7</v>
      </c>
      <c r="Q29" s="42">
        <v>5</v>
      </c>
      <c r="S29" s="497" t="str">
        <f>Language!$E$19</f>
        <v>Second legs</v>
      </c>
      <c r="T29" s="42">
        <v>8</v>
      </c>
      <c r="U29" s="42">
        <v>1</v>
      </c>
      <c r="X29" s="42">
        <v>3</v>
      </c>
      <c r="Y29" s="42">
        <v>1</v>
      </c>
      <c r="AB29" s="42">
        <v>2</v>
      </c>
      <c r="AC29" s="42">
        <v>8</v>
      </c>
      <c r="AF29" s="42">
        <v>4</v>
      </c>
      <c r="AG29" s="42">
        <v>10</v>
      </c>
      <c r="AJ29" s="42">
        <v>12</v>
      </c>
      <c r="AK29" s="42">
        <v>4</v>
      </c>
      <c r="AN29" s="42">
        <v>5</v>
      </c>
      <c r="AO29" s="42">
        <v>2</v>
      </c>
      <c r="AR29" s="42">
        <v>1</v>
      </c>
      <c r="AS29" s="42">
        <v>10</v>
      </c>
      <c r="AV29" s="42">
        <v>1</v>
      </c>
      <c r="AW29" s="42">
        <v>12</v>
      </c>
      <c r="AZ29" s="42">
        <v>2</v>
      </c>
      <c r="BA29" s="42">
        <v>9</v>
      </c>
      <c r="BD29" s="42">
        <v>10</v>
      </c>
      <c r="BE29" s="42">
        <v>3</v>
      </c>
      <c r="BH29" s="42">
        <v>14</v>
      </c>
      <c r="BI29" s="42">
        <v>16</v>
      </c>
      <c r="BL29" s="42">
        <v>16</v>
      </c>
      <c r="BM29" s="42">
        <v>18</v>
      </c>
      <c r="BP29" s="42">
        <v>7</v>
      </c>
      <c r="BQ29" s="42">
        <v>10</v>
      </c>
    </row>
    <row r="30" spans="1:69" x14ac:dyDescent="0.2">
      <c r="L30" s="42">
        <v>5</v>
      </c>
      <c r="M30" s="42">
        <v>4</v>
      </c>
      <c r="P30" s="42">
        <v>2</v>
      </c>
      <c r="Q30" s="42">
        <v>3</v>
      </c>
      <c r="S30" s="497"/>
      <c r="T30" s="42">
        <v>2</v>
      </c>
      <c r="U30" s="42">
        <v>7</v>
      </c>
      <c r="X30" s="42">
        <v>2</v>
      </c>
      <c r="Y30" s="42">
        <v>4</v>
      </c>
      <c r="AB30" s="42">
        <v>9</v>
      </c>
      <c r="AC30" s="42">
        <v>10</v>
      </c>
      <c r="AF30" s="42">
        <v>11</v>
      </c>
      <c r="AG30" s="42">
        <v>3</v>
      </c>
      <c r="AJ30" s="42">
        <v>3</v>
      </c>
      <c r="AK30" s="42">
        <v>2</v>
      </c>
      <c r="AN30" s="42">
        <v>3</v>
      </c>
      <c r="AO30" s="42">
        <v>4</v>
      </c>
      <c r="AR30" s="42">
        <v>9</v>
      </c>
      <c r="AS30" s="42">
        <v>11</v>
      </c>
      <c r="AV30" s="42">
        <v>11</v>
      </c>
      <c r="AW30" s="42">
        <v>13</v>
      </c>
      <c r="AZ30" s="42">
        <v>8</v>
      </c>
      <c r="BA30" s="42">
        <v>3</v>
      </c>
      <c r="BD30" s="42">
        <v>4</v>
      </c>
      <c r="BE30" s="42">
        <v>9</v>
      </c>
      <c r="BH30" s="42">
        <v>17</v>
      </c>
      <c r="BI30" s="42">
        <v>13</v>
      </c>
      <c r="BL30" s="42">
        <v>19</v>
      </c>
      <c r="BM30" s="42">
        <v>15</v>
      </c>
      <c r="BP30" s="42">
        <v>9</v>
      </c>
      <c r="BQ30" s="42">
        <v>8</v>
      </c>
    </row>
    <row r="31" spans="1:69" x14ac:dyDescent="0.2">
      <c r="P31" s="42">
        <v>1</v>
      </c>
      <c r="Q31" s="42">
        <v>5</v>
      </c>
      <c r="S31" s="497"/>
      <c r="T31" s="42">
        <v>6</v>
      </c>
      <c r="U31" s="42">
        <v>3</v>
      </c>
      <c r="X31" s="42">
        <v>9</v>
      </c>
      <c r="Y31" s="42">
        <v>6</v>
      </c>
      <c r="AB31" s="42">
        <v>1</v>
      </c>
      <c r="AC31" s="42">
        <v>4</v>
      </c>
      <c r="AF31" s="42">
        <v>1</v>
      </c>
      <c r="AG31" s="42">
        <v>6</v>
      </c>
      <c r="AJ31" s="42">
        <v>7</v>
      </c>
      <c r="AK31" s="42">
        <v>1</v>
      </c>
      <c r="AN31" s="42">
        <v>9</v>
      </c>
      <c r="AO31" s="42">
        <v>1</v>
      </c>
      <c r="AR31" s="42">
        <v>12</v>
      </c>
      <c r="AS31" s="42">
        <v>8</v>
      </c>
      <c r="AV31" s="42">
        <v>14</v>
      </c>
      <c r="AW31" s="42">
        <v>10</v>
      </c>
      <c r="AZ31" s="42">
        <v>4</v>
      </c>
      <c r="BA31" s="42">
        <v>7</v>
      </c>
      <c r="BD31" s="42">
        <v>8</v>
      </c>
      <c r="BE31" s="42">
        <v>5</v>
      </c>
      <c r="BH31" s="42">
        <v>12</v>
      </c>
      <c r="BI31" s="42">
        <v>18</v>
      </c>
      <c r="BL31" s="42">
        <v>2</v>
      </c>
      <c r="BM31" s="42">
        <v>13</v>
      </c>
      <c r="BP31" s="42">
        <v>17</v>
      </c>
      <c r="BQ31" s="42">
        <v>1</v>
      </c>
    </row>
    <row r="32" spans="1:69" x14ac:dyDescent="0.2">
      <c r="P32" s="42">
        <v>6</v>
      </c>
      <c r="Q32" s="42">
        <v>4</v>
      </c>
      <c r="S32" s="497"/>
      <c r="T32" s="42">
        <v>4</v>
      </c>
      <c r="U32" s="42">
        <v>5</v>
      </c>
      <c r="W32" s="495" t="str">
        <f>Language!$E$18</f>
        <v>First legs</v>
      </c>
      <c r="X32" s="42">
        <v>7</v>
      </c>
      <c r="Y32" s="42">
        <v>8</v>
      </c>
      <c r="AB32" s="42">
        <v>3</v>
      </c>
      <c r="AC32" s="42">
        <v>5</v>
      </c>
      <c r="AF32" s="42">
        <v>5</v>
      </c>
      <c r="AG32" s="42">
        <v>7</v>
      </c>
      <c r="AJ32" s="42">
        <v>6</v>
      </c>
      <c r="AK32" s="42">
        <v>8</v>
      </c>
      <c r="AN32" s="42">
        <v>8</v>
      </c>
      <c r="AO32" s="42">
        <v>10</v>
      </c>
      <c r="AR32" s="42">
        <v>7</v>
      </c>
      <c r="AS32" s="42">
        <v>13</v>
      </c>
      <c r="AV32" s="42">
        <v>9</v>
      </c>
      <c r="AW32" s="42">
        <v>15</v>
      </c>
      <c r="AZ32" s="42">
        <v>6</v>
      </c>
      <c r="BA32" s="42">
        <v>5</v>
      </c>
      <c r="BD32" s="42">
        <v>6</v>
      </c>
      <c r="BE32" s="42">
        <v>7</v>
      </c>
      <c r="BH32" s="42">
        <v>2</v>
      </c>
      <c r="BI32" s="42">
        <v>11</v>
      </c>
      <c r="BL32" s="42">
        <v>12</v>
      </c>
      <c r="BM32" s="42">
        <v>3</v>
      </c>
      <c r="BP32" s="42">
        <v>16</v>
      </c>
      <c r="BQ32" s="42">
        <v>18</v>
      </c>
    </row>
    <row r="33" spans="16:69" x14ac:dyDescent="0.2">
      <c r="P33" s="42">
        <v>3</v>
      </c>
      <c r="Q33" s="42">
        <v>7</v>
      </c>
      <c r="S33" s="497"/>
      <c r="T33" s="42">
        <v>1</v>
      </c>
      <c r="U33" s="42">
        <v>7</v>
      </c>
      <c r="W33" s="495"/>
      <c r="X33" s="42">
        <v>1</v>
      </c>
      <c r="Y33" s="42">
        <v>2</v>
      </c>
      <c r="AB33" s="42">
        <v>6</v>
      </c>
      <c r="AC33" s="42">
        <v>2</v>
      </c>
      <c r="AF33" s="42">
        <v>8</v>
      </c>
      <c r="AG33" s="42">
        <v>4</v>
      </c>
      <c r="AJ33" s="42">
        <v>9</v>
      </c>
      <c r="AK33" s="42">
        <v>5</v>
      </c>
      <c r="AN33" s="42">
        <v>11</v>
      </c>
      <c r="AO33" s="42">
        <v>7</v>
      </c>
      <c r="AR33" s="42">
        <v>14</v>
      </c>
      <c r="AS33" s="42">
        <v>6</v>
      </c>
      <c r="AV33" s="42">
        <v>7</v>
      </c>
      <c r="AW33" s="42">
        <v>2</v>
      </c>
      <c r="AZ33" s="42">
        <v>1</v>
      </c>
      <c r="BA33" s="42">
        <v>12</v>
      </c>
      <c r="BD33" s="42">
        <v>1</v>
      </c>
      <c r="BE33" s="42">
        <v>14</v>
      </c>
      <c r="BH33" s="42">
        <v>10</v>
      </c>
      <c r="BI33" s="42">
        <v>3</v>
      </c>
      <c r="BL33" s="42">
        <v>4</v>
      </c>
      <c r="BM33" s="42">
        <v>11</v>
      </c>
      <c r="BP33" s="42">
        <v>19</v>
      </c>
      <c r="BQ33" s="42">
        <v>15</v>
      </c>
    </row>
    <row r="34" spans="16:69" x14ac:dyDescent="0.2">
      <c r="P34" s="42">
        <v>4</v>
      </c>
      <c r="Q34" s="42">
        <v>1</v>
      </c>
      <c r="T34" s="42">
        <v>8</v>
      </c>
      <c r="U34" s="42">
        <v>6</v>
      </c>
      <c r="W34" s="495"/>
      <c r="X34" s="42">
        <v>4</v>
      </c>
      <c r="Y34" s="42">
        <v>9</v>
      </c>
      <c r="AB34" s="42">
        <v>10</v>
      </c>
      <c r="AC34" s="42">
        <v>7</v>
      </c>
      <c r="AF34" s="42">
        <v>3</v>
      </c>
      <c r="AG34" s="42">
        <v>9</v>
      </c>
      <c r="AJ34" s="42">
        <v>4</v>
      </c>
      <c r="AK34" s="42">
        <v>10</v>
      </c>
      <c r="AN34" s="42">
        <v>6</v>
      </c>
      <c r="AO34" s="42">
        <v>12</v>
      </c>
      <c r="AR34" s="42">
        <v>5</v>
      </c>
      <c r="AS34" s="42">
        <v>2</v>
      </c>
      <c r="AV34" s="42">
        <v>3</v>
      </c>
      <c r="AW34" s="42">
        <v>6</v>
      </c>
      <c r="AZ34" s="42">
        <v>11</v>
      </c>
      <c r="BA34" s="42">
        <v>13</v>
      </c>
      <c r="BD34" s="42">
        <v>13</v>
      </c>
      <c r="BE34" s="42">
        <v>15</v>
      </c>
      <c r="BH34" s="42">
        <v>4</v>
      </c>
      <c r="BI34" s="42">
        <v>9</v>
      </c>
      <c r="BL34" s="42">
        <v>10</v>
      </c>
      <c r="BM34" s="42">
        <v>5</v>
      </c>
      <c r="BP34" s="42">
        <v>14</v>
      </c>
      <c r="BQ34" s="42">
        <v>20</v>
      </c>
    </row>
    <row r="35" spans="16:69" x14ac:dyDescent="0.2">
      <c r="P35" s="42">
        <v>5</v>
      </c>
      <c r="Q35" s="42">
        <v>3</v>
      </c>
      <c r="T35" s="42">
        <v>5</v>
      </c>
      <c r="U35" s="42">
        <v>2</v>
      </c>
      <c r="W35" s="495"/>
      <c r="X35" s="42">
        <v>8</v>
      </c>
      <c r="Y35" s="42">
        <v>5</v>
      </c>
      <c r="AB35" s="42">
        <v>8</v>
      </c>
      <c r="AC35" s="42">
        <v>9</v>
      </c>
      <c r="AF35" s="42">
        <v>10</v>
      </c>
      <c r="AG35" s="42">
        <v>2</v>
      </c>
      <c r="AJ35" s="42">
        <v>11</v>
      </c>
      <c r="AK35" s="42">
        <v>3</v>
      </c>
      <c r="AN35" s="42">
        <v>13</v>
      </c>
      <c r="AO35" s="42">
        <v>5</v>
      </c>
      <c r="AR35" s="42">
        <v>3</v>
      </c>
      <c r="AS35" s="42">
        <v>4</v>
      </c>
      <c r="AV35" s="42">
        <v>5</v>
      </c>
      <c r="AW35" s="42">
        <v>4</v>
      </c>
      <c r="AZ35" s="42">
        <v>14</v>
      </c>
      <c r="BA35" s="42">
        <v>10</v>
      </c>
      <c r="BD35" s="42">
        <v>16</v>
      </c>
      <c r="BE35" s="42">
        <v>12</v>
      </c>
      <c r="BH35" s="42">
        <v>8</v>
      </c>
      <c r="BI35" s="42">
        <v>5</v>
      </c>
      <c r="BL35" s="42">
        <v>6</v>
      </c>
      <c r="BM35" s="42">
        <v>9</v>
      </c>
      <c r="BP35" s="42">
        <v>2</v>
      </c>
      <c r="BQ35" s="42">
        <v>13</v>
      </c>
    </row>
    <row r="36" spans="16:69" ht="13.5" thickBot="1" x14ac:dyDescent="0.25">
      <c r="P36" s="42">
        <v>2</v>
      </c>
      <c r="Q36" s="42">
        <v>6</v>
      </c>
      <c r="T36" s="42">
        <v>3</v>
      </c>
      <c r="U36" s="42">
        <v>4</v>
      </c>
      <c r="W36" s="496"/>
      <c r="X36" s="42">
        <v>6</v>
      </c>
      <c r="Y36" s="42">
        <v>7</v>
      </c>
      <c r="AB36" s="42">
        <v>3</v>
      </c>
      <c r="AC36" s="42">
        <v>1</v>
      </c>
      <c r="AF36" s="42">
        <v>5</v>
      </c>
      <c r="AG36" s="42">
        <v>1</v>
      </c>
      <c r="AJ36" s="42">
        <v>2</v>
      </c>
      <c r="AK36" s="42">
        <v>12</v>
      </c>
      <c r="AN36" s="42">
        <v>2</v>
      </c>
      <c r="AO36" s="42">
        <v>3</v>
      </c>
      <c r="AR36" s="42">
        <v>9</v>
      </c>
      <c r="AS36" s="42">
        <v>1</v>
      </c>
      <c r="AV36" s="42">
        <v>11</v>
      </c>
      <c r="AW36" s="42">
        <v>1</v>
      </c>
      <c r="AZ36" s="42">
        <v>9</v>
      </c>
      <c r="BA36" s="42">
        <v>15</v>
      </c>
      <c r="BD36" s="42">
        <v>11</v>
      </c>
      <c r="BE36" s="42">
        <v>17</v>
      </c>
      <c r="BH36" s="42">
        <v>6</v>
      </c>
      <c r="BI36" s="42">
        <v>7</v>
      </c>
      <c r="BL36" s="42">
        <v>8</v>
      </c>
      <c r="BM36" s="42">
        <v>7</v>
      </c>
      <c r="BP36" s="42">
        <v>12</v>
      </c>
      <c r="BQ36" s="42">
        <v>3</v>
      </c>
    </row>
    <row r="37" spans="16:69" x14ac:dyDescent="0.2">
      <c r="P37" s="42">
        <v>1</v>
      </c>
      <c r="Q37" s="42">
        <v>3</v>
      </c>
      <c r="T37" s="42">
        <v>6</v>
      </c>
      <c r="U37" s="42">
        <v>1</v>
      </c>
      <c r="W37" s="497" t="str">
        <f>Language!$E$19</f>
        <v>Second legs</v>
      </c>
      <c r="X37" s="42">
        <v>2</v>
      </c>
      <c r="Y37" s="42">
        <v>9</v>
      </c>
      <c r="AB37" s="42">
        <v>2</v>
      </c>
      <c r="AC37" s="42">
        <v>4</v>
      </c>
      <c r="AF37" s="42">
        <v>4</v>
      </c>
      <c r="AG37" s="42">
        <v>6</v>
      </c>
      <c r="AJ37" s="42">
        <v>1</v>
      </c>
      <c r="AK37" s="42">
        <v>6</v>
      </c>
      <c r="AN37" s="42">
        <v>1</v>
      </c>
      <c r="AO37" s="42">
        <v>8</v>
      </c>
      <c r="AR37" s="42">
        <v>8</v>
      </c>
      <c r="AS37" s="42">
        <v>10</v>
      </c>
      <c r="AV37" s="42">
        <v>10</v>
      </c>
      <c r="AW37" s="42">
        <v>12</v>
      </c>
      <c r="AZ37" s="42">
        <v>16</v>
      </c>
      <c r="BA37" s="42">
        <v>8</v>
      </c>
      <c r="BD37" s="42">
        <v>9</v>
      </c>
      <c r="BE37" s="42">
        <v>2</v>
      </c>
      <c r="BH37" s="42">
        <v>1</v>
      </c>
      <c r="BI37" s="42">
        <v>14</v>
      </c>
      <c r="BL37" s="42">
        <v>1</v>
      </c>
      <c r="BM37" s="42">
        <v>16</v>
      </c>
      <c r="BP37" s="42">
        <v>4</v>
      </c>
      <c r="BQ37" s="42">
        <v>11</v>
      </c>
    </row>
    <row r="38" spans="16:69" x14ac:dyDescent="0.2">
      <c r="P38" s="42">
        <v>4</v>
      </c>
      <c r="Q38" s="42">
        <v>2</v>
      </c>
      <c r="T38" s="42">
        <v>7</v>
      </c>
      <c r="U38" s="42">
        <v>5</v>
      </c>
      <c r="W38" s="497"/>
      <c r="X38" s="42">
        <v>8</v>
      </c>
      <c r="Y38" s="42">
        <v>3</v>
      </c>
      <c r="AB38" s="42">
        <v>5</v>
      </c>
      <c r="AC38" s="42">
        <v>10</v>
      </c>
      <c r="AF38" s="42">
        <v>7</v>
      </c>
      <c r="AG38" s="42">
        <v>3</v>
      </c>
      <c r="AJ38" s="42">
        <v>5</v>
      </c>
      <c r="AK38" s="42">
        <v>7</v>
      </c>
      <c r="AN38" s="42">
        <v>7</v>
      </c>
      <c r="AO38" s="42">
        <v>9</v>
      </c>
      <c r="AR38" s="42">
        <v>11</v>
      </c>
      <c r="AS38" s="42">
        <v>7</v>
      </c>
      <c r="AV38" s="42">
        <v>13</v>
      </c>
      <c r="AW38" s="42">
        <v>9</v>
      </c>
      <c r="AZ38" s="42">
        <v>7</v>
      </c>
      <c r="BA38" s="42">
        <v>2</v>
      </c>
      <c r="BD38" s="42">
        <v>3</v>
      </c>
      <c r="BE38" s="42">
        <v>8</v>
      </c>
      <c r="BH38" s="42">
        <v>13</v>
      </c>
      <c r="BI38" s="42">
        <v>15</v>
      </c>
      <c r="BL38" s="42">
        <v>15</v>
      </c>
      <c r="BM38" s="42">
        <v>17</v>
      </c>
      <c r="BP38" s="42">
        <v>10</v>
      </c>
      <c r="BQ38" s="42">
        <v>5</v>
      </c>
    </row>
    <row r="39" spans="16:69" x14ac:dyDescent="0.2">
      <c r="P39" s="42">
        <v>6</v>
      </c>
      <c r="Q39" s="42">
        <v>7</v>
      </c>
      <c r="T39" s="42">
        <v>4</v>
      </c>
      <c r="U39" s="42">
        <v>8</v>
      </c>
      <c r="W39" s="497"/>
      <c r="X39" s="42">
        <v>4</v>
      </c>
      <c r="Y39" s="42">
        <v>7</v>
      </c>
      <c r="AB39" s="42">
        <v>9</v>
      </c>
      <c r="AC39" s="42">
        <v>6</v>
      </c>
      <c r="AF39" s="42">
        <v>2</v>
      </c>
      <c r="AG39" s="42">
        <v>8</v>
      </c>
      <c r="AJ39" s="42">
        <v>8</v>
      </c>
      <c r="AK39" s="42">
        <v>4</v>
      </c>
      <c r="AN39" s="42">
        <v>10</v>
      </c>
      <c r="AO39" s="42">
        <v>6</v>
      </c>
      <c r="AR39" s="42">
        <v>6</v>
      </c>
      <c r="AS39" s="42">
        <v>12</v>
      </c>
      <c r="AV39" s="42">
        <v>8</v>
      </c>
      <c r="AW39" s="42">
        <v>14</v>
      </c>
      <c r="AZ39" s="42">
        <v>3</v>
      </c>
      <c r="BA39" s="42">
        <v>6</v>
      </c>
      <c r="BD39" s="42">
        <v>7</v>
      </c>
      <c r="BE39" s="42">
        <v>4</v>
      </c>
      <c r="BH39" s="42">
        <v>16</v>
      </c>
      <c r="BI39" s="42">
        <v>12</v>
      </c>
      <c r="BL39" s="42">
        <v>18</v>
      </c>
      <c r="BM39" s="42">
        <v>14</v>
      </c>
      <c r="BP39" s="42">
        <v>6</v>
      </c>
      <c r="BQ39" s="42">
        <v>9</v>
      </c>
    </row>
    <row r="40" spans="16:69" x14ac:dyDescent="0.2">
      <c r="P40" s="42">
        <v>2</v>
      </c>
      <c r="Q40" s="42">
        <v>1</v>
      </c>
      <c r="T40" s="42">
        <v>2</v>
      </c>
      <c r="U40" s="42">
        <v>3</v>
      </c>
      <c r="W40" s="497"/>
      <c r="X40" s="42">
        <v>6</v>
      </c>
      <c r="Y40" s="42">
        <v>5</v>
      </c>
      <c r="AB40" s="42">
        <v>7</v>
      </c>
      <c r="AC40" s="42">
        <v>8</v>
      </c>
      <c r="AF40" s="42">
        <v>11</v>
      </c>
      <c r="AG40" s="42">
        <v>10</v>
      </c>
      <c r="AJ40" s="42">
        <v>3</v>
      </c>
      <c r="AK40" s="42">
        <v>9</v>
      </c>
      <c r="AN40" s="42">
        <v>5</v>
      </c>
      <c r="AO40" s="42">
        <v>11</v>
      </c>
      <c r="AR40" s="42">
        <v>13</v>
      </c>
      <c r="AS40" s="42">
        <v>5</v>
      </c>
      <c r="AV40" s="42">
        <v>15</v>
      </c>
      <c r="AW40" s="42">
        <v>7</v>
      </c>
      <c r="AZ40" s="42">
        <v>5</v>
      </c>
      <c r="BA40" s="42">
        <v>4</v>
      </c>
      <c r="BD40" s="42">
        <v>5</v>
      </c>
      <c r="BE40" s="42">
        <v>6</v>
      </c>
      <c r="BH40" s="42">
        <v>11</v>
      </c>
      <c r="BI40" s="42">
        <v>17</v>
      </c>
      <c r="BL40" s="42">
        <v>13</v>
      </c>
      <c r="BM40" s="42">
        <v>19</v>
      </c>
      <c r="BP40" s="42">
        <v>8</v>
      </c>
      <c r="BQ40" s="42">
        <v>7</v>
      </c>
    </row>
    <row r="41" spans="16:69" x14ac:dyDescent="0.2">
      <c r="P41" s="42">
        <v>7</v>
      </c>
      <c r="Q41" s="42">
        <v>4</v>
      </c>
      <c r="T41" s="42">
        <v>1</v>
      </c>
      <c r="U41" s="42">
        <v>5</v>
      </c>
      <c r="W41" s="497"/>
      <c r="X41" s="42">
        <v>1</v>
      </c>
      <c r="Y41" s="42">
        <v>9</v>
      </c>
      <c r="AA41" s="495" t="str">
        <f>Language!$E$18</f>
        <v>First legs</v>
      </c>
      <c r="AB41" s="42">
        <v>1</v>
      </c>
      <c r="AC41" s="42">
        <v>2</v>
      </c>
      <c r="AF41" s="42">
        <v>1</v>
      </c>
      <c r="AG41" s="42">
        <v>4</v>
      </c>
      <c r="AJ41" s="42">
        <v>10</v>
      </c>
      <c r="AK41" s="42">
        <v>2</v>
      </c>
      <c r="AN41" s="42">
        <v>12</v>
      </c>
      <c r="AO41" s="42">
        <v>4</v>
      </c>
      <c r="AR41" s="42">
        <v>4</v>
      </c>
      <c r="AS41" s="42">
        <v>14</v>
      </c>
      <c r="AV41" s="42">
        <v>2</v>
      </c>
      <c r="AW41" s="42">
        <v>5</v>
      </c>
      <c r="AZ41" s="42">
        <v>11</v>
      </c>
      <c r="BA41" s="42">
        <v>1</v>
      </c>
      <c r="BD41" s="42">
        <v>13</v>
      </c>
      <c r="BE41" s="42">
        <v>1</v>
      </c>
      <c r="BH41" s="42">
        <v>18</v>
      </c>
      <c r="BI41" s="42">
        <v>10</v>
      </c>
      <c r="BL41" s="42">
        <v>11</v>
      </c>
      <c r="BM41" s="42">
        <v>2</v>
      </c>
      <c r="BP41" s="42">
        <v>1</v>
      </c>
      <c r="BQ41" s="42">
        <v>16</v>
      </c>
    </row>
    <row r="42" spans="16:69" x14ac:dyDescent="0.2">
      <c r="P42" s="42">
        <v>5</v>
      </c>
      <c r="Q42" s="42">
        <v>6</v>
      </c>
      <c r="T42" s="42">
        <v>6</v>
      </c>
      <c r="U42" s="42">
        <v>4</v>
      </c>
      <c r="X42" s="42">
        <v>7</v>
      </c>
      <c r="Y42" s="42">
        <v>2</v>
      </c>
      <c r="AA42" s="495"/>
      <c r="AB42" s="42">
        <v>10</v>
      </c>
      <c r="AC42" s="42">
        <v>3</v>
      </c>
      <c r="AF42" s="42">
        <v>3</v>
      </c>
      <c r="AG42" s="42">
        <v>5</v>
      </c>
      <c r="AJ42" s="42">
        <v>12</v>
      </c>
      <c r="AK42" s="42">
        <v>11</v>
      </c>
      <c r="AN42" s="42">
        <v>3</v>
      </c>
      <c r="AO42" s="42">
        <v>13</v>
      </c>
      <c r="AR42" s="42">
        <v>2</v>
      </c>
      <c r="AS42" s="42">
        <v>3</v>
      </c>
      <c r="AV42" s="42">
        <v>4</v>
      </c>
      <c r="AW42" s="42">
        <v>3</v>
      </c>
      <c r="AZ42" s="42">
        <v>10</v>
      </c>
      <c r="BA42" s="42">
        <v>12</v>
      </c>
      <c r="BD42" s="42">
        <v>12</v>
      </c>
      <c r="BE42" s="42">
        <v>14</v>
      </c>
      <c r="BH42" s="42">
        <v>9</v>
      </c>
      <c r="BI42" s="42">
        <v>2</v>
      </c>
      <c r="BL42" s="42">
        <v>3</v>
      </c>
      <c r="BM42" s="42">
        <v>10</v>
      </c>
      <c r="BP42" s="42">
        <v>15</v>
      </c>
      <c r="BQ42" s="42">
        <v>17</v>
      </c>
    </row>
    <row r="43" spans="16:69" x14ac:dyDescent="0.2">
      <c r="T43" s="42">
        <v>3</v>
      </c>
      <c r="U43" s="42">
        <v>7</v>
      </c>
      <c r="X43" s="42">
        <v>3</v>
      </c>
      <c r="Y43" s="42">
        <v>6</v>
      </c>
      <c r="AA43" s="495"/>
      <c r="AB43" s="42">
        <v>4</v>
      </c>
      <c r="AC43" s="42">
        <v>9</v>
      </c>
      <c r="AF43" s="42">
        <v>6</v>
      </c>
      <c r="AG43" s="42">
        <v>2</v>
      </c>
      <c r="AJ43" s="42">
        <v>5</v>
      </c>
      <c r="AK43" s="42">
        <v>1</v>
      </c>
      <c r="AN43" s="42">
        <v>7</v>
      </c>
      <c r="AO43" s="42">
        <v>1</v>
      </c>
      <c r="AR43" s="42">
        <v>1</v>
      </c>
      <c r="AS43" s="42">
        <v>8</v>
      </c>
      <c r="AV43" s="42">
        <v>1</v>
      </c>
      <c r="AW43" s="42">
        <v>10</v>
      </c>
      <c r="AZ43" s="42">
        <v>13</v>
      </c>
      <c r="BA43" s="42">
        <v>9</v>
      </c>
      <c r="BD43" s="42">
        <v>15</v>
      </c>
      <c r="BE43" s="42">
        <v>11</v>
      </c>
      <c r="BH43" s="42">
        <v>3</v>
      </c>
      <c r="BI43" s="42">
        <v>8</v>
      </c>
      <c r="BL43" s="42">
        <v>9</v>
      </c>
      <c r="BM43" s="42">
        <v>4</v>
      </c>
      <c r="BP43" s="42">
        <v>18</v>
      </c>
      <c r="BQ43" s="42">
        <v>14</v>
      </c>
    </row>
    <row r="44" spans="16:69" x14ac:dyDescent="0.2">
      <c r="T44" s="42">
        <v>8</v>
      </c>
      <c r="U44" s="42">
        <v>2</v>
      </c>
      <c r="X44" s="42">
        <v>5</v>
      </c>
      <c r="Y44" s="42">
        <v>4</v>
      </c>
      <c r="AA44" s="495"/>
      <c r="AB44" s="42">
        <v>8</v>
      </c>
      <c r="AC44" s="42">
        <v>5</v>
      </c>
      <c r="AF44" s="42">
        <v>8</v>
      </c>
      <c r="AG44" s="42">
        <v>11</v>
      </c>
      <c r="AJ44" s="42">
        <v>4</v>
      </c>
      <c r="AK44" s="42">
        <v>6</v>
      </c>
      <c r="AN44" s="42">
        <v>6</v>
      </c>
      <c r="AO44" s="42">
        <v>8</v>
      </c>
      <c r="AR44" s="42">
        <v>7</v>
      </c>
      <c r="AS44" s="42">
        <v>9</v>
      </c>
      <c r="AV44" s="42">
        <v>9</v>
      </c>
      <c r="AW44" s="42">
        <v>11</v>
      </c>
      <c r="AZ44" s="42">
        <v>8</v>
      </c>
      <c r="BA44" s="42">
        <v>14</v>
      </c>
      <c r="BD44" s="42">
        <v>10</v>
      </c>
      <c r="BE44" s="42">
        <v>16</v>
      </c>
      <c r="BH44" s="42">
        <v>7</v>
      </c>
      <c r="BI44" s="42">
        <v>4</v>
      </c>
      <c r="BL44" s="42">
        <v>5</v>
      </c>
      <c r="BM44" s="42">
        <v>8</v>
      </c>
      <c r="BP44" s="42">
        <v>13</v>
      </c>
      <c r="BQ44" s="42">
        <v>19</v>
      </c>
    </row>
    <row r="45" spans="16:69" ht="13.5" thickBot="1" x14ac:dyDescent="0.25">
      <c r="T45" s="42">
        <v>4</v>
      </c>
      <c r="U45" s="42">
        <v>1</v>
      </c>
      <c r="X45" s="42">
        <v>8</v>
      </c>
      <c r="Y45" s="42">
        <v>1</v>
      </c>
      <c r="AA45" s="496"/>
      <c r="AB45" s="42">
        <v>6</v>
      </c>
      <c r="AC45" s="42">
        <v>7</v>
      </c>
      <c r="AF45" s="42">
        <v>10</v>
      </c>
      <c r="AG45" s="42">
        <v>9</v>
      </c>
      <c r="AJ45" s="42">
        <v>7</v>
      </c>
      <c r="AK45" s="42">
        <v>3</v>
      </c>
      <c r="AN45" s="42">
        <v>9</v>
      </c>
      <c r="AO45" s="42">
        <v>5</v>
      </c>
      <c r="AR45" s="42">
        <v>10</v>
      </c>
      <c r="AS45" s="42">
        <v>6</v>
      </c>
      <c r="AV45" s="42">
        <v>12</v>
      </c>
      <c r="AW45" s="42">
        <v>8</v>
      </c>
      <c r="AZ45" s="42">
        <v>15</v>
      </c>
      <c r="BA45" s="42">
        <v>7</v>
      </c>
      <c r="BD45" s="42">
        <v>17</v>
      </c>
      <c r="BE45" s="42">
        <v>9</v>
      </c>
      <c r="BH45" s="42">
        <v>5</v>
      </c>
      <c r="BI45" s="42">
        <v>6</v>
      </c>
      <c r="BL45" s="42">
        <v>7</v>
      </c>
      <c r="BM45" s="42">
        <v>6</v>
      </c>
      <c r="BP45" s="42">
        <v>20</v>
      </c>
      <c r="BQ45" s="42">
        <v>12</v>
      </c>
    </row>
    <row r="46" spans="16:69" x14ac:dyDescent="0.2">
      <c r="T46" s="42">
        <v>5</v>
      </c>
      <c r="U46" s="42">
        <v>3</v>
      </c>
      <c r="X46" s="42">
        <v>9</v>
      </c>
      <c r="Y46" s="42">
        <v>7</v>
      </c>
      <c r="AA46" s="497" t="str">
        <f>Language!$E$19</f>
        <v>Second legs</v>
      </c>
      <c r="AB46" s="42">
        <v>10</v>
      </c>
      <c r="AC46" s="42">
        <v>1</v>
      </c>
      <c r="AF46" s="42">
        <v>3</v>
      </c>
      <c r="AG46" s="42">
        <v>1</v>
      </c>
      <c r="AJ46" s="42">
        <v>2</v>
      </c>
      <c r="AK46" s="42">
        <v>8</v>
      </c>
      <c r="AN46" s="42">
        <v>4</v>
      </c>
      <c r="AO46" s="42">
        <v>10</v>
      </c>
      <c r="AR46" s="42">
        <v>5</v>
      </c>
      <c r="AS46" s="42">
        <v>11</v>
      </c>
      <c r="AV46" s="42">
        <v>7</v>
      </c>
      <c r="AW46" s="42">
        <v>13</v>
      </c>
      <c r="AZ46" s="42">
        <v>6</v>
      </c>
      <c r="BA46" s="42">
        <v>16</v>
      </c>
      <c r="BD46" s="42">
        <v>2</v>
      </c>
      <c r="BE46" s="42">
        <v>7</v>
      </c>
      <c r="BH46" s="42">
        <v>13</v>
      </c>
      <c r="BI46" s="42">
        <v>1</v>
      </c>
      <c r="BL46" s="42">
        <v>15</v>
      </c>
      <c r="BM46" s="42">
        <v>1</v>
      </c>
      <c r="BP46" s="42">
        <v>11</v>
      </c>
      <c r="BQ46" s="42">
        <v>2</v>
      </c>
    </row>
    <row r="47" spans="16:69" x14ac:dyDescent="0.2">
      <c r="T47" s="42">
        <v>2</v>
      </c>
      <c r="U47" s="42">
        <v>6</v>
      </c>
      <c r="X47" s="42">
        <v>2</v>
      </c>
      <c r="Y47" s="42">
        <v>5</v>
      </c>
      <c r="AA47" s="497"/>
      <c r="AB47" s="42">
        <v>2</v>
      </c>
      <c r="AC47" s="42">
        <v>9</v>
      </c>
      <c r="AF47" s="42">
        <v>2</v>
      </c>
      <c r="AG47" s="42">
        <v>4</v>
      </c>
      <c r="AJ47" s="42">
        <v>9</v>
      </c>
      <c r="AK47" s="42">
        <v>12</v>
      </c>
      <c r="AN47" s="42">
        <v>11</v>
      </c>
      <c r="AO47" s="42">
        <v>3</v>
      </c>
      <c r="AR47" s="42">
        <v>12</v>
      </c>
      <c r="AS47" s="42">
        <v>4</v>
      </c>
      <c r="AV47" s="42">
        <v>14</v>
      </c>
      <c r="AW47" s="42">
        <v>6</v>
      </c>
      <c r="AZ47" s="42">
        <v>2</v>
      </c>
      <c r="BA47" s="42">
        <v>5</v>
      </c>
      <c r="BD47" s="42">
        <v>6</v>
      </c>
      <c r="BE47" s="42">
        <v>3</v>
      </c>
      <c r="BH47" s="42">
        <v>12</v>
      </c>
      <c r="BI47" s="42">
        <v>14</v>
      </c>
      <c r="BL47" s="42">
        <v>14</v>
      </c>
      <c r="BM47" s="42">
        <v>16</v>
      </c>
      <c r="BP47" s="42">
        <v>3</v>
      </c>
      <c r="BQ47" s="42">
        <v>10</v>
      </c>
    </row>
    <row r="48" spans="16:69" x14ac:dyDescent="0.2">
      <c r="T48" s="42">
        <v>7</v>
      </c>
      <c r="U48" s="42">
        <v>8</v>
      </c>
      <c r="X48" s="42">
        <v>4</v>
      </c>
      <c r="Y48" s="42">
        <v>3</v>
      </c>
      <c r="AA48" s="497"/>
      <c r="AB48" s="42">
        <v>8</v>
      </c>
      <c r="AC48" s="42">
        <v>3</v>
      </c>
      <c r="AF48" s="42">
        <v>11</v>
      </c>
      <c r="AG48" s="42">
        <v>6</v>
      </c>
      <c r="AJ48" s="42">
        <v>11</v>
      </c>
      <c r="AK48" s="42">
        <v>10</v>
      </c>
      <c r="AN48" s="42">
        <v>2</v>
      </c>
      <c r="AO48" s="42">
        <v>12</v>
      </c>
      <c r="AR48" s="42">
        <v>3</v>
      </c>
      <c r="AS48" s="42">
        <v>13</v>
      </c>
      <c r="AV48" s="42">
        <v>5</v>
      </c>
      <c r="AW48" s="42">
        <v>15</v>
      </c>
      <c r="AZ48" s="42">
        <v>4</v>
      </c>
      <c r="BA48" s="42">
        <v>3</v>
      </c>
      <c r="BD48" s="42">
        <v>4</v>
      </c>
      <c r="BE48" s="42">
        <v>5</v>
      </c>
      <c r="BH48" s="42">
        <v>15</v>
      </c>
      <c r="BI48" s="42">
        <v>11</v>
      </c>
      <c r="BL48" s="42">
        <v>17</v>
      </c>
      <c r="BM48" s="42">
        <v>13</v>
      </c>
      <c r="BP48" s="42">
        <v>9</v>
      </c>
      <c r="BQ48" s="42">
        <v>4</v>
      </c>
    </row>
    <row r="49" spans="20:69" x14ac:dyDescent="0.2">
      <c r="T49" s="42">
        <v>1</v>
      </c>
      <c r="U49" s="42">
        <v>3</v>
      </c>
      <c r="X49" s="42">
        <v>1</v>
      </c>
      <c r="Y49" s="42">
        <v>7</v>
      </c>
      <c r="AA49" s="497"/>
      <c r="AB49" s="42">
        <v>4</v>
      </c>
      <c r="AC49" s="42">
        <v>7</v>
      </c>
      <c r="AF49" s="42">
        <v>7</v>
      </c>
      <c r="AG49" s="42">
        <v>10</v>
      </c>
      <c r="AJ49" s="42">
        <v>1</v>
      </c>
      <c r="AK49" s="42">
        <v>4</v>
      </c>
      <c r="AN49" s="42">
        <v>1</v>
      </c>
      <c r="AO49" s="42">
        <v>6</v>
      </c>
      <c r="AR49" s="42">
        <v>14</v>
      </c>
      <c r="AS49" s="42">
        <v>2</v>
      </c>
      <c r="AV49" s="42">
        <v>3</v>
      </c>
      <c r="AW49" s="42">
        <v>2</v>
      </c>
      <c r="AZ49" s="42">
        <v>1</v>
      </c>
      <c r="BA49" s="42">
        <v>10</v>
      </c>
      <c r="BD49" s="42">
        <v>1</v>
      </c>
      <c r="BE49" s="42">
        <v>12</v>
      </c>
      <c r="BH49" s="42">
        <v>10</v>
      </c>
      <c r="BI49" s="42">
        <v>16</v>
      </c>
      <c r="BL49" s="42">
        <v>12</v>
      </c>
      <c r="BM49" s="42">
        <v>18</v>
      </c>
      <c r="BP49" s="42">
        <v>5</v>
      </c>
      <c r="BQ49" s="42">
        <v>8</v>
      </c>
    </row>
    <row r="50" spans="20:69" x14ac:dyDescent="0.2">
      <c r="T50" s="42">
        <v>4</v>
      </c>
      <c r="U50" s="42">
        <v>2</v>
      </c>
      <c r="X50" s="42">
        <v>8</v>
      </c>
      <c r="Y50" s="42">
        <v>6</v>
      </c>
      <c r="AA50" s="497"/>
      <c r="AB50" s="42">
        <v>6</v>
      </c>
      <c r="AC50" s="42">
        <v>5</v>
      </c>
      <c r="AF50" s="42">
        <v>9</v>
      </c>
      <c r="AG50" s="42">
        <v>8</v>
      </c>
      <c r="AJ50" s="42">
        <v>3</v>
      </c>
      <c r="AK50" s="42">
        <v>5</v>
      </c>
      <c r="AN50" s="42">
        <v>5</v>
      </c>
      <c r="AO50" s="42">
        <v>7</v>
      </c>
      <c r="AR50" s="42">
        <v>7</v>
      </c>
      <c r="AS50" s="42">
        <v>1</v>
      </c>
      <c r="AV50" s="42">
        <v>9</v>
      </c>
      <c r="AW50" s="42">
        <v>1</v>
      </c>
      <c r="AZ50" s="42">
        <v>9</v>
      </c>
      <c r="BA50" s="42">
        <v>11</v>
      </c>
      <c r="BD50" s="42">
        <v>11</v>
      </c>
      <c r="BE50" s="42">
        <v>13</v>
      </c>
      <c r="BH50" s="42">
        <v>17</v>
      </c>
      <c r="BI50" s="42">
        <v>9</v>
      </c>
      <c r="BL50" s="42">
        <v>19</v>
      </c>
      <c r="BM50" s="42">
        <v>11</v>
      </c>
      <c r="BP50" s="42">
        <v>7</v>
      </c>
      <c r="BQ50" s="42">
        <v>6</v>
      </c>
    </row>
    <row r="51" spans="20:69" x14ac:dyDescent="0.2">
      <c r="T51" s="42">
        <v>8</v>
      </c>
      <c r="U51" s="42">
        <v>5</v>
      </c>
      <c r="X51" s="42">
        <v>5</v>
      </c>
      <c r="Y51" s="42">
        <v>9</v>
      </c>
      <c r="AB51" s="42">
        <v>1</v>
      </c>
      <c r="AC51" s="42">
        <v>9</v>
      </c>
      <c r="AE51" s="495" t="str">
        <f>Language!$E$18</f>
        <v>First legs</v>
      </c>
      <c r="AF51" s="42">
        <v>1</v>
      </c>
      <c r="AG51" s="42">
        <v>2</v>
      </c>
      <c r="AJ51" s="42">
        <v>6</v>
      </c>
      <c r="AK51" s="42">
        <v>2</v>
      </c>
      <c r="AN51" s="42">
        <v>8</v>
      </c>
      <c r="AO51" s="42">
        <v>4</v>
      </c>
      <c r="AR51" s="42">
        <v>6</v>
      </c>
      <c r="AS51" s="42">
        <v>8</v>
      </c>
      <c r="AV51" s="42">
        <v>8</v>
      </c>
      <c r="AW51" s="42">
        <v>10</v>
      </c>
      <c r="AZ51" s="42">
        <v>12</v>
      </c>
      <c r="BA51" s="42">
        <v>8</v>
      </c>
      <c r="BD51" s="42">
        <v>14</v>
      </c>
      <c r="BE51" s="42">
        <v>10</v>
      </c>
      <c r="BH51" s="42">
        <v>8</v>
      </c>
      <c r="BI51" s="42">
        <v>18</v>
      </c>
      <c r="BL51" s="42">
        <v>2</v>
      </c>
      <c r="BM51" s="42">
        <v>9</v>
      </c>
      <c r="BP51" s="42">
        <v>15</v>
      </c>
      <c r="BQ51" s="42">
        <v>1</v>
      </c>
    </row>
    <row r="52" spans="20:69" x14ac:dyDescent="0.2">
      <c r="T52" s="42">
        <v>6</v>
      </c>
      <c r="U52" s="42">
        <v>7</v>
      </c>
      <c r="X52" s="42">
        <v>3</v>
      </c>
      <c r="Y52" s="42">
        <v>2</v>
      </c>
      <c r="AB52" s="42">
        <v>10</v>
      </c>
      <c r="AC52" s="42">
        <v>8</v>
      </c>
      <c r="AE52" s="495"/>
      <c r="AF52" s="42">
        <v>4</v>
      </c>
      <c r="AG52" s="42">
        <v>11</v>
      </c>
      <c r="AJ52" s="42">
        <v>12</v>
      </c>
      <c r="AK52" s="42">
        <v>7</v>
      </c>
      <c r="AN52" s="42">
        <v>3</v>
      </c>
      <c r="AO52" s="42">
        <v>9</v>
      </c>
      <c r="AR52" s="42">
        <v>9</v>
      </c>
      <c r="AS52" s="42">
        <v>5</v>
      </c>
      <c r="AV52" s="42">
        <v>11</v>
      </c>
      <c r="AW52" s="42">
        <v>7</v>
      </c>
      <c r="AZ52" s="42">
        <v>7</v>
      </c>
      <c r="BA52" s="42">
        <v>13</v>
      </c>
      <c r="BD52" s="42">
        <v>9</v>
      </c>
      <c r="BE52" s="42">
        <v>15</v>
      </c>
      <c r="BH52" s="42">
        <v>2</v>
      </c>
      <c r="BI52" s="42">
        <v>7</v>
      </c>
      <c r="BL52" s="42">
        <v>8</v>
      </c>
      <c r="BM52" s="42">
        <v>3</v>
      </c>
      <c r="BP52" s="42">
        <v>14</v>
      </c>
      <c r="BQ52" s="42">
        <v>16</v>
      </c>
    </row>
    <row r="53" spans="20:69" x14ac:dyDescent="0.2">
      <c r="T53" s="42">
        <v>2</v>
      </c>
      <c r="U53" s="42">
        <v>1</v>
      </c>
      <c r="X53" s="42">
        <v>6</v>
      </c>
      <c r="Y53" s="42">
        <v>1</v>
      </c>
      <c r="AB53" s="42">
        <v>7</v>
      </c>
      <c r="AC53" s="42">
        <v>2</v>
      </c>
      <c r="AE53" s="495"/>
      <c r="AF53" s="42">
        <v>10</v>
      </c>
      <c r="AG53" s="42">
        <v>5</v>
      </c>
      <c r="AJ53" s="42">
        <v>8</v>
      </c>
      <c r="AK53" s="42">
        <v>11</v>
      </c>
      <c r="AN53" s="42">
        <v>10</v>
      </c>
      <c r="AO53" s="42">
        <v>2</v>
      </c>
      <c r="AR53" s="42">
        <v>4</v>
      </c>
      <c r="AS53" s="42">
        <v>10</v>
      </c>
      <c r="AV53" s="42">
        <v>6</v>
      </c>
      <c r="AW53" s="42">
        <v>12</v>
      </c>
      <c r="AZ53" s="42">
        <v>14</v>
      </c>
      <c r="BA53" s="42">
        <v>6</v>
      </c>
      <c r="BD53" s="42">
        <v>16</v>
      </c>
      <c r="BE53" s="42">
        <v>8</v>
      </c>
      <c r="BH53" s="42">
        <v>6</v>
      </c>
      <c r="BI53" s="42">
        <v>3</v>
      </c>
      <c r="BL53" s="42">
        <v>4</v>
      </c>
      <c r="BM53" s="42">
        <v>7</v>
      </c>
      <c r="BP53" s="42">
        <v>17</v>
      </c>
      <c r="BQ53" s="42">
        <v>13</v>
      </c>
    </row>
    <row r="54" spans="20:69" x14ac:dyDescent="0.2">
      <c r="T54" s="42">
        <v>3</v>
      </c>
      <c r="U54" s="42">
        <v>8</v>
      </c>
      <c r="X54" s="42">
        <v>7</v>
      </c>
      <c r="Y54" s="42">
        <v>5</v>
      </c>
      <c r="AB54" s="42">
        <v>3</v>
      </c>
      <c r="AC54" s="42">
        <v>6</v>
      </c>
      <c r="AE54" s="495"/>
      <c r="AF54" s="42">
        <v>6</v>
      </c>
      <c r="AG54" s="42">
        <v>9</v>
      </c>
      <c r="AJ54" s="42">
        <v>10</v>
      </c>
      <c r="AK54" s="42">
        <v>9</v>
      </c>
      <c r="AN54" s="42">
        <v>12</v>
      </c>
      <c r="AO54" s="42">
        <v>13</v>
      </c>
      <c r="AR54" s="42">
        <v>11</v>
      </c>
      <c r="AS54" s="42">
        <v>3</v>
      </c>
      <c r="AV54" s="42">
        <v>13</v>
      </c>
      <c r="AW54" s="42">
        <v>5</v>
      </c>
      <c r="AZ54" s="42">
        <v>5</v>
      </c>
      <c r="BA54" s="42">
        <v>15</v>
      </c>
      <c r="BD54" s="42">
        <v>7</v>
      </c>
      <c r="BE54" s="42">
        <v>17</v>
      </c>
      <c r="BH54" s="42">
        <v>4</v>
      </c>
      <c r="BI54" s="42">
        <v>5</v>
      </c>
      <c r="BL54" s="42">
        <v>6</v>
      </c>
      <c r="BM54" s="42">
        <v>5</v>
      </c>
      <c r="BP54" s="42">
        <v>12</v>
      </c>
      <c r="BQ54" s="42">
        <v>18</v>
      </c>
    </row>
    <row r="55" spans="20:69" ht="13.5" thickBot="1" x14ac:dyDescent="0.25">
      <c r="T55" s="42">
        <v>7</v>
      </c>
      <c r="U55" s="42">
        <v>4</v>
      </c>
      <c r="X55" s="42">
        <v>4</v>
      </c>
      <c r="Y55" s="42">
        <v>8</v>
      </c>
      <c r="AB55" s="42">
        <v>5</v>
      </c>
      <c r="AC55" s="42">
        <v>4</v>
      </c>
      <c r="AE55" s="496"/>
      <c r="AF55" s="42">
        <v>8</v>
      </c>
      <c r="AG55" s="42">
        <v>7</v>
      </c>
      <c r="AJ55" s="42">
        <v>3</v>
      </c>
      <c r="AK55" s="42">
        <v>1</v>
      </c>
      <c r="AN55" s="42">
        <v>5</v>
      </c>
      <c r="AO55" s="42">
        <v>1</v>
      </c>
      <c r="AR55" s="42">
        <v>2</v>
      </c>
      <c r="AS55" s="42">
        <v>12</v>
      </c>
      <c r="AV55" s="42">
        <v>4</v>
      </c>
      <c r="AW55" s="42">
        <v>14</v>
      </c>
      <c r="AZ55" s="42">
        <v>16</v>
      </c>
      <c r="BA55" s="42">
        <v>4</v>
      </c>
      <c r="BD55" s="42">
        <v>5</v>
      </c>
      <c r="BE55" s="42">
        <v>2</v>
      </c>
      <c r="BH55" s="42">
        <v>1</v>
      </c>
      <c r="BI55" s="42">
        <v>12</v>
      </c>
      <c r="BL55" s="42">
        <v>1</v>
      </c>
      <c r="BM55" s="42">
        <v>14</v>
      </c>
      <c r="BP55" s="42">
        <v>19</v>
      </c>
      <c r="BQ55" s="42">
        <v>11</v>
      </c>
    </row>
    <row r="56" spans="20:69" x14ac:dyDescent="0.2">
      <c r="T56" s="42">
        <v>5</v>
      </c>
      <c r="U56" s="42">
        <v>6</v>
      </c>
      <c r="X56" s="42">
        <v>9</v>
      </c>
      <c r="Y56" s="42">
        <v>3</v>
      </c>
      <c r="AB56" s="42">
        <v>8</v>
      </c>
      <c r="AC56" s="42">
        <v>1</v>
      </c>
      <c r="AE56" s="497" t="str">
        <f>Language!$E$19</f>
        <v>Second legs</v>
      </c>
      <c r="AF56" s="42">
        <v>2</v>
      </c>
      <c r="AG56" s="42">
        <v>11</v>
      </c>
      <c r="AJ56" s="42">
        <v>2</v>
      </c>
      <c r="AK56" s="42">
        <v>4</v>
      </c>
      <c r="AN56" s="42">
        <v>4</v>
      </c>
      <c r="AO56" s="42">
        <v>6</v>
      </c>
      <c r="AR56" s="42">
        <v>13</v>
      </c>
      <c r="AS56" s="42">
        <v>14</v>
      </c>
      <c r="AV56" s="42">
        <v>15</v>
      </c>
      <c r="AW56" s="42">
        <v>3</v>
      </c>
      <c r="AZ56" s="42">
        <v>3</v>
      </c>
      <c r="BA56" s="42">
        <v>2</v>
      </c>
      <c r="BD56" s="42">
        <v>3</v>
      </c>
      <c r="BE56" s="42">
        <v>4</v>
      </c>
      <c r="BH56" s="42">
        <v>11</v>
      </c>
      <c r="BI56" s="42">
        <v>13</v>
      </c>
      <c r="BL56" s="42">
        <v>13</v>
      </c>
      <c r="BM56" s="42">
        <v>15</v>
      </c>
      <c r="BP56" s="42">
        <v>10</v>
      </c>
      <c r="BQ56" s="42">
        <v>20</v>
      </c>
    </row>
    <row r="57" spans="20:69" x14ac:dyDescent="0.2">
      <c r="X57" s="42">
        <v>1</v>
      </c>
      <c r="Y57" s="42">
        <v>5</v>
      </c>
      <c r="AB57" s="42">
        <v>9</v>
      </c>
      <c r="AC57" s="42">
        <v>7</v>
      </c>
      <c r="AE57" s="497"/>
      <c r="AF57" s="42">
        <v>10</v>
      </c>
      <c r="AG57" s="42">
        <v>3</v>
      </c>
      <c r="AJ57" s="42">
        <v>5</v>
      </c>
      <c r="AK57" s="42">
        <v>12</v>
      </c>
      <c r="AN57" s="42">
        <v>7</v>
      </c>
      <c r="AO57" s="42">
        <v>3</v>
      </c>
      <c r="AR57" s="42">
        <v>1</v>
      </c>
      <c r="AS57" s="42">
        <v>6</v>
      </c>
      <c r="AV57" s="42">
        <v>1</v>
      </c>
      <c r="AW57" s="42">
        <v>8</v>
      </c>
      <c r="AZ57" s="42">
        <v>9</v>
      </c>
      <c r="BA57" s="42">
        <v>1</v>
      </c>
      <c r="BD57" s="42">
        <v>11</v>
      </c>
      <c r="BE57" s="42">
        <v>1</v>
      </c>
      <c r="BH57" s="42">
        <v>14</v>
      </c>
      <c r="BI57" s="42">
        <v>10</v>
      </c>
      <c r="BL57" s="42">
        <v>16</v>
      </c>
      <c r="BM57" s="42">
        <v>12</v>
      </c>
      <c r="BP57" s="42">
        <v>2</v>
      </c>
      <c r="BQ57" s="42">
        <v>9</v>
      </c>
    </row>
    <row r="58" spans="20:69" x14ac:dyDescent="0.2">
      <c r="X58" s="42">
        <v>6</v>
      </c>
      <c r="Y58" s="42">
        <v>4</v>
      </c>
      <c r="AB58" s="42">
        <v>6</v>
      </c>
      <c r="AC58" s="42">
        <v>10</v>
      </c>
      <c r="AE58" s="497"/>
      <c r="AF58" s="42">
        <v>4</v>
      </c>
      <c r="AG58" s="42">
        <v>9</v>
      </c>
      <c r="AJ58" s="42">
        <v>11</v>
      </c>
      <c r="AK58" s="42">
        <v>6</v>
      </c>
      <c r="AN58" s="42">
        <v>2</v>
      </c>
      <c r="AO58" s="42">
        <v>8</v>
      </c>
      <c r="AR58" s="42">
        <v>5</v>
      </c>
      <c r="AS58" s="42">
        <v>7</v>
      </c>
      <c r="AV58" s="42">
        <v>7</v>
      </c>
      <c r="AW58" s="42">
        <v>9</v>
      </c>
      <c r="AZ58" s="42">
        <v>8</v>
      </c>
      <c r="BA58" s="42">
        <v>10</v>
      </c>
      <c r="BD58" s="42">
        <v>10</v>
      </c>
      <c r="BE58" s="42">
        <v>12</v>
      </c>
      <c r="BH58" s="42">
        <v>9</v>
      </c>
      <c r="BI58" s="42">
        <v>15</v>
      </c>
      <c r="BL58" s="42">
        <v>11</v>
      </c>
      <c r="BM58" s="42">
        <v>17</v>
      </c>
      <c r="BP58" s="42">
        <v>8</v>
      </c>
      <c r="BQ58" s="42">
        <v>3</v>
      </c>
    </row>
    <row r="59" spans="20:69" x14ac:dyDescent="0.2">
      <c r="X59" s="42">
        <v>3</v>
      </c>
      <c r="Y59" s="42">
        <v>7</v>
      </c>
      <c r="AB59" s="42">
        <v>2</v>
      </c>
      <c r="AC59" s="42">
        <v>5</v>
      </c>
      <c r="AE59" s="497"/>
      <c r="AF59" s="42">
        <v>8</v>
      </c>
      <c r="AG59" s="42">
        <v>5</v>
      </c>
      <c r="AJ59" s="42">
        <v>7</v>
      </c>
      <c r="AK59" s="42">
        <v>10</v>
      </c>
      <c r="AN59" s="42">
        <v>13</v>
      </c>
      <c r="AO59" s="42">
        <v>10</v>
      </c>
      <c r="AR59" s="42">
        <v>8</v>
      </c>
      <c r="AS59" s="42">
        <v>4</v>
      </c>
      <c r="AV59" s="42">
        <v>10</v>
      </c>
      <c r="AW59" s="42">
        <v>6</v>
      </c>
      <c r="AZ59" s="42">
        <v>11</v>
      </c>
      <c r="BA59" s="42">
        <v>7</v>
      </c>
      <c r="BD59" s="42">
        <v>13</v>
      </c>
      <c r="BE59" s="42">
        <v>9</v>
      </c>
      <c r="BH59" s="42">
        <v>16</v>
      </c>
      <c r="BI59" s="42">
        <v>8</v>
      </c>
      <c r="BL59" s="42">
        <v>18</v>
      </c>
      <c r="BM59" s="42">
        <v>10</v>
      </c>
      <c r="BP59" s="42">
        <v>4</v>
      </c>
      <c r="BQ59" s="42">
        <v>7</v>
      </c>
    </row>
    <row r="60" spans="20:69" x14ac:dyDescent="0.2">
      <c r="X60" s="42">
        <v>8</v>
      </c>
      <c r="Y60" s="42">
        <v>2</v>
      </c>
      <c r="AB60" s="42">
        <v>4</v>
      </c>
      <c r="AC60" s="42">
        <v>3</v>
      </c>
      <c r="AE60" s="497"/>
      <c r="AF60" s="42">
        <v>6</v>
      </c>
      <c r="AG60" s="42">
        <v>7</v>
      </c>
      <c r="AJ60" s="42">
        <v>9</v>
      </c>
      <c r="AK60" s="42">
        <v>8</v>
      </c>
      <c r="AN60" s="42">
        <v>11</v>
      </c>
      <c r="AO60" s="42">
        <v>12</v>
      </c>
      <c r="AR60" s="42">
        <v>3</v>
      </c>
      <c r="AS60" s="42">
        <v>9</v>
      </c>
      <c r="AV60" s="42">
        <v>5</v>
      </c>
      <c r="AW60" s="42">
        <v>11</v>
      </c>
      <c r="AZ60" s="42">
        <v>6</v>
      </c>
      <c r="BA60" s="42">
        <v>12</v>
      </c>
      <c r="BD60" s="42">
        <v>8</v>
      </c>
      <c r="BE60" s="42">
        <v>14</v>
      </c>
      <c r="BH60" s="42">
        <v>7</v>
      </c>
      <c r="BI60" s="42">
        <v>17</v>
      </c>
      <c r="BL60" s="42">
        <v>9</v>
      </c>
      <c r="BM60" s="42">
        <v>19</v>
      </c>
      <c r="BP60" s="42">
        <v>6</v>
      </c>
      <c r="BQ60" s="42">
        <v>5</v>
      </c>
    </row>
    <row r="61" spans="20:69" x14ac:dyDescent="0.2">
      <c r="X61" s="42">
        <v>4</v>
      </c>
      <c r="Y61" s="42">
        <v>1</v>
      </c>
      <c r="AB61" s="42">
        <v>1</v>
      </c>
      <c r="AC61" s="42">
        <v>7</v>
      </c>
      <c r="AF61" s="42">
        <v>1</v>
      </c>
      <c r="AG61" s="42">
        <v>11</v>
      </c>
      <c r="AJ61" s="42">
        <v>1</v>
      </c>
      <c r="AK61" s="42">
        <v>2</v>
      </c>
      <c r="AN61" s="42">
        <v>1</v>
      </c>
      <c r="AO61" s="42">
        <v>4</v>
      </c>
      <c r="AR61" s="42">
        <v>10</v>
      </c>
      <c r="AS61" s="42">
        <v>2</v>
      </c>
      <c r="AV61" s="42">
        <v>12</v>
      </c>
      <c r="AW61" s="42">
        <v>4</v>
      </c>
      <c r="AZ61" s="42">
        <v>13</v>
      </c>
      <c r="BA61" s="42">
        <v>5</v>
      </c>
      <c r="BD61" s="42">
        <v>15</v>
      </c>
      <c r="BE61" s="42">
        <v>7</v>
      </c>
      <c r="BH61" s="42">
        <v>18</v>
      </c>
      <c r="BI61" s="42">
        <v>6</v>
      </c>
      <c r="BL61" s="42">
        <v>7</v>
      </c>
      <c r="BM61" s="42">
        <v>2</v>
      </c>
      <c r="BP61" s="42">
        <v>1</v>
      </c>
      <c r="BQ61" s="42">
        <v>14</v>
      </c>
    </row>
    <row r="62" spans="20:69" x14ac:dyDescent="0.2">
      <c r="X62" s="42">
        <v>5</v>
      </c>
      <c r="Y62" s="42">
        <v>3</v>
      </c>
      <c r="AB62" s="42">
        <v>8</v>
      </c>
      <c r="AC62" s="42">
        <v>6</v>
      </c>
      <c r="AF62" s="42">
        <v>9</v>
      </c>
      <c r="AG62" s="42">
        <v>2</v>
      </c>
      <c r="AI62" s="495" t="str">
        <f>Language!$E$18</f>
        <v>First legs</v>
      </c>
      <c r="AJ62" s="42">
        <v>12</v>
      </c>
      <c r="AK62" s="42">
        <v>3</v>
      </c>
      <c r="AN62" s="42">
        <v>3</v>
      </c>
      <c r="AO62" s="42">
        <v>5</v>
      </c>
      <c r="AR62" s="42">
        <v>14</v>
      </c>
      <c r="AS62" s="42">
        <v>11</v>
      </c>
      <c r="AV62" s="42">
        <v>3</v>
      </c>
      <c r="AW62" s="42">
        <v>13</v>
      </c>
      <c r="AZ62" s="42">
        <v>4</v>
      </c>
      <c r="BA62" s="42">
        <v>14</v>
      </c>
      <c r="BD62" s="42">
        <v>6</v>
      </c>
      <c r="BE62" s="42">
        <v>16</v>
      </c>
      <c r="BH62" s="42">
        <v>5</v>
      </c>
      <c r="BI62" s="42">
        <v>2</v>
      </c>
      <c r="BL62" s="42">
        <v>3</v>
      </c>
      <c r="BM62" s="42">
        <v>6</v>
      </c>
      <c r="BP62" s="42">
        <v>13</v>
      </c>
      <c r="BQ62" s="42">
        <v>15</v>
      </c>
    </row>
    <row r="63" spans="20:69" x14ac:dyDescent="0.2">
      <c r="X63" s="42">
        <v>2</v>
      </c>
      <c r="Y63" s="42">
        <v>6</v>
      </c>
      <c r="AB63" s="42">
        <v>5</v>
      </c>
      <c r="AC63" s="42">
        <v>9</v>
      </c>
      <c r="AF63" s="42">
        <v>3</v>
      </c>
      <c r="AG63" s="42">
        <v>8</v>
      </c>
      <c r="AI63" s="495"/>
      <c r="AJ63" s="42">
        <v>4</v>
      </c>
      <c r="AK63" s="42">
        <v>11</v>
      </c>
      <c r="AN63" s="42">
        <v>6</v>
      </c>
      <c r="AO63" s="42">
        <v>2</v>
      </c>
      <c r="AR63" s="42">
        <v>12</v>
      </c>
      <c r="AS63" s="42">
        <v>13</v>
      </c>
      <c r="AV63" s="42">
        <v>14</v>
      </c>
      <c r="AW63" s="42">
        <v>2</v>
      </c>
      <c r="AZ63" s="42">
        <v>15</v>
      </c>
      <c r="BA63" s="42">
        <v>3</v>
      </c>
      <c r="BD63" s="42">
        <v>17</v>
      </c>
      <c r="BE63" s="42">
        <v>5</v>
      </c>
      <c r="BH63" s="42">
        <v>3</v>
      </c>
      <c r="BI63" s="42">
        <v>4</v>
      </c>
      <c r="BL63" s="42">
        <v>5</v>
      </c>
      <c r="BM63" s="42">
        <v>4</v>
      </c>
      <c r="BP63" s="42">
        <v>16</v>
      </c>
      <c r="BQ63" s="42">
        <v>12</v>
      </c>
    </row>
    <row r="64" spans="20:69" x14ac:dyDescent="0.2">
      <c r="X64" s="42">
        <v>9</v>
      </c>
      <c r="Y64" s="42">
        <v>8</v>
      </c>
      <c r="AB64" s="42">
        <v>10</v>
      </c>
      <c r="AC64" s="42">
        <v>4</v>
      </c>
      <c r="AF64" s="42">
        <v>7</v>
      </c>
      <c r="AG64" s="42">
        <v>4</v>
      </c>
      <c r="AI64" s="495"/>
      <c r="AJ64" s="42">
        <v>10</v>
      </c>
      <c r="AK64" s="42">
        <v>5</v>
      </c>
      <c r="AN64" s="42">
        <v>8</v>
      </c>
      <c r="AO64" s="42">
        <v>13</v>
      </c>
      <c r="AR64" s="42">
        <v>5</v>
      </c>
      <c r="AS64" s="42">
        <v>1</v>
      </c>
      <c r="AV64" s="42">
        <v>7</v>
      </c>
      <c r="AW64" s="42">
        <v>1</v>
      </c>
      <c r="AZ64" s="42">
        <v>2</v>
      </c>
      <c r="BA64" s="42">
        <v>16</v>
      </c>
      <c r="BD64" s="42">
        <v>2</v>
      </c>
      <c r="BE64" s="42">
        <v>3</v>
      </c>
      <c r="BH64" s="42">
        <v>11</v>
      </c>
      <c r="BI64" s="42">
        <v>1</v>
      </c>
      <c r="BL64" s="42">
        <v>13</v>
      </c>
      <c r="BM64" s="42">
        <v>1</v>
      </c>
      <c r="BP64" s="42">
        <v>11</v>
      </c>
      <c r="BQ64" s="42">
        <v>17</v>
      </c>
    </row>
    <row r="65" spans="24:69" x14ac:dyDescent="0.2">
      <c r="X65" s="42">
        <v>1</v>
      </c>
      <c r="Y65" s="42">
        <v>3</v>
      </c>
      <c r="AB65" s="42">
        <v>3</v>
      </c>
      <c r="AC65" s="42">
        <v>2</v>
      </c>
      <c r="AF65" s="42">
        <v>5</v>
      </c>
      <c r="AG65" s="42">
        <v>6</v>
      </c>
      <c r="AI65" s="495"/>
      <c r="AJ65" s="42">
        <v>6</v>
      </c>
      <c r="AK65" s="42">
        <v>9</v>
      </c>
      <c r="AN65" s="42">
        <v>12</v>
      </c>
      <c r="AO65" s="42">
        <v>9</v>
      </c>
      <c r="AR65" s="42">
        <v>4</v>
      </c>
      <c r="AS65" s="42">
        <v>6</v>
      </c>
      <c r="AV65" s="42">
        <v>6</v>
      </c>
      <c r="AW65" s="42">
        <v>8</v>
      </c>
      <c r="AZ65" s="42">
        <v>1</v>
      </c>
      <c r="BA65" s="42">
        <v>8</v>
      </c>
      <c r="BD65" s="42">
        <v>1</v>
      </c>
      <c r="BE65" s="42">
        <v>10</v>
      </c>
      <c r="BH65" s="42">
        <v>10</v>
      </c>
      <c r="BI65" s="42">
        <v>12</v>
      </c>
      <c r="BL65" s="42">
        <v>12</v>
      </c>
      <c r="BM65" s="42">
        <v>14</v>
      </c>
      <c r="BP65" s="42">
        <v>18</v>
      </c>
      <c r="BQ65" s="42">
        <v>10</v>
      </c>
    </row>
    <row r="66" spans="24:69" ht="13.5" thickBot="1" x14ac:dyDescent="0.25">
      <c r="X66" s="42">
        <v>4</v>
      </c>
      <c r="Y66" s="42">
        <v>2</v>
      </c>
      <c r="AB66" s="42">
        <v>6</v>
      </c>
      <c r="AC66" s="42">
        <v>1</v>
      </c>
      <c r="AF66" s="42">
        <v>10</v>
      </c>
      <c r="AG66" s="42">
        <v>1</v>
      </c>
      <c r="AI66" s="496"/>
      <c r="AJ66" s="42">
        <v>8</v>
      </c>
      <c r="AK66" s="42">
        <v>7</v>
      </c>
      <c r="AN66" s="42">
        <v>10</v>
      </c>
      <c r="AO66" s="42">
        <v>11</v>
      </c>
      <c r="AR66" s="42">
        <v>7</v>
      </c>
      <c r="AS66" s="42">
        <v>3</v>
      </c>
      <c r="AV66" s="42">
        <v>9</v>
      </c>
      <c r="AW66" s="42">
        <v>5</v>
      </c>
      <c r="AZ66" s="42">
        <v>7</v>
      </c>
      <c r="BA66" s="42">
        <v>9</v>
      </c>
      <c r="BD66" s="42">
        <v>9</v>
      </c>
      <c r="BE66" s="42">
        <v>11</v>
      </c>
      <c r="BH66" s="42">
        <v>13</v>
      </c>
      <c r="BI66" s="42">
        <v>9</v>
      </c>
      <c r="BL66" s="42">
        <v>15</v>
      </c>
      <c r="BM66" s="42">
        <v>11</v>
      </c>
      <c r="BP66" s="42">
        <v>9</v>
      </c>
      <c r="BQ66" s="42">
        <v>19</v>
      </c>
    </row>
    <row r="67" spans="24:69" x14ac:dyDescent="0.2">
      <c r="X67" s="42">
        <v>6</v>
      </c>
      <c r="Y67" s="42">
        <v>9</v>
      </c>
      <c r="AB67" s="42">
        <v>7</v>
      </c>
      <c r="AC67" s="42">
        <v>5</v>
      </c>
      <c r="AF67" s="42">
        <v>11</v>
      </c>
      <c r="AG67" s="42">
        <v>9</v>
      </c>
      <c r="AI67" s="497" t="str">
        <f>Language!$E$19</f>
        <v>Second legs</v>
      </c>
      <c r="AJ67" s="42">
        <v>12</v>
      </c>
      <c r="AK67" s="42">
        <v>1</v>
      </c>
      <c r="AN67" s="42">
        <v>3</v>
      </c>
      <c r="AO67" s="42">
        <v>1</v>
      </c>
      <c r="AR67" s="42">
        <v>2</v>
      </c>
      <c r="AS67" s="42">
        <v>8</v>
      </c>
      <c r="AV67" s="42">
        <v>4</v>
      </c>
      <c r="AW67" s="42">
        <v>10</v>
      </c>
      <c r="AZ67" s="42">
        <v>10</v>
      </c>
      <c r="BA67" s="42">
        <v>6</v>
      </c>
      <c r="BD67" s="42">
        <v>12</v>
      </c>
      <c r="BE67" s="42">
        <v>8</v>
      </c>
      <c r="BH67" s="42">
        <v>8</v>
      </c>
      <c r="BI67" s="42">
        <v>14</v>
      </c>
      <c r="BL67" s="42">
        <v>10</v>
      </c>
      <c r="BM67" s="42">
        <v>16</v>
      </c>
      <c r="BP67" s="42">
        <v>20</v>
      </c>
      <c r="BQ67" s="42">
        <v>8</v>
      </c>
    </row>
    <row r="68" spans="24:69" x14ac:dyDescent="0.2">
      <c r="X68" s="42">
        <v>8</v>
      </c>
      <c r="Y68" s="42">
        <v>7</v>
      </c>
      <c r="AB68" s="42">
        <v>4</v>
      </c>
      <c r="AC68" s="42">
        <v>8</v>
      </c>
      <c r="AF68" s="42">
        <v>2</v>
      </c>
      <c r="AG68" s="42">
        <v>7</v>
      </c>
      <c r="AI68" s="497"/>
      <c r="AJ68" s="42">
        <v>2</v>
      </c>
      <c r="AK68" s="42">
        <v>11</v>
      </c>
      <c r="AN68" s="42">
        <v>2</v>
      </c>
      <c r="AO68" s="42">
        <v>4</v>
      </c>
      <c r="AR68" s="42">
        <v>9</v>
      </c>
      <c r="AS68" s="42">
        <v>14</v>
      </c>
      <c r="AV68" s="42">
        <v>11</v>
      </c>
      <c r="AW68" s="42">
        <v>3</v>
      </c>
      <c r="AZ68" s="42">
        <v>5</v>
      </c>
      <c r="BA68" s="42">
        <v>11</v>
      </c>
      <c r="BD68" s="42">
        <v>7</v>
      </c>
      <c r="BE68" s="42">
        <v>13</v>
      </c>
      <c r="BH68" s="42">
        <v>15</v>
      </c>
      <c r="BI68" s="42">
        <v>7</v>
      </c>
      <c r="BL68" s="42">
        <v>17</v>
      </c>
      <c r="BM68" s="42">
        <v>9</v>
      </c>
      <c r="BP68" s="42">
        <v>7</v>
      </c>
      <c r="BQ68" s="42">
        <v>2</v>
      </c>
    </row>
    <row r="69" spans="24:69" x14ac:dyDescent="0.2">
      <c r="X69" s="42">
        <v>2</v>
      </c>
      <c r="Y69" s="42">
        <v>1</v>
      </c>
      <c r="AB69" s="42">
        <v>9</v>
      </c>
      <c r="AC69" s="42">
        <v>3</v>
      </c>
      <c r="AF69" s="42">
        <v>6</v>
      </c>
      <c r="AG69" s="42">
        <v>3</v>
      </c>
      <c r="AI69" s="497"/>
      <c r="AJ69" s="42">
        <v>10</v>
      </c>
      <c r="AK69" s="42">
        <v>3</v>
      </c>
      <c r="AN69" s="42">
        <v>13</v>
      </c>
      <c r="AO69" s="42">
        <v>6</v>
      </c>
      <c r="AR69" s="42">
        <v>13</v>
      </c>
      <c r="AS69" s="42">
        <v>10</v>
      </c>
      <c r="AV69" s="42">
        <v>2</v>
      </c>
      <c r="AW69" s="42">
        <v>12</v>
      </c>
      <c r="AZ69" s="42">
        <v>12</v>
      </c>
      <c r="BA69" s="42">
        <v>4</v>
      </c>
      <c r="BD69" s="42">
        <v>14</v>
      </c>
      <c r="BE69" s="42">
        <v>6</v>
      </c>
      <c r="BH69" s="42">
        <v>6</v>
      </c>
      <c r="BI69" s="42">
        <v>16</v>
      </c>
      <c r="BL69" s="42">
        <v>8</v>
      </c>
      <c r="BM69" s="42">
        <v>18</v>
      </c>
      <c r="BP69" s="42">
        <v>3</v>
      </c>
      <c r="BQ69" s="42">
        <v>6</v>
      </c>
    </row>
    <row r="70" spans="24:69" x14ac:dyDescent="0.2">
      <c r="X70" s="42">
        <v>9</v>
      </c>
      <c r="Y70" s="42">
        <v>4</v>
      </c>
      <c r="AB70" s="42">
        <v>2</v>
      </c>
      <c r="AC70" s="42">
        <v>10</v>
      </c>
      <c r="AF70" s="42">
        <v>4</v>
      </c>
      <c r="AG70" s="42">
        <v>5</v>
      </c>
      <c r="AI70" s="497"/>
      <c r="AJ70" s="42">
        <v>4</v>
      </c>
      <c r="AK70" s="42">
        <v>9</v>
      </c>
      <c r="AN70" s="42">
        <v>7</v>
      </c>
      <c r="AO70" s="42">
        <v>12</v>
      </c>
      <c r="AR70" s="42">
        <v>11</v>
      </c>
      <c r="AS70" s="42">
        <v>12</v>
      </c>
      <c r="AV70" s="42">
        <v>15</v>
      </c>
      <c r="AW70" s="42">
        <v>14</v>
      </c>
      <c r="AZ70" s="42">
        <v>3</v>
      </c>
      <c r="BA70" s="42">
        <v>13</v>
      </c>
      <c r="BD70" s="42">
        <v>5</v>
      </c>
      <c r="BE70" s="42">
        <v>15</v>
      </c>
      <c r="BH70" s="42">
        <v>17</v>
      </c>
      <c r="BI70" s="42">
        <v>5</v>
      </c>
      <c r="BL70" s="42">
        <v>19</v>
      </c>
      <c r="BM70" s="42">
        <v>7</v>
      </c>
      <c r="BP70" s="42">
        <v>5</v>
      </c>
      <c r="BQ70" s="42">
        <v>4</v>
      </c>
    </row>
    <row r="71" spans="24:69" x14ac:dyDescent="0.2">
      <c r="X71" s="42">
        <v>5</v>
      </c>
      <c r="Y71" s="42">
        <v>8</v>
      </c>
      <c r="AB71" s="42">
        <v>1</v>
      </c>
      <c r="AC71" s="42">
        <v>5</v>
      </c>
      <c r="AF71" s="42">
        <v>1</v>
      </c>
      <c r="AG71" s="42">
        <v>9</v>
      </c>
      <c r="AI71" s="497"/>
      <c r="AJ71" s="42">
        <v>8</v>
      </c>
      <c r="AK71" s="42">
        <v>5</v>
      </c>
      <c r="AN71" s="42">
        <v>11</v>
      </c>
      <c r="AO71" s="42">
        <v>8</v>
      </c>
      <c r="AR71" s="42">
        <v>1</v>
      </c>
      <c r="AS71" s="42">
        <v>4</v>
      </c>
      <c r="AV71" s="42">
        <v>1</v>
      </c>
      <c r="AW71" s="42">
        <v>6</v>
      </c>
      <c r="AZ71" s="42">
        <v>14</v>
      </c>
      <c r="BA71" s="42">
        <v>2</v>
      </c>
      <c r="BD71" s="42">
        <v>16</v>
      </c>
      <c r="BE71" s="42">
        <v>4</v>
      </c>
      <c r="BH71" s="42">
        <v>4</v>
      </c>
      <c r="BI71" s="42">
        <v>18</v>
      </c>
      <c r="BL71" s="42">
        <v>2</v>
      </c>
      <c r="BM71" s="42">
        <v>5</v>
      </c>
      <c r="BP71" s="42">
        <v>13</v>
      </c>
      <c r="BQ71" s="42">
        <v>1</v>
      </c>
    </row>
    <row r="72" spans="24:69" x14ac:dyDescent="0.2">
      <c r="X72" s="42">
        <v>7</v>
      </c>
      <c r="Y72" s="42">
        <v>6</v>
      </c>
      <c r="AB72" s="42">
        <v>6</v>
      </c>
      <c r="AC72" s="42">
        <v>4</v>
      </c>
      <c r="AF72" s="42">
        <v>10</v>
      </c>
      <c r="AG72" s="42">
        <v>8</v>
      </c>
      <c r="AJ72" s="42">
        <v>6</v>
      </c>
      <c r="AK72" s="42">
        <v>7</v>
      </c>
      <c r="AN72" s="42">
        <v>9</v>
      </c>
      <c r="AO72" s="42">
        <v>10</v>
      </c>
      <c r="AR72" s="42">
        <v>3</v>
      </c>
      <c r="AS72" s="42">
        <v>5</v>
      </c>
      <c r="AV72" s="42">
        <v>5</v>
      </c>
      <c r="AW72" s="42">
        <v>7</v>
      </c>
      <c r="AZ72" s="42">
        <v>16</v>
      </c>
      <c r="BA72" s="42">
        <v>15</v>
      </c>
      <c r="BD72" s="42">
        <v>3</v>
      </c>
      <c r="BE72" s="42">
        <v>17</v>
      </c>
      <c r="BH72" s="42">
        <v>2</v>
      </c>
      <c r="BI72" s="42">
        <v>3</v>
      </c>
      <c r="BL72" s="42">
        <v>4</v>
      </c>
      <c r="BM72" s="42">
        <v>3</v>
      </c>
      <c r="BP72" s="42">
        <v>12</v>
      </c>
      <c r="BQ72" s="42">
        <v>14</v>
      </c>
    </row>
    <row r="73" spans="24:69" x14ac:dyDescent="0.2">
      <c r="AB73" s="42">
        <v>3</v>
      </c>
      <c r="AC73" s="42">
        <v>7</v>
      </c>
      <c r="AF73" s="42">
        <v>7</v>
      </c>
      <c r="AG73" s="42">
        <v>11</v>
      </c>
      <c r="AJ73" s="42">
        <v>1</v>
      </c>
      <c r="AK73" s="42">
        <v>11</v>
      </c>
      <c r="AN73" s="42">
        <v>1</v>
      </c>
      <c r="AO73" s="42">
        <v>2</v>
      </c>
      <c r="AR73" s="42">
        <v>6</v>
      </c>
      <c r="AS73" s="42">
        <v>2</v>
      </c>
      <c r="AV73" s="42">
        <v>8</v>
      </c>
      <c r="AW73" s="42">
        <v>4</v>
      </c>
      <c r="AZ73" s="42">
        <v>7</v>
      </c>
      <c r="BA73" s="42">
        <v>1</v>
      </c>
      <c r="BD73" s="42">
        <v>9</v>
      </c>
      <c r="BE73" s="42">
        <v>1</v>
      </c>
      <c r="BH73" s="42">
        <v>1</v>
      </c>
      <c r="BI73" s="42">
        <v>10</v>
      </c>
      <c r="BL73" s="42">
        <v>1</v>
      </c>
      <c r="BM73" s="42">
        <v>12</v>
      </c>
      <c r="BP73" s="42">
        <v>15</v>
      </c>
      <c r="BQ73" s="42">
        <v>11</v>
      </c>
    </row>
    <row r="74" spans="24:69" x14ac:dyDescent="0.2">
      <c r="AB74" s="42">
        <v>8</v>
      </c>
      <c r="AC74" s="42">
        <v>2</v>
      </c>
      <c r="AF74" s="42">
        <v>5</v>
      </c>
      <c r="AG74" s="42">
        <v>2</v>
      </c>
      <c r="AJ74" s="42">
        <v>12</v>
      </c>
      <c r="AK74" s="42">
        <v>10</v>
      </c>
      <c r="AM74" s="495" t="str">
        <f>Language!$E$18</f>
        <v>First legs</v>
      </c>
      <c r="AN74" s="42">
        <v>4</v>
      </c>
      <c r="AO74" s="42">
        <v>13</v>
      </c>
      <c r="AR74" s="42">
        <v>14</v>
      </c>
      <c r="AS74" s="42">
        <v>7</v>
      </c>
      <c r="AV74" s="42">
        <v>3</v>
      </c>
      <c r="AW74" s="42">
        <v>9</v>
      </c>
      <c r="AZ74" s="42">
        <v>6</v>
      </c>
      <c r="BA74" s="42">
        <v>8</v>
      </c>
      <c r="BD74" s="42">
        <v>8</v>
      </c>
      <c r="BE74" s="42">
        <v>10</v>
      </c>
      <c r="BH74" s="42">
        <v>9</v>
      </c>
      <c r="BI74" s="42">
        <v>11</v>
      </c>
      <c r="BL74" s="42">
        <v>11</v>
      </c>
      <c r="BM74" s="42">
        <v>13</v>
      </c>
      <c r="BP74" s="42">
        <v>10</v>
      </c>
      <c r="BQ74" s="42">
        <v>16</v>
      </c>
    </row>
    <row r="75" spans="24:69" x14ac:dyDescent="0.2">
      <c r="AB75" s="42">
        <v>10</v>
      </c>
      <c r="AC75" s="42">
        <v>9</v>
      </c>
      <c r="AF75" s="42">
        <v>3</v>
      </c>
      <c r="AG75" s="42">
        <v>4</v>
      </c>
      <c r="AJ75" s="42">
        <v>9</v>
      </c>
      <c r="AK75" s="42">
        <v>2</v>
      </c>
      <c r="AM75" s="495"/>
      <c r="AN75" s="42">
        <v>12</v>
      </c>
      <c r="AO75" s="42">
        <v>5</v>
      </c>
      <c r="AR75" s="42">
        <v>8</v>
      </c>
      <c r="AS75" s="42">
        <v>13</v>
      </c>
      <c r="AV75" s="42">
        <v>10</v>
      </c>
      <c r="AW75" s="42">
        <v>2</v>
      </c>
      <c r="AZ75" s="42">
        <v>9</v>
      </c>
      <c r="BA75" s="42">
        <v>5</v>
      </c>
      <c r="BD75" s="42">
        <v>11</v>
      </c>
      <c r="BE75" s="42">
        <v>7</v>
      </c>
      <c r="BH75" s="42">
        <v>12</v>
      </c>
      <c r="BI75" s="42">
        <v>8</v>
      </c>
      <c r="BL75" s="42">
        <v>14</v>
      </c>
      <c r="BM75" s="42">
        <v>10</v>
      </c>
      <c r="BP75" s="42">
        <v>17</v>
      </c>
      <c r="BQ75" s="42">
        <v>9</v>
      </c>
    </row>
    <row r="76" spans="24:69" x14ac:dyDescent="0.2">
      <c r="AB76" s="42">
        <v>4</v>
      </c>
      <c r="AC76" s="42">
        <v>1</v>
      </c>
      <c r="AF76" s="42">
        <v>8</v>
      </c>
      <c r="AG76" s="42">
        <v>1</v>
      </c>
      <c r="AJ76" s="42">
        <v>3</v>
      </c>
      <c r="AK76" s="42">
        <v>8</v>
      </c>
      <c r="AM76" s="495"/>
      <c r="AN76" s="42">
        <v>6</v>
      </c>
      <c r="AO76" s="42">
        <v>11</v>
      </c>
      <c r="AR76" s="42">
        <v>12</v>
      </c>
      <c r="AS76" s="42">
        <v>9</v>
      </c>
      <c r="AV76" s="42">
        <v>12</v>
      </c>
      <c r="AW76" s="42">
        <v>15</v>
      </c>
      <c r="AZ76" s="42">
        <v>4</v>
      </c>
      <c r="BA76" s="42">
        <v>10</v>
      </c>
      <c r="BD76" s="42">
        <v>6</v>
      </c>
      <c r="BE76" s="42">
        <v>12</v>
      </c>
      <c r="BH76" s="42">
        <v>7</v>
      </c>
      <c r="BI76" s="42">
        <v>13</v>
      </c>
      <c r="BL76" s="42">
        <v>9</v>
      </c>
      <c r="BM76" s="42">
        <v>15</v>
      </c>
      <c r="BP76" s="42">
        <v>8</v>
      </c>
      <c r="BQ76" s="42">
        <v>18</v>
      </c>
    </row>
    <row r="77" spans="24:69" x14ac:dyDescent="0.2">
      <c r="AB77" s="42">
        <v>5</v>
      </c>
      <c r="AC77" s="42">
        <v>3</v>
      </c>
      <c r="AF77" s="42">
        <v>9</v>
      </c>
      <c r="AG77" s="42">
        <v>7</v>
      </c>
      <c r="AJ77" s="42">
        <v>7</v>
      </c>
      <c r="AK77" s="42">
        <v>4</v>
      </c>
      <c r="AM77" s="495"/>
      <c r="AN77" s="42">
        <v>10</v>
      </c>
      <c r="AO77" s="42">
        <v>7</v>
      </c>
      <c r="AR77" s="42">
        <v>10</v>
      </c>
      <c r="AS77" s="42">
        <v>11</v>
      </c>
      <c r="AV77" s="42">
        <v>14</v>
      </c>
      <c r="AW77" s="42">
        <v>13</v>
      </c>
      <c r="AZ77" s="42">
        <v>11</v>
      </c>
      <c r="BA77" s="42">
        <v>3</v>
      </c>
      <c r="BD77" s="42">
        <v>13</v>
      </c>
      <c r="BE77" s="42">
        <v>5</v>
      </c>
      <c r="BH77" s="42">
        <v>14</v>
      </c>
      <c r="BI77" s="42">
        <v>6</v>
      </c>
      <c r="BL77" s="42">
        <v>16</v>
      </c>
      <c r="BM77" s="42">
        <v>8</v>
      </c>
      <c r="BP77" s="42">
        <v>19</v>
      </c>
      <c r="BQ77" s="42">
        <v>7</v>
      </c>
    </row>
    <row r="78" spans="24:69" ht="13.5" thickBot="1" x14ac:dyDescent="0.25">
      <c r="AB78" s="42">
        <v>2</v>
      </c>
      <c r="AC78" s="42">
        <v>6</v>
      </c>
      <c r="AF78" s="42">
        <v>6</v>
      </c>
      <c r="AG78" s="42">
        <v>10</v>
      </c>
      <c r="AJ78" s="42">
        <v>5</v>
      </c>
      <c r="AK78" s="42">
        <v>6</v>
      </c>
      <c r="AM78" s="496"/>
      <c r="AN78" s="42">
        <v>8</v>
      </c>
      <c r="AO78" s="42">
        <v>9</v>
      </c>
      <c r="AR78" s="42">
        <v>3</v>
      </c>
      <c r="AS78" s="42">
        <v>1</v>
      </c>
      <c r="AV78" s="42">
        <v>5</v>
      </c>
      <c r="AW78" s="42">
        <v>1</v>
      </c>
      <c r="AZ78" s="42">
        <v>2</v>
      </c>
      <c r="BA78" s="42">
        <v>12</v>
      </c>
      <c r="BD78" s="42">
        <v>4</v>
      </c>
      <c r="BE78" s="42">
        <v>14</v>
      </c>
      <c r="BH78" s="42">
        <v>5</v>
      </c>
      <c r="BI78" s="42">
        <v>15</v>
      </c>
      <c r="BL78" s="42">
        <v>7</v>
      </c>
      <c r="BM78" s="42">
        <v>17</v>
      </c>
      <c r="BP78" s="42">
        <v>6</v>
      </c>
      <c r="BQ78" s="42">
        <v>20</v>
      </c>
    </row>
    <row r="79" spans="24:69" x14ac:dyDescent="0.2">
      <c r="AB79" s="42">
        <v>7</v>
      </c>
      <c r="AC79" s="42">
        <v>10</v>
      </c>
      <c r="AF79" s="42">
        <v>11</v>
      </c>
      <c r="AG79" s="42">
        <v>5</v>
      </c>
      <c r="AJ79" s="42">
        <v>10</v>
      </c>
      <c r="AK79" s="42">
        <v>1</v>
      </c>
      <c r="AM79" s="497" t="str">
        <f>Language!$E$19</f>
        <v>Second legs</v>
      </c>
      <c r="AN79" s="42">
        <v>2</v>
      </c>
      <c r="AO79" s="42">
        <v>13</v>
      </c>
      <c r="AR79" s="42">
        <v>2</v>
      </c>
      <c r="AS79" s="42">
        <v>4</v>
      </c>
      <c r="AV79" s="42">
        <v>4</v>
      </c>
      <c r="AW79" s="42">
        <v>6</v>
      </c>
      <c r="AZ79" s="42">
        <v>13</v>
      </c>
      <c r="BA79" s="42">
        <v>16</v>
      </c>
      <c r="BD79" s="42">
        <v>15</v>
      </c>
      <c r="BE79" s="42">
        <v>3</v>
      </c>
      <c r="BH79" s="42">
        <v>16</v>
      </c>
      <c r="BI79" s="42">
        <v>4</v>
      </c>
      <c r="BL79" s="42">
        <v>18</v>
      </c>
      <c r="BM79" s="42">
        <v>6</v>
      </c>
      <c r="BP79" s="42">
        <v>2</v>
      </c>
      <c r="BQ79" s="42">
        <v>5</v>
      </c>
    </row>
    <row r="80" spans="24:69" x14ac:dyDescent="0.2">
      <c r="AB80" s="42">
        <v>9</v>
      </c>
      <c r="AC80" s="42">
        <v>8</v>
      </c>
      <c r="AF80" s="42">
        <v>2</v>
      </c>
      <c r="AG80" s="42">
        <v>3</v>
      </c>
      <c r="AJ80" s="42">
        <v>11</v>
      </c>
      <c r="AK80" s="42">
        <v>9</v>
      </c>
      <c r="AM80" s="497"/>
      <c r="AN80" s="42">
        <v>12</v>
      </c>
      <c r="AO80" s="42">
        <v>3</v>
      </c>
      <c r="AR80" s="42">
        <v>5</v>
      </c>
      <c r="AS80" s="42">
        <v>14</v>
      </c>
      <c r="AV80" s="42">
        <v>7</v>
      </c>
      <c r="AW80" s="42">
        <v>3</v>
      </c>
      <c r="AZ80" s="42">
        <v>15</v>
      </c>
      <c r="BA80" s="42">
        <v>14</v>
      </c>
      <c r="BD80" s="42">
        <v>2</v>
      </c>
      <c r="BE80" s="42">
        <v>16</v>
      </c>
      <c r="BH80" s="42">
        <v>3</v>
      </c>
      <c r="BI80" s="42">
        <v>17</v>
      </c>
      <c r="BL80" s="42">
        <v>5</v>
      </c>
      <c r="BM80" s="42">
        <v>19</v>
      </c>
      <c r="BP80" s="42">
        <v>4</v>
      </c>
      <c r="BQ80" s="42">
        <v>3</v>
      </c>
    </row>
    <row r="81" spans="28:69" x14ac:dyDescent="0.2">
      <c r="AB81" s="42">
        <v>1</v>
      </c>
      <c r="AC81" s="42">
        <v>3</v>
      </c>
      <c r="AF81" s="42">
        <v>1</v>
      </c>
      <c r="AG81" s="42">
        <v>7</v>
      </c>
      <c r="AJ81" s="42">
        <v>8</v>
      </c>
      <c r="AK81" s="42">
        <v>12</v>
      </c>
      <c r="AM81" s="497"/>
      <c r="AN81" s="42">
        <v>4</v>
      </c>
      <c r="AO81" s="42">
        <v>11</v>
      </c>
      <c r="AR81" s="42">
        <v>13</v>
      </c>
      <c r="AS81" s="42">
        <v>6</v>
      </c>
      <c r="AV81" s="42">
        <v>2</v>
      </c>
      <c r="AW81" s="42">
        <v>8</v>
      </c>
      <c r="AZ81" s="42">
        <v>1</v>
      </c>
      <c r="BA81" s="42">
        <v>6</v>
      </c>
      <c r="BD81" s="42">
        <v>1</v>
      </c>
      <c r="BE81" s="42">
        <v>8</v>
      </c>
      <c r="BH81" s="42">
        <v>18</v>
      </c>
      <c r="BI81" s="42">
        <v>2</v>
      </c>
      <c r="BL81" s="42">
        <v>3</v>
      </c>
      <c r="BM81" s="42">
        <v>2</v>
      </c>
      <c r="BP81" s="42">
        <v>1</v>
      </c>
      <c r="BQ81" s="42">
        <v>12</v>
      </c>
    </row>
    <row r="82" spans="28:69" x14ac:dyDescent="0.2">
      <c r="AB82" s="42">
        <v>4</v>
      </c>
      <c r="AC82" s="42">
        <v>2</v>
      </c>
      <c r="AF82" s="42">
        <v>8</v>
      </c>
      <c r="AG82" s="42">
        <v>6</v>
      </c>
      <c r="AJ82" s="42">
        <v>2</v>
      </c>
      <c r="AK82" s="42">
        <v>7</v>
      </c>
      <c r="AM82" s="497"/>
      <c r="AN82" s="42">
        <v>10</v>
      </c>
      <c r="AO82" s="42">
        <v>5</v>
      </c>
      <c r="AR82" s="42">
        <v>7</v>
      </c>
      <c r="AS82" s="42">
        <v>12</v>
      </c>
      <c r="AV82" s="42">
        <v>15</v>
      </c>
      <c r="AW82" s="42">
        <v>10</v>
      </c>
      <c r="AZ82" s="42">
        <v>5</v>
      </c>
      <c r="BA82" s="42">
        <v>7</v>
      </c>
      <c r="BD82" s="42">
        <v>7</v>
      </c>
      <c r="BE82" s="42">
        <v>9</v>
      </c>
      <c r="BH82" s="42">
        <v>9</v>
      </c>
      <c r="BI82" s="42">
        <v>1</v>
      </c>
      <c r="BL82" s="42">
        <v>11</v>
      </c>
      <c r="BM82" s="42">
        <v>1</v>
      </c>
      <c r="BP82" s="42">
        <v>11</v>
      </c>
      <c r="BQ82" s="42">
        <v>13</v>
      </c>
    </row>
    <row r="83" spans="28:69" x14ac:dyDescent="0.2">
      <c r="AB83" s="42">
        <v>10</v>
      </c>
      <c r="AC83" s="42">
        <v>5</v>
      </c>
      <c r="AF83" s="42">
        <v>5</v>
      </c>
      <c r="AG83" s="42">
        <v>9</v>
      </c>
      <c r="AJ83" s="42">
        <v>6</v>
      </c>
      <c r="AK83" s="42">
        <v>3</v>
      </c>
      <c r="AM83" s="497"/>
      <c r="AN83" s="42">
        <v>6</v>
      </c>
      <c r="AO83" s="42">
        <v>9</v>
      </c>
      <c r="AR83" s="42">
        <v>11</v>
      </c>
      <c r="AS83" s="42">
        <v>8</v>
      </c>
      <c r="AV83" s="42">
        <v>11</v>
      </c>
      <c r="AW83" s="42">
        <v>14</v>
      </c>
      <c r="AZ83" s="42">
        <v>8</v>
      </c>
      <c r="BA83" s="42">
        <v>4</v>
      </c>
      <c r="BD83" s="42">
        <v>10</v>
      </c>
      <c r="BE83" s="42">
        <v>6</v>
      </c>
      <c r="BH83" s="42">
        <v>8</v>
      </c>
      <c r="BI83" s="42">
        <v>10</v>
      </c>
      <c r="BL83" s="42">
        <v>10</v>
      </c>
      <c r="BM83" s="42">
        <v>12</v>
      </c>
      <c r="BP83" s="42">
        <v>14</v>
      </c>
      <c r="BQ83" s="42">
        <v>10</v>
      </c>
    </row>
    <row r="84" spans="28:69" x14ac:dyDescent="0.2">
      <c r="AB84" s="42">
        <v>6</v>
      </c>
      <c r="AC84" s="42">
        <v>9</v>
      </c>
      <c r="AF84" s="42">
        <v>10</v>
      </c>
      <c r="AG84" s="42">
        <v>4</v>
      </c>
      <c r="AJ84" s="42">
        <v>4</v>
      </c>
      <c r="AK84" s="42">
        <v>5</v>
      </c>
      <c r="AN84" s="42">
        <v>8</v>
      </c>
      <c r="AO84" s="42">
        <v>7</v>
      </c>
      <c r="AR84" s="42">
        <v>9</v>
      </c>
      <c r="AS84" s="42">
        <v>10</v>
      </c>
      <c r="AV84" s="42">
        <v>13</v>
      </c>
      <c r="AW84" s="42">
        <v>12</v>
      </c>
      <c r="AZ84" s="42">
        <v>3</v>
      </c>
      <c r="BA84" s="42">
        <v>9</v>
      </c>
      <c r="BD84" s="42">
        <v>5</v>
      </c>
      <c r="BE84" s="42">
        <v>11</v>
      </c>
      <c r="BH84" s="42">
        <v>11</v>
      </c>
      <c r="BI84" s="42">
        <v>7</v>
      </c>
      <c r="BL84" s="42">
        <v>13</v>
      </c>
      <c r="BM84" s="42">
        <v>9</v>
      </c>
      <c r="BP84" s="42">
        <v>9</v>
      </c>
      <c r="BQ84" s="42">
        <v>15</v>
      </c>
    </row>
    <row r="85" spans="28:69" x14ac:dyDescent="0.2">
      <c r="AB85" s="42">
        <v>8</v>
      </c>
      <c r="AC85" s="42">
        <v>7</v>
      </c>
      <c r="AF85" s="42">
        <v>3</v>
      </c>
      <c r="AG85" s="42">
        <v>11</v>
      </c>
      <c r="AJ85" s="42">
        <v>1</v>
      </c>
      <c r="AK85" s="42">
        <v>9</v>
      </c>
      <c r="AN85" s="42">
        <v>1</v>
      </c>
      <c r="AO85" s="42">
        <v>13</v>
      </c>
      <c r="AR85" s="42">
        <v>1</v>
      </c>
      <c r="AS85" s="42">
        <v>2</v>
      </c>
      <c r="AV85" s="42">
        <v>1</v>
      </c>
      <c r="AW85" s="42">
        <v>4</v>
      </c>
      <c r="AZ85" s="42">
        <v>10</v>
      </c>
      <c r="BA85" s="42">
        <v>2</v>
      </c>
      <c r="BD85" s="42">
        <v>12</v>
      </c>
      <c r="BE85" s="42">
        <v>4</v>
      </c>
      <c r="BH85" s="42">
        <v>6</v>
      </c>
      <c r="BI85" s="42">
        <v>12</v>
      </c>
      <c r="BL85" s="42">
        <v>8</v>
      </c>
      <c r="BM85" s="42">
        <v>14</v>
      </c>
      <c r="BP85" s="42">
        <v>16</v>
      </c>
      <c r="BQ85" s="42">
        <v>8</v>
      </c>
    </row>
    <row r="86" spans="28:69" x14ac:dyDescent="0.2">
      <c r="AB86" s="42">
        <v>2</v>
      </c>
      <c r="AC86" s="42">
        <v>1</v>
      </c>
      <c r="AF86" s="42">
        <v>6</v>
      </c>
      <c r="AG86" s="42">
        <v>1</v>
      </c>
      <c r="AJ86" s="42">
        <v>10</v>
      </c>
      <c r="AK86" s="42">
        <v>8</v>
      </c>
      <c r="AN86" s="42">
        <v>11</v>
      </c>
      <c r="AO86" s="42">
        <v>2</v>
      </c>
      <c r="AR86" s="42">
        <v>14</v>
      </c>
      <c r="AS86" s="42">
        <v>3</v>
      </c>
      <c r="AV86" s="42">
        <v>3</v>
      </c>
      <c r="AW86" s="42">
        <v>5</v>
      </c>
      <c r="AZ86" s="42">
        <v>16</v>
      </c>
      <c r="BA86" s="42">
        <v>11</v>
      </c>
      <c r="BD86" s="42">
        <v>3</v>
      </c>
      <c r="BE86" s="42">
        <v>13</v>
      </c>
      <c r="BH86" s="42">
        <v>13</v>
      </c>
      <c r="BI86" s="42">
        <v>5</v>
      </c>
      <c r="BL86" s="42">
        <v>15</v>
      </c>
      <c r="BM86" s="42">
        <v>7</v>
      </c>
      <c r="BP86" s="42">
        <v>7</v>
      </c>
      <c r="BQ86" s="42">
        <v>17</v>
      </c>
    </row>
    <row r="87" spans="28:69" x14ac:dyDescent="0.2">
      <c r="AB87" s="42">
        <v>3</v>
      </c>
      <c r="AC87" s="42">
        <v>10</v>
      </c>
      <c r="AF87" s="42">
        <v>7</v>
      </c>
      <c r="AG87" s="42">
        <v>5</v>
      </c>
      <c r="AJ87" s="42">
        <v>7</v>
      </c>
      <c r="AK87" s="42">
        <v>11</v>
      </c>
      <c r="AN87" s="42">
        <v>3</v>
      </c>
      <c r="AO87" s="42">
        <v>10</v>
      </c>
      <c r="AQ87" s="495" t="str">
        <f>Language!$E$18</f>
        <v>First legs</v>
      </c>
      <c r="AR87" s="42">
        <v>4</v>
      </c>
      <c r="AS87" s="42">
        <v>13</v>
      </c>
      <c r="AV87" s="42">
        <v>6</v>
      </c>
      <c r="AW87" s="42">
        <v>2</v>
      </c>
      <c r="AZ87" s="42">
        <v>12</v>
      </c>
      <c r="BA87" s="42">
        <v>15</v>
      </c>
      <c r="BD87" s="42">
        <v>14</v>
      </c>
      <c r="BE87" s="42">
        <v>2</v>
      </c>
      <c r="BH87" s="42">
        <v>4</v>
      </c>
      <c r="BI87" s="42">
        <v>14</v>
      </c>
      <c r="BL87" s="42">
        <v>6</v>
      </c>
      <c r="BM87" s="42">
        <v>16</v>
      </c>
      <c r="BP87" s="42">
        <v>18</v>
      </c>
      <c r="BQ87" s="42">
        <v>6</v>
      </c>
    </row>
    <row r="88" spans="28:69" x14ac:dyDescent="0.2">
      <c r="AB88" s="42">
        <v>9</v>
      </c>
      <c r="AC88" s="42">
        <v>4</v>
      </c>
      <c r="AF88" s="42">
        <v>4</v>
      </c>
      <c r="AG88" s="42">
        <v>8</v>
      </c>
      <c r="AJ88" s="42">
        <v>12</v>
      </c>
      <c r="AK88" s="42">
        <v>6</v>
      </c>
      <c r="AN88" s="42">
        <v>9</v>
      </c>
      <c r="AO88" s="42">
        <v>4</v>
      </c>
      <c r="AQ88" s="495"/>
      <c r="AR88" s="42">
        <v>12</v>
      </c>
      <c r="AS88" s="42">
        <v>5</v>
      </c>
      <c r="AV88" s="42">
        <v>8</v>
      </c>
      <c r="AW88" s="42">
        <v>15</v>
      </c>
      <c r="AZ88" s="42">
        <v>14</v>
      </c>
      <c r="BA88" s="42">
        <v>13</v>
      </c>
      <c r="BD88" s="42">
        <v>16</v>
      </c>
      <c r="BE88" s="42">
        <v>17</v>
      </c>
      <c r="BH88" s="42">
        <v>15</v>
      </c>
      <c r="BI88" s="42">
        <v>3</v>
      </c>
      <c r="BL88" s="42">
        <v>17</v>
      </c>
      <c r="BM88" s="42">
        <v>5</v>
      </c>
      <c r="BP88" s="42">
        <v>5</v>
      </c>
      <c r="BQ88" s="42">
        <v>19</v>
      </c>
    </row>
    <row r="89" spans="28:69" x14ac:dyDescent="0.2">
      <c r="AB89" s="42">
        <v>5</v>
      </c>
      <c r="AC89" s="42">
        <v>8</v>
      </c>
      <c r="AF89" s="42">
        <v>9</v>
      </c>
      <c r="AG89" s="42">
        <v>3</v>
      </c>
      <c r="AJ89" s="42">
        <v>5</v>
      </c>
      <c r="AK89" s="42">
        <v>2</v>
      </c>
      <c r="AN89" s="42">
        <v>5</v>
      </c>
      <c r="AO89" s="42">
        <v>8</v>
      </c>
      <c r="AQ89" s="495"/>
      <c r="AR89" s="42">
        <v>6</v>
      </c>
      <c r="AS89" s="42">
        <v>11</v>
      </c>
      <c r="AV89" s="42">
        <v>14</v>
      </c>
      <c r="AW89" s="42">
        <v>9</v>
      </c>
      <c r="AZ89" s="42">
        <v>5</v>
      </c>
      <c r="BA89" s="42">
        <v>1</v>
      </c>
      <c r="BD89" s="42">
        <v>7</v>
      </c>
      <c r="BE89" s="42">
        <v>1</v>
      </c>
      <c r="BH89" s="42">
        <v>2</v>
      </c>
      <c r="BI89" s="42">
        <v>16</v>
      </c>
      <c r="BL89" s="42">
        <v>4</v>
      </c>
      <c r="BM89" s="42">
        <v>18</v>
      </c>
      <c r="BP89" s="42">
        <v>20</v>
      </c>
      <c r="BQ89" s="42">
        <v>4</v>
      </c>
    </row>
    <row r="90" spans="28:69" x14ac:dyDescent="0.2">
      <c r="AB90" s="42">
        <v>7</v>
      </c>
      <c r="AC90" s="42">
        <v>6</v>
      </c>
      <c r="AF90" s="42">
        <v>2</v>
      </c>
      <c r="AG90" s="42">
        <v>10</v>
      </c>
      <c r="AJ90" s="42">
        <v>3</v>
      </c>
      <c r="AK90" s="42">
        <v>4</v>
      </c>
      <c r="AN90" s="42">
        <v>7</v>
      </c>
      <c r="AO90" s="42">
        <v>6</v>
      </c>
      <c r="AQ90" s="495"/>
      <c r="AR90" s="42">
        <v>10</v>
      </c>
      <c r="AS90" s="42">
        <v>7</v>
      </c>
      <c r="AV90" s="42">
        <v>10</v>
      </c>
      <c r="AW90" s="42">
        <v>13</v>
      </c>
      <c r="AZ90" s="42">
        <v>4</v>
      </c>
      <c r="BA90" s="42">
        <v>6</v>
      </c>
      <c r="BD90" s="42">
        <v>6</v>
      </c>
      <c r="BE90" s="42">
        <v>8</v>
      </c>
      <c r="BH90" s="42">
        <v>17</v>
      </c>
      <c r="BI90" s="42">
        <v>18</v>
      </c>
      <c r="BL90" s="42">
        <v>19</v>
      </c>
      <c r="BM90" s="42">
        <v>3</v>
      </c>
      <c r="BP90" s="42">
        <v>3</v>
      </c>
      <c r="BQ90" s="42">
        <v>2</v>
      </c>
    </row>
    <row r="91" spans="28:69" ht="13.5" thickBot="1" x14ac:dyDescent="0.25">
      <c r="AF91" s="42">
        <v>1</v>
      </c>
      <c r="AG91" s="42">
        <v>5</v>
      </c>
      <c r="AJ91" s="42">
        <v>8</v>
      </c>
      <c r="AK91" s="42">
        <v>1</v>
      </c>
      <c r="AN91" s="42">
        <v>12</v>
      </c>
      <c r="AO91" s="42">
        <v>1</v>
      </c>
      <c r="AQ91" s="496"/>
      <c r="AR91" s="42">
        <v>8</v>
      </c>
      <c r="AS91" s="42">
        <v>9</v>
      </c>
      <c r="AV91" s="42">
        <v>12</v>
      </c>
      <c r="AW91" s="42">
        <v>11</v>
      </c>
      <c r="AZ91" s="42">
        <v>7</v>
      </c>
      <c r="BA91" s="42">
        <v>3</v>
      </c>
      <c r="BD91" s="42">
        <v>9</v>
      </c>
      <c r="BE91" s="42">
        <v>5</v>
      </c>
      <c r="BH91" s="42">
        <v>1</v>
      </c>
      <c r="BI91" s="42">
        <v>8</v>
      </c>
      <c r="BL91" s="42">
        <v>1</v>
      </c>
      <c r="BM91" s="42">
        <v>10</v>
      </c>
      <c r="BP91" s="42">
        <v>11</v>
      </c>
      <c r="BQ91" s="42">
        <v>1</v>
      </c>
    </row>
    <row r="92" spans="28:69" x14ac:dyDescent="0.2">
      <c r="AF92" s="42">
        <v>6</v>
      </c>
      <c r="AG92" s="42">
        <v>4</v>
      </c>
      <c r="AJ92" s="42">
        <v>9</v>
      </c>
      <c r="AK92" s="42">
        <v>7</v>
      </c>
      <c r="AN92" s="42">
        <v>13</v>
      </c>
      <c r="AO92" s="42">
        <v>11</v>
      </c>
      <c r="AQ92" s="497" t="str">
        <f>Language!$E$19</f>
        <v>Second legs</v>
      </c>
      <c r="AR92" s="42">
        <v>14</v>
      </c>
      <c r="AS92" s="42">
        <v>1</v>
      </c>
      <c r="AV92" s="42">
        <v>3</v>
      </c>
      <c r="AW92" s="42">
        <v>1</v>
      </c>
      <c r="AZ92" s="42">
        <v>2</v>
      </c>
      <c r="BA92" s="42">
        <v>8</v>
      </c>
      <c r="BD92" s="42">
        <v>4</v>
      </c>
      <c r="BE92" s="42">
        <v>10</v>
      </c>
      <c r="BH92" s="42">
        <v>7</v>
      </c>
      <c r="BI92" s="42">
        <v>9</v>
      </c>
      <c r="BL92" s="42">
        <v>9</v>
      </c>
      <c r="BM92" s="42">
        <v>11</v>
      </c>
      <c r="BP92" s="42">
        <v>10</v>
      </c>
      <c r="BQ92" s="42">
        <v>12</v>
      </c>
    </row>
    <row r="93" spans="28:69" x14ac:dyDescent="0.2">
      <c r="AF93" s="42">
        <v>3</v>
      </c>
      <c r="AG93" s="42">
        <v>7</v>
      </c>
      <c r="AJ93" s="42">
        <v>6</v>
      </c>
      <c r="AK93" s="42">
        <v>10</v>
      </c>
      <c r="AN93" s="42">
        <v>2</v>
      </c>
      <c r="AO93" s="42">
        <v>9</v>
      </c>
      <c r="AQ93" s="497"/>
      <c r="AR93" s="42">
        <v>2</v>
      </c>
      <c r="AS93" s="42">
        <v>13</v>
      </c>
      <c r="AV93" s="42">
        <v>2</v>
      </c>
      <c r="AW93" s="42">
        <v>4</v>
      </c>
      <c r="AZ93" s="42">
        <v>9</v>
      </c>
      <c r="BA93" s="42">
        <v>16</v>
      </c>
      <c r="BD93" s="42">
        <v>11</v>
      </c>
      <c r="BE93" s="42">
        <v>3</v>
      </c>
      <c r="BH93" s="42">
        <v>10</v>
      </c>
      <c r="BI93" s="42">
        <v>6</v>
      </c>
      <c r="BL93" s="42">
        <v>12</v>
      </c>
      <c r="BM93" s="42">
        <v>8</v>
      </c>
      <c r="BP93" s="42">
        <v>13</v>
      </c>
      <c r="BQ93" s="42">
        <v>9</v>
      </c>
    </row>
    <row r="94" spans="28:69" x14ac:dyDescent="0.2">
      <c r="AF94" s="42">
        <v>8</v>
      </c>
      <c r="AG94" s="42">
        <v>2</v>
      </c>
      <c r="AJ94" s="42">
        <v>11</v>
      </c>
      <c r="AK94" s="42">
        <v>5</v>
      </c>
      <c r="AN94" s="42">
        <v>8</v>
      </c>
      <c r="AO94" s="42">
        <v>3</v>
      </c>
      <c r="AQ94" s="497"/>
      <c r="AR94" s="42">
        <v>12</v>
      </c>
      <c r="AS94" s="42">
        <v>3</v>
      </c>
      <c r="AV94" s="42">
        <v>15</v>
      </c>
      <c r="AW94" s="42">
        <v>6</v>
      </c>
      <c r="AZ94" s="42">
        <v>15</v>
      </c>
      <c r="BA94" s="42">
        <v>10</v>
      </c>
      <c r="BD94" s="42">
        <v>2</v>
      </c>
      <c r="BE94" s="42">
        <v>12</v>
      </c>
      <c r="BH94" s="42">
        <v>5</v>
      </c>
      <c r="BI94" s="42">
        <v>11</v>
      </c>
      <c r="BL94" s="42">
        <v>7</v>
      </c>
      <c r="BM94" s="42">
        <v>13</v>
      </c>
      <c r="BP94" s="42">
        <v>8</v>
      </c>
      <c r="BQ94" s="42">
        <v>14</v>
      </c>
    </row>
    <row r="95" spans="28:69" x14ac:dyDescent="0.2">
      <c r="AF95" s="42">
        <v>10</v>
      </c>
      <c r="AG95" s="42">
        <v>11</v>
      </c>
      <c r="AJ95" s="42">
        <v>4</v>
      </c>
      <c r="AK95" s="42">
        <v>12</v>
      </c>
      <c r="AN95" s="42">
        <v>4</v>
      </c>
      <c r="AO95" s="42">
        <v>7</v>
      </c>
      <c r="AQ95" s="497"/>
      <c r="AR95" s="42">
        <v>4</v>
      </c>
      <c r="AS95" s="42">
        <v>11</v>
      </c>
      <c r="AV95" s="42">
        <v>7</v>
      </c>
      <c r="AW95" s="42">
        <v>14</v>
      </c>
      <c r="AZ95" s="42">
        <v>11</v>
      </c>
      <c r="BA95" s="42">
        <v>14</v>
      </c>
      <c r="BD95" s="42">
        <v>17</v>
      </c>
      <c r="BE95" s="42">
        <v>14</v>
      </c>
      <c r="BH95" s="42">
        <v>12</v>
      </c>
      <c r="BI95" s="42">
        <v>4</v>
      </c>
      <c r="BL95" s="42">
        <v>14</v>
      </c>
      <c r="BM95" s="42">
        <v>6</v>
      </c>
      <c r="BP95" s="42">
        <v>15</v>
      </c>
      <c r="BQ95" s="42">
        <v>7</v>
      </c>
    </row>
    <row r="96" spans="28:69" x14ac:dyDescent="0.2">
      <c r="AF96" s="42">
        <v>4</v>
      </c>
      <c r="AG96" s="42">
        <v>1</v>
      </c>
      <c r="AJ96" s="42">
        <v>2</v>
      </c>
      <c r="AK96" s="42">
        <v>3</v>
      </c>
      <c r="AN96" s="42">
        <v>6</v>
      </c>
      <c r="AO96" s="42">
        <v>5</v>
      </c>
      <c r="AQ96" s="497"/>
      <c r="AR96" s="42">
        <v>10</v>
      </c>
      <c r="AS96" s="42">
        <v>5</v>
      </c>
      <c r="AV96" s="42">
        <v>13</v>
      </c>
      <c r="AW96" s="42">
        <v>8</v>
      </c>
      <c r="AZ96" s="42">
        <v>13</v>
      </c>
      <c r="BA96" s="42">
        <v>12</v>
      </c>
      <c r="BD96" s="42">
        <v>15</v>
      </c>
      <c r="BE96" s="42">
        <v>16</v>
      </c>
      <c r="BH96" s="42">
        <v>3</v>
      </c>
      <c r="BI96" s="42">
        <v>13</v>
      </c>
      <c r="BL96" s="42">
        <v>5</v>
      </c>
      <c r="BM96" s="42">
        <v>15</v>
      </c>
      <c r="BP96" s="42">
        <v>6</v>
      </c>
      <c r="BQ96" s="42">
        <v>16</v>
      </c>
    </row>
    <row r="97" spans="32:69" x14ac:dyDescent="0.2">
      <c r="AF97" s="42">
        <v>5</v>
      </c>
      <c r="AG97" s="42">
        <v>3</v>
      </c>
      <c r="AJ97" s="42">
        <v>1</v>
      </c>
      <c r="AK97" s="42">
        <v>7</v>
      </c>
      <c r="AN97" s="42">
        <v>1</v>
      </c>
      <c r="AO97" s="42">
        <v>11</v>
      </c>
      <c r="AR97" s="42">
        <v>6</v>
      </c>
      <c r="AS97" s="42">
        <v>9</v>
      </c>
      <c r="AV97" s="42">
        <v>9</v>
      </c>
      <c r="AW97" s="42">
        <v>12</v>
      </c>
      <c r="AZ97" s="42">
        <v>1</v>
      </c>
      <c r="BA97" s="42">
        <v>4</v>
      </c>
      <c r="BD97" s="42">
        <v>1</v>
      </c>
      <c r="BE97" s="42">
        <v>6</v>
      </c>
      <c r="BH97" s="42">
        <v>14</v>
      </c>
      <c r="BI97" s="42">
        <v>2</v>
      </c>
      <c r="BL97" s="42">
        <v>16</v>
      </c>
      <c r="BM97" s="42">
        <v>4</v>
      </c>
      <c r="BP97" s="42">
        <v>17</v>
      </c>
      <c r="BQ97" s="42">
        <v>5</v>
      </c>
    </row>
    <row r="98" spans="32:69" x14ac:dyDescent="0.2">
      <c r="AF98" s="42">
        <v>2</v>
      </c>
      <c r="AG98" s="42">
        <v>6</v>
      </c>
      <c r="AJ98" s="42">
        <v>8</v>
      </c>
      <c r="AK98" s="42">
        <v>6</v>
      </c>
      <c r="AN98" s="42">
        <v>12</v>
      </c>
      <c r="AO98" s="42">
        <v>10</v>
      </c>
      <c r="AR98" s="42">
        <v>8</v>
      </c>
      <c r="AS98" s="42">
        <v>7</v>
      </c>
      <c r="AV98" s="42">
        <v>11</v>
      </c>
      <c r="AW98" s="42">
        <v>10</v>
      </c>
      <c r="AZ98" s="42">
        <v>3</v>
      </c>
      <c r="BA98" s="42">
        <v>5</v>
      </c>
      <c r="BD98" s="42">
        <v>5</v>
      </c>
      <c r="BE98" s="42">
        <v>7</v>
      </c>
      <c r="BH98" s="42">
        <v>18</v>
      </c>
      <c r="BI98" s="42">
        <v>15</v>
      </c>
      <c r="BL98" s="42">
        <v>3</v>
      </c>
      <c r="BM98" s="42">
        <v>17</v>
      </c>
      <c r="BP98" s="42">
        <v>4</v>
      </c>
      <c r="BQ98" s="42">
        <v>18</v>
      </c>
    </row>
    <row r="99" spans="32:69" x14ac:dyDescent="0.2">
      <c r="AF99" s="42">
        <v>11</v>
      </c>
      <c r="AG99" s="42">
        <v>8</v>
      </c>
      <c r="AJ99" s="42">
        <v>5</v>
      </c>
      <c r="AK99" s="42">
        <v>9</v>
      </c>
      <c r="AN99" s="42">
        <v>9</v>
      </c>
      <c r="AO99" s="42">
        <v>13</v>
      </c>
      <c r="AR99" s="42">
        <v>1</v>
      </c>
      <c r="AS99" s="42">
        <v>13</v>
      </c>
      <c r="AV99" s="42">
        <v>1</v>
      </c>
      <c r="AW99" s="42">
        <v>2</v>
      </c>
      <c r="AZ99" s="42">
        <v>6</v>
      </c>
      <c r="BA99" s="42">
        <v>2</v>
      </c>
      <c r="BD99" s="42">
        <v>8</v>
      </c>
      <c r="BE99" s="42">
        <v>4</v>
      </c>
      <c r="BH99" s="42">
        <v>16</v>
      </c>
      <c r="BI99" s="42">
        <v>17</v>
      </c>
      <c r="BL99" s="42">
        <v>18</v>
      </c>
      <c r="BM99" s="42">
        <v>2</v>
      </c>
      <c r="BP99" s="42">
        <v>19</v>
      </c>
      <c r="BQ99" s="42">
        <v>3</v>
      </c>
    </row>
    <row r="100" spans="32:69" x14ac:dyDescent="0.2">
      <c r="AF100" s="42">
        <v>9</v>
      </c>
      <c r="AG100" s="42">
        <v>10</v>
      </c>
      <c r="AJ100" s="42">
        <v>10</v>
      </c>
      <c r="AK100" s="42">
        <v>4</v>
      </c>
      <c r="AN100" s="42">
        <v>7</v>
      </c>
      <c r="AO100" s="42">
        <v>2</v>
      </c>
      <c r="AR100" s="42">
        <v>14</v>
      </c>
      <c r="AS100" s="42">
        <v>12</v>
      </c>
      <c r="AV100" s="42">
        <v>4</v>
      </c>
      <c r="AW100" s="42">
        <v>15</v>
      </c>
      <c r="AZ100" s="42">
        <v>16</v>
      </c>
      <c r="BA100" s="42">
        <v>7</v>
      </c>
      <c r="BD100" s="42">
        <v>3</v>
      </c>
      <c r="BE100" s="42">
        <v>9</v>
      </c>
      <c r="BH100" s="42">
        <v>7</v>
      </c>
      <c r="BI100" s="42">
        <v>1</v>
      </c>
      <c r="BL100" s="42">
        <v>9</v>
      </c>
      <c r="BM100" s="42">
        <v>1</v>
      </c>
      <c r="BP100" s="42">
        <v>2</v>
      </c>
      <c r="BQ100" s="42">
        <v>20</v>
      </c>
    </row>
    <row r="101" spans="32:69" x14ac:dyDescent="0.2">
      <c r="AF101" s="42">
        <v>1</v>
      </c>
      <c r="AG101" s="42">
        <v>3</v>
      </c>
      <c r="AJ101" s="42">
        <v>3</v>
      </c>
      <c r="AK101" s="42">
        <v>11</v>
      </c>
      <c r="AN101" s="42">
        <v>3</v>
      </c>
      <c r="AO101" s="42">
        <v>6</v>
      </c>
      <c r="AR101" s="42">
        <v>11</v>
      </c>
      <c r="AS101" s="42">
        <v>2</v>
      </c>
      <c r="AU101" s="495" t="str">
        <f>Language!$E$18</f>
        <v>First legs</v>
      </c>
      <c r="AV101" s="42">
        <v>14</v>
      </c>
      <c r="AW101" s="42">
        <v>5</v>
      </c>
      <c r="AZ101" s="42">
        <v>8</v>
      </c>
      <c r="BA101" s="42">
        <v>15</v>
      </c>
      <c r="BD101" s="42">
        <v>10</v>
      </c>
      <c r="BE101" s="42">
        <v>2</v>
      </c>
      <c r="BH101" s="42">
        <v>6</v>
      </c>
      <c r="BI101" s="42">
        <v>8</v>
      </c>
      <c r="BL101" s="42">
        <v>8</v>
      </c>
      <c r="BM101" s="42">
        <v>10</v>
      </c>
      <c r="BP101" s="42">
        <v>1</v>
      </c>
      <c r="BQ101" s="42">
        <v>10</v>
      </c>
    </row>
    <row r="102" spans="32:69" x14ac:dyDescent="0.2">
      <c r="AF102" s="42">
        <v>4</v>
      </c>
      <c r="AG102" s="42">
        <v>2</v>
      </c>
      <c r="AJ102" s="42">
        <v>12</v>
      </c>
      <c r="AK102" s="42">
        <v>2</v>
      </c>
      <c r="AN102" s="42">
        <v>5</v>
      </c>
      <c r="AO102" s="42">
        <v>4</v>
      </c>
      <c r="AR102" s="42">
        <v>3</v>
      </c>
      <c r="AS102" s="42">
        <v>10</v>
      </c>
      <c r="AU102" s="495"/>
      <c r="AV102" s="42">
        <v>6</v>
      </c>
      <c r="AW102" s="42">
        <v>13</v>
      </c>
      <c r="AZ102" s="42">
        <v>14</v>
      </c>
      <c r="BA102" s="42">
        <v>9</v>
      </c>
      <c r="BD102" s="42">
        <v>12</v>
      </c>
      <c r="BE102" s="42">
        <v>17</v>
      </c>
      <c r="BH102" s="42">
        <v>9</v>
      </c>
      <c r="BI102" s="42">
        <v>5</v>
      </c>
      <c r="BL102" s="42">
        <v>11</v>
      </c>
      <c r="BM102" s="42">
        <v>7</v>
      </c>
      <c r="BP102" s="42">
        <v>9</v>
      </c>
      <c r="BQ102" s="42">
        <v>11</v>
      </c>
    </row>
    <row r="103" spans="32:69" x14ac:dyDescent="0.2">
      <c r="AF103" s="42">
        <v>6</v>
      </c>
      <c r="AG103" s="42">
        <v>11</v>
      </c>
      <c r="AJ103" s="42">
        <v>6</v>
      </c>
      <c r="AK103" s="42">
        <v>1</v>
      </c>
      <c r="AN103" s="42">
        <v>10</v>
      </c>
      <c r="AO103" s="42">
        <v>1</v>
      </c>
      <c r="AR103" s="42">
        <v>9</v>
      </c>
      <c r="AS103" s="42">
        <v>4</v>
      </c>
      <c r="AU103" s="495"/>
      <c r="AV103" s="42">
        <v>12</v>
      </c>
      <c r="AW103" s="42">
        <v>7</v>
      </c>
      <c r="AZ103" s="42">
        <v>10</v>
      </c>
      <c r="BA103" s="42">
        <v>13</v>
      </c>
      <c r="BD103" s="42">
        <v>16</v>
      </c>
      <c r="BE103" s="42">
        <v>13</v>
      </c>
      <c r="BH103" s="42">
        <v>4</v>
      </c>
      <c r="BI103" s="42">
        <v>10</v>
      </c>
      <c r="BL103" s="42">
        <v>6</v>
      </c>
      <c r="BM103" s="42">
        <v>12</v>
      </c>
      <c r="BP103" s="42">
        <v>12</v>
      </c>
      <c r="BQ103" s="42">
        <v>8</v>
      </c>
    </row>
    <row r="104" spans="32:69" x14ac:dyDescent="0.2">
      <c r="AF104" s="42">
        <v>10</v>
      </c>
      <c r="AG104" s="42">
        <v>7</v>
      </c>
      <c r="AJ104" s="42">
        <v>7</v>
      </c>
      <c r="AK104" s="42">
        <v>5</v>
      </c>
      <c r="AN104" s="42">
        <v>11</v>
      </c>
      <c r="AO104" s="42">
        <v>9</v>
      </c>
      <c r="AR104" s="42">
        <v>5</v>
      </c>
      <c r="AS104" s="42">
        <v>8</v>
      </c>
      <c r="AU104" s="495"/>
      <c r="AV104" s="42">
        <v>8</v>
      </c>
      <c r="AW104" s="42">
        <v>11</v>
      </c>
      <c r="AZ104" s="42">
        <v>12</v>
      </c>
      <c r="BA104" s="42">
        <v>11</v>
      </c>
      <c r="BD104" s="42">
        <v>14</v>
      </c>
      <c r="BE104" s="42">
        <v>15</v>
      </c>
      <c r="BH104" s="42">
        <v>11</v>
      </c>
      <c r="BI104" s="42">
        <v>3</v>
      </c>
      <c r="BL104" s="42">
        <v>13</v>
      </c>
      <c r="BM104" s="42">
        <v>5</v>
      </c>
      <c r="BP104" s="42">
        <v>7</v>
      </c>
      <c r="BQ104" s="42">
        <v>13</v>
      </c>
    </row>
    <row r="105" spans="32:69" ht="13.5" thickBot="1" x14ac:dyDescent="0.25">
      <c r="AF105" s="42">
        <v>8</v>
      </c>
      <c r="AG105" s="42">
        <v>9</v>
      </c>
      <c r="AJ105" s="42">
        <v>4</v>
      </c>
      <c r="AK105" s="42">
        <v>8</v>
      </c>
      <c r="AN105" s="42">
        <v>8</v>
      </c>
      <c r="AO105" s="42">
        <v>12</v>
      </c>
      <c r="AR105" s="42">
        <v>7</v>
      </c>
      <c r="AS105" s="42">
        <v>6</v>
      </c>
      <c r="AU105" s="496"/>
      <c r="AV105" s="42">
        <v>10</v>
      </c>
      <c r="AW105" s="42">
        <v>9</v>
      </c>
      <c r="AZ105" s="42">
        <v>3</v>
      </c>
      <c r="BA105" s="42">
        <v>1</v>
      </c>
      <c r="BD105" s="42">
        <v>5</v>
      </c>
      <c r="BE105" s="42">
        <v>1</v>
      </c>
      <c r="BH105" s="42">
        <v>2</v>
      </c>
      <c r="BI105" s="42">
        <v>12</v>
      </c>
      <c r="BL105" s="42">
        <v>4</v>
      </c>
      <c r="BM105" s="42">
        <v>14</v>
      </c>
      <c r="BP105" s="42">
        <v>14</v>
      </c>
      <c r="BQ105" s="42">
        <v>6</v>
      </c>
    </row>
    <row r="106" spans="32:69" x14ac:dyDescent="0.2">
      <c r="AF106" s="42">
        <v>2</v>
      </c>
      <c r="AG106" s="42">
        <v>1</v>
      </c>
      <c r="AJ106" s="42">
        <v>9</v>
      </c>
      <c r="AK106" s="42">
        <v>3</v>
      </c>
      <c r="AN106" s="42">
        <v>13</v>
      </c>
      <c r="AO106" s="42">
        <v>7</v>
      </c>
      <c r="AR106" s="42">
        <v>12</v>
      </c>
      <c r="AS106" s="42">
        <v>1</v>
      </c>
      <c r="AU106" s="497" t="str">
        <f>Language!$E$19</f>
        <v>Second legs</v>
      </c>
      <c r="AV106" s="42">
        <v>2</v>
      </c>
      <c r="AW106" s="42">
        <v>15</v>
      </c>
      <c r="AZ106" s="42">
        <v>2</v>
      </c>
      <c r="BA106" s="42">
        <v>4</v>
      </c>
      <c r="BD106" s="42">
        <v>4</v>
      </c>
      <c r="BE106" s="42">
        <v>6</v>
      </c>
      <c r="BH106" s="42">
        <v>13</v>
      </c>
      <c r="BI106" s="42">
        <v>18</v>
      </c>
      <c r="BL106" s="42">
        <v>15</v>
      </c>
      <c r="BM106" s="42">
        <v>3</v>
      </c>
      <c r="BP106" s="42">
        <v>5</v>
      </c>
      <c r="BQ106" s="42">
        <v>15</v>
      </c>
    </row>
    <row r="107" spans="32:69" x14ac:dyDescent="0.2">
      <c r="AF107" s="42">
        <v>11</v>
      </c>
      <c r="AG107" s="42">
        <v>4</v>
      </c>
      <c r="AJ107" s="42">
        <v>2</v>
      </c>
      <c r="AK107" s="42">
        <v>10</v>
      </c>
      <c r="AN107" s="42">
        <v>2</v>
      </c>
      <c r="AO107" s="42">
        <v>5</v>
      </c>
      <c r="AR107" s="42">
        <v>13</v>
      </c>
      <c r="AS107" s="42">
        <v>11</v>
      </c>
      <c r="AU107" s="497"/>
      <c r="AV107" s="42">
        <v>14</v>
      </c>
      <c r="AW107" s="42">
        <v>3</v>
      </c>
      <c r="AZ107" s="42">
        <v>5</v>
      </c>
      <c r="BA107" s="42">
        <v>16</v>
      </c>
      <c r="BD107" s="42">
        <v>7</v>
      </c>
      <c r="BE107" s="42">
        <v>3</v>
      </c>
      <c r="BH107" s="42">
        <v>17</v>
      </c>
      <c r="BI107" s="42">
        <v>14</v>
      </c>
      <c r="BL107" s="42">
        <v>2</v>
      </c>
      <c r="BM107" s="42">
        <v>16</v>
      </c>
      <c r="BP107" s="42">
        <v>16</v>
      </c>
      <c r="BQ107" s="42">
        <v>4</v>
      </c>
    </row>
    <row r="108" spans="32:69" x14ac:dyDescent="0.2">
      <c r="AF108" s="42">
        <v>5</v>
      </c>
      <c r="AG108" s="42">
        <v>10</v>
      </c>
      <c r="AJ108" s="42">
        <v>11</v>
      </c>
      <c r="AK108" s="42">
        <v>12</v>
      </c>
      <c r="AN108" s="42">
        <v>4</v>
      </c>
      <c r="AO108" s="42">
        <v>3</v>
      </c>
      <c r="AR108" s="42">
        <v>10</v>
      </c>
      <c r="AS108" s="42">
        <v>14</v>
      </c>
      <c r="AU108" s="497"/>
      <c r="AV108" s="42">
        <v>4</v>
      </c>
      <c r="AW108" s="42">
        <v>13</v>
      </c>
      <c r="AZ108" s="42">
        <v>15</v>
      </c>
      <c r="BA108" s="42">
        <v>6</v>
      </c>
      <c r="BD108" s="42">
        <v>2</v>
      </c>
      <c r="BE108" s="42">
        <v>8</v>
      </c>
      <c r="BH108" s="42">
        <v>15</v>
      </c>
      <c r="BI108" s="42">
        <v>16</v>
      </c>
      <c r="BL108" s="42">
        <v>19</v>
      </c>
      <c r="BM108" s="42">
        <v>18</v>
      </c>
      <c r="BP108" s="42">
        <v>3</v>
      </c>
      <c r="BQ108" s="42">
        <v>17</v>
      </c>
    </row>
    <row r="109" spans="32:69" x14ac:dyDescent="0.2">
      <c r="AF109" s="42">
        <v>9</v>
      </c>
      <c r="AG109" s="42">
        <v>6</v>
      </c>
      <c r="AJ109" s="42">
        <v>1</v>
      </c>
      <c r="AK109" s="42">
        <v>5</v>
      </c>
      <c r="AN109" s="42">
        <v>1</v>
      </c>
      <c r="AO109" s="42">
        <v>9</v>
      </c>
      <c r="AR109" s="42">
        <v>2</v>
      </c>
      <c r="AS109" s="42">
        <v>9</v>
      </c>
      <c r="AU109" s="497"/>
      <c r="AV109" s="42">
        <v>12</v>
      </c>
      <c r="AW109" s="42">
        <v>5</v>
      </c>
      <c r="AZ109" s="42">
        <v>7</v>
      </c>
      <c r="BA109" s="42">
        <v>14</v>
      </c>
      <c r="BD109" s="42">
        <v>17</v>
      </c>
      <c r="BE109" s="42">
        <v>10</v>
      </c>
      <c r="BH109" s="42">
        <v>1</v>
      </c>
      <c r="BI109" s="42">
        <v>6</v>
      </c>
      <c r="BL109" s="42">
        <v>1</v>
      </c>
      <c r="BM109" s="42">
        <v>8</v>
      </c>
      <c r="BP109" s="42">
        <v>18</v>
      </c>
      <c r="BQ109" s="42">
        <v>2</v>
      </c>
    </row>
    <row r="110" spans="32:69" x14ac:dyDescent="0.2">
      <c r="AF110" s="42">
        <v>7</v>
      </c>
      <c r="AG110" s="42">
        <v>8</v>
      </c>
      <c r="AJ110" s="42">
        <v>6</v>
      </c>
      <c r="AK110" s="42">
        <v>4</v>
      </c>
      <c r="AN110" s="42">
        <v>10</v>
      </c>
      <c r="AO110" s="42">
        <v>8</v>
      </c>
      <c r="AR110" s="42">
        <v>8</v>
      </c>
      <c r="AS110" s="42">
        <v>3</v>
      </c>
      <c r="AU110" s="497"/>
      <c r="AV110" s="42">
        <v>6</v>
      </c>
      <c r="AW110" s="42">
        <v>11</v>
      </c>
      <c r="AZ110" s="42">
        <v>13</v>
      </c>
      <c r="BA110" s="42">
        <v>8</v>
      </c>
      <c r="BD110" s="42">
        <v>11</v>
      </c>
      <c r="BE110" s="42">
        <v>16</v>
      </c>
      <c r="BH110" s="42">
        <v>5</v>
      </c>
      <c r="BI110" s="42">
        <v>7</v>
      </c>
      <c r="BL110" s="42">
        <v>7</v>
      </c>
      <c r="BM110" s="42">
        <v>9</v>
      </c>
      <c r="BP110" s="42">
        <v>20</v>
      </c>
      <c r="BQ110" s="42">
        <v>19</v>
      </c>
    </row>
    <row r="111" spans="32:69" x14ac:dyDescent="0.2">
      <c r="AJ111" s="42">
        <v>3</v>
      </c>
      <c r="AK111" s="42">
        <v>7</v>
      </c>
      <c r="AN111" s="42">
        <v>7</v>
      </c>
      <c r="AO111" s="42">
        <v>11</v>
      </c>
      <c r="AR111" s="42">
        <v>4</v>
      </c>
      <c r="AS111" s="42">
        <v>7</v>
      </c>
      <c r="AV111" s="42">
        <v>10</v>
      </c>
      <c r="AW111" s="42">
        <v>7</v>
      </c>
      <c r="AZ111" s="42">
        <v>9</v>
      </c>
      <c r="BA111" s="42">
        <v>12</v>
      </c>
      <c r="BD111" s="42">
        <v>15</v>
      </c>
      <c r="BE111" s="42">
        <v>12</v>
      </c>
      <c r="BH111" s="42">
        <v>8</v>
      </c>
      <c r="BI111" s="42">
        <v>4</v>
      </c>
      <c r="BL111" s="42">
        <v>10</v>
      </c>
      <c r="BM111" s="42">
        <v>6</v>
      </c>
      <c r="BP111" s="42">
        <v>9</v>
      </c>
      <c r="BQ111" s="42">
        <v>1</v>
      </c>
    </row>
    <row r="112" spans="32:69" x14ac:dyDescent="0.2">
      <c r="AJ112" s="42">
        <v>8</v>
      </c>
      <c r="AK112" s="42">
        <v>2</v>
      </c>
      <c r="AN112" s="42">
        <v>12</v>
      </c>
      <c r="AO112" s="42">
        <v>6</v>
      </c>
      <c r="AR112" s="42">
        <v>6</v>
      </c>
      <c r="AS112" s="42">
        <v>5</v>
      </c>
      <c r="AV112" s="42">
        <v>8</v>
      </c>
      <c r="AW112" s="42">
        <v>9</v>
      </c>
      <c r="AZ112" s="42">
        <v>11</v>
      </c>
      <c r="BA112" s="42">
        <v>10</v>
      </c>
      <c r="BD112" s="42">
        <v>13</v>
      </c>
      <c r="BE112" s="42">
        <v>14</v>
      </c>
      <c r="BH112" s="42">
        <v>3</v>
      </c>
      <c r="BI112" s="42">
        <v>9</v>
      </c>
      <c r="BL112" s="42">
        <v>5</v>
      </c>
      <c r="BM112" s="42">
        <v>11</v>
      </c>
      <c r="BP112" s="42">
        <v>8</v>
      </c>
      <c r="BQ112" s="42">
        <v>10</v>
      </c>
    </row>
    <row r="113" spans="36:69" x14ac:dyDescent="0.2">
      <c r="AJ113" s="42">
        <v>12</v>
      </c>
      <c r="AK113" s="42">
        <v>9</v>
      </c>
      <c r="AN113" s="42">
        <v>5</v>
      </c>
      <c r="AO113" s="42">
        <v>13</v>
      </c>
      <c r="AR113" s="42">
        <v>1</v>
      </c>
      <c r="AS113" s="42">
        <v>11</v>
      </c>
      <c r="AV113" s="42">
        <v>1</v>
      </c>
      <c r="AW113" s="42">
        <v>15</v>
      </c>
      <c r="AZ113" s="42">
        <v>1</v>
      </c>
      <c r="BA113" s="42">
        <v>2</v>
      </c>
      <c r="BD113" s="42">
        <v>1</v>
      </c>
      <c r="BE113" s="42">
        <v>4</v>
      </c>
      <c r="BH113" s="42">
        <v>10</v>
      </c>
      <c r="BI113" s="42">
        <v>2</v>
      </c>
      <c r="BL113" s="42">
        <v>12</v>
      </c>
      <c r="BM113" s="42">
        <v>4</v>
      </c>
      <c r="BP113" s="42">
        <v>11</v>
      </c>
      <c r="BQ113" s="42">
        <v>7</v>
      </c>
    </row>
    <row r="114" spans="36:69" x14ac:dyDescent="0.2">
      <c r="AJ114" s="42">
        <v>10</v>
      </c>
      <c r="AK114" s="42">
        <v>11</v>
      </c>
      <c r="AN114" s="42">
        <v>3</v>
      </c>
      <c r="AO114" s="42">
        <v>2</v>
      </c>
      <c r="AR114" s="42">
        <v>12</v>
      </c>
      <c r="AS114" s="42">
        <v>10</v>
      </c>
      <c r="AV114" s="42">
        <v>13</v>
      </c>
      <c r="AW114" s="42">
        <v>2</v>
      </c>
      <c r="AZ114" s="42">
        <v>16</v>
      </c>
      <c r="BA114" s="42">
        <v>3</v>
      </c>
      <c r="BD114" s="42">
        <v>3</v>
      </c>
      <c r="BE114" s="42">
        <v>5</v>
      </c>
      <c r="BH114" s="42">
        <v>18</v>
      </c>
      <c r="BI114" s="42">
        <v>11</v>
      </c>
      <c r="BL114" s="42">
        <v>3</v>
      </c>
      <c r="BM114" s="42">
        <v>13</v>
      </c>
      <c r="BP114" s="42">
        <v>6</v>
      </c>
      <c r="BQ114" s="42">
        <v>12</v>
      </c>
    </row>
    <row r="115" spans="36:69" x14ac:dyDescent="0.2">
      <c r="AJ115" s="42">
        <v>4</v>
      </c>
      <c r="AK115" s="42">
        <v>1</v>
      </c>
      <c r="AN115" s="42">
        <v>8</v>
      </c>
      <c r="AO115" s="42">
        <v>1</v>
      </c>
      <c r="AR115" s="42">
        <v>9</v>
      </c>
      <c r="AS115" s="42">
        <v>13</v>
      </c>
      <c r="AV115" s="42">
        <v>3</v>
      </c>
      <c r="AW115" s="42">
        <v>12</v>
      </c>
      <c r="AZ115" s="42">
        <v>4</v>
      </c>
      <c r="BA115" s="42">
        <v>15</v>
      </c>
      <c r="BD115" s="42">
        <v>6</v>
      </c>
      <c r="BE115" s="42">
        <v>2</v>
      </c>
      <c r="BH115" s="42">
        <v>12</v>
      </c>
      <c r="BI115" s="42">
        <v>17</v>
      </c>
      <c r="BL115" s="42">
        <v>14</v>
      </c>
      <c r="BM115" s="42">
        <v>2</v>
      </c>
      <c r="BP115" s="42">
        <v>13</v>
      </c>
      <c r="BQ115" s="42">
        <v>5</v>
      </c>
    </row>
    <row r="116" spans="36:69" x14ac:dyDescent="0.2">
      <c r="AJ116" s="42">
        <v>5</v>
      </c>
      <c r="AK116" s="42">
        <v>3</v>
      </c>
      <c r="AN116" s="42">
        <v>9</v>
      </c>
      <c r="AO116" s="42">
        <v>7</v>
      </c>
      <c r="AR116" s="42">
        <v>14</v>
      </c>
      <c r="AS116" s="42">
        <v>8</v>
      </c>
      <c r="AV116" s="42">
        <v>11</v>
      </c>
      <c r="AW116" s="42">
        <v>4</v>
      </c>
      <c r="AY116" s="495" t="str">
        <f>Language!$E$18</f>
        <v>First legs</v>
      </c>
      <c r="AZ116" s="42">
        <v>14</v>
      </c>
      <c r="BA116" s="42">
        <v>5</v>
      </c>
      <c r="BD116" s="42">
        <v>8</v>
      </c>
      <c r="BE116" s="42">
        <v>17</v>
      </c>
      <c r="BH116" s="42">
        <v>16</v>
      </c>
      <c r="BI116" s="42">
        <v>13</v>
      </c>
      <c r="BL116" s="42">
        <v>16</v>
      </c>
      <c r="BM116" s="42">
        <v>19</v>
      </c>
      <c r="BP116" s="42">
        <v>4</v>
      </c>
      <c r="BQ116" s="42">
        <v>14</v>
      </c>
    </row>
    <row r="117" spans="36:69" x14ac:dyDescent="0.2">
      <c r="AJ117" s="42">
        <v>2</v>
      </c>
      <c r="AK117" s="42">
        <v>6</v>
      </c>
      <c r="AN117" s="42">
        <v>6</v>
      </c>
      <c r="AO117" s="42">
        <v>10</v>
      </c>
      <c r="AR117" s="42">
        <v>7</v>
      </c>
      <c r="AS117" s="42">
        <v>2</v>
      </c>
      <c r="AV117" s="42">
        <v>5</v>
      </c>
      <c r="AW117" s="42">
        <v>10</v>
      </c>
      <c r="AY117" s="495"/>
      <c r="AZ117" s="42">
        <v>6</v>
      </c>
      <c r="BA117" s="42">
        <v>13</v>
      </c>
      <c r="BD117" s="42">
        <v>16</v>
      </c>
      <c r="BE117" s="42">
        <v>9</v>
      </c>
      <c r="BH117" s="42">
        <v>14</v>
      </c>
      <c r="BI117" s="42">
        <v>15</v>
      </c>
      <c r="BL117" s="42">
        <v>18</v>
      </c>
      <c r="BM117" s="42">
        <v>17</v>
      </c>
      <c r="BP117" s="42">
        <v>15</v>
      </c>
      <c r="BQ117" s="42">
        <v>3</v>
      </c>
    </row>
    <row r="118" spans="36:69" x14ac:dyDescent="0.2">
      <c r="AJ118" s="42">
        <v>7</v>
      </c>
      <c r="AK118" s="42">
        <v>12</v>
      </c>
      <c r="AN118" s="42">
        <v>11</v>
      </c>
      <c r="AO118" s="42">
        <v>5</v>
      </c>
      <c r="AR118" s="42">
        <v>3</v>
      </c>
      <c r="AS118" s="42">
        <v>6</v>
      </c>
      <c r="AV118" s="42">
        <v>9</v>
      </c>
      <c r="AW118" s="42">
        <v>6</v>
      </c>
      <c r="AY118" s="495"/>
      <c r="AZ118" s="42">
        <v>12</v>
      </c>
      <c r="BA118" s="42">
        <v>7</v>
      </c>
      <c r="BD118" s="42">
        <v>10</v>
      </c>
      <c r="BE118" s="42">
        <v>15</v>
      </c>
      <c r="BH118" s="42">
        <v>5</v>
      </c>
      <c r="BI118" s="42">
        <v>1</v>
      </c>
      <c r="BL118" s="42">
        <v>7</v>
      </c>
      <c r="BM118" s="42">
        <v>1</v>
      </c>
      <c r="BP118" s="42">
        <v>2</v>
      </c>
      <c r="BQ118" s="42">
        <v>16</v>
      </c>
    </row>
    <row r="119" spans="36:69" x14ac:dyDescent="0.2">
      <c r="AJ119" s="42">
        <v>11</v>
      </c>
      <c r="AK119" s="42">
        <v>8</v>
      </c>
      <c r="AN119" s="42">
        <v>4</v>
      </c>
      <c r="AO119" s="42">
        <v>12</v>
      </c>
      <c r="AR119" s="42">
        <v>5</v>
      </c>
      <c r="AS119" s="42">
        <v>4</v>
      </c>
      <c r="AV119" s="42">
        <v>7</v>
      </c>
      <c r="AW119" s="42">
        <v>8</v>
      </c>
      <c r="AY119" s="495"/>
      <c r="AZ119" s="42">
        <v>8</v>
      </c>
      <c r="BA119" s="42">
        <v>11</v>
      </c>
      <c r="BD119" s="42">
        <v>14</v>
      </c>
      <c r="BE119" s="42">
        <v>11</v>
      </c>
      <c r="BH119" s="42">
        <v>4</v>
      </c>
      <c r="BI119" s="42">
        <v>6</v>
      </c>
      <c r="BL119" s="42">
        <v>6</v>
      </c>
      <c r="BM119" s="42">
        <v>8</v>
      </c>
      <c r="BP119" s="42">
        <v>17</v>
      </c>
      <c r="BQ119" s="42">
        <v>20</v>
      </c>
    </row>
    <row r="120" spans="36:69" ht="13.5" thickBot="1" x14ac:dyDescent="0.25">
      <c r="AJ120" s="42">
        <v>9</v>
      </c>
      <c r="AK120" s="42">
        <v>10</v>
      </c>
      <c r="AN120" s="42">
        <v>13</v>
      </c>
      <c r="AO120" s="42">
        <v>3</v>
      </c>
      <c r="AR120" s="42">
        <v>10</v>
      </c>
      <c r="AS120" s="42">
        <v>1</v>
      </c>
      <c r="AV120" s="42">
        <v>14</v>
      </c>
      <c r="AW120" s="42">
        <v>1</v>
      </c>
      <c r="AY120" s="496"/>
      <c r="AZ120" s="42">
        <v>10</v>
      </c>
      <c r="BA120" s="42">
        <v>9</v>
      </c>
      <c r="BD120" s="42">
        <v>12</v>
      </c>
      <c r="BE120" s="42">
        <v>13</v>
      </c>
      <c r="BH120" s="42">
        <v>7</v>
      </c>
      <c r="BI120" s="42">
        <v>3</v>
      </c>
      <c r="BL120" s="42">
        <v>9</v>
      </c>
      <c r="BM120" s="42">
        <v>5</v>
      </c>
      <c r="BP120" s="42">
        <v>19</v>
      </c>
      <c r="BQ120" s="42">
        <v>18</v>
      </c>
    </row>
    <row r="121" spans="36:69" x14ac:dyDescent="0.2">
      <c r="AJ121" s="42">
        <v>1</v>
      </c>
      <c r="AK121" s="42">
        <v>3</v>
      </c>
      <c r="AN121" s="42">
        <v>1</v>
      </c>
      <c r="AO121" s="42">
        <v>7</v>
      </c>
      <c r="AR121" s="42">
        <v>11</v>
      </c>
      <c r="AS121" s="42">
        <v>9</v>
      </c>
      <c r="AV121" s="42">
        <v>15</v>
      </c>
      <c r="AW121" s="42">
        <v>13</v>
      </c>
      <c r="AY121" s="497" t="str">
        <f>Language!$E$19</f>
        <v>Second legs</v>
      </c>
      <c r="AZ121" s="42">
        <v>16</v>
      </c>
      <c r="BA121" s="42">
        <v>1</v>
      </c>
      <c r="BD121" s="42">
        <v>3</v>
      </c>
      <c r="BE121" s="42">
        <v>1</v>
      </c>
      <c r="BH121" s="42">
        <v>2</v>
      </c>
      <c r="BI121" s="42">
        <v>8</v>
      </c>
      <c r="BL121" s="42">
        <v>4</v>
      </c>
      <c r="BM121" s="42">
        <v>10</v>
      </c>
      <c r="BP121" s="42">
        <v>1</v>
      </c>
      <c r="BQ121" s="42">
        <v>8</v>
      </c>
    </row>
    <row r="122" spans="36:69" x14ac:dyDescent="0.2">
      <c r="AJ122" s="42">
        <v>4</v>
      </c>
      <c r="AK122" s="42">
        <v>2</v>
      </c>
      <c r="AN122" s="42">
        <v>8</v>
      </c>
      <c r="AO122" s="42">
        <v>6</v>
      </c>
      <c r="AR122" s="42">
        <v>8</v>
      </c>
      <c r="AS122" s="42">
        <v>12</v>
      </c>
      <c r="AV122" s="42">
        <v>2</v>
      </c>
      <c r="AW122" s="42">
        <v>11</v>
      </c>
      <c r="AY122" s="497"/>
      <c r="AZ122" s="42">
        <v>2</v>
      </c>
      <c r="BA122" s="42">
        <v>15</v>
      </c>
      <c r="BD122" s="42">
        <v>2</v>
      </c>
      <c r="BE122" s="42">
        <v>4</v>
      </c>
      <c r="BH122" s="42">
        <v>9</v>
      </c>
      <c r="BI122" s="42">
        <v>18</v>
      </c>
      <c r="BL122" s="42">
        <v>11</v>
      </c>
      <c r="BM122" s="42">
        <v>3</v>
      </c>
      <c r="BP122" s="42">
        <v>7</v>
      </c>
      <c r="BQ122" s="42">
        <v>9</v>
      </c>
    </row>
    <row r="123" spans="36:69" x14ac:dyDescent="0.2">
      <c r="AJ123" s="42">
        <v>12</v>
      </c>
      <c r="AK123" s="42">
        <v>5</v>
      </c>
      <c r="AN123" s="42">
        <v>5</v>
      </c>
      <c r="AO123" s="42">
        <v>9</v>
      </c>
      <c r="AR123" s="42">
        <v>13</v>
      </c>
      <c r="AS123" s="42">
        <v>7</v>
      </c>
      <c r="AV123" s="42">
        <v>10</v>
      </c>
      <c r="AW123" s="42">
        <v>3</v>
      </c>
      <c r="AY123" s="497"/>
      <c r="AZ123" s="42">
        <v>14</v>
      </c>
      <c r="BA123" s="42">
        <v>3</v>
      </c>
      <c r="BD123" s="42">
        <v>17</v>
      </c>
      <c r="BE123" s="42">
        <v>6</v>
      </c>
      <c r="BH123" s="42">
        <v>17</v>
      </c>
      <c r="BI123" s="42">
        <v>10</v>
      </c>
      <c r="BL123" s="42">
        <v>2</v>
      </c>
      <c r="BM123" s="42">
        <v>12</v>
      </c>
      <c r="BP123" s="42">
        <v>10</v>
      </c>
      <c r="BQ123" s="42">
        <v>6</v>
      </c>
    </row>
    <row r="124" spans="36:69" x14ac:dyDescent="0.2">
      <c r="AJ124" s="42">
        <v>6</v>
      </c>
      <c r="AK124" s="42">
        <v>11</v>
      </c>
      <c r="AN124" s="42">
        <v>10</v>
      </c>
      <c r="AO124" s="42">
        <v>4</v>
      </c>
      <c r="AR124" s="42">
        <v>6</v>
      </c>
      <c r="AS124" s="42">
        <v>14</v>
      </c>
      <c r="AV124" s="42">
        <v>4</v>
      </c>
      <c r="AW124" s="42">
        <v>9</v>
      </c>
      <c r="AY124" s="497"/>
      <c r="AZ124" s="42">
        <v>4</v>
      </c>
      <c r="BA124" s="42">
        <v>13</v>
      </c>
      <c r="BD124" s="42">
        <v>7</v>
      </c>
      <c r="BE124" s="42">
        <v>16</v>
      </c>
      <c r="BH124" s="42">
        <v>11</v>
      </c>
      <c r="BI124" s="42">
        <v>16</v>
      </c>
      <c r="BL124" s="42">
        <v>19</v>
      </c>
      <c r="BM124" s="42">
        <v>14</v>
      </c>
      <c r="BP124" s="42">
        <v>5</v>
      </c>
      <c r="BQ124" s="42">
        <v>11</v>
      </c>
    </row>
    <row r="125" spans="36:69" x14ac:dyDescent="0.2">
      <c r="AJ125" s="42">
        <v>10</v>
      </c>
      <c r="AK125" s="42">
        <v>7</v>
      </c>
      <c r="AN125" s="42">
        <v>3</v>
      </c>
      <c r="AO125" s="42">
        <v>11</v>
      </c>
      <c r="AR125" s="42">
        <v>2</v>
      </c>
      <c r="AS125" s="42">
        <v>5</v>
      </c>
      <c r="AV125" s="42">
        <v>8</v>
      </c>
      <c r="AW125" s="42">
        <v>5</v>
      </c>
      <c r="AY125" s="497"/>
      <c r="AZ125" s="42">
        <v>12</v>
      </c>
      <c r="BA125" s="42">
        <v>5</v>
      </c>
      <c r="BD125" s="42">
        <v>15</v>
      </c>
      <c r="BE125" s="42">
        <v>8</v>
      </c>
      <c r="BH125" s="42">
        <v>15</v>
      </c>
      <c r="BI125" s="42">
        <v>12</v>
      </c>
      <c r="BL125" s="42">
        <v>15</v>
      </c>
      <c r="BM125" s="42">
        <v>18</v>
      </c>
      <c r="BP125" s="42">
        <v>12</v>
      </c>
      <c r="BQ125" s="42">
        <v>4</v>
      </c>
    </row>
    <row r="126" spans="36:69" x14ac:dyDescent="0.2">
      <c r="AJ126" s="42">
        <v>8</v>
      </c>
      <c r="AK126" s="42">
        <v>9</v>
      </c>
      <c r="AN126" s="42">
        <v>12</v>
      </c>
      <c r="AO126" s="42">
        <v>2</v>
      </c>
      <c r="AR126" s="42">
        <v>4</v>
      </c>
      <c r="AS126" s="42">
        <v>3</v>
      </c>
      <c r="AV126" s="42">
        <v>6</v>
      </c>
      <c r="AW126" s="42">
        <v>7</v>
      </c>
      <c r="AZ126" s="42">
        <v>6</v>
      </c>
      <c r="BA126" s="42">
        <v>11</v>
      </c>
      <c r="BD126" s="42">
        <v>9</v>
      </c>
      <c r="BE126" s="42">
        <v>14</v>
      </c>
      <c r="BH126" s="42">
        <v>13</v>
      </c>
      <c r="BI126" s="42">
        <v>14</v>
      </c>
      <c r="BL126" s="42">
        <v>17</v>
      </c>
      <c r="BM126" s="42">
        <v>16</v>
      </c>
      <c r="BP126" s="42">
        <v>3</v>
      </c>
      <c r="BQ126" s="42">
        <v>13</v>
      </c>
    </row>
    <row r="127" spans="36:69" x14ac:dyDescent="0.2">
      <c r="AJ127" s="42">
        <v>2</v>
      </c>
      <c r="AK127" s="42">
        <v>1</v>
      </c>
      <c r="AN127" s="42">
        <v>6</v>
      </c>
      <c r="AO127" s="42">
        <v>1</v>
      </c>
      <c r="AR127" s="42">
        <v>1</v>
      </c>
      <c r="AS127" s="42">
        <v>9</v>
      </c>
      <c r="AV127" s="42">
        <v>1</v>
      </c>
      <c r="AW127" s="42">
        <v>13</v>
      </c>
      <c r="AZ127" s="42">
        <v>10</v>
      </c>
      <c r="BA127" s="42">
        <v>7</v>
      </c>
      <c r="BD127" s="42">
        <v>13</v>
      </c>
      <c r="BE127" s="42">
        <v>10</v>
      </c>
      <c r="BH127" s="42">
        <v>1</v>
      </c>
      <c r="BI127" s="42">
        <v>4</v>
      </c>
      <c r="BL127" s="42">
        <v>1</v>
      </c>
      <c r="BM127" s="42">
        <v>6</v>
      </c>
      <c r="BP127" s="42">
        <v>14</v>
      </c>
      <c r="BQ127" s="42">
        <v>2</v>
      </c>
    </row>
    <row r="128" spans="36:69" x14ac:dyDescent="0.2">
      <c r="AJ128" s="42">
        <v>3</v>
      </c>
      <c r="AK128" s="42">
        <v>12</v>
      </c>
      <c r="AN128" s="42">
        <v>7</v>
      </c>
      <c r="AO128" s="42">
        <v>5</v>
      </c>
      <c r="AR128" s="42">
        <v>10</v>
      </c>
      <c r="AS128" s="42">
        <v>8</v>
      </c>
      <c r="AV128" s="42">
        <v>14</v>
      </c>
      <c r="AW128" s="42">
        <v>12</v>
      </c>
      <c r="AZ128" s="42">
        <v>8</v>
      </c>
      <c r="BA128" s="42">
        <v>9</v>
      </c>
      <c r="BD128" s="42">
        <v>11</v>
      </c>
      <c r="BE128" s="42">
        <v>12</v>
      </c>
      <c r="BH128" s="42">
        <v>3</v>
      </c>
      <c r="BI128" s="42">
        <v>5</v>
      </c>
      <c r="BL128" s="42">
        <v>5</v>
      </c>
      <c r="BM128" s="42">
        <v>7</v>
      </c>
      <c r="BP128" s="42">
        <v>20</v>
      </c>
      <c r="BQ128" s="42">
        <v>15</v>
      </c>
    </row>
    <row r="129" spans="36:69" x14ac:dyDescent="0.2">
      <c r="AJ129" s="42">
        <v>11</v>
      </c>
      <c r="AK129" s="42">
        <v>4</v>
      </c>
      <c r="AN129" s="42">
        <v>4</v>
      </c>
      <c r="AO129" s="42">
        <v>8</v>
      </c>
      <c r="AR129" s="42">
        <v>7</v>
      </c>
      <c r="AS129" s="42">
        <v>11</v>
      </c>
      <c r="AV129" s="42">
        <v>11</v>
      </c>
      <c r="AW129" s="42">
        <v>15</v>
      </c>
      <c r="AZ129" s="42">
        <v>1</v>
      </c>
      <c r="BA129" s="42">
        <v>15</v>
      </c>
      <c r="BD129" s="42">
        <v>1</v>
      </c>
      <c r="BE129" s="42">
        <v>2</v>
      </c>
      <c r="BH129" s="42">
        <v>6</v>
      </c>
      <c r="BI129" s="42">
        <v>2</v>
      </c>
      <c r="BL129" s="42">
        <v>8</v>
      </c>
      <c r="BM129" s="42">
        <v>4</v>
      </c>
      <c r="BP129" s="42">
        <v>16</v>
      </c>
      <c r="BQ129" s="42">
        <v>19</v>
      </c>
    </row>
    <row r="130" spans="36:69" x14ac:dyDescent="0.2">
      <c r="AJ130" s="42">
        <v>5</v>
      </c>
      <c r="AK130" s="42">
        <v>10</v>
      </c>
      <c r="AN130" s="42">
        <v>9</v>
      </c>
      <c r="AO130" s="42">
        <v>3</v>
      </c>
      <c r="AR130" s="42">
        <v>12</v>
      </c>
      <c r="AS130" s="42">
        <v>6</v>
      </c>
      <c r="AV130" s="42">
        <v>9</v>
      </c>
      <c r="AW130" s="42">
        <v>2</v>
      </c>
      <c r="AZ130" s="42">
        <v>16</v>
      </c>
      <c r="BA130" s="42">
        <v>14</v>
      </c>
      <c r="BD130" s="42">
        <v>4</v>
      </c>
      <c r="BE130" s="42">
        <v>17</v>
      </c>
      <c r="BH130" s="42">
        <v>18</v>
      </c>
      <c r="BI130" s="42">
        <v>7</v>
      </c>
      <c r="BL130" s="42">
        <v>3</v>
      </c>
      <c r="BM130" s="42">
        <v>9</v>
      </c>
      <c r="BP130" s="42">
        <v>18</v>
      </c>
      <c r="BQ130" s="42">
        <v>17</v>
      </c>
    </row>
    <row r="131" spans="36:69" x14ac:dyDescent="0.2">
      <c r="AJ131" s="42">
        <v>9</v>
      </c>
      <c r="AK131" s="42">
        <v>6</v>
      </c>
      <c r="AN131" s="42">
        <v>2</v>
      </c>
      <c r="AO131" s="42">
        <v>10</v>
      </c>
      <c r="AR131" s="42">
        <v>5</v>
      </c>
      <c r="AS131" s="42">
        <v>13</v>
      </c>
      <c r="AV131" s="42">
        <v>3</v>
      </c>
      <c r="AW131" s="42">
        <v>8</v>
      </c>
      <c r="AZ131" s="42">
        <v>13</v>
      </c>
      <c r="BA131" s="42">
        <v>2</v>
      </c>
      <c r="BD131" s="42">
        <v>16</v>
      </c>
      <c r="BE131" s="42">
        <v>5</v>
      </c>
      <c r="BH131" s="42">
        <v>8</v>
      </c>
      <c r="BI131" s="42">
        <v>17</v>
      </c>
      <c r="BL131" s="42">
        <v>10</v>
      </c>
      <c r="BM131" s="42">
        <v>2</v>
      </c>
      <c r="BP131" s="42">
        <v>7</v>
      </c>
      <c r="BQ131" s="42">
        <v>1</v>
      </c>
    </row>
    <row r="132" spans="36:69" x14ac:dyDescent="0.2">
      <c r="AJ132" s="42">
        <v>7</v>
      </c>
      <c r="AK132" s="42">
        <v>8</v>
      </c>
      <c r="AN132" s="42">
        <v>13</v>
      </c>
      <c r="AO132" s="42">
        <v>12</v>
      </c>
      <c r="AR132" s="42">
        <v>14</v>
      </c>
      <c r="AS132" s="42">
        <v>4</v>
      </c>
      <c r="AV132" s="42">
        <v>7</v>
      </c>
      <c r="AW132" s="42">
        <v>4</v>
      </c>
      <c r="AZ132" s="42">
        <v>3</v>
      </c>
      <c r="BA132" s="42">
        <v>12</v>
      </c>
      <c r="BC132" s="495" t="str">
        <f>Language!$E$18</f>
        <v>First legs</v>
      </c>
      <c r="BD132" s="42">
        <v>6</v>
      </c>
      <c r="BE132" s="42">
        <v>15</v>
      </c>
      <c r="BH132" s="42">
        <v>16</v>
      </c>
      <c r="BI132" s="42">
        <v>9</v>
      </c>
      <c r="BL132" s="42">
        <v>12</v>
      </c>
      <c r="BM132" s="42">
        <v>19</v>
      </c>
      <c r="BP132" s="42">
        <v>6</v>
      </c>
      <c r="BQ132" s="42">
        <v>8</v>
      </c>
    </row>
    <row r="133" spans="36:69" x14ac:dyDescent="0.2">
      <c r="AN133" s="42">
        <v>1</v>
      </c>
      <c r="AO133" s="42">
        <v>5</v>
      </c>
      <c r="AR133" s="42">
        <v>3</v>
      </c>
      <c r="AS133" s="42">
        <v>2</v>
      </c>
      <c r="AV133" s="42">
        <v>5</v>
      </c>
      <c r="AW133" s="42">
        <v>6</v>
      </c>
      <c r="AZ133" s="42">
        <v>11</v>
      </c>
      <c r="BA133" s="42">
        <v>4</v>
      </c>
      <c r="BC133" s="495"/>
      <c r="BD133" s="42">
        <v>14</v>
      </c>
      <c r="BE133" s="42">
        <v>7</v>
      </c>
      <c r="BH133" s="42">
        <v>10</v>
      </c>
      <c r="BI133" s="42">
        <v>15</v>
      </c>
      <c r="BL133" s="42">
        <v>18</v>
      </c>
      <c r="BM133" s="42">
        <v>13</v>
      </c>
      <c r="BP133" s="42">
        <v>9</v>
      </c>
      <c r="BQ133" s="42">
        <v>5</v>
      </c>
    </row>
    <row r="134" spans="36:69" x14ac:dyDescent="0.2">
      <c r="AN134" s="42">
        <v>6</v>
      </c>
      <c r="AO134" s="42">
        <v>4</v>
      </c>
      <c r="AR134" s="42">
        <v>8</v>
      </c>
      <c r="AS134" s="42">
        <v>1</v>
      </c>
      <c r="AV134" s="42">
        <v>12</v>
      </c>
      <c r="AW134" s="42">
        <v>1</v>
      </c>
      <c r="AZ134" s="42">
        <v>5</v>
      </c>
      <c r="BA134" s="42">
        <v>10</v>
      </c>
      <c r="BC134" s="495"/>
      <c r="BD134" s="42">
        <v>8</v>
      </c>
      <c r="BE134" s="42">
        <v>13</v>
      </c>
      <c r="BH134" s="42">
        <v>14</v>
      </c>
      <c r="BI134" s="42">
        <v>11</v>
      </c>
      <c r="BL134" s="42">
        <v>14</v>
      </c>
      <c r="BM134" s="42">
        <v>17</v>
      </c>
      <c r="BP134" s="42">
        <v>4</v>
      </c>
      <c r="BQ134" s="42">
        <v>10</v>
      </c>
    </row>
    <row r="135" spans="36:69" x14ac:dyDescent="0.2">
      <c r="AN135" s="42">
        <v>3</v>
      </c>
      <c r="AO135" s="42">
        <v>7</v>
      </c>
      <c r="AR135" s="42">
        <v>9</v>
      </c>
      <c r="AS135" s="42">
        <v>7</v>
      </c>
      <c r="AV135" s="42">
        <v>13</v>
      </c>
      <c r="AW135" s="42">
        <v>11</v>
      </c>
      <c r="AZ135" s="42">
        <v>9</v>
      </c>
      <c r="BA135" s="42">
        <v>6</v>
      </c>
      <c r="BC135" s="495"/>
      <c r="BD135" s="42">
        <v>12</v>
      </c>
      <c r="BE135" s="42">
        <v>9</v>
      </c>
      <c r="BH135" s="42">
        <v>12</v>
      </c>
      <c r="BI135" s="42">
        <v>13</v>
      </c>
      <c r="BL135" s="42">
        <v>16</v>
      </c>
      <c r="BM135" s="42">
        <v>15</v>
      </c>
      <c r="BP135" s="42">
        <v>11</v>
      </c>
      <c r="BQ135" s="42">
        <v>3</v>
      </c>
    </row>
    <row r="136" spans="36:69" ht="13.5" thickBot="1" x14ac:dyDescent="0.25">
      <c r="AN136" s="42">
        <v>8</v>
      </c>
      <c r="AO136" s="42">
        <v>2</v>
      </c>
      <c r="AR136" s="42">
        <v>6</v>
      </c>
      <c r="AS136" s="42">
        <v>10</v>
      </c>
      <c r="AV136" s="42">
        <v>10</v>
      </c>
      <c r="AW136" s="42">
        <v>14</v>
      </c>
      <c r="AZ136" s="42">
        <v>7</v>
      </c>
      <c r="BA136" s="42">
        <v>8</v>
      </c>
      <c r="BC136" s="496"/>
      <c r="BD136" s="42">
        <v>10</v>
      </c>
      <c r="BE136" s="42">
        <v>11</v>
      </c>
      <c r="BH136" s="42">
        <v>3</v>
      </c>
      <c r="BI136" s="42">
        <v>1</v>
      </c>
      <c r="BL136" s="42">
        <v>5</v>
      </c>
      <c r="BM136" s="42">
        <v>1</v>
      </c>
      <c r="BP136" s="42">
        <v>2</v>
      </c>
      <c r="BQ136" s="42">
        <v>12</v>
      </c>
    </row>
    <row r="137" spans="36:69" x14ac:dyDescent="0.2">
      <c r="AN137" s="42">
        <v>10</v>
      </c>
      <c r="AO137" s="42">
        <v>13</v>
      </c>
      <c r="AR137" s="42">
        <v>11</v>
      </c>
      <c r="AS137" s="42">
        <v>5</v>
      </c>
      <c r="AV137" s="42">
        <v>15</v>
      </c>
      <c r="AW137" s="42">
        <v>9</v>
      </c>
      <c r="AZ137" s="42">
        <v>14</v>
      </c>
      <c r="BA137" s="42">
        <v>1</v>
      </c>
      <c r="BC137" s="497" t="str">
        <f>Language!$E$19</f>
        <v>Second legs</v>
      </c>
      <c r="BD137" s="42">
        <v>2</v>
      </c>
      <c r="BE137" s="42">
        <v>17</v>
      </c>
      <c r="BH137" s="42">
        <v>2</v>
      </c>
      <c r="BI137" s="42">
        <v>4</v>
      </c>
      <c r="BL137" s="42">
        <v>4</v>
      </c>
      <c r="BM137" s="42">
        <v>6</v>
      </c>
      <c r="BP137" s="42">
        <v>13</v>
      </c>
      <c r="BQ137" s="42">
        <v>20</v>
      </c>
    </row>
    <row r="138" spans="36:69" x14ac:dyDescent="0.2">
      <c r="AN138" s="42">
        <v>12</v>
      </c>
      <c r="AO138" s="42">
        <v>11</v>
      </c>
      <c r="AR138" s="42">
        <v>4</v>
      </c>
      <c r="AS138" s="42">
        <v>12</v>
      </c>
      <c r="AV138" s="42">
        <v>2</v>
      </c>
      <c r="AW138" s="42">
        <v>7</v>
      </c>
      <c r="AZ138" s="42">
        <v>15</v>
      </c>
      <c r="BA138" s="42">
        <v>13</v>
      </c>
      <c r="BC138" s="497"/>
      <c r="BD138" s="42">
        <v>16</v>
      </c>
      <c r="BE138" s="42">
        <v>3</v>
      </c>
      <c r="BH138" s="42">
        <v>5</v>
      </c>
      <c r="BI138" s="42">
        <v>18</v>
      </c>
      <c r="BL138" s="42">
        <v>7</v>
      </c>
      <c r="BM138" s="42">
        <v>3</v>
      </c>
      <c r="BP138" s="42">
        <v>19</v>
      </c>
      <c r="BQ138" s="42">
        <v>14</v>
      </c>
    </row>
    <row r="139" spans="36:69" x14ac:dyDescent="0.2">
      <c r="AN139" s="42">
        <v>4</v>
      </c>
      <c r="AO139" s="42">
        <v>1</v>
      </c>
      <c r="AR139" s="42">
        <v>13</v>
      </c>
      <c r="AS139" s="42">
        <v>3</v>
      </c>
      <c r="AV139" s="42">
        <v>6</v>
      </c>
      <c r="AW139" s="42">
        <v>3</v>
      </c>
      <c r="AZ139" s="42">
        <v>12</v>
      </c>
      <c r="BA139" s="42">
        <v>16</v>
      </c>
      <c r="BC139" s="497"/>
      <c r="BD139" s="42">
        <v>4</v>
      </c>
      <c r="BE139" s="42">
        <v>15</v>
      </c>
      <c r="BH139" s="42">
        <v>17</v>
      </c>
      <c r="BI139" s="42">
        <v>6</v>
      </c>
      <c r="BL139" s="42">
        <v>2</v>
      </c>
      <c r="BM139" s="42">
        <v>8</v>
      </c>
      <c r="BP139" s="42">
        <v>15</v>
      </c>
      <c r="BQ139" s="42">
        <v>18</v>
      </c>
    </row>
    <row r="140" spans="36:69" x14ac:dyDescent="0.2">
      <c r="AN140" s="42">
        <v>5</v>
      </c>
      <c r="AO140" s="42">
        <v>3</v>
      </c>
      <c r="AR140" s="42">
        <v>2</v>
      </c>
      <c r="AS140" s="42">
        <v>14</v>
      </c>
      <c r="AV140" s="42">
        <v>4</v>
      </c>
      <c r="AW140" s="42">
        <v>5</v>
      </c>
      <c r="AZ140" s="42">
        <v>2</v>
      </c>
      <c r="BA140" s="42">
        <v>11</v>
      </c>
      <c r="BC140" s="497"/>
      <c r="BD140" s="42">
        <v>14</v>
      </c>
      <c r="BE140" s="42">
        <v>5</v>
      </c>
      <c r="BH140" s="42">
        <v>7</v>
      </c>
      <c r="BI140" s="42">
        <v>16</v>
      </c>
      <c r="BL140" s="42">
        <v>19</v>
      </c>
      <c r="BM140" s="42">
        <v>10</v>
      </c>
      <c r="BP140" s="42">
        <v>17</v>
      </c>
      <c r="BQ140" s="42">
        <v>16</v>
      </c>
    </row>
    <row r="141" spans="36:69" x14ac:dyDescent="0.2">
      <c r="AN141" s="42">
        <v>2</v>
      </c>
      <c r="AO141" s="42">
        <v>6</v>
      </c>
      <c r="AR141" s="42">
        <v>1</v>
      </c>
      <c r="AS141" s="42">
        <v>7</v>
      </c>
      <c r="AV141" s="42">
        <v>1</v>
      </c>
      <c r="AW141" s="42">
        <v>11</v>
      </c>
      <c r="AZ141" s="42">
        <v>10</v>
      </c>
      <c r="BA141" s="42">
        <v>3</v>
      </c>
      <c r="BC141" s="497"/>
      <c r="BD141" s="42">
        <v>6</v>
      </c>
      <c r="BE141" s="42">
        <v>13</v>
      </c>
      <c r="BH141" s="42">
        <v>15</v>
      </c>
      <c r="BI141" s="42">
        <v>8</v>
      </c>
      <c r="BL141" s="42">
        <v>11</v>
      </c>
      <c r="BM141" s="42">
        <v>18</v>
      </c>
      <c r="BP141" s="42">
        <v>1</v>
      </c>
      <c r="BQ141" s="42">
        <v>6</v>
      </c>
    </row>
    <row r="142" spans="36:69" x14ac:dyDescent="0.2">
      <c r="AN142" s="42">
        <v>13</v>
      </c>
      <c r="AO142" s="42">
        <v>8</v>
      </c>
      <c r="AR142" s="42">
        <v>8</v>
      </c>
      <c r="AS142" s="42">
        <v>6</v>
      </c>
      <c r="AV142" s="42">
        <v>12</v>
      </c>
      <c r="AW142" s="42">
        <v>10</v>
      </c>
      <c r="AZ142" s="42">
        <v>4</v>
      </c>
      <c r="BA142" s="42">
        <v>9</v>
      </c>
      <c r="BD142" s="42">
        <v>12</v>
      </c>
      <c r="BE142" s="42">
        <v>7</v>
      </c>
      <c r="BH142" s="42">
        <v>9</v>
      </c>
      <c r="BI142" s="42">
        <v>14</v>
      </c>
      <c r="BL142" s="42">
        <v>17</v>
      </c>
      <c r="BM142" s="42">
        <v>12</v>
      </c>
      <c r="BP142" s="42">
        <v>5</v>
      </c>
      <c r="BQ142" s="42">
        <v>7</v>
      </c>
    </row>
    <row r="143" spans="36:69" x14ac:dyDescent="0.2">
      <c r="AN143" s="42">
        <v>9</v>
      </c>
      <c r="AO143" s="42">
        <v>12</v>
      </c>
      <c r="AR143" s="42">
        <v>5</v>
      </c>
      <c r="AS143" s="42">
        <v>9</v>
      </c>
      <c r="AV143" s="42">
        <v>9</v>
      </c>
      <c r="AW143" s="42">
        <v>13</v>
      </c>
      <c r="AZ143" s="42">
        <v>8</v>
      </c>
      <c r="BA143" s="42">
        <v>5</v>
      </c>
      <c r="BD143" s="42">
        <v>8</v>
      </c>
      <c r="BE143" s="42">
        <v>11</v>
      </c>
      <c r="BH143" s="42">
        <v>13</v>
      </c>
      <c r="BI143" s="42">
        <v>10</v>
      </c>
      <c r="BL143" s="42">
        <v>13</v>
      </c>
      <c r="BM143" s="42">
        <v>16</v>
      </c>
      <c r="BP143" s="42">
        <v>8</v>
      </c>
      <c r="BQ143" s="42">
        <v>4</v>
      </c>
    </row>
    <row r="144" spans="36:69" x14ac:dyDescent="0.2">
      <c r="AN144" s="42">
        <v>11</v>
      </c>
      <c r="AO144" s="42">
        <v>10</v>
      </c>
      <c r="AR144" s="42">
        <v>10</v>
      </c>
      <c r="AS144" s="42">
        <v>4</v>
      </c>
      <c r="AV144" s="42">
        <v>14</v>
      </c>
      <c r="AW144" s="42">
        <v>8</v>
      </c>
      <c r="AZ144" s="42">
        <v>6</v>
      </c>
      <c r="BA144" s="42">
        <v>7</v>
      </c>
      <c r="BD144" s="42">
        <v>10</v>
      </c>
      <c r="BE144" s="42">
        <v>9</v>
      </c>
      <c r="BH144" s="42">
        <v>11</v>
      </c>
      <c r="BI144" s="42">
        <v>12</v>
      </c>
      <c r="BL144" s="42">
        <v>15</v>
      </c>
      <c r="BM144" s="42">
        <v>14</v>
      </c>
      <c r="BP144" s="42">
        <v>3</v>
      </c>
      <c r="BQ144" s="42">
        <v>9</v>
      </c>
    </row>
    <row r="145" spans="40:69" x14ac:dyDescent="0.2">
      <c r="AN145" s="42">
        <v>1</v>
      </c>
      <c r="AO145" s="42">
        <v>3</v>
      </c>
      <c r="AR145" s="42">
        <v>3</v>
      </c>
      <c r="AS145" s="42">
        <v>11</v>
      </c>
      <c r="AV145" s="42">
        <v>7</v>
      </c>
      <c r="AW145" s="42">
        <v>15</v>
      </c>
      <c r="AZ145" s="42">
        <v>1</v>
      </c>
      <c r="BA145" s="42">
        <v>13</v>
      </c>
      <c r="BD145" s="42">
        <v>1</v>
      </c>
      <c r="BE145" s="42">
        <v>17</v>
      </c>
      <c r="BH145" s="42">
        <v>1</v>
      </c>
      <c r="BI145" s="42">
        <v>2</v>
      </c>
      <c r="BL145" s="42">
        <v>1</v>
      </c>
      <c r="BM145" s="42">
        <v>4</v>
      </c>
      <c r="BP145" s="42">
        <v>10</v>
      </c>
      <c r="BQ145" s="42">
        <v>2</v>
      </c>
    </row>
    <row r="146" spans="40:69" x14ac:dyDescent="0.2">
      <c r="AN146" s="42">
        <v>4</v>
      </c>
      <c r="AO146" s="42">
        <v>2</v>
      </c>
      <c r="AR146" s="42">
        <v>12</v>
      </c>
      <c r="AS146" s="42">
        <v>2</v>
      </c>
      <c r="AV146" s="42">
        <v>5</v>
      </c>
      <c r="AW146" s="42">
        <v>2</v>
      </c>
      <c r="AZ146" s="42">
        <v>14</v>
      </c>
      <c r="BA146" s="42">
        <v>12</v>
      </c>
      <c r="BD146" s="42">
        <v>15</v>
      </c>
      <c r="BE146" s="42">
        <v>2</v>
      </c>
      <c r="BH146" s="42">
        <v>18</v>
      </c>
      <c r="BI146" s="42">
        <v>3</v>
      </c>
      <c r="BL146" s="42">
        <v>3</v>
      </c>
      <c r="BM146" s="42">
        <v>5</v>
      </c>
      <c r="BP146" s="42">
        <v>20</v>
      </c>
      <c r="BQ146" s="42">
        <v>11</v>
      </c>
    </row>
    <row r="147" spans="40:69" x14ac:dyDescent="0.2">
      <c r="AN147" s="42">
        <v>6</v>
      </c>
      <c r="AO147" s="42">
        <v>13</v>
      </c>
      <c r="AR147" s="42">
        <v>14</v>
      </c>
      <c r="AS147" s="42">
        <v>13</v>
      </c>
      <c r="AV147" s="42">
        <v>3</v>
      </c>
      <c r="AW147" s="42">
        <v>4</v>
      </c>
      <c r="AZ147" s="42">
        <v>11</v>
      </c>
      <c r="BA147" s="42">
        <v>15</v>
      </c>
      <c r="BD147" s="42">
        <v>3</v>
      </c>
      <c r="BE147" s="42">
        <v>14</v>
      </c>
      <c r="BH147" s="42">
        <v>4</v>
      </c>
      <c r="BI147" s="42">
        <v>17</v>
      </c>
      <c r="BL147" s="42">
        <v>6</v>
      </c>
      <c r="BM147" s="42">
        <v>2</v>
      </c>
      <c r="BP147" s="42">
        <v>12</v>
      </c>
      <c r="BQ147" s="42">
        <v>19</v>
      </c>
    </row>
    <row r="148" spans="40:69" x14ac:dyDescent="0.2">
      <c r="AN148" s="42">
        <v>12</v>
      </c>
      <c r="AO148" s="42">
        <v>7</v>
      </c>
      <c r="AR148" s="42">
        <v>6</v>
      </c>
      <c r="AS148" s="42">
        <v>1</v>
      </c>
      <c r="AV148" s="42">
        <v>10</v>
      </c>
      <c r="AW148" s="42">
        <v>1</v>
      </c>
      <c r="AZ148" s="42">
        <v>16</v>
      </c>
      <c r="BA148" s="42">
        <v>10</v>
      </c>
      <c r="BD148" s="42">
        <v>13</v>
      </c>
      <c r="BE148" s="42">
        <v>4</v>
      </c>
      <c r="BH148" s="42">
        <v>16</v>
      </c>
      <c r="BI148" s="42">
        <v>5</v>
      </c>
      <c r="BL148" s="42">
        <v>8</v>
      </c>
      <c r="BM148" s="42">
        <v>19</v>
      </c>
      <c r="BP148" s="42">
        <v>18</v>
      </c>
      <c r="BQ148" s="42">
        <v>13</v>
      </c>
    </row>
    <row r="149" spans="40:69" x14ac:dyDescent="0.2">
      <c r="AN149" s="42">
        <v>8</v>
      </c>
      <c r="AO149" s="42">
        <v>11</v>
      </c>
      <c r="AR149" s="42">
        <v>7</v>
      </c>
      <c r="AS149" s="42">
        <v>5</v>
      </c>
      <c r="AV149" s="42">
        <v>11</v>
      </c>
      <c r="AW149" s="42">
        <v>9</v>
      </c>
      <c r="AZ149" s="42">
        <v>9</v>
      </c>
      <c r="BA149" s="42">
        <v>2</v>
      </c>
      <c r="BD149" s="42">
        <v>5</v>
      </c>
      <c r="BE149" s="42">
        <v>12</v>
      </c>
      <c r="BG149" s="495" t="str">
        <f>Language!$E$18</f>
        <v>First legs</v>
      </c>
      <c r="BH149" s="42">
        <v>6</v>
      </c>
      <c r="BI149" s="42">
        <v>15</v>
      </c>
      <c r="BL149" s="42">
        <v>18</v>
      </c>
      <c r="BM149" s="42">
        <v>9</v>
      </c>
      <c r="BP149" s="42">
        <v>14</v>
      </c>
      <c r="BQ149" s="42">
        <v>17</v>
      </c>
    </row>
    <row r="150" spans="40:69" x14ac:dyDescent="0.2">
      <c r="AN150" s="42">
        <v>10</v>
      </c>
      <c r="AO150" s="42">
        <v>9</v>
      </c>
      <c r="AR150" s="42">
        <v>4</v>
      </c>
      <c r="AS150" s="42">
        <v>8</v>
      </c>
      <c r="AV150" s="42">
        <v>8</v>
      </c>
      <c r="AW150" s="42">
        <v>12</v>
      </c>
      <c r="AZ150" s="42">
        <v>3</v>
      </c>
      <c r="BA150" s="42">
        <v>8</v>
      </c>
      <c r="BD150" s="42">
        <v>11</v>
      </c>
      <c r="BE150" s="42">
        <v>6</v>
      </c>
      <c r="BG150" s="495"/>
      <c r="BH150" s="42">
        <v>14</v>
      </c>
      <c r="BI150" s="42">
        <v>7</v>
      </c>
      <c r="BL150" s="42">
        <v>10</v>
      </c>
      <c r="BM150" s="42">
        <v>17</v>
      </c>
      <c r="BP150" s="42">
        <v>16</v>
      </c>
      <c r="BQ150" s="42">
        <v>15</v>
      </c>
    </row>
    <row r="151" spans="40:69" x14ac:dyDescent="0.2">
      <c r="AN151" s="42">
        <v>2</v>
      </c>
      <c r="AO151" s="42">
        <v>1</v>
      </c>
      <c r="AR151" s="42">
        <v>9</v>
      </c>
      <c r="AS151" s="42">
        <v>3</v>
      </c>
      <c r="AV151" s="42">
        <v>13</v>
      </c>
      <c r="AW151" s="42">
        <v>7</v>
      </c>
      <c r="AZ151" s="42">
        <v>7</v>
      </c>
      <c r="BA151" s="42">
        <v>4</v>
      </c>
      <c r="BD151" s="42">
        <v>7</v>
      </c>
      <c r="BE151" s="42">
        <v>10</v>
      </c>
      <c r="BG151" s="495"/>
      <c r="BH151" s="42">
        <v>8</v>
      </c>
      <c r="BI151" s="42">
        <v>13</v>
      </c>
      <c r="BL151" s="42">
        <v>16</v>
      </c>
      <c r="BM151" s="42">
        <v>11</v>
      </c>
      <c r="BP151" s="42">
        <v>5</v>
      </c>
      <c r="BQ151" s="42">
        <v>1</v>
      </c>
    </row>
    <row r="152" spans="40:69" x14ac:dyDescent="0.2">
      <c r="AN152" s="42">
        <v>13</v>
      </c>
      <c r="AO152" s="42">
        <v>4</v>
      </c>
      <c r="AR152" s="42">
        <v>2</v>
      </c>
      <c r="AS152" s="42">
        <v>10</v>
      </c>
      <c r="AV152" s="42">
        <v>6</v>
      </c>
      <c r="AW152" s="42">
        <v>14</v>
      </c>
      <c r="AZ152" s="42">
        <v>5</v>
      </c>
      <c r="BA152" s="42">
        <v>6</v>
      </c>
      <c r="BD152" s="42">
        <v>9</v>
      </c>
      <c r="BE152" s="42">
        <v>8</v>
      </c>
      <c r="BG152" s="495"/>
      <c r="BH152" s="42">
        <v>12</v>
      </c>
      <c r="BI152" s="42">
        <v>9</v>
      </c>
      <c r="BL152" s="42">
        <v>12</v>
      </c>
      <c r="BM152" s="42">
        <v>15</v>
      </c>
      <c r="BP152" s="42">
        <v>4</v>
      </c>
      <c r="BQ152" s="42">
        <v>6</v>
      </c>
    </row>
    <row r="153" spans="40:69" ht="13.5" thickBot="1" x14ac:dyDescent="0.25">
      <c r="AN153" s="42">
        <v>5</v>
      </c>
      <c r="AO153" s="42">
        <v>12</v>
      </c>
      <c r="AR153" s="42">
        <v>11</v>
      </c>
      <c r="AS153" s="42">
        <v>14</v>
      </c>
      <c r="AV153" s="42">
        <v>15</v>
      </c>
      <c r="AW153" s="42">
        <v>5</v>
      </c>
      <c r="AZ153" s="42">
        <v>12</v>
      </c>
      <c r="BA153" s="42">
        <v>1</v>
      </c>
      <c r="BD153" s="42">
        <v>16</v>
      </c>
      <c r="BE153" s="42">
        <v>1</v>
      </c>
      <c r="BG153" s="496"/>
      <c r="BH153" s="42">
        <v>10</v>
      </c>
      <c r="BI153" s="42">
        <v>11</v>
      </c>
      <c r="BL153" s="42">
        <v>14</v>
      </c>
      <c r="BM153" s="42">
        <v>13</v>
      </c>
      <c r="BP153" s="42">
        <v>7</v>
      </c>
      <c r="BQ153" s="42">
        <v>3</v>
      </c>
    </row>
    <row r="154" spans="40:69" x14ac:dyDescent="0.2">
      <c r="AN154" s="42">
        <v>11</v>
      </c>
      <c r="AO154" s="42">
        <v>6</v>
      </c>
      <c r="AR154" s="42">
        <v>13</v>
      </c>
      <c r="AS154" s="42">
        <v>12</v>
      </c>
      <c r="AV154" s="42">
        <v>2</v>
      </c>
      <c r="AW154" s="42">
        <v>3</v>
      </c>
      <c r="AZ154" s="42">
        <v>13</v>
      </c>
      <c r="BA154" s="42">
        <v>11</v>
      </c>
      <c r="BD154" s="42">
        <v>17</v>
      </c>
      <c r="BE154" s="42">
        <v>15</v>
      </c>
      <c r="BG154" s="497" t="str">
        <f>Language!$E$19</f>
        <v>Second legs</v>
      </c>
      <c r="BH154" s="42">
        <v>18</v>
      </c>
      <c r="BI154" s="42">
        <v>1</v>
      </c>
      <c r="BL154" s="42">
        <v>3</v>
      </c>
      <c r="BM154" s="42">
        <v>1</v>
      </c>
      <c r="BP154" s="42">
        <v>2</v>
      </c>
      <c r="BQ154" s="42">
        <v>8</v>
      </c>
    </row>
    <row r="155" spans="40:69" x14ac:dyDescent="0.2">
      <c r="AN155" s="42">
        <v>7</v>
      </c>
      <c r="AO155" s="42">
        <v>10</v>
      </c>
      <c r="AR155" s="42">
        <v>1</v>
      </c>
      <c r="AS155" s="42">
        <v>5</v>
      </c>
      <c r="AV155" s="42">
        <v>1</v>
      </c>
      <c r="AW155" s="42">
        <v>9</v>
      </c>
      <c r="AZ155" s="42">
        <v>10</v>
      </c>
      <c r="BA155" s="42">
        <v>14</v>
      </c>
      <c r="BD155" s="42">
        <v>2</v>
      </c>
      <c r="BE155" s="42">
        <v>13</v>
      </c>
      <c r="BG155" s="497"/>
      <c r="BH155" s="42">
        <v>2</v>
      </c>
      <c r="BI155" s="42">
        <v>17</v>
      </c>
      <c r="BL155" s="42">
        <v>2</v>
      </c>
      <c r="BM155" s="42">
        <v>4</v>
      </c>
      <c r="BP155" s="42">
        <v>9</v>
      </c>
      <c r="BQ155" s="42">
        <v>20</v>
      </c>
    </row>
    <row r="156" spans="40:69" x14ac:dyDescent="0.2">
      <c r="AN156" s="42">
        <v>9</v>
      </c>
      <c r="AO156" s="42">
        <v>8</v>
      </c>
      <c r="AR156" s="42">
        <v>6</v>
      </c>
      <c r="AS156" s="42">
        <v>4</v>
      </c>
      <c r="AV156" s="42">
        <v>10</v>
      </c>
      <c r="AW156" s="42">
        <v>8</v>
      </c>
      <c r="AZ156" s="42">
        <v>15</v>
      </c>
      <c r="BA156" s="42">
        <v>9</v>
      </c>
      <c r="BD156" s="42">
        <v>12</v>
      </c>
      <c r="BE156" s="42">
        <v>3</v>
      </c>
      <c r="BG156" s="497"/>
      <c r="BH156" s="42">
        <v>16</v>
      </c>
      <c r="BI156" s="42">
        <v>3</v>
      </c>
      <c r="BL156" s="42">
        <v>19</v>
      </c>
      <c r="BM156" s="42">
        <v>6</v>
      </c>
      <c r="BP156" s="42">
        <v>19</v>
      </c>
      <c r="BQ156" s="42">
        <v>10</v>
      </c>
    </row>
    <row r="157" spans="40:69" x14ac:dyDescent="0.2">
      <c r="AR157" s="42">
        <v>3</v>
      </c>
      <c r="AS157" s="42">
        <v>7</v>
      </c>
      <c r="AV157" s="42">
        <v>7</v>
      </c>
      <c r="AW157" s="42">
        <v>11</v>
      </c>
      <c r="AZ157" s="42">
        <v>8</v>
      </c>
      <c r="BA157" s="42">
        <v>16</v>
      </c>
      <c r="BD157" s="42">
        <v>4</v>
      </c>
      <c r="BE157" s="42">
        <v>11</v>
      </c>
      <c r="BG157" s="497"/>
      <c r="BH157" s="42">
        <v>4</v>
      </c>
      <c r="BI157" s="42">
        <v>15</v>
      </c>
      <c r="BL157" s="42">
        <v>7</v>
      </c>
      <c r="BM157" s="42">
        <v>18</v>
      </c>
      <c r="BP157" s="42">
        <v>11</v>
      </c>
      <c r="BQ157" s="42">
        <v>18</v>
      </c>
    </row>
    <row r="158" spans="40:69" x14ac:dyDescent="0.2">
      <c r="AR158" s="42">
        <v>8</v>
      </c>
      <c r="AS158" s="42">
        <v>2</v>
      </c>
      <c r="AV158" s="42">
        <v>12</v>
      </c>
      <c r="AW158" s="42">
        <v>6</v>
      </c>
      <c r="AZ158" s="42">
        <v>2</v>
      </c>
      <c r="BA158" s="42">
        <v>7</v>
      </c>
      <c r="BD158" s="42">
        <v>10</v>
      </c>
      <c r="BE158" s="42">
        <v>5</v>
      </c>
      <c r="BG158" s="497"/>
      <c r="BH158" s="42">
        <v>14</v>
      </c>
      <c r="BI158" s="42">
        <v>5</v>
      </c>
      <c r="BL158" s="42">
        <v>17</v>
      </c>
      <c r="BM158" s="42">
        <v>8</v>
      </c>
      <c r="BP158" s="42">
        <v>17</v>
      </c>
      <c r="BQ158" s="42">
        <v>12</v>
      </c>
    </row>
    <row r="159" spans="40:69" x14ac:dyDescent="0.2">
      <c r="AR159" s="42">
        <v>14</v>
      </c>
      <c r="AS159" s="42">
        <v>9</v>
      </c>
      <c r="AV159" s="42">
        <v>5</v>
      </c>
      <c r="AW159" s="42">
        <v>13</v>
      </c>
      <c r="AZ159" s="42">
        <v>6</v>
      </c>
      <c r="BA159" s="42">
        <v>3</v>
      </c>
      <c r="BD159" s="42">
        <v>6</v>
      </c>
      <c r="BE159" s="42">
        <v>9</v>
      </c>
      <c r="BH159" s="42">
        <v>6</v>
      </c>
      <c r="BI159" s="42">
        <v>13</v>
      </c>
      <c r="BL159" s="42">
        <v>9</v>
      </c>
      <c r="BM159" s="42">
        <v>16</v>
      </c>
      <c r="BP159" s="42">
        <v>13</v>
      </c>
      <c r="BQ159" s="42">
        <v>16</v>
      </c>
    </row>
    <row r="160" spans="40:69" x14ac:dyDescent="0.2">
      <c r="AR160" s="42">
        <v>10</v>
      </c>
      <c r="AS160" s="42">
        <v>13</v>
      </c>
      <c r="AV160" s="42">
        <v>14</v>
      </c>
      <c r="AW160" s="42">
        <v>4</v>
      </c>
      <c r="AZ160" s="42">
        <v>4</v>
      </c>
      <c r="BA160" s="42">
        <v>5</v>
      </c>
      <c r="BD160" s="42">
        <v>8</v>
      </c>
      <c r="BE160" s="42">
        <v>7</v>
      </c>
      <c r="BH160" s="42">
        <v>12</v>
      </c>
      <c r="BI160" s="42">
        <v>7</v>
      </c>
      <c r="BL160" s="42">
        <v>15</v>
      </c>
      <c r="BM160" s="42">
        <v>10</v>
      </c>
      <c r="BP160" s="42">
        <v>15</v>
      </c>
      <c r="BQ160" s="42">
        <v>14</v>
      </c>
    </row>
    <row r="161" spans="44:69" x14ac:dyDescent="0.2">
      <c r="AR161" s="42">
        <v>12</v>
      </c>
      <c r="AS161" s="42">
        <v>11</v>
      </c>
      <c r="AV161" s="42">
        <v>3</v>
      </c>
      <c r="AW161" s="42">
        <v>15</v>
      </c>
      <c r="AZ161" s="42">
        <v>1</v>
      </c>
      <c r="BA161" s="42">
        <v>11</v>
      </c>
      <c r="BD161" s="42">
        <v>1</v>
      </c>
      <c r="BE161" s="42">
        <v>15</v>
      </c>
      <c r="BH161" s="42">
        <v>8</v>
      </c>
      <c r="BI161" s="42">
        <v>11</v>
      </c>
      <c r="BL161" s="42">
        <v>11</v>
      </c>
      <c r="BM161" s="42">
        <v>14</v>
      </c>
      <c r="BP161" s="42">
        <v>1</v>
      </c>
      <c r="BQ161" s="42">
        <v>4</v>
      </c>
    </row>
    <row r="162" spans="44:69" x14ac:dyDescent="0.2">
      <c r="AR162" s="42">
        <v>4</v>
      </c>
      <c r="AS162" s="42">
        <v>1</v>
      </c>
      <c r="AV162" s="42">
        <v>8</v>
      </c>
      <c r="AW162" s="42">
        <v>1</v>
      </c>
      <c r="AZ162" s="42">
        <v>12</v>
      </c>
      <c r="BA162" s="42">
        <v>10</v>
      </c>
      <c r="BD162" s="42">
        <v>16</v>
      </c>
      <c r="BE162" s="42">
        <v>14</v>
      </c>
      <c r="BH162" s="42">
        <v>10</v>
      </c>
      <c r="BI162" s="42">
        <v>9</v>
      </c>
      <c r="BL162" s="42">
        <v>13</v>
      </c>
      <c r="BM162" s="42">
        <v>12</v>
      </c>
      <c r="BP162" s="42">
        <v>3</v>
      </c>
      <c r="BQ162" s="42">
        <v>5</v>
      </c>
    </row>
    <row r="163" spans="44:69" x14ac:dyDescent="0.2">
      <c r="AR163" s="42">
        <v>5</v>
      </c>
      <c r="AS163" s="42">
        <v>3</v>
      </c>
      <c r="AV163" s="42">
        <v>9</v>
      </c>
      <c r="AW163" s="42">
        <v>7</v>
      </c>
      <c r="AZ163" s="42">
        <v>9</v>
      </c>
      <c r="BA163" s="42">
        <v>13</v>
      </c>
      <c r="BD163" s="42">
        <v>13</v>
      </c>
      <c r="BE163" s="42">
        <v>17</v>
      </c>
      <c r="BH163" s="42">
        <v>1</v>
      </c>
      <c r="BI163" s="42">
        <v>17</v>
      </c>
      <c r="BL163" s="42">
        <v>1</v>
      </c>
      <c r="BM163" s="42">
        <v>2</v>
      </c>
      <c r="BP163" s="42">
        <v>6</v>
      </c>
      <c r="BQ163" s="42">
        <v>2</v>
      </c>
    </row>
    <row r="164" spans="44:69" x14ac:dyDescent="0.2">
      <c r="AR164" s="42">
        <v>2</v>
      </c>
      <c r="AS164" s="42">
        <v>6</v>
      </c>
      <c r="AV164" s="42">
        <v>6</v>
      </c>
      <c r="AW164" s="42">
        <v>10</v>
      </c>
      <c r="AZ164" s="42">
        <v>14</v>
      </c>
      <c r="BA164" s="42">
        <v>8</v>
      </c>
      <c r="BD164" s="42">
        <v>11</v>
      </c>
      <c r="BE164" s="42">
        <v>2</v>
      </c>
      <c r="BH164" s="42">
        <v>18</v>
      </c>
      <c r="BI164" s="42">
        <v>16</v>
      </c>
      <c r="BL164" s="42">
        <v>4</v>
      </c>
      <c r="BM164" s="42">
        <v>19</v>
      </c>
      <c r="BP164" s="42">
        <v>20</v>
      </c>
      <c r="BQ164" s="42">
        <v>7</v>
      </c>
    </row>
    <row r="165" spans="44:69" x14ac:dyDescent="0.2">
      <c r="AR165" s="42">
        <v>7</v>
      </c>
      <c r="AS165" s="42">
        <v>14</v>
      </c>
      <c r="AV165" s="42">
        <v>11</v>
      </c>
      <c r="AW165" s="42">
        <v>5</v>
      </c>
      <c r="AZ165" s="42">
        <v>7</v>
      </c>
      <c r="BA165" s="42">
        <v>15</v>
      </c>
      <c r="BD165" s="42">
        <v>3</v>
      </c>
      <c r="BE165" s="42">
        <v>10</v>
      </c>
      <c r="BH165" s="42">
        <v>15</v>
      </c>
      <c r="BI165" s="42">
        <v>2</v>
      </c>
      <c r="BL165" s="42">
        <v>18</v>
      </c>
      <c r="BM165" s="42">
        <v>5</v>
      </c>
      <c r="BP165" s="42">
        <v>8</v>
      </c>
      <c r="BQ165" s="42">
        <v>19</v>
      </c>
    </row>
    <row r="166" spans="44:69" x14ac:dyDescent="0.2">
      <c r="AR166" s="42">
        <v>13</v>
      </c>
      <c r="AS166" s="42">
        <v>8</v>
      </c>
      <c r="AV166" s="42">
        <v>4</v>
      </c>
      <c r="AW166" s="42">
        <v>12</v>
      </c>
      <c r="AZ166" s="42">
        <v>16</v>
      </c>
      <c r="BA166" s="42">
        <v>6</v>
      </c>
      <c r="BD166" s="42">
        <v>9</v>
      </c>
      <c r="BE166" s="42">
        <v>4</v>
      </c>
      <c r="BH166" s="42">
        <v>3</v>
      </c>
      <c r="BI166" s="42">
        <v>14</v>
      </c>
      <c r="BL166" s="42">
        <v>6</v>
      </c>
      <c r="BM166" s="42">
        <v>17</v>
      </c>
      <c r="BP166" s="42">
        <v>18</v>
      </c>
      <c r="BQ166" s="42">
        <v>9</v>
      </c>
    </row>
    <row r="167" spans="44:69" x14ac:dyDescent="0.2">
      <c r="AR167" s="42">
        <v>9</v>
      </c>
      <c r="AS167" s="42">
        <v>12</v>
      </c>
      <c r="AV167" s="42">
        <v>13</v>
      </c>
      <c r="AW167" s="42">
        <v>3</v>
      </c>
      <c r="AZ167" s="42">
        <v>5</v>
      </c>
      <c r="BA167" s="42">
        <v>2</v>
      </c>
      <c r="BD167" s="42">
        <v>5</v>
      </c>
      <c r="BE167" s="42">
        <v>8</v>
      </c>
      <c r="BH167" s="42">
        <v>13</v>
      </c>
      <c r="BI167" s="42">
        <v>4</v>
      </c>
      <c r="BK167" s="495" t="str">
        <f>Language!$E$18</f>
        <v>First legs</v>
      </c>
      <c r="BL167" s="42">
        <v>16</v>
      </c>
      <c r="BM167" s="42">
        <v>7</v>
      </c>
      <c r="BP167" s="42">
        <v>10</v>
      </c>
      <c r="BQ167" s="42">
        <v>17</v>
      </c>
    </row>
    <row r="168" spans="44:69" x14ac:dyDescent="0.2">
      <c r="AR168" s="42">
        <v>11</v>
      </c>
      <c r="AS168" s="42">
        <v>10</v>
      </c>
      <c r="AV168" s="42">
        <v>2</v>
      </c>
      <c r="AW168" s="42">
        <v>14</v>
      </c>
      <c r="AZ168" s="42">
        <v>3</v>
      </c>
      <c r="BA168" s="42">
        <v>4</v>
      </c>
      <c r="BD168" s="42">
        <v>7</v>
      </c>
      <c r="BE168" s="42">
        <v>6</v>
      </c>
      <c r="BH168" s="42">
        <v>5</v>
      </c>
      <c r="BI168" s="42">
        <v>12</v>
      </c>
      <c r="BK168" s="495"/>
      <c r="BL168" s="42">
        <v>8</v>
      </c>
      <c r="BM168" s="42">
        <v>15</v>
      </c>
      <c r="BP168" s="42">
        <v>16</v>
      </c>
      <c r="BQ168" s="42">
        <v>11</v>
      </c>
    </row>
    <row r="169" spans="44:69" x14ac:dyDescent="0.2">
      <c r="AR169" s="42">
        <v>1</v>
      </c>
      <c r="AS169" s="42">
        <v>3</v>
      </c>
      <c r="AV169" s="42">
        <v>1</v>
      </c>
      <c r="AW169" s="42">
        <v>7</v>
      </c>
      <c r="AZ169" s="42">
        <v>10</v>
      </c>
      <c r="BA169" s="42">
        <v>1</v>
      </c>
      <c r="BD169" s="42">
        <v>14</v>
      </c>
      <c r="BE169" s="42">
        <v>1</v>
      </c>
      <c r="BH169" s="42">
        <v>11</v>
      </c>
      <c r="BI169" s="42">
        <v>6</v>
      </c>
      <c r="BK169" s="495"/>
      <c r="BL169" s="42">
        <v>14</v>
      </c>
      <c r="BM169" s="42">
        <v>9</v>
      </c>
      <c r="BP169" s="42">
        <v>12</v>
      </c>
      <c r="BQ169" s="42">
        <v>15</v>
      </c>
    </row>
    <row r="170" spans="44:69" x14ac:dyDescent="0.2">
      <c r="AR170" s="42">
        <v>4</v>
      </c>
      <c r="AS170" s="42">
        <v>2</v>
      </c>
      <c r="AV170" s="42">
        <v>8</v>
      </c>
      <c r="AW170" s="42">
        <v>6</v>
      </c>
      <c r="AZ170" s="42">
        <v>11</v>
      </c>
      <c r="BA170" s="42">
        <v>9</v>
      </c>
      <c r="BD170" s="42">
        <v>15</v>
      </c>
      <c r="BE170" s="42">
        <v>13</v>
      </c>
      <c r="BH170" s="42">
        <v>7</v>
      </c>
      <c r="BI170" s="42">
        <v>10</v>
      </c>
      <c r="BK170" s="495"/>
      <c r="BL170" s="42">
        <v>10</v>
      </c>
      <c r="BM170" s="42">
        <v>13</v>
      </c>
      <c r="BP170" s="42">
        <v>14</v>
      </c>
      <c r="BQ170" s="42">
        <v>13</v>
      </c>
    </row>
    <row r="171" spans="44:69" ht="13.5" thickBot="1" x14ac:dyDescent="0.25">
      <c r="AR171" s="42">
        <v>14</v>
      </c>
      <c r="AS171" s="42">
        <v>5</v>
      </c>
      <c r="AV171" s="42">
        <v>5</v>
      </c>
      <c r="AW171" s="42">
        <v>9</v>
      </c>
      <c r="AZ171" s="42">
        <v>8</v>
      </c>
      <c r="BA171" s="42">
        <v>12</v>
      </c>
      <c r="BD171" s="42">
        <v>12</v>
      </c>
      <c r="BE171" s="42">
        <v>16</v>
      </c>
      <c r="BH171" s="42">
        <v>9</v>
      </c>
      <c r="BI171" s="42">
        <v>8</v>
      </c>
      <c r="BK171" s="496"/>
      <c r="BL171" s="42">
        <v>12</v>
      </c>
      <c r="BM171" s="42">
        <v>11</v>
      </c>
      <c r="BP171" s="42">
        <v>3</v>
      </c>
      <c r="BQ171" s="42">
        <v>1</v>
      </c>
    </row>
    <row r="172" spans="44:69" x14ac:dyDescent="0.2">
      <c r="AR172" s="42">
        <v>6</v>
      </c>
      <c r="AS172" s="42">
        <v>13</v>
      </c>
      <c r="AV172" s="42">
        <v>10</v>
      </c>
      <c r="AW172" s="42">
        <v>4</v>
      </c>
      <c r="AZ172" s="42">
        <v>13</v>
      </c>
      <c r="BA172" s="42">
        <v>7</v>
      </c>
      <c r="BD172" s="42">
        <v>17</v>
      </c>
      <c r="BE172" s="42">
        <v>11</v>
      </c>
      <c r="BH172" s="42">
        <v>16</v>
      </c>
      <c r="BI172" s="42">
        <v>1</v>
      </c>
      <c r="BK172" s="497" t="str">
        <f>Language!$E$19</f>
        <v>Second legs</v>
      </c>
      <c r="BL172" s="42">
        <v>2</v>
      </c>
      <c r="BM172" s="42">
        <v>19</v>
      </c>
      <c r="BP172" s="42">
        <v>2</v>
      </c>
      <c r="BQ172" s="42">
        <v>4</v>
      </c>
    </row>
    <row r="173" spans="44:69" x14ac:dyDescent="0.2">
      <c r="AR173" s="42">
        <v>12</v>
      </c>
      <c r="AS173" s="42">
        <v>7</v>
      </c>
      <c r="AV173" s="42">
        <v>3</v>
      </c>
      <c r="AW173" s="42">
        <v>11</v>
      </c>
      <c r="AZ173" s="42">
        <v>6</v>
      </c>
      <c r="BA173" s="42">
        <v>14</v>
      </c>
      <c r="BD173" s="42">
        <v>2</v>
      </c>
      <c r="BE173" s="42">
        <v>9</v>
      </c>
      <c r="BH173" s="42">
        <v>17</v>
      </c>
      <c r="BI173" s="42">
        <v>15</v>
      </c>
      <c r="BK173" s="497"/>
      <c r="BL173" s="42">
        <v>18</v>
      </c>
      <c r="BM173" s="42">
        <v>3</v>
      </c>
      <c r="BP173" s="42">
        <v>5</v>
      </c>
      <c r="BQ173" s="42">
        <v>20</v>
      </c>
    </row>
    <row r="174" spans="44:69" x14ac:dyDescent="0.2">
      <c r="AR174" s="42">
        <v>8</v>
      </c>
      <c r="AS174" s="42">
        <v>11</v>
      </c>
      <c r="AV174" s="42">
        <v>12</v>
      </c>
      <c r="AW174" s="42">
        <v>2</v>
      </c>
      <c r="AZ174" s="42">
        <v>15</v>
      </c>
      <c r="BA174" s="42">
        <v>5</v>
      </c>
      <c r="BD174" s="42">
        <v>8</v>
      </c>
      <c r="BE174" s="42">
        <v>3</v>
      </c>
      <c r="BH174" s="42">
        <v>14</v>
      </c>
      <c r="BI174" s="42">
        <v>18</v>
      </c>
      <c r="BK174" s="497"/>
      <c r="BL174" s="42">
        <v>4</v>
      </c>
      <c r="BM174" s="42">
        <v>17</v>
      </c>
      <c r="BP174" s="42">
        <v>19</v>
      </c>
      <c r="BQ174" s="42">
        <v>6</v>
      </c>
    </row>
    <row r="175" spans="44:69" x14ac:dyDescent="0.2">
      <c r="AR175" s="42">
        <v>10</v>
      </c>
      <c r="AS175" s="42">
        <v>9</v>
      </c>
      <c r="AV175" s="42">
        <v>14</v>
      </c>
      <c r="AW175" s="42">
        <v>15</v>
      </c>
      <c r="AZ175" s="42">
        <v>4</v>
      </c>
      <c r="BA175" s="42">
        <v>16</v>
      </c>
      <c r="BD175" s="42">
        <v>4</v>
      </c>
      <c r="BE175" s="42">
        <v>7</v>
      </c>
      <c r="BH175" s="42">
        <v>2</v>
      </c>
      <c r="BI175" s="42">
        <v>13</v>
      </c>
      <c r="BK175" s="497"/>
      <c r="BL175" s="42">
        <v>16</v>
      </c>
      <c r="BM175" s="42">
        <v>5</v>
      </c>
      <c r="BP175" s="42">
        <v>7</v>
      </c>
      <c r="BQ175" s="42">
        <v>18</v>
      </c>
    </row>
    <row r="176" spans="44:69" x14ac:dyDescent="0.2">
      <c r="AR176" s="42">
        <v>2</v>
      </c>
      <c r="AS176" s="42">
        <v>1</v>
      </c>
      <c r="AV176" s="42">
        <v>6</v>
      </c>
      <c r="AW176" s="42">
        <v>1</v>
      </c>
      <c r="AZ176" s="42">
        <v>2</v>
      </c>
      <c r="BA176" s="42">
        <v>3</v>
      </c>
      <c r="BD176" s="42">
        <v>6</v>
      </c>
      <c r="BE176" s="42">
        <v>5</v>
      </c>
      <c r="BH176" s="42">
        <v>12</v>
      </c>
      <c r="BI176" s="42">
        <v>3</v>
      </c>
      <c r="BK176" s="497"/>
      <c r="BL176" s="42">
        <v>6</v>
      </c>
      <c r="BM176" s="42">
        <v>15</v>
      </c>
      <c r="BP176" s="42">
        <v>17</v>
      </c>
      <c r="BQ176" s="42">
        <v>8</v>
      </c>
    </row>
    <row r="177" spans="44:69" x14ac:dyDescent="0.2">
      <c r="AR177" s="42">
        <v>3</v>
      </c>
      <c r="AS177" s="42">
        <v>14</v>
      </c>
      <c r="AV177" s="42">
        <v>7</v>
      </c>
      <c r="AW177" s="42">
        <v>5</v>
      </c>
      <c r="AZ177" s="42">
        <v>1</v>
      </c>
      <c r="BA177" s="42">
        <v>9</v>
      </c>
      <c r="BD177" s="42">
        <v>1</v>
      </c>
      <c r="BE177" s="42">
        <v>13</v>
      </c>
      <c r="BH177" s="42">
        <v>4</v>
      </c>
      <c r="BI177" s="42">
        <v>11</v>
      </c>
      <c r="BL177" s="42">
        <v>14</v>
      </c>
      <c r="BM177" s="42">
        <v>7</v>
      </c>
      <c r="BP177" s="42">
        <v>9</v>
      </c>
      <c r="BQ177" s="42">
        <v>16</v>
      </c>
    </row>
    <row r="178" spans="44:69" x14ac:dyDescent="0.2">
      <c r="AR178" s="42">
        <v>13</v>
      </c>
      <c r="AS178" s="42">
        <v>4</v>
      </c>
      <c r="AV178" s="42">
        <v>4</v>
      </c>
      <c r="AW178" s="42">
        <v>8</v>
      </c>
      <c r="AZ178" s="42">
        <v>10</v>
      </c>
      <c r="BA178" s="42">
        <v>8</v>
      </c>
      <c r="BD178" s="42">
        <v>14</v>
      </c>
      <c r="BE178" s="42">
        <v>12</v>
      </c>
      <c r="BH178" s="42">
        <v>10</v>
      </c>
      <c r="BI178" s="42">
        <v>5</v>
      </c>
      <c r="BL178" s="42">
        <v>8</v>
      </c>
      <c r="BM178" s="42">
        <v>13</v>
      </c>
      <c r="BP178" s="42">
        <v>15</v>
      </c>
      <c r="BQ178" s="42">
        <v>10</v>
      </c>
    </row>
    <row r="179" spans="44:69" x14ac:dyDescent="0.2">
      <c r="AR179" s="42">
        <v>5</v>
      </c>
      <c r="AS179" s="42">
        <v>12</v>
      </c>
      <c r="AV179" s="42">
        <v>9</v>
      </c>
      <c r="AW179" s="42">
        <v>3</v>
      </c>
      <c r="AZ179" s="42">
        <v>7</v>
      </c>
      <c r="BA179" s="42">
        <v>11</v>
      </c>
      <c r="BD179" s="42">
        <v>11</v>
      </c>
      <c r="BE179" s="42">
        <v>15</v>
      </c>
      <c r="BH179" s="42">
        <v>6</v>
      </c>
      <c r="BI179" s="42">
        <v>9</v>
      </c>
      <c r="BL179" s="42">
        <v>12</v>
      </c>
      <c r="BM179" s="42">
        <v>9</v>
      </c>
      <c r="BP179" s="42">
        <v>11</v>
      </c>
      <c r="BQ179" s="42">
        <v>14</v>
      </c>
    </row>
    <row r="180" spans="44:69" x14ac:dyDescent="0.2">
      <c r="AR180" s="42">
        <v>11</v>
      </c>
      <c r="AS180" s="42">
        <v>6</v>
      </c>
      <c r="AV180" s="42">
        <v>2</v>
      </c>
      <c r="AW180" s="42">
        <v>10</v>
      </c>
      <c r="AZ180" s="42">
        <v>12</v>
      </c>
      <c r="BA180" s="42">
        <v>6</v>
      </c>
      <c r="BD180" s="42">
        <v>16</v>
      </c>
      <c r="BE180" s="42">
        <v>10</v>
      </c>
      <c r="BH180" s="42">
        <v>8</v>
      </c>
      <c r="BI180" s="42">
        <v>7</v>
      </c>
      <c r="BL180" s="42">
        <v>10</v>
      </c>
      <c r="BM180" s="42">
        <v>11</v>
      </c>
      <c r="BP180" s="42">
        <v>13</v>
      </c>
      <c r="BQ180" s="42">
        <v>12</v>
      </c>
    </row>
    <row r="181" spans="44:69" x14ac:dyDescent="0.2">
      <c r="AR181" s="42">
        <v>7</v>
      </c>
      <c r="AS181" s="42">
        <v>10</v>
      </c>
      <c r="AV181" s="42">
        <v>15</v>
      </c>
      <c r="AW181" s="42">
        <v>12</v>
      </c>
      <c r="AZ181" s="42">
        <v>5</v>
      </c>
      <c r="BA181" s="42">
        <v>13</v>
      </c>
      <c r="BD181" s="42">
        <v>9</v>
      </c>
      <c r="BE181" s="42">
        <v>17</v>
      </c>
      <c r="BH181" s="42">
        <v>1</v>
      </c>
      <c r="BI181" s="42">
        <v>15</v>
      </c>
      <c r="BL181" s="42">
        <v>1</v>
      </c>
      <c r="BM181" s="42">
        <v>19</v>
      </c>
      <c r="BP181" s="42">
        <v>1</v>
      </c>
      <c r="BQ181" s="42">
        <v>2</v>
      </c>
    </row>
    <row r="182" spans="44:69" x14ac:dyDescent="0.2">
      <c r="AR182" s="42">
        <v>9</v>
      </c>
      <c r="AS182" s="42">
        <v>8</v>
      </c>
      <c r="AV182" s="42">
        <v>13</v>
      </c>
      <c r="AW182" s="42">
        <v>14</v>
      </c>
      <c r="AZ182" s="42">
        <v>14</v>
      </c>
      <c r="BA182" s="42">
        <v>4</v>
      </c>
      <c r="BD182" s="42">
        <v>7</v>
      </c>
      <c r="BE182" s="42">
        <v>2</v>
      </c>
      <c r="BH182" s="42">
        <v>16</v>
      </c>
      <c r="BI182" s="42">
        <v>14</v>
      </c>
      <c r="BL182" s="42">
        <v>17</v>
      </c>
      <c r="BM182" s="42">
        <v>2</v>
      </c>
      <c r="BP182" s="42">
        <v>20</v>
      </c>
      <c r="BQ182" s="42">
        <v>3</v>
      </c>
    </row>
    <row r="183" spans="44:69" x14ac:dyDescent="0.2">
      <c r="AV183" s="42">
        <v>1</v>
      </c>
      <c r="AW183" s="42">
        <v>5</v>
      </c>
      <c r="AZ183" s="42">
        <v>3</v>
      </c>
      <c r="BA183" s="42">
        <v>15</v>
      </c>
      <c r="BD183" s="42">
        <v>3</v>
      </c>
      <c r="BE183" s="42">
        <v>6</v>
      </c>
      <c r="BH183" s="42">
        <v>13</v>
      </c>
      <c r="BI183" s="42">
        <v>17</v>
      </c>
      <c r="BL183" s="42">
        <v>3</v>
      </c>
      <c r="BM183" s="42">
        <v>16</v>
      </c>
      <c r="BP183" s="42">
        <v>4</v>
      </c>
      <c r="BQ183" s="42">
        <v>19</v>
      </c>
    </row>
    <row r="184" spans="44:69" x14ac:dyDescent="0.2">
      <c r="AV184" s="42">
        <v>6</v>
      </c>
      <c r="AW184" s="42">
        <v>4</v>
      </c>
      <c r="AZ184" s="42">
        <v>16</v>
      </c>
      <c r="BA184" s="42">
        <v>2</v>
      </c>
      <c r="BD184" s="42">
        <v>5</v>
      </c>
      <c r="BE184" s="42">
        <v>4</v>
      </c>
      <c r="BH184" s="42">
        <v>18</v>
      </c>
      <c r="BI184" s="42">
        <v>12</v>
      </c>
      <c r="BL184" s="42">
        <v>15</v>
      </c>
      <c r="BM184" s="42">
        <v>4</v>
      </c>
      <c r="BP184" s="42">
        <v>18</v>
      </c>
      <c r="BQ184" s="42">
        <v>5</v>
      </c>
    </row>
    <row r="185" spans="44:69" x14ac:dyDescent="0.2">
      <c r="AV185" s="42">
        <v>3</v>
      </c>
      <c r="AW185" s="42">
        <v>7</v>
      </c>
      <c r="AZ185" s="42">
        <v>8</v>
      </c>
      <c r="BA185" s="42">
        <v>1</v>
      </c>
      <c r="BD185" s="42">
        <v>12</v>
      </c>
      <c r="BE185" s="42">
        <v>1</v>
      </c>
      <c r="BH185" s="42">
        <v>11</v>
      </c>
      <c r="BI185" s="42">
        <v>2</v>
      </c>
      <c r="BL185" s="42">
        <v>5</v>
      </c>
      <c r="BM185" s="42">
        <v>14</v>
      </c>
      <c r="BP185" s="42">
        <v>6</v>
      </c>
      <c r="BQ185" s="42">
        <v>17</v>
      </c>
    </row>
    <row r="186" spans="44:69" x14ac:dyDescent="0.2">
      <c r="AV186" s="42">
        <v>8</v>
      </c>
      <c r="AW186" s="42">
        <v>2</v>
      </c>
      <c r="AZ186" s="42">
        <v>9</v>
      </c>
      <c r="BA186" s="42">
        <v>7</v>
      </c>
      <c r="BD186" s="42">
        <v>13</v>
      </c>
      <c r="BE186" s="42">
        <v>11</v>
      </c>
      <c r="BH186" s="42">
        <v>3</v>
      </c>
      <c r="BI186" s="42">
        <v>10</v>
      </c>
      <c r="BL186" s="42">
        <v>13</v>
      </c>
      <c r="BM186" s="42">
        <v>6</v>
      </c>
      <c r="BO186" s="495" t="str">
        <f>Language!$E$18</f>
        <v>First legs</v>
      </c>
      <c r="BP186" s="42">
        <v>16</v>
      </c>
      <c r="BQ186" s="42">
        <v>7</v>
      </c>
    </row>
    <row r="187" spans="44:69" x14ac:dyDescent="0.2">
      <c r="AV187" s="42">
        <v>10</v>
      </c>
      <c r="AW187" s="42">
        <v>15</v>
      </c>
      <c r="AZ187" s="42">
        <v>6</v>
      </c>
      <c r="BA187" s="42">
        <v>10</v>
      </c>
      <c r="BD187" s="42">
        <v>10</v>
      </c>
      <c r="BE187" s="42">
        <v>14</v>
      </c>
      <c r="BH187" s="42">
        <v>9</v>
      </c>
      <c r="BI187" s="42">
        <v>4</v>
      </c>
      <c r="BL187" s="42">
        <v>7</v>
      </c>
      <c r="BM187" s="42">
        <v>12</v>
      </c>
      <c r="BO187" s="495"/>
      <c r="BP187" s="42">
        <v>8</v>
      </c>
      <c r="BQ187" s="42">
        <v>15</v>
      </c>
    </row>
    <row r="188" spans="44:69" x14ac:dyDescent="0.2">
      <c r="AV188" s="42">
        <v>14</v>
      </c>
      <c r="AW188" s="42">
        <v>11</v>
      </c>
      <c r="AZ188" s="42">
        <v>11</v>
      </c>
      <c r="BA188" s="42">
        <v>5</v>
      </c>
      <c r="BD188" s="42">
        <v>15</v>
      </c>
      <c r="BE188" s="42">
        <v>9</v>
      </c>
      <c r="BH188" s="42">
        <v>5</v>
      </c>
      <c r="BI188" s="42">
        <v>8</v>
      </c>
      <c r="BL188" s="42">
        <v>11</v>
      </c>
      <c r="BM188" s="42">
        <v>8</v>
      </c>
      <c r="BO188" s="495"/>
      <c r="BP188" s="42">
        <v>14</v>
      </c>
      <c r="BQ188" s="42">
        <v>9</v>
      </c>
    </row>
    <row r="189" spans="44:69" x14ac:dyDescent="0.2">
      <c r="AV189" s="42">
        <v>12</v>
      </c>
      <c r="AW189" s="42">
        <v>13</v>
      </c>
      <c r="AZ189" s="42">
        <v>4</v>
      </c>
      <c r="BA189" s="42">
        <v>12</v>
      </c>
      <c r="BD189" s="42">
        <v>8</v>
      </c>
      <c r="BE189" s="42">
        <v>16</v>
      </c>
      <c r="BH189" s="42">
        <v>7</v>
      </c>
      <c r="BI189" s="42">
        <v>6</v>
      </c>
      <c r="BL189" s="42">
        <v>9</v>
      </c>
      <c r="BM189" s="42">
        <v>10</v>
      </c>
      <c r="BO189" s="495"/>
      <c r="BP189" s="42">
        <v>10</v>
      </c>
      <c r="BQ189" s="42">
        <v>13</v>
      </c>
    </row>
    <row r="190" spans="44:69" ht="13.5" thickBot="1" x14ac:dyDescent="0.25">
      <c r="AV190" s="42">
        <v>4</v>
      </c>
      <c r="AW190" s="42">
        <v>1</v>
      </c>
      <c r="AZ190" s="42">
        <v>13</v>
      </c>
      <c r="BA190" s="42">
        <v>3</v>
      </c>
      <c r="BD190" s="42">
        <v>17</v>
      </c>
      <c r="BE190" s="42">
        <v>7</v>
      </c>
      <c r="BH190" s="42">
        <v>14</v>
      </c>
      <c r="BI190" s="42">
        <v>1</v>
      </c>
      <c r="BL190" s="42">
        <v>18</v>
      </c>
      <c r="BM190" s="42">
        <v>1</v>
      </c>
      <c r="BO190" s="496"/>
      <c r="BP190" s="42">
        <v>12</v>
      </c>
      <c r="BQ190" s="42">
        <v>11</v>
      </c>
    </row>
    <row r="191" spans="44:69" x14ac:dyDescent="0.2">
      <c r="AV191" s="42">
        <v>5</v>
      </c>
      <c r="AW191" s="42">
        <v>3</v>
      </c>
      <c r="AZ191" s="42">
        <v>2</v>
      </c>
      <c r="BA191" s="42">
        <v>14</v>
      </c>
      <c r="BD191" s="42">
        <v>2</v>
      </c>
      <c r="BE191" s="42">
        <v>5</v>
      </c>
      <c r="BH191" s="42">
        <v>15</v>
      </c>
      <c r="BI191" s="42">
        <v>13</v>
      </c>
      <c r="BL191" s="42">
        <v>19</v>
      </c>
      <c r="BM191" s="42">
        <v>17</v>
      </c>
      <c r="BO191" s="497" t="str">
        <f>Language!$E$19</f>
        <v>Second legs</v>
      </c>
      <c r="BP191" s="42">
        <v>20</v>
      </c>
      <c r="BQ191" s="42">
        <v>1</v>
      </c>
    </row>
    <row r="192" spans="44:69" x14ac:dyDescent="0.2">
      <c r="AV192" s="42">
        <v>2</v>
      </c>
      <c r="AW192" s="42">
        <v>6</v>
      </c>
      <c r="AZ192" s="42">
        <v>15</v>
      </c>
      <c r="BA192" s="42">
        <v>16</v>
      </c>
      <c r="BD192" s="42">
        <v>4</v>
      </c>
      <c r="BE192" s="42">
        <v>3</v>
      </c>
      <c r="BH192" s="42">
        <v>12</v>
      </c>
      <c r="BI192" s="42">
        <v>16</v>
      </c>
      <c r="BL192" s="42">
        <v>2</v>
      </c>
      <c r="BM192" s="42">
        <v>15</v>
      </c>
      <c r="BO192" s="497"/>
      <c r="BP192" s="42">
        <v>2</v>
      </c>
      <c r="BQ192" s="42">
        <v>19</v>
      </c>
    </row>
    <row r="193" spans="48:69" x14ac:dyDescent="0.2">
      <c r="AV193" s="42">
        <v>15</v>
      </c>
      <c r="AW193" s="42">
        <v>8</v>
      </c>
      <c r="AZ193" s="42">
        <v>1</v>
      </c>
      <c r="BA193" s="42">
        <v>7</v>
      </c>
      <c r="BD193" s="42">
        <v>1</v>
      </c>
      <c r="BE193" s="42">
        <v>11</v>
      </c>
      <c r="BH193" s="42">
        <v>17</v>
      </c>
      <c r="BI193" s="42">
        <v>11</v>
      </c>
      <c r="BL193" s="42">
        <v>14</v>
      </c>
      <c r="BM193" s="42">
        <v>3</v>
      </c>
      <c r="BO193" s="497"/>
      <c r="BP193" s="42">
        <v>18</v>
      </c>
      <c r="BQ193" s="42">
        <v>3</v>
      </c>
    </row>
    <row r="194" spans="48:69" x14ac:dyDescent="0.2">
      <c r="AV194" s="42">
        <v>9</v>
      </c>
      <c r="AW194" s="42">
        <v>14</v>
      </c>
      <c r="AZ194" s="42">
        <v>8</v>
      </c>
      <c r="BA194" s="42">
        <v>6</v>
      </c>
      <c r="BD194" s="42">
        <v>12</v>
      </c>
      <c r="BE194" s="42">
        <v>10</v>
      </c>
      <c r="BH194" s="42">
        <v>10</v>
      </c>
      <c r="BI194" s="42">
        <v>18</v>
      </c>
      <c r="BL194" s="42">
        <v>4</v>
      </c>
      <c r="BM194" s="42">
        <v>13</v>
      </c>
      <c r="BO194" s="497"/>
      <c r="BP194" s="42">
        <v>4</v>
      </c>
      <c r="BQ194" s="42">
        <v>17</v>
      </c>
    </row>
    <row r="195" spans="48:69" x14ac:dyDescent="0.2">
      <c r="AV195" s="42">
        <v>13</v>
      </c>
      <c r="AW195" s="42">
        <v>10</v>
      </c>
      <c r="AZ195" s="42">
        <v>5</v>
      </c>
      <c r="BA195" s="42">
        <v>9</v>
      </c>
      <c r="BD195" s="42">
        <v>9</v>
      </c>
      <c r="BE195" s="42">
        <v>13</v>
      </c>
      <c r="BH195" s="42">
        <v>2</v>
      </c>
      <c r="BI195" s="42">
        <v>9</v>
      </c>
      <c r="BL195" s="42">
        <v>12</v>
      </c>
      <c r="BM195" s="42">
        <v>5</v>
      </c>
      <c r="BO195" s="497"/>
      <c r="BP195" s="42">
        <v>16</v>
      </c>
      <c r="BQ195" s="42">
        <v>5</v>
      </c>
    </row>
    <row r="196" spans="48:69" x14ac:dyDescent="0.2">
      <c r="AV196" s="42">
        <v>11</v>
      </c>
      <c r="AW196" s="42">
        <v>12</v>
      </c>
      <c r="AZ196" s="42">
        <v>10</v>
      </c>
      <c r="BA196" s="42">
        <v>4</v>
      </c>
      <c r="BD196" s="42">
        <v>14</v>
      </c>
      <c r="BE196" s="42">
        <v>8</v>
      </c>
      <c r="BH196" s="42">
        <v>8</v>
      </c>
      <c r="BI196" s="42">
        <v>3</v>
      </c>
      <c r="BL196" s="42">
        <v>6</v>
      </c>
      <c r="BM196" s="42">
        <v>11</v>
      </c>
      <c r="BP196" s="42">
        <v>6</v>
      </c>
      <c r="BQ196" s="42">
        <v>15</v>
      </c>
    </row>
    <row r="197" spans="48:69" x14ac:dyDescent="0.2">
      <c r="AV197" s="42">
        <v>1</v>
      </c>
      <c r="AW197" s="42">
        <v>3</v>
      </c>
      <c r="AZ197" s="42">
        <v>3</v>
      </c>
      <c r="BA197" s="42">
        <v>11</v>
      </c>
      <c r="BD197" s="42">
        <v>7</v>
      </c>
      <c r="BE197" s="42">
        <v>15</v>
      </c>
      <c r="BH197" s="42">
        <v>4</v>
      </c>
      <c r="BI197" s="42">
        <v>7</v>
      </c>
      <c r="BL197" s="42">
        <v>10</v>
      </c>
      <c r="BM197" s="42">
        <v>7</v>
      </c>
      <c r="BP197" s="42">
        <v>14</v>
      </c>
      <c r="BQ197" s="42">
        <v>7</v>
      </c>
    </row>
    <row r="198" spans="48:69" x14ac:dyDescent="0.2">
      <c r="AV198" s="42">
        <v>4</v>
      </c>
      <c r="AW198" s="42">
        <v>2</v>
      </c>
      <c r="AZ198" s="42">
        <v>12</v>
      </c>
      <c r="BA198" s="42">
        <v>2</v>
      </c>
      <c r="BD198" s="42">
        <v>16</v>
      </c>
      <c r="BE198" s="42">
        <v>6</v>
      </c>
      <c r="BH198" s="42">
        <v>6</v>
      </c>
      <c r="BI198" s="42">
        <v>5</v>
      </c>
      <c r="BL198" s="42">
        <v>8</v>
      </c>
      <c r="BM198" s="42">
        <v>9</v>
      </c>
      <c r="BP198" s="42">
        <v>8</v>
      </c>
      <c r="BQ198" s="42">
        <v>13</v>
      </c>
    </row>
    <row r="199" spans="48:69" x14ac:dyDescent="0.2">
      <c r="AV199" s="42">
        <v>6</v>
      </c>
      <c r="AW199" s="42">
        <v>15</v>
      </c>
      <c r="AZ199" s="42">
        <v>16</v>
      </c>
      <c r="BA199" s="42">
        <v>13</v>
      </c>
      <c r="BD199" s="42">
        <v>5</v>
      </c>
      <c r="BE199" s="42">
        <v>17</v>
      </c>
      <c r="BH199" s="42">
        <v>1</v>
      </c>
      <c r="BI199" s="42">
        <v>13</v>
      </c>
      <c r="BL199" s="42">
        <v>1</v>
      </c>
      <c r="BM199" s="42">
        <v>17</v>
      </c>
      <c r="BP199" s="42">
        <v>12</v>
      </c>
      <c r="BQ199" s="42">
        <v>9</v>
      </c>
    </row>
    <row r="200" spans="48:69" x14ac:dyDescent="0.2">
      <c r="AV200" s="42">
        <v>14</v>
      </c>
      <c r="AW200" s="42">
        <v>7</v>
      </c>
      <c r="AZ200" s="42">
        <v>14</v>
      </c>
      <c r="BA200" s="42">
        <v>15</v>
      </c>
      <c r="BD200" s="42">
        <v>3</v>
      </c>
      <c r="BE200" s="42">
        <v>2</v>
      </c>
      <c r="BH200" s="42">
        <v>14</v>
      </c>
      <c r="BI200" s="42">
        <v>12</v>
      </c>
      <c r="BL200" s="42">
        <v>18</v>
      </c>
      <c r="BM200" s="42">
        <v>16</v>
      </c>
      <c r="BP200" s="42">
        <v>10</v>
      </c>
      <c r="BQ200" s="42">
        <v>11</v>
      </c>
    </row>
    <row r="201" spans="48:69" x14ac:dyDescent="0.2">
      <c r="AV201" s="42">
        <v>8</v>
      </c>
      <c r="AW201" s="42">
        <v>13</v>
      </c>
      <c r="AZ201" s="42">
        <v>6</v>
      </c>
      <c r="BA201" s="42">
        <v>1</v>
      </c>
      <c r="BD201" s="42">
        <v>10</v>
      </c>
      <c r="BE201" s="42">
        <v>1</v>
      </c>
      <c r="BH201" s="42">
        <v>11</v>
      </c>
      <c r="BI201" s="42">
        <v>15</v>
      </c>
      <c r="BL201" s="42">
        <v>15</v>
      </c>
      <c r="BM201" s="42">
        <v>19</v>
      </c>
      <c r="BP201" s="42">
        <v>1</v>
      </c>
      <c r="BQ201" s="42">
        <v>19</v>
      </c>
    </row>
    <row r="202" spans="48:69" x14ac:dyDescent="0.2">
      <c r="AV202" s="42">
        <v>12</v>
      </c>
      <c r="AW202" s="42">
        <v>9</v>
      </c>
      <c r="AZ202" s="42">
        <v>7</v>
      </c>
      <c r="BA202" s="42">
        <v>5</v>
      </c>
      <c r="BD202" s="42">
        <v>11</v>
      </c>
      <c r="BE202" s="42">
        <v>9</v>
      </c>
      <c r="BH202" s="42">
        <v>16</v>
      </c>
      <c r="BI202" s="42">
        <v>10</v>
      </c>
      <c r="BL202" s="42">
        <v>13</v>
      </c>
      <c r="BM202" s="42">
        <v>2</v>
      </c>
      <c r="BP202" s="42">
        <v>20</v>
      </c>
      <c r="BQ202" s="42">
        <v>18</v>
      </c>
    </row>
    <row r="203" spans="48:69" x14ac:dyDescent="0.2">
      <c r="AV203" s="42">
        <v>10</v>
      </c>
      <c r="AW203" s="42">
        <v>11</v>
      </c>
      <c r="AZ203" s="42">
        <v>4</v>
      </c>
      <c r="BA203" s="42">
        <v>8</v>
      </c>
      <c r="BD203" s="42">
        <v>8</v>
      </c>
      <c r="BE203" s="42">
        <v>12</v>
      </c>
      <c r="BH203" s="42">
        <v>9</v>
      </c>
      <c r="BI203" s="42">
        <v>17</v>
      </c>
      <c r="BL203" s="42">
        <v>3</v>
      </c>
      <c r="BM203" s="42">
        <v>12</v>
      </c>
      <c r="BP203" s="42">
        <v>17</v>
      </c>
      <c r="BQ203" s="42">
        <v>2</v>
      </c>
    </row>
    <row r="204" spans="48:69" x14ac:dyDescent="0.2">
      <c r="AV204" s="42">
        <v>2</v>
      </c>
      <c r="AW204" s="42">
        <v>1</v>
      </c>
      <c r="AZ204" s="42">
        <v>9</v>
      </c>
      <c r="BA204" s="42">
        <v>3</v>
      </c>
      <c r="BD204" s="42">
        <v>13</v>
      </c>
      <c r="BE204" s="42">
        <v>7</v>
      </c>
      <c r="BH204" s="42">
        <v>18</v>
      </c>
      <c r="BI204" s="42">
        <v>8</v>
      </c>
      <c r="BL204" s="42">
        <v>11</v>
      </c>
      <c r="BM204" s="42">
        <v>4</v>
      </c>
      <c r="BP204" s="42">
        <v>3</v>
      </c>
      <c r="BQ204" s="42">
        <v>16</v>
      </c>
    </row>
    <row r="205" spans="48:69" x14ac:dyDescent="0.2">
      <c r="AV205" s="42">
        <v>15</v>
      </c>
      <c r="AW205" s="42">
        <v>4</v>
      </c>
      <c r="AZ205" s="42">
        <v>2</v>
      </c>
      <c r="BA205" s="42">
        <v>10</v>
      </c>
      <c r="BD205" s="42">
        <v>6</v>
      </c>
      <c r="BE205" s="42">
        <v>14</v>
      </c>
      <c r="BH205" s="42">
        <v>7</v>
      </c>
      <c r="BI205" s="42">
        <v>2</v>
      </c>
      <c r="BL205" s="42">
        <v>5</v>
      </c>
      <c r="BM205" s="42">
        <v>10</v>
      </c>
      <c r="BP205" s="42">
        <v>15</v>
      </c>
      <c r="BQ205" s="42">
        <v>4</v>
      </c>
    </row>
    <row r="206" spans="48:69" x14ac:dyDescent="0.2">
      <c r="AV206" s="42">
        <v>5</v>
      </c>
      <c r="AW206" s="42">
        <v>14</v>
      </c>
      <c r="AZ206" s="42">
        <v>11</v>
      </c>
      <c r="BA206" s="42">
        <v>16</v>
      </c>
      <c r="BD206" s="42">
        <v>15</v>
      </c>
      <c r="BE206" s="42">
        <v>5</v>
      </c>
      <c r="BH206" s="42">
        <v>3</v>
      </c>
      <c r="BI206" s="42">
        <v>6</v>
      </c>
      <c r="BL206" s="42">
        <v>9</v>
      </c>
      <c r="BM206" s="42">
        <v>6</v>
      </c>
      <c r="BP206" s="42">
        <v>5</v>
      </c>
      <c r="BQ206" s="42">
        <v>14</v>
      </c>
    </row>
    <row r="207" spans="48:69" x14ac:dyDescent="0.2">
      <c r="AV207" s="42">
        <v>13</v>
      </c>
      <c r="AW207" s="42">
        <v>6</v>
      </c>
      <c r="AZ207" s="42">
        <v>15</v>
      </c>
      <c r="BA207" s="42">
        <v>12</v>
      </c>
      <c r="BD207" s="42">
        <v>4</v>
      </c>
      <c r="BE207" s="42">
        <v>16</v>
      </c>
      <c r="BH207" s="42">
        <v>5</v>
      </c>
      <c r="BI207" s="42">
        <v>4</v>
      </c>
      <c r="BL207" s="42">
        <v>7</v>
      </c>
      <c r="BM207" s="42">
        <v>8</v>
      </c>
      <c r="BP207" s="42">
        <v>13</v>
      </c>
      <c r="BQ207" s="42">
        <v>6</v>
      </c>
    </row>
    <row r="208" spans="48:69" x14ac:dyDescent="0.2">
      <c r="AV208" s="42">
        <v>7</v>
      </c>
      <c r="AW208" s="42">
        <v>12</v>
      </c>
      <c r="AZ208" s="42">
        <v>13</v>
      </c>
      <c r="BA208" s="42">
        <v>14</v>
      </c>
      <c r="BD208" s="42">
        <v>17</v>
      </c>
      <c r="BE208" s="42">
        <v>3</v>
      </c>
      <c r="BH208" s="42">
        <v>12</v>
      </c>
      <c r="BI208" s="42">
        <v>1</v>
      </c>
      <c r="BL208" s="42">
        <v>16</v>
      </c>
      <c r="BM208" s="42">
        <v>1</v>
      </c>
      <c r="BP208" s="42">
        <v>7</v>
      </c>
      <c r="BQ208" s="42">
        <v>12</v>
      </c>
    </row>
    <row r="209" spans="48:69" x14ac:dyDescent="0.2">
      <c r="AV209" s="42">
        <v>11</v>
      </c>
      <c r="AW209" s="42">
        <v>8</v>
      </c>
      <c r="AZ209" s="42">
        <v>1</v>
      </c>
      <c r="BA209" s="42">
        <v>5</v>
      </c>
      <c r="BD209" s="42">
        <v>1</v>
      </c>
      <c r="BE209" s="42">
        <v>9</v>
      </c>
      <c r="BH209" s="42">
        <v>13</v>
      </c>
      <c r="BI209" s="42">
        <v>11</v>
      </c>
      <c r="BL209" s="42">
        <v>17</v>
      </c>
      <c r="BM209" s="42">
        <v>15</v>
      </c>
      <c r="BP209" s="42">
        <v>11</v>
      </c>
      <c r="BQ209" s="42">
        <v>8</v>
      </c>
    </row>
    <row r="210" spans="48:69" x14ac:dyDescent="0.2">
      <c r="AV210" s="42">
        <v>9</v>
      </c>
      <c r="AW210" s="42">
        <v>10</v>
      </c>
      <c r="AZ210" s="42">
        <v>6</v>
      </c>
      <c r="BA210" s="42">
        <v>4</v>
      </c>
      <c r="BD210" s="42">
        <v>10</v>
      </c>
      <c r="BE210" s="42">
        <v>8</v>
      </c>
      <c r="BH210" s="42">
        <v>10</v>
      </c>
      <c r="BI210" s="42">
        <v>14</v>
      </c>
      <c r="BL210" s="42">
        <v>14</v>
      </c>
      <c r="BM210" s="42">
        <v>18</v>
      </c>
      <c r="BP210" s="42">
        <v>9</v>
      </c>
      <c r="BQ210" s="42">
        <v>10</v>
      </c>
    </row>
    <row r="211" spans="48:69" x14ac:dyDescent="0.2">
      <c r="AZ211" s="42">
        <v>3</v>
      </c>
      <c r="BA211" s="42">
        <v>7</v>
      </c>
      <c r="BD211" s="42">
        <v>7</v>
      </c>
      <c r="BE211" s="42">
        <v>11</v>
      </c>
      <c r="BH211" s="42">
        <v>15</v>
      </c>
      <c r="BI211" s="42">
        <v>9</v>
      </c>
      <c r="BL211" s="42">
        <v>19</v>
      </c>
      <c r="BM211" s="42">
        <v>13</v>
      </c>
      <c r="BP211" s="42">
        <v>18</v>
      </c>
      <c r="BQ211" s="42">
        <v>1</v>
      </c>
    </row>
    <row r="212" spans="48:69" x14ac:dyDescent="0.2">
      <c r="AZ212" s="42">
        <v>8</v>
      </c>
      <c r="BA212" s="42">
        <v>2</v>
      </c>
      <c r="BD212" s="42">
        <v>12</v>
      </c>
      <c r="BE212" s="42">
        <v>6</v>
      </c>
      <c r="BH212" s="42">
        <v>8</v>
      </c>
      <c r="BI212" s="42">
        <v>16</v>
      </c>
      <c r="BL212" s="42">
        <v>2</v>
      </c>
      <c r="BM212" s="42">
        <v>11</v>
      </c>
      <c r="BP212" s="42">
        <v>19</v>
      </c>
      <c r="BQ212" s="42">
        <v>17</v>
      </c>
    </row>
    <row r="213" spans="48:69" x14ac:dyDescent="0.2">
      <c r="AZ213" s="42">
        <v>16</v>
      </c>
      <c r="BA213" s="42">
        <v>9</v>
      </c>
      <c r="BD213" s="42">
        <v>5</v>
      </c>
      <c r="BE213" s="42">
        <v>13</v>
      </c>
      <c r="BH213" s="42">
        <v>17</v>
      </c>
      <c r="BI213" s="42">
        <v>7</v>
      </c>
      <c r="BL213" s="42">
        <v>10</v>
      </c>
      <c r="BM213" s="42">
        <v>3</v>
      </c>
      <c r="BP213" s="42">
        <v>16</v>
      </c>
      <c r="BQ213" s="42">
        <v>20</v>
      </c>
    </row>
    <row r="214" spans="48:69" x14ac:dyDescent="0.2">
      <c r="AZ214" s="42">
        <v>10</v>
      </c>
      <c r="BA214" s="42">
        <v>15</v>
      </c>
      <c r="BD214" s="42">
        <v>14</v>
      </c>
      <c r="BE214" s="42">
        <v>4</v>
      </c>
      <c r="BH214" s="42">
        <v>6</v>
      </c>
      <c r="BI214" s="42">
        <v>18</v>
      </c>
      <c r="BL214" s="42">
        <v>4</v>
      </c>
      <c r="BM214" s="42">
        <v>9</v>
      </c>
      <c r="BP214" s="42">
        <v>2</v>
      </c>
      <c r="BQ214" s="42">
        <v>15</v>
      </c>
    </row>
    <row r="215" spans="48:69" x14ac:dyDescent="0.2">
      <c r="AZ215" s="42">
        <v>14</v>
      </c>
      <c r="BA215" s="42">
        <v>11</v>
      </c>
      <c r="BD215" s="42">
        <v>3</v>
      </c>
      <c r="BE215" s="42">
        <v>15</v>
      </c>
      <c r="BH215" s="42">
        <v>2</v>
      </c>
      <c r="BI215" s="42">
        <v>5</v>
      </c>
      <c r="BL215" s="42">
        <v>8</v>
      </c>
      <c r="BM215" s="42">
        <v>5</v>
      </c>
      <c r="BP215" s="42">
        <v>14</v>
      </c>
      <c r="BQ215" s="42">
        <v>3</v>
      </c>
    </row>
    <row r="216" spans="48:69" x14ac:dyDescent="0.2">
      <c r="AZ216" s="42">
        <v>12</v>
      </c>
      <c r="BA216" s="42">
        <v>13</v>
      </c>
      <c r="BD216" s="42">
        <v>16</v>
      </c>
      <c r="BE216" s="42">
        <v>2</v>
      </c>
      <c r="BH216" s="42">
        <v>4</v>
      </c>
      <c r="BI216" s="42">
        <v>3</v>
      </c>
      <c r="BL216" s="42">
        <v>6</v>
      </c>
      <c r="BM216" s="42">
        <v>7</v>
      </c>
      <c r="BP216" s="42">
        <v>4</v>
      </c>
      <c r="BQ216" s="42">
        <v>13</v>
      </c>
    </row>
    <row r="217" spans="48:69" x14ac:dyDescent="0.2">
      <c r="AZ217" s="42">
        <v>4</v>
      </c>
      <c r="BA217" s="42">
        <v>1</v>
      </c>
      <c r="BD217" s="42">
        <v>8</v>
      </c>
      <c r="BE217" s="42">
        <v>1</v>
      </c>
      <c r="BH217" s="42">
        <v>1</v>
      </c>
      <c r="BI217" s="42">
        <v>11</v>
      </c>
      <c r="BL217" s="42">
        <v>1</v>
      </c>
      <c r="BM217" s="42">
        <v>15</v>
      </c>
      <c r="BP217" s="42">
        <v>12</v>
      </c>
      <c r="BQ217" s="42">
        <v>5</v>
      </c>
    </row>
    <row r="218" spans="48:69" x14ac:dyDescent="0.2">
      <c r="AZ218" s="42">
        <v>5</v>
      </c>
      <c r="BA218" s="42">
        <v>3</v>
      </c>
      <c r="BD218" s="42">
        <v>9</v>
      </c>
      <c r="BE218" s="42">
        <v>7</v>
      </c>
      <c r="BH218" s="42">
        <v>12</v>
      </c>
      <c r="BI218" s="42">
        <v>10</v>
      </c>
      <c r="BL218" s="42">
        <v>16</v>
      </c>
      <c r="BM218" s="42">
        <v>14</v>
      </c>
      <c r="BP218" s="42">
        <v>6</v>
      </c>
      <c r="BQ218" s="42">
        <v>11</v>
      </c>
    </row>
    <row r="219" spans="48:69" x14ac:dyDescent="0.2">
      <c r="AZ219" s="42">
        <v>2</v>
      </c>
      <c r="BA219" s="42">
        <v>6</v>
      </c>
      <c r="BD219" s="42">
        <v>6</v>
      </c>
      <c r="BE219" s="42">
        <v>10</v>
      </c>
      <c r="BH219" s="42">
        <v>9</v>
      </c>
      <c r="BI219" s="42">
        <v>13</v>
      </c>
      <c r="BL219" s="42">
        <v>13</v>
      </c>
      <c r="BM219" s="42">
        <v>17</v>
      </c>
      <c r="BP219" s="42">
        <v>10</v>
      </c>
      <c r="BQ219" s="42">
        <v>7</v>
      </c>
    </row>
    <row r="220" spans="48:69" x14ac:dyDescent="0.2">
      <c r="AZ220" s="42">
        <v>7</v>
      </c>
      <c r="BA220" s="42">
        <v>16</v>
      </c>
      <c r="BD220" s="42">
        <v>11</v>
      </c>
      <c r="BE220" s="42">
        <v>5</v>
      </c>
      <c r="BH220" s="42">
        <v>14</v>
      </c>
      <c r="BI220" s="42">
        <v>8</v>
      </c>
      <c r="BL220" s="42">
        <v>18</v>
      </c>
      <c r="BM220" s="42">
        <v>12</v>
      </c>
      <c r="BP220" s="42">
        <v>8</v>
      </c>
      <c r="BQ220" s="42">
        <v>9</v>
      </c>
    </row>
    <row r="221" spans="48:69" x14ac:dyDescent="0.2">
      <c r="AZ221" s="42">
        <v>15</v>
      </c>
      <c r="BA221" s="42">
        <v>8</v>
      </c>
      <c r="BD221" s="42">
        <v>4</v>
      </c>
      <c r="BE221" s="42">
        <v>12</v>
      </c>
      <c r="BH221" s="42">
        <v>7</v>
      </c>
      <c r="BI221" s="42">
        <v>15</v>
      </c>
      <c r="BL221" s="42">
        <v>11</v>
      </c>
      <c r="BM221" s="42">
        <v>19</v>
      </c>
      <c r="BP221" s="42">
        <v>1</v>
      </c>
      <c r="BQ221" s="42">
        <v>17</v>
      </c>
    </row>
    <row r="222" spans="48:69" x14ac:dyDescent="0.2">
      <c r="AZ222" s="42">
        <v>9</v>
      </c>
      <c r="BA222" s="42">
        <v>14</v>
      </c>
      <c r="BD222" s="42">
        <v>13</v>
      </c>
      <c r="BE222" s="42">
        <v>3</v>
      </c>
      <c r="BH222" s="42">
        <v>16</v>
      </c>
      <c r="BI222" s="42">
        <v>6</v>
      </c>
      <c r="BL222" s="42">
        <v>9</v>
      </c>
      <c r="BM222" s="42">
        <v>2</v>
      </c>
      <c r="BP222" s="42">
        <v>18</v>
      </c>
      <c r="BQ222" s="42">
        <v>16</v>
      </c>
    </row>
    <row r="223" spans="48:69" x14ac:dyDescent="0.2">
      <c r="AZ223" s="42">
        <v>13</v>
      </c>
      <c r="BA223" s="42">
        <v>10</v>
      </c>
      <c r="BD223" s="42">
        <v>2</v>
      </c>
      <c r="BE223" s="42">
        <v>14</v>
      </c>
      <c r="BH223" s="42">
        <v>5</v>
      </c>
      <c r="BI223" s="42">
        <v>17</v>
      </c>
      <c r="BL223" s="42">
        <v>3</v>
      </c>
      <c r="BM223" s="42">
        <v>8</v>
      </c>
      <c r="BP223" s="42">
        <v>15</v>
      </c>
      <c r="BQ223" s="42">
        <v>19</v>
      </c>
    </row>
    <row r="224" spans="48:69" x14ac:dyDescent="0.2">
      <c r="AZ224" s="42">
        <v>11</v>
      </c>
      <c r="BA224" s="42">
        <v>12</v>
      </c>
      <c r="BD224" s="42">
        <v>17</v>
      </c>
      <c r="BE224" s="42">
        <v>16</v>
      </c>
      <c r="BH224" s="42">
        <v>18</v>
      </c>
      <c r="BI224" s="42">
        <v>4</v>
      </c>
      <c r="BL224" s="42">
        <v>7</v>
      </c>
      <c r="BM224" s="42">
        <v>4</v>
      </c>
      <c r="BP224" s="42">
        <v>20</v>
      </c>
      <c r="BQ224" s="42">
        <v>14</v>
      </c>
    </row>
    <row r="225" spans="52:69" x14ac:dyDescent="0.2">
      <c r="AZ225" s="42">
        <v>1</v>
      </c>
      <c r="BA225" s="42">
        <v>3</v>
      </c>
      <c r="BD225" s="42">
        <v>1</v>
      </c>
      <c r="BE225" s="42">
        <v>7</v>
      </c>
      <c r="BH225" s="42">
        <v>3</v>
      </c>
      <c r="BI225" s="42">
        <v>2</v>
      </c>
      <c r="BL225" s="42">
        <v>5</v>
      </c>
      <c r="BM225" s="42">
        <v>6</v>
      </c>
      <c r="BP225" s="42">
        <v>13</v>
      </c>
      <c r="BQ225" s="42">
        <v>2</v>
      </c>
    </row>
    <row r="226" spans="52:69" x14ac:dyDescent="0.2">
      <c r="AZ226" s="42">
        <v>4</v>
      </c>
      <c r="BA226" s="42">
        <v>2</v>
      </c>
      <c r="BD226" s="42">
        <v>8</v>
      </c>
      <c r="BE226" s="42">
        <v>6</v>
      </c>
      <c r="BH226" s="42">
        <v>10</v>
      </c>
      <c r="BI226" s="42">
        <v>1</v>
      </c>
      <c r="BL226" s="42">
        <v>14</v>
      </c>
      <c r="BM226" s="42">
        <v>1</v>
      </c>
      <c r="BP226" s="42">
        <v>3</v>
      </c>
      <c r="BQ226" s="42">
        <v>12</v>
      </c>
    </row>
    <row r="227" spans="52:69" x14ac:dyDescent="0.2">
      <c r="AZ227" s="42">
        <v>16</v>
      </c>
      <c r="BA227" s="42">
        <v>5</v>
      </c>
      <c r="BD227" s="42">
        <v>5</v>
      </c>
      <c r="BE227" s="42">
        <v>9</v>
      </c>
      <c r="BH227" s="42">
        <v>11</v>
      </c>
      <c r="BI227" s="42">
        <v>9</v>
      </c>
      <c r="BL227" s="42">
        <v>15</v>
      </c>
      <c r="BM227" s="42">
        <v>13</v>
      </c>
      <c r="BP227" s="42">
        <v>11</v>
      </c>
      <c r="BQ227" s="42">
        <v>4</v>
      </c>
    </row>
    <row r="228" spans="52:69" x14ac:dyDescent="0.2">
      <c r="AZ228" s="42">
        <v>6</v>
      </c>
      <c r="BA228" s="42">
        <v>15</v>
      </c>
      <c r="BD228" s="42">
        <v>10</v>
      </c>
      <c r="BE228" s="42">
        <v>4</v>
      </c>
      <c r="BH228" s="42">
        <v>8</v>
      </c>
      <c r="BI228" s="42">
        <v>12</v>
      </c>
      <c r="BL228" s="42">
        <v>12</v>
      </c>
      <c r="BM228" s="42">
        <v>16</v>
      </c>
      <c r="BP228" s="42">
        <v>5</v>
      </c>
      <c r="BQ228" s="42">
        <v>10</v>
      </c>
    </row>
    <row r="229" spans="52:69" x14ac:dyDescent="0.2">
      <c r="AZ229" s="42">
        <v>14</v>
      </c>
      <c r="BA229" s="42">
        <v>7</v>
      </c>
      <c r="BD229" s="42">
        <v>3</v>
      </c>
      <c r="BE229" s="42">
        <v>11</v>
      </c>
      <c r="BH229" s="42">
        <v>13</v>
      </c>
      <c r="BI229" s="42">
        <v>7</v>
      </c>
      <c r="BL229" s="42">
        <v>17</v>
      </c>
      <c r="BM229" s="42">
        <v>11</v>
      </c>
      <c r="BP229" s="42">
        <v>9</v>
      </c>
      <c r="BQ229" s="42">
        <v>6</v>
      </c>
    </row>
    <row r="230" spans="52:69" x14ac:dyDescent="0.2">
      <c r="AZ230" s="42">
        <v>8</v>
      </c>
      <c r="BA230" s="42">
        <v>13</v>
      </c>
      <c r="BD230" s="42">
        <v>12</v>
      </c>
      <c r="BE230" s="42">
        <v>2</v>
      </c>
      <c r="BH230" s="42">
        <v>6</v>
      </c>
      <c r="BI230" s="42">
        <v>14</v>
      </c>
      <c r="BL230" s="42">
        <v>10</v>
      </c>
      <c r="BM230" s="42">
        <v>18</v>
      </c>
      <c r="BP230" s="42">
        <v>7</v>
      </c>
      <c r="BQ230" s="42">
        <v>8</v>
      </c>
    </row>
    <row r="231" spans="52:69" x14ac:dyDescent="0.2">
      <c r="AZ231" s="42">
        <v>12</v>
      </c>
      <c r="BA231" s="42">
        <v>9</v>
      </c>
      <c r="BD231" s="42">
        <v>14</v>
      </c>
      <c r="BE231" s="42">
        <v>17</v>
      </c>
      <c r="BH231" s="42">
        <v>15</v>
      </c>
      <c r="BI231" s="42">
        <v>5</v>
      </c>
      <c r="BL231" s="42">
        <v>19</v>
      </c>
      <c r="BM231" s="42">
        <v>9</v>
      </c>
      <c r="BP231" s="42">
        <v>16</v>
      </c>
      <c r="BQ231" s="42">
        <v>1</v>
      </c>
    </row>
    <row r="232" spans="52:69" x14ac:dyDescent="0.2">
      <c r="AZ232" s="42">
        <v>10</v>
      </c>
      <c r="BA232" s="42">
        <v>11</v>
      </c>
      <c r="BD232" s="42">
        <v>16</v>
      </c>
      <c r="BE232" s="42">
        <v>15</v>
      </c>
      <c r="BH232" s="42">
        <v>4</v>
      </c>
      <c r="BI232" s="42">
        <v>16</v>
      </c>
      <c r="BL232" s="42">
        <v>2</v>
      </c>
      <c r="BM232" s="42">
        <v>7</v>
      </c>
      <c r="BP232" s="42">
        <v>17</v>
      </c>
      <c r="BQ232" s="42">
        <v>15</v>
      </c>
    </row>
    <row r="233" spans="52:69" x14ac:dyDescent="0.2">
      <c r="AZ233" s="42">
        <v>2</v>
      </c>
      <c r="BA233" s="42">
        <v>1</v>
      </c>
      <c r="BD233" s="42">
        <v>6</v>
      </c>
      <c r="BE233" s="42">
        <v>1</v>
      </c>
      <c r="BH233" s="42">
        <v>17</v>
      </c>
      <c r="BI233" s="42">
        <v>3</v>
      </c>
      <c r="BL233" s="42">
        <v>6</v>
      </c>
      <c r="BM233" s="42">
        <v>3</v>
      </c>
      <c r="BP233" s="42">
        <v>14</v>
      </c>
      <c r="BQ233" s="42">
        <v>18</v>
      </c>
    </row>
    <row r="234" spans="52:69" x14ac:dyDescent="0.2">
      <c r="AZ234" s="42">
        <v>3</v>
      </c>
      <c r="BA234" s="42">
        <v>16</v>
      </c>
      <c r="BD234" s="42">
        <v>7</v>
      </c>
      <c r="BE234" s="42">
        <v>5</v>
      </c>
      <c r="BH234" s="42">
        <v>2</v>
      </c>
      <c r="BI234" s="42">
        <v>18</v>
      </c>
      <c r="BL234" s="42">
        <v>4</v>
      </c>
      <c r="BM234" s="42">
        <v>5</v>
      </c>
      <c r="BP234" s="42">
        <v>19</v>
      </c>
      <c r="BQ234" s="42">
        <v>13</v>
      </c>
    </row>
    <row r="235" spans="52:69" x14ac:dyDescent="0.2">
      <c r="AZ235" s="42">
        <v>15</v>
      </c>
      <c r="BA235" s="42">
        <v>4</v>
      </c>
      <c r="BD235" s="42">
        <v>4</v>
      </c>
      <c r="BE235" s="42">
        <v>8</v>
      </c>
      <c r="BH235" s="42">
        <v>1</v>
      </c>
      <c r="BI235" s="42">
        <v>9</v>
      </c>
      <c r="BL235" s="42">
        <v>1</v>
      </c>
      <c r="BM235" s="42">
        <v>13</v>
      </c>
      <c r="BP235" s="42">
        <v>12</v>
      </c>
      <c r="BQ235" s="42">
        <v>20</v>
      </c>
    </row>
    <row r="236" spans="52:69" x14ac:dyDescent="0.2">
      <c r="AZ236" s="42">
        <v>5</v>
      </c>
      <c r="BA236" s="42">
        <v>14</v>
      </c>
      <c r="BD236" s="42">
        <v>9</v>
      </c>
      <c r="BE236" s="42">
        <v>3</v>
      </c>
      <c r="BH236" s="42">
        <v>10</v>
      </c>
      <c r="BI236" s="42">
        <v>8</v>
      </c>
      <c r="BL236" s="42">
        <v>14</v>
      </c>
      <c r="BM236" s="42">
        <v>12</v>
      </c>
      <c r="BP236" s="42">
        <v>2</v>
      </c>
      <c r="BQ236" s="42">
        <v>11</v>
      </c>
    </row>
    <row r="237" spans="52:69" x14ac:dyDescent="0.2">
      <c r="AZ237" s="42">
        <v>13</v>
      </c>
      <c r="BA237" s="42">
        <v>6</v>
      </c>
      <c r="BD237" s="42">
        <v>2</v>
      </c>
      <c r="BE237" s="42">
        <v>10</v>
      </c>
      <c r="BH237" s="42">
        <v>7</v>
      </c>
      <c r="BI237" s="42">
        <v>11</v>
      </c>
      <c r="BL237" s="42">
        <v>11</v>
      </c>
      <c r="BM237" s="42">
        <v>15</v>
      </c>
      <c r="BP237" s="42">
        <v>10</v>
      </c>
      <c r="BQ237" s="42">
        <v>3</v>
      </c>
    </row>
    <row r="238" spans="52:69" x14ac:dyDescent="0.2">
      <c r="AZ238" s="42">
        <v>7</v>
      </c>
      <c r="BA238" s="42">
        <v>12</v>
      </c>
      <c r="BD238" s="42">
        <v>17</v>
      </c>
      <c r="BE238" s="42">
        <v>12</v>
      </c>
      <c r="BH238" s="42">
        <v>12</v>
      </c>
      <c r="BI238" s="42">
        <v>6</v>
      </c>
      <c r="BL238" s="42">
        <v>16</v>
      </c>
      <c r="BM238" s="42">
        <v>10</v>
      </c>
      <c r="BP238" s="42">
        <v>4</v>
      </c>
      <c r="BQ238" s="42">
        <v>9</v>
      </c>
    </row>
    <row r="239" spans="52:69" x14ac:dyDescent="0.2">
      <c r="AZ239" s="42">
        <v>11</v>
      </c>
      <c r="BA239" s="42">
        <v>8</v>
      </c>
      <c r="BD239" s="42">
        <v>13</v>
      </c>
      <c r="BE239" s="42">
        <v>16</v>
      </c>
      <c r="BH239" s="42">
        <v>5</v>
      </c>
      <c r="BI239" s="42">
        <v>13</v>
      </c>
      <c r="BL239" s="42">
        <v>9</v>
      </c>
      <c r="BM239" s="42">
        <v>17</v>
      </c>
      <c r="BP239" s="42">
        <v>8</v>
      </c>
      <c r="BQ239" s="42">
        <v>5</v>
      </c>
    </row>
    <row r="240" spans="52:69" x14ac:dyDescent="0.2">
      <c r="AZ240" s="42">
        <v>9</v>
      </c>
      <c r="BA240" s="42">
        <v>10</v>
      </c>
      <c r="BD240" s="42">
        <v>15</v>
      </c>
      <c r="BE240" s="42">
        <v>14</v>
      </c>
      <c r="BH240" s="42">
        <v>14</v>
      </c>
      <c r="BI240" s="42">
        <v>4</v>
      </c>
      <c r="BL240" s="42">
        <v>18</v>
      </c>
      <c r="BM240" s="42">
        <v>8</v>
      </c>
      <c r="BP240" s="42">
        <v>6</v>
      </c>
      <c r="BQ240" s="42">
        <v>7</v>
      </c>
    </row>
    <row r="241" spans="56:69" x14ac:dyDescent="0.2">
      <c r="BD241" s="42">
        <v>1</v>
      </c>
      <c r="BE241" s="42">
        <v>5</v>
      </c>
      <c r="BH241" s="42">
        <v>3</v>
      </c>
      <c r="BI241" s="42">
        <v>15</v>
      </c>
      <c r="BL241" s="42">
        <v>7</v>
      </c>
      <c r="BM241" s="42">
        <v>19</v>
      </c>
      <c r="BP241" s="42">
        <v>1</v>
      </c>
      <c r="BQ241" s="42">
        <v>15</v>
      </c>
    </row>
    <row r="242" spans="56:69" x14ac:dyDescent="0.2">
      <c r="BD242" s="42">
        <v>6</v>
      </c>
      <c r="BE242" s="42">
        <v>4</v>
      </c>
      <c r="BH242" s="42">
        <v>16</v>
      </c>
      <c r="BI242" s="42">
        <v>2</v>
      </c>
      <c r="BL242" s="42">
        <v>5</v>
      </c>
      <c r="BM242" s="42">
        <v>2</v>
      </c>
      <c r="BP242" s="42">
        <v>16</v>
      </c>
      <c r="BQ242" s="42">
        <v>14</v>
      </c>
    </row>
    <row r="243" spans="56:69" x14ac:dyDescent="0.2">
      <c r="BD243" s="42">
        <v>3</v>
      </c>
      <c r="BE243" s="42">
        <v>7</v>
      </c>
      <c r="BH243" s="42">
        <v>18</v>
      </c>
      <c r="BI243" s="42">
        <v>17</v>
      </c>
      <c r="BL243" s="42">
        <v>3</v>
      </c>
      <c r="BM243" s="42">
        <v>4</v>
      </c>
      <c r="BP243" s="42">
        <v>13</v>
      </c>
      <c r="BQ243" s="42">
        <v>17</v>
      </c>
    </row>
    <row r="244" spans="56:69" x14ac:dyDescent="0.2">
      <c r="BD244" s="42">
        <v>8</v>
      </c>
      <c r="BE244" s="42">
        <v>2</v>
      </c>
      <c r="BH244" s="42">
        <v>8</v>
      </c>
      <c r="BI244" s="42">
        <v>1</v>
      </c>
      <c r="BL244" s="42">
        <v>12</v>
      </c>
      <c r="BM244" s="42">
        <v>1</v>
      </c>
      <c r="BP244" s="42">
        <v>18</v>
      </c>
      <c r="BQ244" s="42">
        <v>12</v>
      </c>
    </row>
    <row r="245" spans="56:69" x14ac:dyDescent="0.2">
      <c r="BD245" s="42">
        <v>10</v>
      </c>
      <c r="BE245" s="42">
        <v>17</v>
      </c>
      <c r="BH245" s="42">
        <v>9</v>
      </c>
      <c r="BI245" s="42">
        <v>7</v>
      </c>
      <c r="BL245" s="42">
        <v>13</v>
      </c>
      <c r="BM245" s="42">
        <v>11</v>
      </c>
      <c r="BP245" s="42">
        <v>11</v>
      </c>
      <c r="BQ245" s="42">
        <v>19</v>
      </c>
    </row>
    <row r="246" spans="56:69" x14ac:dyDescent="0.2">
      <c r="BD246" s="42">
        <v>16</v>
      </c>
      <c r="BE246" s="42">
        <v>11</v>
      </c>
      <c r="BH246" s="42">
        <v>6</v>
      </c>
      <c r="BI246" s="42">
        <v>10</v>
      </c>
      <c r="BL246" s="42">
        <v>10</v>
      </c>
      <c r="BM246" s="42">
        <v>14</v>
      </c>
      <c r="BP246" s="42">
        <v>20</v>
      </c>
      <c r="BQ246" s="42">
        <v>10</v>
      </c>
    </row>
    <row r="247" spans="56:69" x14ac:dyDescent="0.2">
      <c r="BD247" s="42">
        <v>12</v>
      </c>
      <c r="BE247" s="42">
        <v>15</v>
      </c>
      <c r="BH247" s="42">
        <v>11</v>
      </c>
      <c r="BI247" s="42">
        <v>5</v>
      </c>
      <c r="BL247" s="42">
        <v>15</v>
      </c>
      <c r="BM247" s="42">
        <v>9</v>
      </c>
      <c r="BP247" s="42">
        <v>9</v>
      </c>
      <c r="BQ247" s="42">
        <v>2</v>
      </c>
    </row>
    <row r="248" spans="56:69" x14ac:dyDescent="0.2">
      <c r="BD248" s="42">
        <v>14</v>
      </c>
      <c r="BE248" s="42">
        <v>13</v>
      </c>
      <c r="BH248" s="42">
        <v>4</v>
      </c>
      <c r="BI248" s="42">
        <v>12</v>
      </c>
      <c r="BL248" s="42">
        <v>8</v>
      </c>
      <c r="BM248" s="42">
        <v>16</v>
      </c>
      <c r="BP248" s="42">
        <v>3</v>
      </c>
      <c r="BQ248" s="42">
        <v>8</v>
      </c>
    </row>
    <row r="249" spans="56:69" x14ac:dyDescent="0.2">
      <c r="BD249" s="42">
        <v>4</v>
      </c>
      <c r="BE249" s="42">
        <v>1</v>
      </c>
      <c r="BH249" s="42">
        <v>13</v>
      </c>
      <c r="BI249" s="42">
        <v>3</v>
      </c>
      <c r="BL249" s="42">
        <v>17</v>
      </c>
      <c r="BM249" s="42">
        <v>7</v>
      </c>
      <c r="BP249" s="42">
        <v>7</v>
      </c>
      <c r="BQ249" s="42">
        <v>4</v>
      </c>
    </row>
    <row r="250" spans="56:69" x14ac:dyDescent="0.2">
      <c r="BD250" s="42">
        <v>5</v>
      </c>
      <c r="BE250" s="42">
        <v>3</v>
      </c>
      <c r="BH250" s="42">
        <v>2</v>
      </c>
      <c r="BI250" s="42">
        <v>14</v>
      </c>
      <c r="BL250" s="42">
        <v>6</v>
      </c>
      <c r="BM250" s="42">
        <v>18</v>
      </c>
      <c r="BP250" s="42">
        <v>5</v>
      </c>
      <c r="BQ250" s="42">
        <v>6</v>
      </c>
    </row>
    <row r="251" spans="56:69" x14ac:dyDescent="0.2">
      <c r="BD251" s="42">
        <v>2</v>
      </c>
      <c r="BE251" s="42">
        <v>6</v>
      </c>
      <c r="BH251" s="42">
        <v>15</v>
      </c>
      <c r="BI251" s="42">
        <v>18</v>
      </c>
      <c r="BL251" s="42">
        <v>19</v>
      </c>
      <c r="BM251" s="42">
        <v>5</v>
      </c>
      <c r="BP251" s="42">
        <v>14</v>
      </c>
      <c r="BQ251" s="42">
        <v>1</v>
      </c>
    </row>
    <row r="252" spans="56:69" x14ac:dyDescent="0.2">
      <c r="BD252" s="42">
        <v>17</v>
      </c>
      <c r="BE252" s="42">
        <v>8</v>
      </c>
      <c r="BH252" s="42">
        <v>17</v>
      </c>
      <c r="BI252" s="42">
        <v>16</v>
      </c>
      <c r="BL252" s="42">
        <v>2</v>
      </c>
      <c r="BM252" s="42">
        <v>3</v>
      </c>
      <c r="BP252" s="42">
        <v>15</v>
      </c>
      <c r="BQ252" s="42">
        <v>13</v>
      </c>
    </row>
    <row r="253" spans="56:69" x14ac:dyDescent="0.2">
      <c r="BD253" s="42">
        <v>9</v>
      </c>
      <c r="BE253" s="42">
        <v>16</v>
      </c>
      <c r="BH253" s="42">
        <v>1</v>
      </c>
      <c r="BI253" s="42">
        <v>7</v>
      </c>
      <c r="BL253" s="42">
        <v>1</v>
      </c>
      <c r="BM253" s="42">
        <v>11</v>
      </c>
      <c r="BP253" s="42">
        <v>12</v>
      </c>
      <c r="BQ253" s="42">
        <v>16</v>
      </c>
    </row>
    <row r="254" spans="56:69" x14ac:dyDescent="0.2">
      <c r="BD254" s="42">
        <v>15</v>
      </c>
      <c r="BE254" s="42">
        <v>10</v>
      </c>
      <c r="BH254" s="42">
        <v>8</v>
      </c>
      <c r="BI254" s="42">
        <v>6</v>
      </c>
      <c r="BL254" s="42">
        <v>12</v>
      </c>
      <c r="BM254" s="42">
        <v>10</v>
      </c>
      <c r="BP254" s="42">
        <v>17</v>
      </c>
      <c r="BQ254" s="42">
        <v>11</v>
      </c>
    </row>
    <row r="255" spans="56:69" x14ac:dyDescent="0.2">
      <c r="BD255" s="42">
        <v>11</v>
      </c>
      <c r="BE255" s="42">
        <v>14</v>
      </c>
      <c r="BH255" s="42">
        <v>5</v>
      </c>
      <c r="BI255" s="42">
        <v>9</v>
      </c>
      <c r="BL255" s="42">
        <v>9</v>
      </c>
      <c r="BM255" s="42">
        <v>13</v>
      </c>
      <c r="BP255" s="42">
        <v>10</v>
      </c>
      <c r="BQ255" s="42">
        <v>18</v>
      </c>
    </row>
    <row r="256" spans="56:69" x14ac:dyDescent="0.2">
      <c r="BD256" s="42">
        <v>13</v>
      </c>
      <c r="BE256" s="42">
        <v>12</v>
      </c>
      <c r="BH256" s="42">
        <v>10</v>
      </c>
      <c r="BI256" s="42">
        <v>4</v>
      </c>
      <c r="BL256" s="42">
        <v>14</v>
      </c>
      <c r="BM256" s="42">
        <v>8</v>
      </c>
      <c r="BP256" s="42">
        <v>19</v>
      </c>
      <c r="BQ256" s="42">
        <v>9</v>
      </c>
    </row>
    <row r="257" spans="56:69" x14ac:dyDescent="0.2">
      <c r="BD257" s="42">
        <v>1</v>
      </c>
      <c r="BE257" s="42">
        <v>3</v>
      </c>
      <c r="BH257" s="42">
        <v>3</v>
      </c>
      <c r="BI257" s="42">
        <v>11</v>
      </c>
      <c r="BL257" s="42">
        <v>7</v>
      </c>
      <c r="BM257" s="42">
        <v>15</v>
      </c>
      <c r="BP257" s="42">
        <v>8</v>
      </c>
      <c r="BQ257" s="42">
        <v>20</v>
      </c>
    </row>
    <row r="258" spans="56:69" x14ac:dyDescent="0.2">
      <c r="BD258" s="42">
        <v>4</v>
      </c>
      <c r="BE258" s="42">
        <v>2</v>
      </c>
      <c r="BH258" s="42">
        <v>12</v>
      </c>
      <c r="BI258" s="42">
        <v>2</v>
      </c>
      <c r="BL258" s="42">
        <v>16</v>
      </c>
      <c r="BM258" s="42">
        <v>6</v>
      </c>
      <c r="BP258" s="42">
        <v>2</v>
      </c>
      <c r="BQ258" s="42">
        <v>7</v>
      </c>
    </row>
    <row r="259" spans="56:69" x14ac:dyDescent="0.2">
      <c r="BD259" s="42">
        <v>6</v>
      </c>
      <c r="BE259" s="42">
        <v>17</v>
      </c>
      <c r="BH259" s="42">
        <v>18</v>
      </c>
      <c r="BI259" s="42">
        <v>13</v>
      </c>
      <c r="BL259" s="42">
        <v>5</v>
      </c>
      <c r="BM259" s="42">
        <v>17</v>
      </c>
      <c r="BP259" s="42">
        <v>6</v>
      </c>
      <c r="BQ259" s="42">
        <v>3</v>
      </c>
    </row>
    <row r="260" spans="56:69" x14ac:dyDescent="0.2">
      <c r="BD260" s="42">
        <v>16</v>
      </c>
      <c r="BE260" s="42">
        <v>7</v>
      </c>
      <c r="BH260" s="42">
        <v>14</v>
      </c>
      <c r="BI260" s="42">
        <v>17</v>
      </c>
      <c r="BL260" s="42">
        <v>18</v>
      </c>
      <c r="BM260" s="42">
        <v>4</v>
      </c>
      <c r="BP260" s="42">
        <v>4</v>
      </c>
      <c r="BQ260" s="42">
        <v>5</v>
      </c>
    </row>
    <row r="261" spans="56:69" x14ac:dyDescent="0.2">
      <c r="BD261" s="42">
        <v>8</v>
      </c>
      <c r="BE261" s="42">
        <v>15</v>
      </c>
      <c r="BH261" s="42">
        <v>16</v>
      </c>
      <c r="BI261" s="42">
        <v>15</v>
      </c>
      <c r="BL261" s="42">
        <v>3</v>
      </c>
      <c r="BM261" s="42">
        <v>19</v>
      </c>
      <c r="BP261" s="42">
        <v>1</v>
      </c>
      <c r="BQ261" s="42">
        <v>13</v>
      </c>
    </row>
    <row r="262" spans="56:69" x14ac:dyDescent="0.2">
      <c r="BD262" s="42">
        <v>14</v>
      </c>
      <c r="BE262" s="42">
        <v>9</v>
      </c>
      <c r="BH262" s="42">
        <v>6</v>
      </c>
      <c r="BI262" s="42">
        <v>1</v>
      </c>
      <c r="BL262" s="42">
        <v>10</v>
      </c>
      <c r="BM262" s="42">
        <v>1</v>
      </c>
      <c r="BP262" s="42">
        <v>14</v>
      </c>
      <c r="BQ262" s="42">
        <v>12</v>
      </c>
    </row>
    <row r="263" spans="56:69" x14ac:dyDescent="0.2">
      <c r="BD263" s="42">
        <v>10</v>
      </c>
      <c r="BE263" s="42">
        <v>13</v>
      </c>
      <c r="BH263" s="42">
        <v>7</v>
      </c>
      <c r="BI263" s="42">
        <v>5</v>
      </c>
      <c r="BL263" s="42">
        <v>11</v>
      </c>
      <c r="BM263" s="42">
        <v>9</v>
      </c>
      <c r="BP263" s="42">
        <v>11</v>
      </c>
      <c r="BQ263" s="42">
        <v>15</v>
      </c>
    </row>
    <row r="264" spans="56:69" x14ac:dyDescent="0.2">
      <c r="BD264" s="42">
        <v>12</v>
      </c>
      <c r="BE264" s="42">
        <v>11</v>
      </c>
      <c r="BH264" s="42">
        <v>4</v>
      </c>
      <c r="BI264" s="42">
        <v>8</v>
      </c>
      <c r="BL264" s="42">
        <v>8</v>
      </c>
      <c r="BM264" s="42">
        <v>12</v>
      </c>
      <c r="BP264" s="42">
        <v>16</v>
      </c>
      <c r="BQ264" s="42">
        <v>10</v>
      </c>
    </row>
    <row r="265" spans="56:69" x14ac:dyDescent="0.2">
      <c r="BD265" s="42">
        <v>2</v>
      </c>
      <c r="BE265" s="42">
        <v>1</v>
      </c>
      <c r="BH265" s="42">
        <v>9</v>
      </c>
      <c r="BI265" s="42">
        <v>3</v>
      </c>
      <c r="BL265" s="42">
        <v>13</v>
      </c>
      <c r="BM265" s="42">
        <v>7</v>
      </c>
      <c r="BP265" s="42">
        <v>9</v>
      </c>
      <c r="BQ265" s="42">
        <v>17</v>
      </c>
    </row>
    <row r="266" spans="56:69" x14ac:dyDescent="0.2">
      <c r="BD266" s="42">
        <v>17</v>
      </c>
      <c r="BE266" s="42">
        <v>4</v>
      </c>
      <c r="BH266" s="42">
        <v>2</v>
      </c>
      <c r="BI266" s="42">
        <v>10</v>
      </c>
      <c r="BL266" s="42">
        <v>6</v>
      </c>
      <c r="BM266" s="42">
        <v>14</v>
      </c>
      <c r="BP266" s="42">
        <v>18</v>
      </c>
      <c r="BQ266" s="42">
        <v>8</v>
      </c>
    </row>
    <row r="267" spans="56:69" x14ac:dyDescent="0.2">
      <c r="BD267" s="42">
        <v>5</v>
      </c>
      <c r="BE267" s="42">
        <v>16</v>
      </c>
      <c r="BH267" s="42">
        <v>11</v>
      </c>
      <c r="BI267" s="42">
        <v>18</v>
      </c>
      <c r="BL267" s="42">
        <v>15</v>
      </c>
      <c r="BM267" s="42">
        <v>5</v>
      </c>
      <c r="BP267" s="42">
        <v>7</v>
      </c>
      <c r="BQ267" s="42">
        <v>19</v>
      </c>
    </row>
    <row r="268" spans="56:69" x14ac:dyDescent="0.2">
      <c r="BD268" s="42">
        <v>15</v>
      </c>
      <c r="BE268" s="42">
        <v>6</v>
      </c>
      <c r="BH268" s="42">
        <v>17</v>
      </c>
      <c r="BI268" s="42">
        <v>12</v>
      </c>
      <c r="BL268" s="42">
        <v>4</v>
      </c>
      <c r="BM268" s="42">
        <v>16</v>
      </c>
      <c r="BP268" s="42">
        <v>20</v>
      </c>
      <c r="BQ268" s="42">
        <v>6</v>
      </c>
    </row>
    <row r="269" spans="56:69" x14ac:dyDescent="0.2">
      <c r="BD269" s="42">
        <v>7</v>
      </c>
      <c r="BE269" s="42">
        <v>14</v>
      </c>
      <c r="BH269" s="42">
        <v>13</v>
      </c>
      <c r="BI269" s="42">
        <v>16</v>
      </c>
      <c r="BL269" s="42">
        <v>17</v>
      </c>
      <c r="BM269" s="42">
        <v>3</v>
      </c>
      <c r="BP269" s="42">
        <v>5</v>
      </c>
      <c r="BQ269" s="42">
        <v>2</v>
      </c>
    </row>
    <row r="270" spans="56:69" x14ac:dyDescent="0.2">
      <c r="BD270" s="42">
        <v>13</v>
      </c>
      <c r="BE270" s="42">
        <v>8</v>
      </c>
      <c r="BH270" s="42">
        <v>15</v>
      </c>
      <c r="BI270" s="42">
        <v>14</v>
      </c>
      <c r="BL270" s="42">
        <v>2</v>
      </c>
      <c r="BM270" s="42">
        <v>18</v>
      </c>
      <c r="BP270" s="42">
        <v>3</v>
      </c>
      <c r="BQ270" s="42">
        <v>4</v>
      </c>
    </row>
    <row r="271" spans="56:69" x14ac:dyDescent="0.2">
      <c r="BD271" s="42">
        <v>9</v>
      </c>
      <c r="BE271" s="42">
        <v>12</v>
      </c>
      <c r="BH271" s="42">
        <v>1</v>
      </c>
      <c r="BI271" s="42">
        <v>5</v>
      </c>
      <c r="BL271" s="42">
        <v>1</v>
      </c>
      <c r="BM271" s="42">
        <v>9</v>
      </c>
      <c r="BP271" s="42">
        <v>12</v>
      </c>
      <c r="BQ271" s="42">
        <v>1</v>
      </c>
    </row>
    <row r="272" spans="56:69" x14ac:dyDescent="0.2">
      <c r="BD272" s="42">
        <v>11</v>
      </c>
      <c r="BE272" s="42">
        <v>10</v>
      </c>
      <c r="BH272" s="42">
        <v>6</v>
      </c>
      <c r="BI272" s="42">
        <v>4</v>
      </c>
      <c r="BL272" s="42">
        <v>10</v>
      </c>
      <c r="BM272" s="42">
        <v>8</v>
      </c>
      <c r="BP272" s="42">
        <v>13</v>
      </c>
      <c r="BQ272" s="42">
        <v>11</v>
      </c>
    </row>
    <row r="273" spans="60:69" x14ac:dyDescent="0.2">
      <c r="BH273" s="42">
        <v>3</v>
      </c>
      <c r="BI273" s="42">
        <v>7</v>
      </c>
      <c r="BL273" s="42">
        <v>7</v>
      </c>
      <c r="BM273" s="42">
        <v>11</v>
      </c>
      <c r="BP273" s="42">
        <v>10</v>
      </c>
      <c r="BQ273" s="42">
        <v>14</v>
      </c>
    </row>
    <row r="274" spans="60:69" x14ac:dyDescent="0.2">
      <c r="BH274" s="42">
        <v>8</v>
      </c>
      <c r="BI274" s="42">
        <v>2</v>
      </c>
      <c r="BL274" s="42">
        <v>12</v>
      </c>
      <c r="BM274" s="42">
        <v>6</v>
      </c>
      <c r="BP274" s="42">
        <v>15</v>
      </c>
      <c r="BQ274" s="42">
        <v>9</v>
      </c>
    </row>
    <row r="275" spans="60:69" x14ac:dyDescent="0.2">
      <c r="BH275" s="42">
        <v>18</v>
      </c>
      <c r="BI275" s="42">
        <v>9</v>
      </c>
      <c r="BL275" s="42">
        <v>5</v>
      </c>
      <c r="BM275" s="42">
        <v>13</v>
      </c>
      <c r="BP275" s="42">
        <v>8</v>
      </c>
      <c r="BQ275" s="42">
        <v>16</v>
      </c>
    </row>
    <row r="276" spans="60:69" x14ac:dyDescent="0.2">
      <c r="BH276" s="42">
        <v>10</v>
      </c>
      <c r="BI276" s="42">
        <v>17</v>
      </c>
      <c r="BL276" s="42">
        <v>14</v>
      </c>
      <c r="BM276" s="42">
        <v>4</v>
      </c>
      <c r="BP276" s="42">
        <v>17</v>
      </c>
      <c r="BQ276" s="42">
        <v>7</v>
      </c>
    </row>
    <row r="277" spans="60:69" x14ac:dyDescent="0.2">
      <c r="BH277" s="42">
        <v>16</v>
      </c>
      <c r="BI277" s="42">
        <v>11</v>
      </c>
      <c r="BL277" s="42">
        <v>3</v>
      </c>
      <c r="BM277" s="42">
        <v>15</v>
      </c>
      <c r="BP277" s="42">
        <v>6</v>
      </c>
      <c r="BQ277" s="42">
        <v>18</v>
      </c>
    </row>
    <row r="278" spans="60:69" x14ac:dyDescent="0.2">
      <c r="BH278" s="42">
        <v>12</v>
      </c>
      <c r="BI278" s="42">
        <v>15</v>
      </c>
      <c r="BL278" s="42">
        <v>16</v>
      </c>
      <c r="BM278" s="42">
        <v>2</v>
      </c>
      <c r="BP278" s="42">
        <v>19</v>
      </c>
      <c r="BQ278" s="42">
        <v>5</v>
      </c>
    </row>
    <row r="279" spans="60:69" x14ac:dyDescent="0.2">
      <c r="BH279" s="42">
        <v>14</v>
      </c>
      <c r="BI279" s="42">
        <v>13</v>
      </c>
      <c r="BL279" s="42">
        <v>18</v>
      </c>
      <c r="BM279" s="42">
        <v>19</v>
      </c>
      <c r="BP279" s="42">
        <v>4</v>
      </c>
      <c r="BQ279" s="42">
        <v>20</v>
      </c>
    </row>
    <row r="280" spans="60:69" x14ac:dyDescent="0.2">
      <c r="BH280" s="42">
        <v>4</v>
      </c>
      <c r="BI280" s="42">
        <v>1</v>
      </c>
      <c r="BL280" s="42">
        <v>8</v>
      </c>
      <c r="BM280" s="42">
        <v>1</v>
      </c>
      <c r="BP280" s="42">
        <v>2</v>
      </c>
      <c r="BQ280" s="42">
        <v>3</v>
      </c>
    </row>
    <row r="281" spans="60:69" x14ac:dyDescent="0.2">
      <c r="BH281" s="42">
        <v>5</v>
      </c>
      <c r="BI281" s="42">
        <v>3</v>
      </c>
      <c r="BL281" s="42">
        <v>9</v>
      </c>
      <c r="BM281" s="42">
        <v>7</v>
      </c>
      <c r="BP281" s="42">
        <v>1</v>
      </c>
      <c r="BQ281" s="42">
        <v>11</v>
      </c>
    </row>
    <row r="282" spans="60:69" x14ac:dyDescent="0.2">
      <c r="BH282" s="42">
        <v>2</v>
      </c>
      <c r="BI282" s="42">
        <v>6</v>
      </c>
      <c r="BL282" s="42">
        <v>6</v>
      </c>
      <c r="BM282" s="42">
        <v>10</v>
      </c>
      <c r="BP282" s="42">
        <v>12</v>
      </c>
      <c r="BQ282" s="42">
        <v>10</v>
      </c>
    </row>
    <row r="283" spans="60:69" x14ac:dyDescent="0.2">
      <c r="BH283" s="42">
        <v>7</v>
      </c>
      <c r="BI283" s="42">
        <v>18</v>
      </c>
      <c r="BL283" s="42">
        <v>11</v>
      </c>
      <c r="BM283" s="42">
        <v>5</v>
      </c>
      <c r="BP283" s="42">
        <v>9</v>
      </c>
      <c r="BQ283" s="42">
        <v>13</v>
      </c>
    </row>
    <row r="284" spans="60:69" x14ac:dyDescent="0.2">
      <c r="BH284" s="42">
        <v>17</v>
      </c>
      <c r="BI284" s="42">
        <v>8</v>
      </c>
      <c r="BL284" s="42">
        <v>4</v>
      </c>
      <c r="BM284" s="42">
        <v>12</v>
      </c>
      <c r="BP284" s="42">
        <v>14</v>
      </c>
      <c r="BQ284" s="42">
        <v>8</v>
      </c>
    </row>
    <row r="285" spans="60:69" x14ac:dyDescent="0.2">
      <c r="BH285" s="42">
        <v>9</v>
      </c>
      <c r="BI285" s="42">
        <v>16</v>
      </c>
      <c r="BL285" s="42">
        <v>13</v>
      </c>
      <c r="BM285" s="42">
        <v>3</v>
      </c>
      <c r="BP285" s="42">
        <v>7</v>
      </c>
      <c r="BQ285" s="42">
        <v>15</v>
      </c>
    </row>
    <row r="286" spans="60:69" x14ac:dyDescent="0.2">
      <c r="BH286" s="42">
        <v>15</v>
      </c>
      <c r="BI286" s="42">
        <v>10</v>
      </c>
      <c r="BL286" s="42">
        <v>2</v>
      </c>
      <c r="BM286" s="42">
        <v>14</v>
      </c>
      <c r="BP286" s="42">
        <v>16</v>
      </c>
      <c r="BQ286" s="42">
        <v>6</v>
      </c>
    </row>
    <row r="287" spans="60:69" x14ac:dyDescent="0.2">
      <c r="BH287" s="42">
        <v>11</v>
      </c>
      <c r="BI287" s="42">
        <v>14</v>
      </c>
      <c r="BL287" s="42">
        <v>19</v>
      </c>
      <c r="BM287" s="42">
        <v>16</v>
      </c>
      <c r="BP287" s="42">
        <v>5</v>
      </c>
      <c r="BQ287" s="42">
        <v>17</v>
      </c>
    </row>
    <row r="288" spans="60:69" x14ac:dyDescent="0.2">
      <c r="BH288" s="42">
        <v>13</v>
      </c>
      <c r="BI288" s="42">
        <v>12</v>
      </c>
      <c r="BL288" s="42">
        <v>17</v>
      </c>
      <c r="BM288" s="42">
        <v>18</v>
      </c>
      <c r="BP288" s="42">
        <v>18</v>
      </c>
      <c r="BQ288" s="42">
        <v>4</v>
      </c>
    </row>
    <row r="289" spans="60:69" x14ac:dyDescent="0.2">
      <c r="BH289" s="42">
        <v>1</v>
      </c>
      <c r="BI289" s="42">
        <v>3</v>
      </c>
      <c r="BL289" s="42">
        <v>1</v>
      </c>
      <c r="BM289" s="42">
        <v>7</v>
      </c>
      <c r="BP289" s="42">
        <v>3</v>
      </c>
      <c r="BQ289" s="42">
        <v>19</v>
      </c>
    </row>
    <row r="290" spans="60:69" x14ac:dyDescent="0.2">
      <c r="BH290" s="42">
        <v>4</v>
      </c>
      <c r="BI290" s="42">
        <v>2</v>
      </c>
      <c r="BL290" s="42">
        <v>8</v>
      </c>
      <c r="BM290" s="42">
        <v>6</v>
      </c>
      <c r="BP290" s="42">
        <v>20</v>
      </c>
      <c r="BQ290" s="42">
        <v>2</v>
      </c>
    </row>
    <row r="291" spans="60:69" x14ac:dyDescent="0.2">
      <c r="BH291" s="42">
        <v>18</v>
      </c>
      <c r="BI291" s="42">
        <v>5</v>
      </c>
      <c r="BL291" s="42">
        <v>5</v>
      </c>
      <c r="BM291" s="42">
        <v>9</v>
      </c>
      <c r="BP291" s="42">
        <v>10</v>
      </c>
      <c r="BQ291" s="42">
        <v>1</v>
      </c>
    </row>
    <row r="292" spans="60:69" x14ac:dyDescent="0.2">
      <c r="BH292" s="42">
        <v>6</v>
      </c>
      <c r="BI292" s="42">
        <v>17</v>
      </c>
      <c r="BL292" s="42">
        <v>10</v>
      </c>
      <c r="BM292" s="42">
        <v>4</v>
      </c>
      <c r="BP292" s="42">
        <v>11</v>
      </c>
      <c r="BQ292" s="42">
        <v>9</v>
      </c>
    </row>
    <row r="293" spans="60:69" x14ac:dyDescent="0.2">
      <c r="BH293" s="42">
        <v>16</v>
      </c>
      <c r="BI293" s="42">
        <v>7</v>
      </c>
      <c r="BL293" s="42">
        <v>3</v>
      </c>
      <c r="BM293" s="42">
        <v>11</v>
      </c>
      <c r="BP293" s="42">
        <v>8</v>
      </c>
      <c r="BQ293" s="42">
        <v>12</v>
      </c>
    </row>
    <row r="294" spans="60:69" x14ac:dyDescent="0.2">
      <c r="BH294" s="42">
        <v>8</v>
      </c>
      <c r="BI294" s="42">
        <v>15</v>
      </c>
      <c r="BL294" s="42">
        <v>12</v>
      </c>
      <c r="BM294" s="42">
        <v>2</v>
      </c>
      <c r="BP294" s="42">
        <v>13</v>
      </c>
      <c r="BQ294" s="42">
        <v>7</v>
      </c>
    </row>
    <row r="295" spans="60:69" x14ac:dyDescent="0.2">
      <c r="BH295" s="42">
        <v>14</v>
      </c>
      <c r="BI295" s="42">
        <v>9</v>
      </c>
      <c r="BL295" s="42">
        <v>14</v>
      </c>
      <c r="BM295" s="42">
        <v>19</v>
      </c>
      <c r="BP295" s="42">
        <v>6</v>
      </c>
      <c r="BQ295" s="42">
        <v>14</v>
      </c>
    </row>
    <row r="296" spans="60:69" x14ac:dyDescent="0.2">
      <c r="BH296" s="42">
        <v>10</v>
      </c>
      <c r="BI296" s="42">
        <v>13</v>
      </c>
      <c r="BL296" s="42">
        <v>18</v>
      </c>
      <c r="BM296" s="42">
        <v>15</v>
      </c>
      <c r="BP296" s="42">
        <v>15</v>
      </c>
      <c r="BQ296" s="42">
        <v>5</v>
      </c>
    </row>
    <row r="297" spans="60:69" x14ac:dyDescent="0.2">
      <c r="BH297" s="42">
        <v>12</v>
      </c>
      <c r="BI297" s="42">
        <v>11</v>
      </c>
      <c r="BL297" s="42">
        <v>16</v>
      </c>
      <c r="BM297" s="42">
        <v>17</v>
      </c>
      <c r="BP297" s="42">
        <v>4</v>
      </c>
      <c r="BQ297" s="42">
        <v>16</v>
      </c>
    </row>
    <row r="298" spans="60:69" x14ac:dyDescent="0.2">
      <c r="BH298" s="42">
        <v>2</v>
      </c>
      <c r="BI298" s="42">
        <v>1</v>
      </c>
      <c r="BL298" s="42">
        <v>6</v>
      </c>
      <c r="BM298" s="42">
        <v>1</v>
      </c>
      <c r="BP298" s="42">
        <v>17</v>
      </c>
      <c r="BQ298" s="42">
        <v>3</v>
      </c>
    </row>
    <row r="299" spans="60:69" x14ac:dyDescent="0.2">
      <c r="BH299" s="42">
        <v>3</v>
      </c>
      <c r="BI299" s="42">
        <v>18</v>
      </c>
      <c r="BL299" s="42">
        <v>7</v>
      </c>
      <c r="BM299" s="42">
        <v>5</v>
      </c>
      <c r="BP299" s="42">
        <v>2</v>
      </c>
      <c r="BQ299" s="42">
        <v>18</v>
      </c>
    </row>
    <row r="300" spans="60:69" x14ac:dyDescent="0.2">
      <c r="BH300" s="42">
        <v>17</v>
      </c>
      <c r="BI300" s="42">
        <v>4</v>
      </c>
      <c r="BL300" s="42">
        <v>4</v>
      </c>
      <c r="BM300" s="42">
        <v>8</v>
      </c>
      <c r="BP300" s="42">
        <v>19</v>
      </c>
      <c r="BQ300" s="42">
        <v>20</v>
      </c>
    </row>
    <row r="301" spans="60:69" x14ac:dyDescent="0.2">
      <c r="BH301" s="42">
        <v>5</v>
      </c>
      <c r="BI301" s="42">
        <v>16</v>
      </c>
      <c r="BL301" s="42">
        <v>9</v>
      </c>
      <c r="BM301" s="42">
        <v>3</v>
      </c>
      <c r="BP301" s="42">
        <v>1</v>
      </c>
      <c r="BQ301" s="42">
        <v>9</v>
      </c>
    </row>
    <row r="302" spans="60:69" x14ac:dyDescent="0.2">
      <c r="BH302" s="42">
        <v>15</v>
      </c>
      <c r="BI302" s="42">
        <v>6</v>
      </c>
      <c r="BL302" s="42">
        <v>2</v>
      </c>
      <c r="BM302" s="42">
        <v>10</v>
      </c>
      <c r="BP302" s="42">
        <v>10</v>
      </c>
      <c r="BQ302" s="42">
        <v>8</v>
      </c>
    </row>
    <row r="303" spans="60:69" x14ac:dyDescent="0.2">
      <c r="BH303" s="42">
        <v>7</v>
      </c>
      <c r="BI303" s="42">
        <v>14</v>
      </c>
      <c r="BL303" s="42">
        <v>19</v>
      </c>
      <c r="BM303" s="42">
        <v>12</v>
      </c>
      <c r="BP303" s="42">
        <v>7</v>
      </c>
      <c r="BQ303" s="42">
        <v>11</v>
      </c>
    </row>
    <row r="304" spans="60:69" x14ac:dyDescent="0.2">
      <c r="BH304" s="42">
        <v>13</v>
      </c>
      <c r="BI304" s="42">
        <v>8</v>
      </c>
      <c r="BL304" s="42">
        <v>13</v>
      </c>
      <c r="BM304" s="42">
        <v>18</v>
      </c>
      <c r="BP304" s="42">
        <v>12</v>
      </c>
      <c r="BQ304" s="42">
        <v>6</v>
      </c>
    </row>
    <row r="305" spans="60:69" x14ac:dyDescent="0.2">
      <c r="BH305" s="42">
        <v>9</v>
      </c>
      <c r="BI305" s="42">
        <v>12</v>
      </c>
      <c r="BL305" s="42">
        <v>17</v>
      </c>
      <c r="BM305" s="42">
        <v>14</v>
      </c>
      <c r="BP305" s="42">
        <v>5</v>
      </c>
      <c r="BQ305" s="42">
        <v>13</v>
      </c>
    </row>
    <row r="306" spans="60:69" x14ac:dyDescent="0.2">
      <c r="BH306" s="42">
        <v>11</v>
      </c>
      <c r="BI306" s="42">
        <v>10</v>
      </c>
      <c r="BL306" s="42">
        <v>15</v>
      </c>
      <c r="BM306" s="42">
        <v>16</v>
      </c>
      <c r="BP306" s="42">
        <v>14</v>
      </c>
      <c r="BQ306" s="42">
        <v>4</v>
      </c>
    </row>
    <row r="307" spans="60:69" x14ac:dyDescent="0.2">
      <c r="BL307" s="42">
        <v>1</v>
      </c>
      <c r="BM307" s="42">
        <v>5</v>
      </c>
      <c r="BP307" s="42">
        <v>3</v>
      </c>
      <c r="BQ307" s="42">
        <v>15</v>
      </c>
    </row>
    <row r="308" spans="60:69" x14ac:dyDescent="0.2">
      <c r="BL308" s="42">
        <v>6</v>
      </c>
      <c r="BM308" s="42">
        <v>4</v>
      </c>
      <c r="BP308" s="42">
        <v>16</v>
      </c>
      <c r="BQ308" s="42">
        <v>2</v>
      </c>
    </row>
    <row r="309" spans="60:69" x14ac:dyDescent="0.2">
      <c r="BL309" s="42">
        <v>3</v>
      </c>
      <c r="BM309" s="42">
        <v>7</v>
      </c>
      <c r="BP309" s="42">
        <v>20</v>
      </c>
      <c r="BQ309" s="42">
        <v>17</v>
      </c>
    </row>
    <row r="310" spans="60:69" x14ac:dyDescent="0.2">
      <c r="BL310" s="42">
        <v>8</v>
      </c>
      <c r="BM310" s="42">
        <v>2</v>
      </c>
      <c r="BP310" s="42">
        <v>18</v>
      </c>
      <c r="BQ310" s="42">
        <v>19</v>
      </c>
    </row>
    <row r="311" spans="60:69" x14ac:dyDescent="0.2">
      <c r="BL311" s="42">
        <v>10</v>
      </c>
      <c r="BM311" s="42">
        <v>19</v>
      </c>
      <c r="BP311" s="42">
        <v>8</v>
      </c>
      <c r="BQ311" s="42">
        <v>1</v>
      </c>
    </row>
    <row r="312" spans="60:69" x14ac:dyDescent="0.2">
      <c r="BL312" s="42">
        <v>18</v>
      </c>
      <c r="BM312" s="42">
        <v>11</v>
      </c>
      <c r="BP312" s="42">
        <v>9</v>
      </c>
      <c r="BQ312" s="42">
        <v>7</v>
      </c>
    </row>
    <row r="313" spans="60:69" x14ac:dyDescent="0.2">
      <c r="BL313" s="42">
        <v>12</v>
      </c>
      <c r="BM313" s="42">
        <v>17</v>
      </c>
      <c r="BP313" s="42">
        <v>6</v>
      </c>
      <c r="BQ313" s="42">
        <v>10</v>
      </c>
    </row>
    <row r="314" spans="60:69" x14ac:dyDescent="0.2">
      <c r="BL314" s="42">
        <v>16</v>
      </c>
      <c r="BM314" s="42">
        <v>13</v>
      </c>
      <c r="BP314" s="42">
        <v>11</v>
      </c>
      <c r="BQ314" s="42">
        <v>5</v>
      </c>
    </row>
    <row r="315" spans="60:69" x14ac:dyDescent="0.2">
      <c r="BL315" s="42">
        <v>14</v>
      </c>
      <c r="BM315" s="42">
        <v>15</v>
      </c>
      <c r="BP315" s="42">
        <v>4</v>
      </c>
      <c r="BQ315" s="42">
        <v>12</v>
      </c>
    </row>
    <row r="316" spans="60:69" x14ac:dyDescent="0.2">
      <c r="BL316" s="42">
        <v>4</v>
      </c>
      <c r="BM316" s="42">
        <v>1</v>
      </c>
      <c r="BP316" s="42">
        <v>13</v>
      </c>
      <c r="BQ316" s="42">
        <v>3</v>
      </c>
    </row>
    <row r="317" spans="60:69" x14ac:dyDescent="0.2">
      <c r="BL317" s="42">
        <v>5</v>
      </c>
      <c r="BM317" s="42">
        <v>3</v>
      </c>
      <c r="BP317" s="42">
        <v>2</v>
      </c>
      <c r="BQ317" s="42">
        <v>14</v>
      </c>
    </row>
    <row r="318" spans="60:69" x14ac:dyDescent="0.2">
      <c r="BL318" s="42">
        <v>2</v>
      </c>
      <c r="BM318" s="42">
        <v>6</v>
      </c>
      <c r="BP318" s="42">
        <v>15</v>
      </c>
      <c r="BQ318" s="42">
        <v>20</v>
      </c>
    </row>
    <row r="319" spans="60:69" x14ac:dyDescent="0.2">
      <c r="BL319" s="42">
        <v>19</v>
      </c>
      <c r="BM319" s="42">
        <v>8</v>
      </c>
      <c r="BP319" s="42">
        <v>19</v>
      </c>
      <c r="BQ319" s="42">
        <v>16</v>
      </c>
    </row>
    <row r="320" spans="60:69" x14ac:dyDescent="0.2">
      <c r="BL320" s="42">
        <v>9</v>
      </c>
      <c r="BM320" s="42">
        <v>18</v>
      </c>
      <c r="BP320" s="42">
        <v>17</v>
      </c>
      <c r="BQ320" s="42">
        <v>18</v>
      </c>
    </row>
    <row r="321" spans="64:69" x14ac:dyDescent="0.2">
      <c r="BL321" s="42">
        <v>17</v>
      </c>
      <c r="BM321" s="42">
        <v>10</v>
      </c>
      <c r="BP321" s="42">
        <v>1</v>
      </c>
      <c r="BQ321" s="42">
        <v>7</v>
      </c>
    </row>
    <row r="322" spans="64:69" x14ac:dyDescent="0.2">
      <c r="BL322" s="42">
        <v>11</v>
      </c>
      <c r="BM322" s="42">
        <v>16</v>
      </c>
      <c r="BP322" s="42">
        <v>8</v>
      </c>
      <c r="BQ322" s="42">
        <v>6</v>
      </c>
    </row>
    <row r="323" spans="64:69" x14ac:dyDescent="0.2">
      <c r="BL323" s="42">
        <v>15</v>
      </c>
      <c r="BM323" s="42">
        <v>12</v>
      </c>
      <c r="BP323" s="42">
        <v>5</v>
      </c>
      <c r="BQ323" s="42">
        <v>9</v>
      </c>
    </row>
    <row r="324" spans="64:69" x14ac:dyDescent="0.2">
      <c r="BL324" s="42">
        <v>13</v>
      </c>
      <c r="BM324" s="42">
        <v>14</v>
      </c>
      <c r="BP324" s="42">
        <v>10</v>
      </c>
      <c r="BQ324" s="42">
        <v>4</v>
      </c>
    </row>
    <row r="325" spans="64:69" x14ac:dyDescent="0.2">
      <c r="BL325" s="42">
        <v>1</v>
      </c>
      <c r="BM325" s="42">
        <v>3</v>
      </c>
      <c r="BP325" s="42">
        <v>3</v>
      </c>
      <c r="BQ325" s="42">
        <v>11</v>
      </c>
    </row>
    <row r="326" spans="64:69" x14ac:dyDescent="0.2">
      <c r="BL326" s="42">
        <v>4</v>
      </c>
      <c r="BM326" s="42">
        <v>2</v>
      </c>
      <c r="BP326" s="42">
        <v>12</v>
      </c>
      <c r="BQ326" s="42">
        <v>2</v>
      </c>
    </row>
    <row r="327" spans="64:69" x14ac:dyDescent="0.2">
      <c r="BL327" s="42">
        <v>6</v>
      </c>
      <c r="BM327" s="42">
        <v>19</v>
      </c>
      <c r="BP327" s="42">
        <v>20</v>
      </c>
      <c r="BQ327" s="42">
        <v>13</v>
      </c>
    </row>
    <row r="328" spans="64:69" x14ac:dyDescent="0.2">
      <c r="BL328" s="42">
        <v>18</v>
      </c>
      <c r="BM328" s="42">
        <v>7</v>
      </c>
      <c r="BP328" s="42">
        <v>14</v>
      </c>
      <c r="BQ328" s="42">
        <v>19</v>
      </c>
    </row>
    <row r="329" spans="64:69" x14ac:dyDescent="0.2">
      <c r="BL329" s="42">
        <v>8</v>
      </c>
      <c r="BM329" s="42">
        <v>17</v>
      </c>
      <c r="BP329" s="42">
        <v>18</v>
      </c>
      <c r="BQ329" s="42">
        <v>15</v>
      </c>
    </row>
    <row r="330" spans="64:69" x14ac:dyDescent="0.2">
      <c r="BL330" s="42">
        <v>16</v>
      </c>
      <c r="BM330" s="42">
        <v>9</v>
      </c>
      <c r="BP330" s="42">
        <v>16</v>
      </c>
      <c r="BQ330" s="42">
        <v>17</v>
      </c>
    </row>
    <row r="331" spans="64:69" x14ac:dyDescent="0.2">
      <c r="BL331" s="42">
        <v>10</v>
      </c>
      <c r="BM331" s="42">
        <v>15</v>
      </c>
      <c r="BP331" s="42">
        <v>6</v>
      </c>
      <c r="BQ331" s="42">
        <v>1</v>
      </c>
    </row>
    <row r="332" spans="64:69" x14ac:dyDescent="0.2">
      <c r="BL332" s="42">
        <v>14</v>
      </c>
      <c r="BM332" s="42">
        <v>11</v>
      </c>
      <c r="BP332" s="42">
        <v>7</v>
      </c>
      <c r="BQ332" s="42">
        <v>5</v>
      </c>
    </row>
    <row r="333" spans="64:69" x14ac:dyDescent="0.2">
      <c r="BL333" s="42">
        <v>12</v>
      </c>
      <c r="BM333" s="42">
        <v>13</v>
      </c>
      <c r="BP333" s="42">
        <v>4</v>
      </c>
      <c r="BQ333" s="42">
        <v>8</v>
      </c>
    </row>
    <row r="334" spans="64:69" x14ac:dyDescent="0.2">
      <c r="BL334" s="42">
        <v>2</v>
      </c>
      <c r="BM334" s="42">
        <v>1</v>
      </c>
      <c r="BP334" s="42">
        <v>9</v>
      </c>
      <c r="BQ334" s="42">
        <v>3</v>
      </c>
    </row>
    <row r="335" spans="64:69" x14ac:dyDescent="0.2">
      <c r="BL335" s="42">
        <v>19</v>
      </c>
      <c r="BM335" s="42">
        <v>4</v>
      </c>
      <c r="BP335" s="42">
        <v>2</v>
      </c>
      <c r="BQ335" s="42">
        <v>10</v>
      </c>
    </row>
    <row r="336" spans="64:69" x14ac:dyDescent="0.2">
      <c r="BL336" s="42">
        <v>5</v>
      </c>
      <c r="BM336" s="42">
        <v>18</v>
      </c>
      <c r="BP336" s="42">
        <v>11</v>
      </c>
      <c r="BQ336" s="42">
        <v>20</v>
      </c>
    </row>
    <row r="337" spans="64:69" x14ac:dyDescent="0.2">
      <c r="BL337" s="42">
        <v>17</v>
      </c>
      <c r="BM337" s="42">
        <v>6</v>
      </c>
      <c r="BP337" s="42">
        <v>19</v>
      </c>
      <c r="BQ337" s="42">
        <v>12</v>
      </c>
    </row>
    <row r="338" spans="64:69" x14ac:dyDescent="0.2">
      <c r="BL338" s="42">
        <v>7</v>
      </c>
      <c r="BM338" s="42">
        <v>16</v>
      </c>
      <c r="BP338" s="42">
        <v>13</v>
      </c>
      <c r="BQ338" s="42">
        <v>18</v>
      </c>
    </row>
    <row r="339" spans="64:69" x14ac:dyDescent="0.2">
      <c r="BL339" s="42">
        <v>15</v>
      </c>
      <c r="BM339" s="42">
        <v>8</v>
      </c>
      <c r="BP339" s="42">
        <v>17</v>
      </c>
      <c r="BQ339" s="42">
        <v>14</v>
      </c>
    </row>
    <row r="340" spans="64:69" x14ac:dyDescent="0.2">
      <c r="BL340" s="42">
        <v>9</v>
      </c>
      <c r="BM340" s="42">
        <v>14</v>
      </c>
      <c r="BP340" s="42">
        <v>15</v>
      </c>
      <c r="BQ340" s="42">
        <v>16</v>
      </c>
    </row>
    <row r="341" spans="64:69" x14ac:dyDescent="0.2">
      <c r="BL341" s="42">
        <v>13</v>
      </c>
      <c r="BM341" s="42">
        <v>10</v>
      </c>
      <c r="BP341" s="42">
        <v>1</v>
      </c>
      <c r="BQ341" s="42">
        <v>5</v>
      </c>
    </row>
    <row r="342" spans="64:69" x14ac:dyDescent="0.2">
      <c r="BL342" s="42">
        <v>11</v>
      </c>
      <c r="BM342" s="42">
        <v>12</v>
      </c>
      <c r="BP342" s="42">
        <v>6</v>
      </c>
      <c r="BQ342" s="42">
        <v>4</v>
      </c>
    </row>
    <row r="343" spans="64:69" x14ac:dyDescent="0.2">
      <c r="BP343" s="42">
        <v>3</v>
      </c>
      <c r="BQ343" s="42">
        <v>7</v>
      </c>
    </row>
    <row r="344" spans="64:69" x14ac:dyDescent="0.2">
      <c r="BP344" s="42">
        <v>8</v>
      </c>
      <c r="BQ344" s="42">
        <v>2</v>
      </c>
    </row>
    <row r="345" spans="64:69" x14ac:dyDescent="0.2">
      <c r="BP345" s="42">
        <v>20</v>
      </c>
      <c r="BQ345" s="42">
        <v>9</v>
      </c>
    </row>
    <row r="346" spans="64:69" x14ac:dyDescent="0.2">
      <c r="BP346" s="42">
        <v>10</v>
      </c>
      <c r="BQ346" s="42">
        <v>19</v>
      </c>
    </row>
    <row r="347" spans="64:69" x14ac:dyDescent="0.2">
      <c r="BP347" s="42">
        <v>18</v>
      </c>
      <c r="BQ347" s="42">
        <v>11</v>
      </c>
    </row>
    <row r="348" spans="64:69" x14ac:dyDescent="0.2">
      <c r="BP348" s="42">
        <v>12</v>
      </c>
      <c r="BQ348" s="42">
        <v>17</v>
      </c>
    </row>
    <row r="349" spans="64:69" x14ac:dyDescent="0.2">
      <c r="BP349" s="42">
        <v>16</v>
      </c>
      <c r="BQ349" s="42">
        <v>13</v>
      </c>
    </row>
    <row r="350" spans="64:69" x14ac:dyDescent="0.2">
      <c r="BP350" s="42">
        <v>14</v>
      </c>
      <c r="BQ350" s="42">
        <v>15</v>
      </c>
    </row>
    <row r="351" spans="64:69" x14ac:dyDescent="0.2">
      <c r="BP351" s="42">
        <v>4</v>
      </c>
      <c r="BQ351" s="42">
        <v>1</v>
      </c>
    </row>
    <row r="352" spans="64:69" x14ac:dyDescent="0.2">
      <c r="BP352" s="42">
        <v>5</v>
      </c>
      <c r="BQ352" s="42">
        <v>3</v>
      </c>
    </row>
    <row r="353" spans="68:69" x14ac:dyDescent="0.2">
      <c r="BP353" s="42">
        <v>2</v>
      </c>
      <c r="BQ353" s="42">
        <v>6</v>
      </c>
    </row>
    <row r="354" spans="68:69" x14ac:dyDescent="0.2">
      <c r="BP354" s="42">
        <v>7</v>
      </c>
      <c r="BQ354" s="42">
        <v>20</v>
      </c>
    </row>
    <row r="355" spans="68:69" x14ac:dyDescent="0.2">
      <c r="BP355" s="42">
        <v>19</v>
      </c>
      <c r="BQ355" s="42">
        <v>8</v>
      </c>
    </row>
    <row r="356" spans="68:69" x14ac:dyDescent="0.2">
      <c r="BP356" s="42">
        <v>9</v>
      </c>
      <c r="BQ356" s="42">
        <v>18</v>
      </c>
    </row>
    <row r="357" spans="68:69" x14ac:dyDescent="0.2">
      <c r="BP357" s="42">
        <v>17</v>
      </c>
      <c r="BQ357" s="42">
        <v>10</v>
      </c>
    </row>
    <row r="358" spans="68:69" x14ac:dyDescent="0.2">
      <c r="BP358" s="42">
        <v>11</v>
      </c>
      <c r="BQ358" s="42">
        <v>16</v>
      </c>
    </row>
    <row r="359" spans="68:69" x14ac:dyDescent="0.2">
      <c r="BP359" s="42">
        <v>15</v>
      </c>
      <c r="BQ359" s="42">
        <v>12</v>
      </c>
    </row>
    <row r="360" spans="68:69" x14ac:dyDescent="0.2">
      <c r="BP360" s="42">
        <v>13</v>
      </c>
      <c r="BQ360" s="42">
        <v>14</v>
      </c>
    </row>
    <row r="361" spans="68:69" x14ac:dyDescent="0.2">
      <c r="BP361" s="42">
        <v>1</v>
      </c>
      <c r="BQ361" s="42">
        <v>3</v>
      </c>
    </row>
    <row r="362" spans="68:69" x14ac:dyDescent="0.2">
      <c r="BP362" s="42">
        <v>4</v>
      </c>
      <c r="BQ362" s="42">
        <v>2</v>
      </c>
    </row>
    <row r="363" spans="68:69" x14ac:dyDescent="0.2">
      <c r="BP363" s="42">
        <v>20</v>
      </c>
      <c r="BQ363" s="42">
        <v>5</v>
      </c>
    </row>
    <row r="364" spans="68:69" x14ac:dyDescent="0.2">
      <c r="BP364" s="42">
        <v>6</v>
      </c>
      <c r="BQ364" s="42">
        <v>19</v>
      </c>
    </row>
    <row r="365" spans="68:69" x14ac:dyDescent="0.2">
      <c r="BP365" s="42">
        <v>18</v>
      </c>
      <c r="BQ365" s="42">
        <v>7</v>
      </c>
    </row>
    <row r="366" spans="68:69" x14ac:dyDescent="0.2">
      <c r="BP366" s="42">
        <v>8</v>
      </c>
      <c r="BQ366" s="42">
        <v>17</v>
      </c>
    </row>
    <row r="367" spans="68:69" x14ac:dyDescent="0.2">
      <c r="BP367" s="42">
        <v>16</v>
      </c>
      <c r="BQ367" s="42">
        <v>9</v>
      </c>
    </row>
    <row r="368" spans="68:69" x14ac:dyDescent="0.2">
      <c r="BP368" s="42">
        <v>10</v>
      </c>
      <c r="BQ368" s="42">
        <v>15</v>
      </c>
    </row>
    <row r="369" spans="68:69" x14ac:dyDescent="0.2">
      <c r="BP369" s="42">
        <v>14</v>
      </c>
      <c r="BQ369" s="42">
        <v>11</v>
      </c>
    </row>
    <row r="370" spans="68:69" x14ac:dyDescent="0.2">
      <c r="BP370" s="42">
        <v>12</v>
      </c>
      <c r="BQ370" s="42">
        <v>13</v>
      </c>
    </row>
    <row r="371" spans="68:69" x14ac:dyDescent="0.2">
      <c r="BP371" s="42">
        <v>2</v>
      </c>
      <c r="BQ371" s="42">
        <v>1</v>
      </c>
    </row>
    <row r="372" spans="68:69" x14ac:dyDescent="0.2">
      <c r="BP372" s="42">
        <v>3</v>
      </c>
      <c r="BQ372" s="42">
        <v>20</v>
      </c>
    </row>
    <row r="373" spans="68:69" x14ac:dyDescent="0.2">
      <c r="BP373" s="42">
        <v>19</v>
      </c>
      <c r="BQ373" s="42">
        <v>4</v>
      </c>
    </row>
    <row r="374" spans="68:69" x14ac:dyDescent="0.2">
      <c r="BP374" s="42">
        <v>5</v>
      </c>
      <c r="BQ374" s="42">
        <v>18</v>
      </c>
    </row>
    <row r="375" spans="68:69" x14ac:dyDescent="0.2">
      <c r="BP375" s="42">
        <v>17</v>
      </c>
      <c r="BQ375" s="42">
        <v>6</v>
      </c>
    </row>
    <row r="376" spans="68:69" x14ac:dyDescent="0.2">
      <c r="BP376" s="42">
        <v>7</v>
      </c>
      <c r="BQ376" s="42">
        <v>16</v>
      </c>
    </row>
    <row r="377" spans="68:69" x14ac:dyDescent="0.2">
      <c r="BP377" s="42">
        <v>15</v>
      </c>
      <c r="BQ377" s="42">
        <v>8</v>
      </c>
    </row>
    <row r="378" spans="68:69" x14ac:dyDescent="0.2">
      <c r="BP378" s="42">
        <v>9</v>
      </c>
      <c r="BQ378" s="42">
        <v>14</v>
      </c>
    </row>
    <row r="379" spans="68:69" x14ac:dyDescent="0.2">
      <c r="BP379" s="42">
        <v>13</v>
      </c>
      <c r="BQ379" s="42">
        <v>10</v>
      </c>
    </row>
    <row r="380" spans="68:69" x14ac:dyDescent="0.2">
      <c r="BP380" s="42">
        <v>11</v>
      </c>
      <c r="BQ380" s="42">
        <v>12</v>
      </c>
    </row>
  </sheetData>
  <mergeCells count="35">
    <mergeCell ref="BO186:BO190"/>
    <mergeCell ref="BO191:BO195"/>
    <mergeCell ref="BK167:BK171"/>
    <mergeCell ref="BK172:BK176"/>
    <mergeCell ref="BG149:BG153"/>
    <mergeCell ref="BG154:BG158"/>
    <mergeCell ref="AQ87:AQ91"/>
    <mergeCell ref="AQ92:AQ96"/>
    <mergeCell ref="A1:A18"/>
    <mergeCell ref="C2:C6"/>
    <mergeCell ref="C7:C11"/>
    <mergeCell ref="AM74:AM78"/>
    <mergeCell ref="AM79:AM83"/>
    <mergeCell ref="AI62:AI66"/>
    <mergeCell ref="AI67:AI71"/>
    <mergeCell ref="AE51:AE55"/>
    <mergeCell ref="AE56:AE60"/>
    <mergeCell ref="AA41:AA45"/>
    <mergeCell ref="AA46:AA50"/>
    <mergeCell ref="W32:W36"/>
    <mergeCell ref="W37:W41"/>
    <mergeCell ref="S24:S28"/>
    <mergeCell ref="BC137:BC141"/>
    <mergeCell ref="AY116:AY120"/>
    <mergeCell ref="AY121:AY125"/>
    <mergeCell ref="AU101:AU105"/>
    <mergeCell ref="AU106:AU110"/>
    <mergeCell ref="BC132:BC136"/>
    <mergeCell ref="G6:G10"/>
    <mergeCell ref="G11:G15"/>
    <mergeCell ref="S29:S33"/>
    <mergeCell ref="O17:O21"/>
    <mergeCell ref="O22:O26"/>
    <mergeCell ref="K11:K15"/>
    <mergeCell ref="K16:K20"/>
  </mergeCells>
  <pageMargins left="0.7" right="0.7" top="0.78740157499999996" bottom="0.78740157499999996"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39714-F874-4C09-9365-1A65CF6691FF}">
  <sheetPr codeName="Tabelle10"/>
  <dimension ref="A1:H36"/>
  <sheetViews>
    <sheetView showGridLines="0" showRowColHeaders="0" workbookViewId="0">
      <selection activeCell="B9" sqref="B9"/>
    </sheetView>
  </sheetViews>
  <sheetFormatPr baseColWidth="10" defaultColWidth="0" defaultRowHeight="12.75" zeroHeight="1" x14ac:dyDescent="0.2"/>
  <cols>
    <col min="1" max="1" width="11.42578125" customWidth="1"/>
    <col min="2" max="2" width="35.42578125" customWidth="1"/>
    <col min="3" max="3" width="6.28515625" customWidth="1"/>
    <col min="4" max="4" width="11.42578125" customWidth="1"/>
    <col min="5" max="16384" width="11.42578125" hidden="1"/>
  </cols>
  <sheetData>
    <row r="1" spans="1:8" ht="30" x14ac:dyDescent="0.4">
      <c r="B1" s="272" t="str">
        <f>Language!$E$7</f>
        <v>Settings</v>
      </c>
    </row>
    <row r="2" spans="1:8" x14ac:dyDescent="0.2"/>
    <row r="3" spans="1:8" x14ac:dyDescent="0.2"/>
    <row r="4" spans="1:8" x14ac:dyDescent="0.2">
      <c r="A4" s="369" t="s">
        <v>5</v>
      </c>
      <c r="B4" s="370" t="str">
        <f>Language!$E$39</f>
        <v>Number of points for a win:</v>
      </c>
      <c r="C4" s="273">
        <v>2</v>
      </c>
    </row>
    <row r="5" spans="1:8" x14ac:dyDescent="0.2"/>
    <row r="6" spans="1:8" x14ac:dyDescent="0.2"/>
    <row r="7" spans="1:8" x14ac:dyDescent="0.2">
      <c r="A7" s="369" t="s">
        <v>6</v>
      </c>
      <c r="B7" s="371" t="str">
        <f>Language!$E$72</f>
        <v>First criterion for the ranking:</v>
      </c>
      <c r="C7" s="368"/>
      <c r="D7" s="368"/>
    </row>
    <row r="8" spans="1:8" x14ac:dyDescent="0.2">
      <c r="A8" s="367"/>
      <c r="B8" s="368"/>
      <c r="C8" s="368"/>
      <c r="D8" s="368"/>
    </row>
    <row r="9" spans="1:8" ht="21.75" customHeight="1" x14ac:dyDescent="0.2">
      <c r="A9" s="367"/>
      <c r="B9" s="376" t="s">
        <v>595</v>
      </c>
      <c r="C9" s="368"/>
      <c r="D9" s="368"/>
      <c r="G9" s="378" t="b">
        <f>($B$9=Language!$E$73)</f>
        <v>0</v>
      </c>
      <c r="H9" s="378"/>
    </row>
    <row r="10" spans="1:8" x14ac:dyDescent="0.2">
      <c r="A10" s="367"/>
      <c r="B10" s="368"/>
      <c r="C10" s="368"/>
      <c r="D10" s="368"/>
    </row>
    <row r="11" spans="1:8" x14ac:dyDescent="0.2">
      <c r="A11" s="367"/>
      <c r="B11" s="368"/>
      <c r="C11" s="368"/>
      <c r="D11" s="368"/>
    </row>
    <row r="12" spans="1:8" x14ac:dyDescent="0.2">
      <c r="A12" s="369" t="s">
        <v>7</v>
      </c>
      <c r="B12" s="371" t="str">
        <f>Language!$E$68</f>
        <v>Set difference as the second criterion?</v>
      </c>
      <c r="C12" s="368"/>
      <c r="D12" s="368"/>
    </row>
    <row r="13" spans="1:8" x14ac:dyDescent="0.2">
      <c r="A13" s="367"/>
      <c r="B13" s="368"/>
      <c r="C13" s="368"/>
      <c r="D13" s="368"/>
    </row>
    <row r="14" spans="1:8" ht="21.75" customHeight="1" x14ac:dyDescent="0.2">
      <c r="A14" s="367"/>
      <c r="B14" s="376" t="s">
        <v>585</v>
      </c>
      <c r="C14" s="368"/>
      <c r="D14" s="368"/>
      <c r="G14" s="378" t="b">
        <f>($B$14=Language!$E$69)</f>
        <v>1</v>
      </c>
    </row>
    <row r="15" spans="1:8" x14ac:dyDescent="0.2">
      <c r="A15" s="367"/>
      <c r="B15" s="368"/>
      <c r="C15" s="368"/>
      <c r="D15" s="368"/>
    </row>
    <row r="16" spans="1:8" x14ac:dyDescent="0.2">
      <c r="A16" s="367"/>
      <c r="B16" s="368"/>
      <c r="C16" s="368"/>
      <c r="D16" s="368"/>
    </row>
    <row r="17" spans="1:8" x14ac:dyDescent="0.2">
      <c r="A17" s="369" t="s">
        <v>8</v>
      </c>
      <c r="B17" s="371" t="str">
        <f>Language!$E$75</f>
        <v>Sets won as the third criterion?</v>
      </c>
      <c r="C17" s="368"/>
      <c r="D17" s="368"/>
    </row>
    <row r="18" spans="1:8" x14ac:dyDescent="0.2">
      <c r="A18" s="367"/>
      <c r="B18" s="372" t="str">
        <f>Language!$E$76</f>
        <v>Only makes sense if the number of (victory) points is the first criterion</v>
      </c>
      <c r="C18" s="368"/>
      <c r="D18" s="368"/>
    </row>
    <row r="19" spans="1:8" ht="21.75" customHeight="1" x14ac:dyDescent="0.2">
      <c r="A19" s="367"/>
      <c r="B19" s="376" t="s">
        <v>587</v>
      </c>
      <c r="C19" s="368"/>
      <c r="D19" s="368"/>
      <c r="G19" s="379" t="b">
        <f>($B$19=Language!$E$69)</f>
        <v>0</v>
      </c>
    </row>
    <row r="20" spans="1:8" x14ac:dyDescent="0.2">
      <c r="A20" s="367"/>
      <c r="B20" s="368"/>
      <c r="C20" s="368"/>
      <c r="D20" s="368"/>
    </row>
    <row r="21" spans="1:8" x14ac:dyDescent="0.2">
      <c r="A21" s="367"/>
      <c r="B21" s="368"/>
      <c r="C21" s="368"/>
      <c r="D21" s="368"/>
    </row>
    <row r="22" spans="1:8" x14ac:dyDescent="0.2">
      <c r="A22" s="369" t="s">
        <v>9</v>
      </c>
      <c r="B22" s="371" t="str">
        <f>Language!$E$63</f>
        <v>Ball difference or ball quotient:</v>
      </c>
      <c r="C22" s="373"/>
      <c r="D22" s="368"/>
    </row>
    <row r="23" spans="1:8" x14ac:dyDescent="0.2">
      <c r="A23" s="367"/>
      <c r="B23" s="373"/>
      <c r="C23" s="373"/>
      <c r="D23" s="368"/>
      <c r="F23" s="380" t="s">
        <v>621</v>
      </c>
      <c r="G23" s="380" t="s">
        <v>622</v>
      </c>
      <c r="H23" s="380" t="s">
        <v>623</v>
      </c>
    </row>
    <row r="24" spans="1:8" ht="21.75" customHeight="1" x14ac:dyDescent="0.2">
      <c r="A24" s="367"/>
      <c r="B24" s="376" t="s">
        <v>575</v>
      </c>
      <c r="C24" s="373"/>
      <c r="D24" s="368"/>
      <c r="E24" s="381" t="s">
        <v>643</v>
      </c>
      <c r="F24" s="381">
        <v>499</v>
      </c>
      <c r="G24" s="381" t="b">
        <f>($B$24=Language!$E$64)</f>
        <v>1</v>
      </c>
      <c r="H24" s="381">
        <v>3</v>
      </c>
    </row>
    <row r="25" spans="1:8" x14ac:dyDescent="0.2">
      <c r="A25" s="367"/>
      <c r="B25" s="368"/>
      <c r="C25" s="368"/>
      <c r="D25" s="368"/>
    </row>
    <row r="26" spans="1:8" x14ac:dyDescent="0.2">
      <c r="A26" s="367"/>
      <c r="B26" s="374"/>
      <c r="C26" s="374"/>
      <c r="D26" s="374"/>
    </row>
    <row r="27" spans="1:8" x14ac:dyDescent="0.2">
      <c r="A27" s="369" t="s">
        <v>10</v>
      </c>
      <c r="B27" s="371" t="str">
        <f>Language!$E$79</f>
        <v>Display in the crosstabs of the preliminary round:</v>
      </c>
      <c r="C27" s="374"/>
      <c r="D27" s="374"/>
    </row>
    <row r="28" spans="1:8" x14ac:dyDescent="0.2">
      <c r="A28" s="367"/>
      <c r="B28" s="374"/>
      <c r="C28" s="374"/>
      <c r="D28" s="374"/>
      <c r="G28" s="382" t="s">
        <v>624</v>
      </c>
      <c r="H28" s="382" t="s">
        <v>625</v>
      </c>
    </row>
    <row r="29" spans="1:8" ht="21.75" customHeight="1" x14ac:dyDescent="0.2">
      <c r="A29" s="367"/>
      <c r="B29" s="376" t="s">
        <v>579</v>
      </c>
      <c r="C29" s="375"/>
      <c r="D29" s="375"/>
      <c r="G29" s="381">
        <f>IF($B$29=Language!$E$66,3,6)</f>
        <v>3</v>
      </c>
      <c r="H29" s="381">
        <f>IF($B$29=Language!$E$66,2,3)</f>
        <v>2</v>
      </c>
    </row>
    <row r="30" spans="1:8" x14ac:dyDescent="0.2">
      <c r="A30" s="367"/>
      <c r="B30" s="368"/>
      <c r="C30" s="368"/>
      <c r="D30" s="368"/>
    </row>
    <row r="31" spans="1:8" x14ac:dyDescent="0.2">
      <c r="A31" s="367"/>
      <c r="B31" s="368"/>
      <c r="C31" s="368"/>
      <c r="D31" s="368"/>
    </row>
    <row r="32" spans="1:8" x14ac:dyDescent="0.2">
      <c r="A32" s="367"/>
      <c r="B32" s="368"/>
      <c r="C32" s="368"/>
      <c r="D32" s="368"/>
    </row>
    <row r="33" spans="1:4" x14ac:dyDescent="0.2">
      <c r="A33" s="369" t="s">
        <v>13</v>
      </c>
      <c r="B33" s="368" t="str">
        <f>Language!$E$92</f>
        <v>Abbreviations of the team names:</v>
      </c>
      <c r="C33" s="377">
        <v>7</v>
      </c>
      <c r="D33" s="368" t="str">
        <f>Language!$E$93</f>
        <v>letters</v>
      </c>
    </row>
    <row r="34" spans="1:4" x14ac:dyDescent="0.2"/>
    <row r="35" spans="1:4" x14ac:dyDescent="0.2"/>
    <row r="36" spans="1:4" x14ac:dyDescent="0.2"/>
  </sheetData>
  <sheetProtection sheet="1" selectLockedCells="1"/>
  <dataValidations count="1">
    <dataValidation type="whole" allowBlank="1" showErrorMessage="1" errorTitle="Unzulässige Anzahl" error="Es können Zahlen von 1 bis 20 eingetragen werden!" sqref="C33" xr:uid="{59E2E73F-F6B9-45A5-8F3B-5092B9372B77}">
      <formula1>1</formula1>
      <formula2>20</formula2>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7520ADAE-C008-40A7-805D-8ABCE5D49E10}">
          <x14:formula1>
            <xm:f>Language!$E$73:$E$74</xm:f>
          </x14:formula1>
          <xm:sqref>B9</xm:sqref>
        </x14:dataValidation>
        <x14:dataValidation type="list" allowBlank="1" showInputMessage="1" showErrorMessage="1" xr:uid="{4921F3DA-DD2A-4D51-8FF8-5FC670C17934}">
          <x14:formula1>
            <xm:f>Language!$E$69:$E$70</xm:f>
          </x14:formula1>
          <xm:sqref>B19 B14</xm:sqref>
        </x14:dataValidation>
        <x14:dataValidation type="list" allowBlank="1" showInputMessage="1" showErrorMessage="1" xr:uid="{C68FE932-420A-4BE1-875E-08AA1109AD41}">
          <x14:formula1>
            <xm:f>Language!$E$66:$E$67</xm:f>
          </x14:formula1>
          <xm:sqref>B29</xm:sqref>
        </x14:dataValidation>
        <x14:dataValidation type="list" allowBlank="1" showInputMessage="1" showErrorMessage="1" xr:uid="{5EF66F04-E0ED-451D-879C-11B27BA29CE7}">
          <x14:formula1>
            <xm:f>Language!$E$64:$E$65</xm:f>
          </x14:formula1>
          <xm:sqref>B24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E3DB7-6B6F-46F7-B164-6CD921FF526B}">
  <sheetPr codeName="Tabelle1"/>
  <dimension ref="A1:S79"/>
  <sheetViews>
    <sheetView showGridLines="0" showRowColHeaders="0" zoomScaleNormal="100" workbookViewId="0"/>
  </sheetViews>
  <sheetFormatPr baseColWidth="10" defaultColWidth="0" defaultRowHeight="12.75" x14ac:dyDescent="0.2"/>
  <cols>
    <col min="1" max="1" width="8.28515625" style="38" customWidth="1"/>
    <col min="2" max="8" width="11.42578125" style="38" customWidth="1"/>
    <col min="9" max="9" width="4" style="38" customWidth="1"/>
    <col min="10" max="18" width="11.42578125" style="38" customWidth="1"/>
    <col min="19" max="19" width="0" hidden="1" customWidth="1"/>
    <col min="20" max="16384" width="11.42578125" hidden="1"/>
  </cols>
  <sheetData>
    <row r="1" spans="1:10" x14ac:dyDescent="0.2">
      <c r="A1" s="274"/>
    </row>
    <row r="2" spans="1:10" x14ac:dyDescent="0.2">
      <c r="B2" s="225" t="s">
        <v>116</v>
      </c>
      <c r="J2" s="225" t="s">
        <v>117</v>
      </c>
    </row>
    <row r="52" spans="16:19" x14ac:dyDescent="0.2">
      <c r="P52" s="226"/>
      <c r="Q52" s="114"/>
      <c r="S52" s="38"/>
    </row>
    <row r="76" spans="2:16" x14ac:dyDescent="0.2">
      <c r="B76" s="95"/>
      <c r="C76" s="96"/>
      <c r="D76" s="96"/>
      <c r="E76" s="96"/>
      <c r="F76" s="96"/>
      <c r="G76" s="96"/>
      <c r="H76" s="96"/>
      <c r="I76" s="97"/>
      <c r="J76" s="95"/>
      <c r="K76" s="96"/>
      <c r="L76" s="96"/>
      <c r="M76" s="96"/>
      <c r="N76" s="96"/>
      <c r="O76" s="96"/>
      <c r="P76" s="112"/>
    </row>
    <row r="77" spans="2:16" x14ac:dyDescent="0.2">
      <c r="B77" s="499" t="s">
        <v>119</v>
      </c>
      <c r="C77" s="500"/>
      <c r="D77" s="500"/>
      <c r="E77" s="500"/>
      <c r="F77" s="500"/>
      <c r="G77" s="500"/>
      <c r="H77" s="500"/>
      <c r="I77" s="98"/>
      <c r="J77" s="499" t="s">
        <v>52</v>
      </c>
      <c r="K77" s="500"/>
      <c r="L77" s="500"/>
      <c r="M77" s="500"/>
      <c r="N77" s="500"/>
      <c r="O77" s="500"/>
      <c r="P77" s="503"/>
    </row>
    <row r="78" spans="2:16" x14ac:dyDescent="0.2">
      <c r="B78" s="501" t="s">
        <v>51</v>
      </c>
      <c r="C78" s="502"/>
      <c r="D78" s="502"/>
      <c r="E78" s="502"/>
      <c r="F78" s="502"/>
      <c r="G78" s="502"/>
      <c r="H78" s="502"/>
      <c r="I78" s="99"/>
      <c r="J78" s="501" t="s">
        <v>51</v>
      </c>
      <c r="K78" s="502"/>
      <c r="L78" s="502"/>
      <c r="M78" s="502"/>
      <c r="N78" s="502"/>
      <c r="O78" s="502"/>
      <c r="P78" s="504"/>
    </row>
    <row r="79" spans="2:16" x14ac:dyDescent="0.2">
      <c r="B79" s="100"/>
      <c r="C79" s="101"/>
      <c r="D79" s="101"/>
      <c r="E79" s="101"/>
      <c r="F79" s="101"/>
      <c r="G79" s="101"/>
      <c r="H79" s="101"/>
      <c r="I79" s="97"/>
      <c r="J79" s="100"/>
      <c r="K79" s="101"/>
      <c r="L79" s="101"/>
      <c r="M79" s="101"/>
      <c r="N79" s="101"/>
      <c r="O79" s="101"/>
      <c r="P79" s="113"/>
    </row>
  </sheetData>
  <sheetProtection sheet="1" selectLockedCells="1"/>
  <mergeCells count="4">
    <mergeCell ref="B77:H77"/>
    <mergeCell ref="B78:H78"/>
    <mergeCell ref="J77:P77"/>
    <mergeCell ref="J78:P78"/>
  </mergeCells>
  <hyperlinks>
    <hyperlink ref="J78:P78" r:id="rId1" display="mail@hermann-baum.de" xr:uid="{0C9E8BEC-DB10-42CC-99F9-43EAE383F78B}"/>
    <hyperlink ref="B78:H78" r:id="rId2" display="mail@hermann-baum.de" xr:uid="{12B13CC7-860E-467B-B648-00509A1259C4}"/>
  </hyperlinks>
  <pageMargins left="0.7" right="0.7" top="0.78740157499999996" bottom="0.78740157499999996" header="0.3" footer="0.3"/>
  <pageSetup paperSize="9" orientation="portrait" horizontalDpi="0" verticalDpi="0" r:id="rId3"/>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Planning</vt:lpstr>
      <vt:lpstr>Results</vt:lpstr>
      <vt:lpstr>Calc2</vt:lpstr>
      <vt:lpstr>Calc</vt:lpstr>
      <vt:lpstr>Tie_Break</vt:lpstr>
      <vt:lpstr>Language</vt:lpstr>
      <vt:lpstr>Matchups</vt:lpstr>
      <vt:lpstr>Settings</vt:lpstr>
      <vt:lpstr>Help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Hermann Baum</cp:lastModifiedBy>
  <cp:lastPrinted>2021-09-13T17:03:54Z</cp:lastPrinted>
  <dcterms:created xsi:type="dcterms:W3CDTF">2010-02-21T20:03:25Z</dcterms:created>
  <dcterms:modified xsi:type="dcterms:W3CDTF">2026-03-15T23:15:04Z</dcterms:modified>
</cp:coreProperties>
</file>