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DieseArbeitsmappe" defaultThemeVersion="166925"/>
  <mc:AlternateContent xmlns:mc="http://schemas.openxmlformats.org/markup-compatibility/2006">
    <mc:Choice Requires="x15">
      <x15ac:absPath xmlns:x15ac="http://schemas.microsoft.com/office/spreadsheetml/2010/11/ac" url="E:\xampp\htdocs\hb\_hermann-baum.de strato\excel\Liga\download\"/>
    </mc:Choice>
  </mc:AlternateContent>
  <xr:revisionPtr revIDLastSave="0" documentId="13_ncr:1_{465F638E-A3F9-494C-8D4D-1AB17DEA4978}" xr6:coauthVersionLast="36" xr6:coauthVersionMax="36" xr10:uidLastSave="{00000000-0000-0000-0000-000000000000}"/>
  <bookViews>
    <workbookView xWindow="0" yWindow="0" windowWidth="28800" windowHeight="12060" tabRatio="597" activeTab="1" xr2:uid="{00000000-000D-0000-FFFF-FFFF00000000}"/>
  </bookViews>
  <sheets>
    <sheet name="Results" sheetId="6" r:id="rId1"/>
    <sheet name="KO Round" sheetId="14" r:id="rId2"/>
    <sheet name="Planning" sheetId="7" r:id="rId3"/>
    <sheet name="Calc" sheetId="3" state="hidden" r:id="rId4"/>
    <sheet name="Calc2" sheetId="13" state="hidden" r:id="rId5"/>
    <sheet name="Factors" sheetId="12" state="hidden" r:id="rId6"/>
    <sheet name="Tie_Break" sheetId="8" r:id="rId7"/>
    <sheet name="Language" sheetId="9" r:id="rId8"/>
  </sheets>
  <definedNames>
    <definedName name="FactorGD">Factors!$B$5</definedName>
    <definedName name="FactorGF">Factors!$B$6</definedName>
    <definedName name="FactorPts">Factors!$B$4</definedName>
    <definedName name="GDzero">Factors!$D$5</definedName>
  </definedNames>
  <calcPr calcId="191029"/>
</workbook>
</file>

<file path=xl/calcChain.xml><?xml version="1.0" encoding="utf-8"?>
<calcChain xmlns="http://schemas.openxmlformats.org/spreadsheetml/2006/main">
  <c r="AP42" i="14" l="1"/>
  <c r="AP41" i="14"/>
  <c r="AP38" i="14"/>
  <c r="AP37" i="14"/>
  <c r="AP36" i="14"/>
  <c r="AP35" i="14"/>
  <c r="AP33" i="14"/>
  <c r="AP32" i="14"/>
  <c r="AP31" i="14"/>
  <c r="AP30" i="14"/>
  <c r="AP29" i="14"/>
  <c r="AP28" i="14"/>
  <c r="AP27" i="14"/>
  <c r="AP26" i="14"/>
  <c r="AH17" i="14"/>
  <c r="AP17" i="14"/>
  <c r="AM17" i="14"/>
  <c r="AJ17" i="14"/>
  <c r="AK17" i="14"/>
  <c r="AH16" i="14"/>
  <c r="AM16" i="14"/>
  <c r="AJ16" i="14"/>
  <c r="AK16" i="14"/>
  <c r="AN17" i="14"/>
  <c r="AH18" i="14"/>
  <c r="AJ18" i="14"/>
  <c r="AK18" i="14"/>
  <c r="AM18" i="14"/>
  <c r="AN18" i="14"/>
  <c r="AP18" i="14"/>
  <c r="AH19" i="14"/>
  <c r="AJ19" i="14"/>
  <c r="AK19" i="14"/>
  <c r="AM19" i="14"/>
  <c r="AN19" i="14"/>
  <c r="AP19" i="14"/>
  <c r="AH20" i="14"/>
  <c r="AJ20" i="14"/>
  <c r="AK20" i="14"/>
  <c r="AM20" i="14"/>
  <c r="AN20" i="14"/>
  <c r="AP20" i="14"/>
  <c r="AH21" i="14"/>
  <c r="AJ21" i="14"/>
  <c r="AK21" i="14"/>
  <c r="AM21" i="14"/>
  <c r="AN21" i="14"/>
  <c r="AP21" i="14"/>
  <c r="AH22" i="14"/>
  <c r="AJ22" i="14"/>
  <c r="AK22" i="14"/>
  <c r="AM22" i="14"/>
  <c r="AN22" i="14"/>
  <c r="AP22" i="14"/>
  <c r="AH23" i="14"/>
  <c r="AJ23" i="14"/>
  <c r="AK23" i="14"/>
  <c r="AM23" i="14"/>
  <c r="AN23" i="14"/>
  <c r="AP23" i="14"/>
  <c r="AP16" i="14"/>
  <c r="AN16" i="14"/>
  <c r="C3" i="9"/>
  <c r="E40" i="9" s="1"/>
  <c r="C3" i="8" s="1"/>
  <c r="C4" i="9"/>
  <c r="Q7" i="7"/>
  <c r="F4" i="13" s="1"/>
  <c r="S7" i="7"/>
  <c r="G4" i="13" s="1"/>
  <c r="U22" i="3"/>
  <c r="E81" i="9"/>
  <c r="P63" i="6" s="1"/>
  <c r="U35" i="3"/>
  <c r="U36" i="3"/>
  <c r="U37" i="3"/>
  <c r="U38" i="3"/>
  <c r="U39" i="3"/>
  <c r="C41" i="8"/>
  <c r="C40" i="8"/>
  <c r="C39" i="8"/>
  <c r="C38" i="8"/>
  <c r="C37" i="8"/>
  <c r="U4" i="3"/>
  <c r="U5" i="3"/>
  <c r="U6" i="3"/>
  <c r="U7" i="3"/>
  <c r="U8" i="3"/>
  <c r="U9" i="3"/>
  <c r="U10" i="3"/>
  <c r="U11" i="3"/>
  <c r="U12" i="3"/>
  <c r="U13" i="3"/>
  <c r="U14" i="3"/>
  <c r="U15" i="3"/>
  <c r="U16" i="3"/>
  <c r="U17" i="3"/>
  <c r="U18" i="3"/>
  <c r="U19" i="3"/>
  <c r="U20" i="3"/>
  <c r="U21" i="3"/>
  <c r="U23" i="3"/>
  <c r="U24" i="3"/>
  <c r="U25" i="3"/>
  <c r="U26" i="3"/>
  <c r="U27" i="3"/>
  <c r="U28" i="3"/>
  <c r="U29" i="3"/>
  <c r="U30" i="3"/>
  <c r="U31" i="3"/>
  <c r="U32" i="3"/>
  <c r="U33" i="3"/>
  <c r="U34" i="3"/>
  <c r="S114" i="7"/>
  <c r="H116" i="6" s="1"/>
  <c r="Q114" i="7"/>
  <c r="F116" i="6" s="1"/>
  <c r="S113" i="7"/>
  <c r="H115" i="6" s="1"/>
  <c r="Q113" i="7"/>
  <c r="F115" i="6" s="1"/>
  <c r="S112" i="7"/>
  <c r="H114" i="6" s="1"/>
  <c r="Q112" i="7"/>
  <c r="F114" i="6" s="1"/>
  <c r="S111" i="7"/>
  <c r="H113" i="6" s="1"/>
  <c r="Q111" i="7"/>
  <c r="F113" i="6" s="1"/>
  <c r="S110" i="7"/>
  <c r="H112" i="6" s="1"/>
  <c r="Q110" i="7"/>
  <c r="F112" i="6" s="1"/>
  <c r="S109" i="7"/>
  <c r="H111" i="6" s="1"/>
  <c r="Q109" i="7"/>
  <c r="F111" i="6" s="1"/>
  <c r="S108" i="7"/>
  <c r="H110" i="6" s="1"/>
  <c r="Q108" i="7"/>
  <c r="F110" i="6" s="1"/>
  <c r="S107" i="7"/>
  <c r="H109" i="6" s="1"/>
  <c r="Q107" i="7"/>
  <c r="F109" i="6" s="1"/>
  <c r="S106" i="7"/>
  <c r="H108" i="6" s="1"/>
  <c r="Q106" i="7"/>
  <c r="F108" i="6" s="1"/>
  <c r="S105" i="7"/>
  <c r="H107" i="6" s="1"/>
  <c r="Q105" i="7"/>
  <c r="F107" i="6" s="1"/>
  <c r="S104" i="7"/>
  <c r="H106" i="6" s="1"/>
  <c r="Q104" i="7"/>
  <c r="F106" i="6" s="1"/>
  <c r="S103" i="7"/>
  <c r="H105" i="6" s="1"/>
  <c r="Q103" i="7"/>
  <c r="S102" i="7"/>
  <c r="Q102" i="7"/>
  <c r="F104" i="6" s="1"/>
  <c r="S101" i="7"/>
  <c r="H103" i="6" s="1"/>
  <c r="Q101" i="7"/>
  <c r="F103" i="6" s="1"/>
  <c r="S100" i="7"/>
  <c r="H102" i="6" s="1"/>
  <c r="Q100" i="7"/>
  <c r="F102" i="6" s="1"/>
  <c r="S99" i="7"/>
  <c r="H101" i="6" s="1"/>
  <c r="Q99" i="7"/>
  <c r="F101" i="6" s="1"/>
  <c r="S98" i="7"/>
  <c r="H100" i="6" s="1"/>
  <c r="Q98" i="7"/>
  <c r="F100" i="6" s="1"/>
  <c r="S97" i="7"/>
  <c r="H99" i="6" s="1"/>
  <c r="Q97" i="7"/>
  <c r="F99" i="6" s="1"/>
  <c r="S96" i="7"/>
  <c r="H98" i="6" s="1"/>
  <c r="Q96" i="7"/>
  <c r="F98" i="6" s="1"/>
  <c r="S95" i="7"/>
  <c r="H97" i="6" s="1"/>
  <c r="Q95" i="7"/>
  <c r="F97" i="6" s="1"/>
  <c r="S94" i="7"/>
  <c r="H96" i="6" s="1"/>
  <c r="Q94" i="7"/>
  <c r="F96" i="6" s="1"/>
  <c r="S93" i="7"/>
  <c r="H95" i="6" s="1"/>
  <c r="Q93" i="7"/>
  <c r="F95" i="6" s="1"/>
  <c r="S92" i="7"/>
  <c r="H94" i="6" s="1"/>
  <c r="Q92" i="7"/>
  <c r="F94" i="6" s="1"/>
  <c r="S91" i="7"/>
  <c r="H93" i="6" s="1"/>
  <c r="Q91" i="7"/>
  <c r="F93" i="6" s="1"/>
  <c r="S90" i="7"/>
  <c r="H92" i="6" s="1"/>
  <c r="Q90" i="7"/>
  <c r="F92" i="6" s="1"/>
  <c r="S89" i="7"/>
  <c r="H91" i="6" s="1"/>
  <c r="Q89" i="7"/>
  <c r="F91" i="6" s="1"/>
  <c r="S88" i="7"/>
  <c r="H90" i="6" s="1"/>
  <c r="Q88" i="7"/>
  <c r="F90" i="6" s="1"/>
  <c r="S87" i="7"/>
  <c r="H89" i="6" s="1"/>
  <c r="Q87" i="7"/>
  <c r="F89" i="6" s="1"/>
  <c r="S86" i="7"/>
  <c r="H88" i="6" s="1"/>
  <c r="Q86" i="7"/>
  <c r="F88" i="6" s="1"/>
  <c r="S85" i="7"/>
  <c r="H87" i="6" s="1"/>
  <c r="Q85" i="7"/>
  <c r="F87" i="6" s="1"/>
  <c r="S84" i="7"/>
  <c r="H86" i="6" s="1"/>
  <c r="Q84" i="7"/>
  <c r="F86" i="6" s="1"/>
  <c r="S83" i="7"/>
  <c r="H85" i="6" s="1"/>
  <c r="Q83" i="7"/>
  <c r="F85" i="6" s="1"/>
  <c r="S82" i="7"/>
  <c r="H84" i="6" s="1"/>
  <c r="Q82" i="7"/>
  <c r="F84" i="6" s="1"/>
  <c r="S81" i="7"/>
  <c r="H83" i="6" s="1"/>
  <c r="Q81" i="7"/>
  <c r="F83" i="6" s="1"/>
  <c r="S80" i="7"/>
  <c r="H82" i="6" s="1"/>
  <c r="Q80" i="7"/>
  <c r="F82" i="6" s="1"/>
  <c r="S79" i="7"/>
  <c r="H81" i="6" s="1"/>
  <c r="Q79" i="7"/>
  <c r="S78" i="7"/>
  <c r="H80" i="6" s="1"/>
  <c r="Q78" i="7"/>
  <c r="F80" i="6" s="1"/>
  <c r="S77" i="7"/>
  <c r="H79" i="6" s="1"/>
  <c r="Q77" i="7"/>
  <c r="F79" i="6" s="1"/>
  <c r="S76" i="7"/>
  <c r="H78" i="6" s="1"/>
  <c r="Q76" i="7"/>
  <c r="F78" i="6" s="1"/>
  <c r="S75" i="7"/>
  <c r="H77" i="6" s="1"/>
  <c r="Q75" i="7"/>
  <c r="F77" i="6" s="1"/>
  <c r="S74" i="7"/>
  <c r="H76" i="6" s="1"/>
  <c r="Q74" i="7"/>
  <c r="F76" i="6" s="1"/>
  <c r="S73" i="7"/>
  <c r="H75" i="6" s="1"/>
  <c r="Q73" i="7"/>
  <c r="F75" i="6" s="1"/>
  <c r="S72" i="7"/>
  <c r="H74" i="6" s="1"/>
  <c r="Q72" i="7"/>
  <c r="F74" i="6" s="1"/>
  <c r="S71" i="7"/>
  <c r="H73" i="6" s="1"/>
  <c r="Q71" i="7"/>
  <c r="F73" i="6" s="1"/>
  <c r="S70" i="7"/>
  <c r="H72" i="6" s="1"/>
  <c r="Q70" i="7"/>
  <c r="F72" i="6" s="1"/>
  <c r="S69" i="7"/>
  <c r="H71" i="6" s="1"/>
  <c r="Q69" i="7"/>
  <c r="F71" i="6" s="1"/>
  <c r="S68" i="7"/>
  <c r="H70" i="6" s="1"/>
  <c r="Q68" i="7"/>
  <c r="F70" i="6" s="1"/>
  <c r="S67" i="7"/>
  <c r="H69" i="6" s="1"/>
  <c r="Q67" i="7"/>
  <c r="F69" i="6" s="1"/>
  <c r="S66" i="7"/>
  <c r="H68" i="6" s="1"/>
  <c r="Q66" i="7"/>
  <c r="F68" i="6" s="1"/>
  <c r="S65" i="7"/>
  <c r="H67" i="6" s="1"/>
  <c r="Q65" i="7"/>
  <c r="F67" i="6" s="1"/>
  <c r="S64" i="7"/>
  <c r="H66" i="6" s="1"/>
  <c r="Q64" i="7"/>
  <c r="F66" i="6" s="1"/>
  <c r="S63" i="7"/>
  <c r="H65" i="6" s="1"/>
  <c r="Q63" i="7"/>
  <c r="F65" i="6" s="1"/>
  <c r="S62" i="7"/>
  <c r="H64" i="6" s="1"/>
  <c r="Q62" i="7"/>
  <c r="F64" i="6" s="1"/>
  <c r="S61" i="7"/>
  <c r="H63" i="6" s="1"/>
  <c r="Q61" i="7"/>
  <c r="F63" i="6" s="1"/>
  <c r="S60" i="7"/>
  <c r="H62" i="6" s="1"/>
  <c r="Q60" i="7"/>
  <c r="F62" i="6" s="1"/>
  <c r="S59" i="7"/>
  <c r="H61" i="6" s="1"/>
  <c r="Q59" i="7"/>
  <c r="F61" i="6" s="1"/>
  <c r="S58" i="7"/>
  <c r="H60" i="6" s="1"/>
  <c r="Q58" i="7"/>
  <c r="F60" i="6" s="1"/>
  <c r="S57" i="7"/>
  <c r="H59" i="6" s="1"/>
  <c r="Q57" i="7"/>
  <c r="F59" i="6" s="1"/>
  <c r="S56" i="7"/>
  <c r="H58" i="6" s="1"/>
  <c r="Q56" i="7"/>
  <c r="F58" i="6" s="1"/>
  <c r="S55" i="7"/>
  <c r="H57" i="6" s="1"/>
  <c r="Q55" i="7"/>
  <c r="F57" i="6" s="1"/>
  <c r="S54" i="7"/>
  <c r="H56" i="6" s="1"/>
  <c r="Q54" i="7"/>
  <c r="F56" i="6" s="1"/>
  <c r="S53" i="7"/>
  <c r="H55" i="6" s="1"/>
  <c r="Q53" i="7"/>
  <c r="F55" i="6" s="1"/>
  <c r="S52" i="7"/>
  <c r="H54" i="6" s="1"/>
  <c r="Q52" i="7"/>
  <c r="F54" i="6" s="1"/>
  <c r="S51" i="7"/>
  <c r="H53" i="6" s="1"/>
  <c r="Q51" i="7"/>
  <c r="F53" i="6" s="1"/>
  <c r="S50" i="7"/>
  <c r="H52" i="6" s="1"/>
  <c r="Q50" i="7"/>
  <c r="F52" i="6" s="1"/>
  <c r="S49" i="7"/>
  <c r="H51" i="6" s="1"/>
  <c r="Q49" i="7"/>
  <c r="F51" i="6" s="1"/>
  <c r="S48" i="7"/>
  <c r="H50" i="6" s="1"/>
  <c r="Q48" i="7"/>
  <c r="F50" i="6" s="1"/>
  <c r="S47" i="7"/>
  <c r="H49" i="6" s="1"/>
  <c r="Q47" i="7"/>
  <c r="F49" i="6" s="1"/>
  <c r="S46" i="7"/>
  <c r="H48" i="6" s="1"/>
  <c r="Q46" i="7"/>
  <c r="F48" i="6" s="1"/>
  <c r="S45" i="7"/>
  <c r="H47" i="6" s="1"/>
  <c r="Q45" i="7"/>
  <c r="F47" i="6" s="1"/>
  <c r="S44" i="7"/>
  <c r="H46" i="6" s="1"/>
  <c r="Q44" i="7"/>
  <c r="F46" i="6" s="1"/>
  <c r="S43" i="7"/>
  <c r="H45" i="6" s="1"/>
  <c r="Q43" i="7"/>
  <c r="F45" i="6" s="1"/>
  <c r="S42" i="7"/>
  <c r="H44" i="6" s="1"/>
  <c r="Q42" i="7"/>
  <c r="F44" i="6" s="1"/>
  <c r="S41" i="7"/>
  <c r="H43" i="6" s="1"/>
  <c r="Q41" i="7"/>
  <c r="F43" i="6" s="1"/>
  <c r="S40" i="7"/>
  <c r="H42" i="6" s="1"/>
  <c r="Q40" i="7"/>
  <c r="F42" i="6" s="1"/>
  <c r="S39" i="7"/>
  <c r="H41" i="6" s="1"/>
  <c r="Q39" i="7"/>
  <c r="F41" i="6" s="1"/>
  <c r="S38" i="7"/>
  <c r="H40" i="6" s="1"/>
  <c r="Q38" i="7"/>
  <c r="F40" i="6" s="1"/>
  <c r="S37" i="7"/>
  <c r="H39" i="6" s="1"/>
  <c r="Q37" i="7"/>
  <c r="F39" i="6" s="1"/>
  <c r="S36" i="7"/>
  <c r="H38" i="6" s="1"/>
  <c r="Q36" i="7"/>
  <c r="F38" i="6" s="1"/>
  <c r="S35" i="7"/>
  <c r="H37" i="6" s="1"/>
  <c r="Q35" i="7"/>
  <c r="F37" i="6" s="1"/>
  <c r="S34" i="7"/>
  <c r="H36" i="6" s="1"/>
  <c r="Q34" i="7"/>
  <c r="F36" i="6" s="1"/>
  <c r="S33" i="7"/>
  <c r="H35" i="6" s="1"/>
  <c r="Q33" i="7"/>
  <c r="F35" i="6" s="1"/>
  <c r="S32" i="7"/>
  <c r="H34" i="6" s="1"/>
  <c r="Q32" i="7"/>
  <c r="F34" i="6" s="1"/>
  <c r="S31" i="7"/>
  <c r="H33" i="6" s="1"/>
  <c r="Q31" i="7"/>
  <c r="F33" i="6" s="1"/>
  <c r="S30" i="7"/>
  <c r="H32" i="6" s="1"/>
  <c r="Q30" i="7"/>
  <c r="F32" i="6" s="1"/>
  <c r="S29" i="7"/>
  <c r="H31" i="6" s="1"/>
  <c r="Q29" i="7"/>
  <c r="F31" i="6" s="1"/>
  <c r="S28" i="7"/>
  <c r="H30" i="6" s="1"/>
  <c r="Q28" i="7"/>
  <c r="F30" i="6" s="1"/>
  <c r="S27" i="7"/>
  <c r="H29" i="6" s="1"/>
  <c r="Q27" i="7"/>
  <c r="F29" i="6" s="1"/>
  <c r="S26" i="7"/>
  <c r="H28" i="6" s="1"/>
  <c r="Q26" i="7"/>
  <c r="F28" i="6" s="1"/>
  <c r="S25" i="7"/>
  <c r="H27" i="6" s="1"/>
  <c r="Q25" i="7"/>
  <c r="F27" i="6" s="1"/>
  <c r="S24" i="7"/>
  <c r="H26" i="6" s="1"/>
  <c r="Q24" i="7"/>
  <c r="F26" i="6" s="1"/>
  <c r="S23" i="7"/>
  <c r="H25" i="6" s="1"/>
  <c r="Q23" i="7"/>
  <c r="F20" i="13" s="1"/>
  <c r="S22" i="7"/>
  <c r="H24" i="6" s="1"/>
  <c r="Q22" i="7"/>
  <c r="F24" i="6" s="1"/>
  <c r="S21" i="7"/>
  <c r="H23" i="6" s="1"/>
  <c r="Q21" i="7"/>
  <c r="F23" i="6" s="1"/>
  <c r="S20" i="7"/>
  <c r="H22" i="6" s="1"/>
  <c r="Q20" i="7"/>
  <c r="F22" i="6" s="1"/>
  <c r="S19" i="7"/>
  <c r="H21" i="6" s="1"/>
  <c r="Q19" i="7"/>
  <c r="F21" i="6" s="1"/>
  <c r="S18" i="7"/>
  <c r="H20" i="6" s="1"/>
  <c r="Q18" i="7"/>
  <c r="F20" i="6" s="1"/>
  <c r="S17" i="7"/>
  <c r="H19" i="6" s="1"/>
  <c r="Q17" i="7"/>
  <c r="F19" i="6" s="1"/>
  <c r="S16" i="7"/>
  <c r="H18" i="6" s="1"/>
  <c r="Q16" i="7"/>
  <c r="F13" i="13" s="1"/>
  <c r="S15" i="7"/>
  <c r="H17" i="6" s="1"/>
  <c r="Q15" i="7"/>
  <c r="F12" i="13" s="1"/>
  <c r="S14" i="7"/>
  <c r="H16" i="6" s="1"/>
  <c r="Q14" i="7"/>
  <c r="F16" i="6" s="1"/>
  <c r="S13" i="7"/>
  <c r="H15" i="6" s="1"/>
  <c r="Q13" i="7"/>
  <c r="F15" i="6" s="1"/>
  <c r="S12" i="7"/>
  <c r="H14" i="6" s="1"/>
  <c r="Q12" i="7"/>
  <c r="F14" i="6" s="1"/>
  <c r="S11" i="7"/>
  <c r="H13" i="6" s="1"/>
  <c r="Q11" i="7"/>
  <c r="F13" i="6" s="1"/>
  <c r="S10" i="7"/>
  <c r="H12" i="6" s="1"/>
  <c r="Q10" i="7"/>
  <c r="F12" i="6" s="1"/>
  <c r="S9" i="7"/>
  <c r="H11" i="6" s="1"/>
  <c r="Q9" i="7"/>
  <c r="F11" i="6" s="1"/>
  <c r="S8" i="7"/>
  <c r="H10" i="6" s="1"/>
  <c r="Q8" i="7"/>
  <c r="F10" i="6" s="1"/>
  <c r="C35" i="13"/>
  <c r="F35" i="3" s="1"/>
  <c r="C36" i="13"/>
  <c r="S36" i="3" s="1"/>
  <c r="C37" i="13"/>
  <c r="S37" i="3" s="1"/>
  <c r="C38" i="13"/>
  <c r="F38" i="3" s="1"/>
  <c r="C39" i="13"/>
  <c r="S39" i="3" s="1"/>
  <c r="C4" i="13"/>
  <c r="F4" i="3" s="1"/>
  <c r="C5" i="13"/>
  <c r="F5" i="3" s="1"/>
  <c r="C6" i="13"/>
  <c r="F6" i="3"/>
  <c r="C7" i="13"/>
  <c r="F7" i="3" s="1"/>
  <c r="C8" i="13"/>
  <c r="C9" i="13"/>
  <c r="F9" i="3" s="1"/>
  <c r="C10" i="13"/>
  <c r="F10" i="3" s="1"/>
  <c r="C11" i="13"/>
  <c r="F11" i="3" s="1"/>
  <c r="C12" i="13"/>
  <c r="F12" i="3" s="1"/>
  <c r="C13" i="13"/>
  <c r="F13" i="3" s="1"/>
  <c r="C14" i="13"/>
  <c r="F14" i="3" s="1"/>
  <c r="C15" i="13"/>
  <c r="F15" i="3" s="1"/>
  <c r="C16" i="13"/>
  <c r="F16" i="3" s="1"/>
  <c r="C17" i="13"/>
  <c r="F17" i="3" s="1"/>
  <c r="C18" i="13"/>
  <c r="F18" i="3" s="1"/>
  <c r="C19" i="13"/>
  <c r="F19" i="3" s="1"/>
  <c r="C20" i="13"/>
  <c r="F20" i="3" s="1"/>
  <c r="C21" i="13"/>
  <c r="F21" i="3" s="1"/>
  <c r="C22" i="13"/>
  <c r="F22" i="3" s="1"/>
  <c r="C23" i="13"/>
  <c r="F23" i="3" s="1"/>
  <c r="C24" i="13"/>
  <c r="F24" i="3" s="1"/>
  <c r="C25" i="13"/>
  <c r="F25" i="3" s="1"/>
  <c r="C26" i="13"/>
  <c r="F26" i="3"/>
  <c r="C27" i="13"/>
  <c r="F27" i="3" s="1"/>
  <c r="C28" i="13"/>
  <c r="F28" i="3" s="1"/>
  <c r="C29" i="13"/>
  <c r="S29" i="3" s="1"/>
  <c r="C30" i="13"/>
  <c r="F30" i="3" s="1"/>
  <c r="C31" i="13"/>
  <c r="S31" i="3" s="1"/>
  <c r="C32" i="13"/>
  <c r="F32" i="3" s="1"/>
  <c r="C33" i="13"/>
  <c r="S33" i="3" s="1"/>
  <c r="C34" i="13"/>
  <c r="F34" i="3" s="1"/>
  <c r="F107" i="13"/>
  <c r="G7" i="7"/>
  <c r="G8" i="7"/>
  <c r="G9" i="7"/>
  <c r="I36" i="7" s="1"/>
  <c r="G10" i="7"/>
  <c r="G11" i="7"/>
  <c r="G12" i="7"/>
  <c r="G13" i="7"/>
  <c r="G14" i="7"/>
  <c r="G15" i="7"/>
  <c r="G16" i="7"/>
  <c r="G17" i="7"/>
  <c r="G18" i="7"/>
  <c r="G19" i="7"/>
  <c r="G20" i="7"/>
  <c r="G21" i="7"/>
  <c r="G22" i="7"/>
  <c r="G23" i="7"/>
  <c r="G24" i="7"/>
  <c r="G25" i="7"/>
  <c r="G26" i="7"/>
  <c r="G27" i="7"/>
  <c r="G28" i="7"/>
  <c r="G29" i="7"/>
  <c r="G30" i="7"/>
  <c r="G31" i="7"/>
  <c r="G32" i="7"/>
  <c r="G33" i="7"/>
  <c r="G34" i="7"/>
  <c r="G35" i="7"/>
  <c r="G36" i="7"/>
  <c r="G37" i="7"/>
  <c r="G38" i="7"/>
  <c r="G39" i="7"/>
  <c r="G40" i="7"/>
  <c r="G41" i="7"/>
  <c r="G42" i="7"/>
  <c r="G43" i="7"/>
  <c r="G44" i="7"/>
  <c r="G45" i="7"/>
  <c r="G46" i="7"/>
  <c r="G47" i="7"/>
  <c r="G48" i="7"/>
  <c r="G49" i="7"/>
  <c r="G50" i="7"/>
  <c r="G51" i="7"/>
  <c r="G52" i="7"/>
  <c r="G53" i="7"/>
  <c r="G54" i="7"/>
  <c r="G55" i="7"/>
  <c r="G56" i="7"/>
  <c r="G57" i="7"/>
  <c r="G58" i="7"/>
  <c r="G59" i="7"/>
  <c r="G60" i="7"/>
  <c r="G61" i="7"/>
  <c r="G62" i="7"/>
  <c r="G63" i="7"/>
  <c r="G64" i="7"/>
  <c r="G65" i="7"/>
  <c r="G66" i="7"/>
  <c r="G67" i="7"/>
  <c r="G68" i="7"/>
  <c r="G69" i="7"/>
  <c r="G70" i="7"/>
  <c r="G71" i="7"/>
  <c r="G72" i="7"/>
  <c r="G73" i="7"/>
  <c r="G74" i="7"/>
  <c r="G75" i="7"/>
  <c r="G76" i="7"/>
  <c r="G77" i="7"/>
  <c r="G78" i="7"/>
  <c r="G79" i="7"/>
  <c r="G80" i="7"/>
  <c r="G81" i="7"/>
  <c r="G82" i="7"/>
  <c r="G83" i="7"/>
  <c r="G84" i="7"/>
  <c r="G85" i="7"/>
  <c r="G86" i="7"/>
  <c r="G87" i="7"/>
  <c r="G88" i="7"/>
  <c r="G89" i="7"/>
  <c r="G90" i="7"/>
  <c r="G91" i="7"/>
  <c r="G92" i="7"/>
  <c r="G93" i="7"/>
  <c r="G94" i="7"/>
  <c r="G95" i="7"/>
  <c r="G96" i="7"/>
  <c r="G97" i="7"/>
  <c r="G98" i="7"/>
  <c r="G99" i="7"/>
  <c r="G100" i="7"/>
  <c r="G101" i="7"/>
  <c r="G102" i="7"/>
  <c r="G103" i="7"/>
  <c r="G104" i="7"/>
  <c r="G105" i="7"/>
  <c r="G106" i="7"/>
  <c r="G107" i="7"/>
  <c r="G108" i="7"/>
  <c r="G109" i="7"/>
  <c r="G110" i="7"/>
  <c r="G111" i="7"/>
  <c r="G112" i="7"/>
  <c r="G113" i="7"/>
  <c r="G114" i="7"/>
  <c r="G115" i="7"/>
  <c r="G116" i="7"/>
  <c r="I116" i="7" s="1"/>
  <c r="G117" i="7"/>
  <c r="G118" i="7"/>
  <c r="G119" i="7"/>
  <c r="I119" i="7" s="1"/>
  <c r="G120" i="7"/>
  <c r="I120" i="7" s="1"/>
  <c r="G121" i="7"/>
  <c r="F121" i="7" s="1"/>
  <c r="G122" i="7"/>
  <c r="I122" i="7" s="1"/>
  <c r="G123" i="7"/>
  <c r="I123" i="7" s="1"/>
  <c r="G124" i="7"/>
  <c r="I124" i="7" s="1"/>
  <c r="G125" i="7"/>
  <c r="I125" i="7" s="1"/>
  <c r="G126" i="7"/>
  <c r="G127" i="7"/>
  <c r="F127" i="7" s="1"/>
  <c r="G128" i="7"/>
  <c r="I128" i="7" s="1"/>
  <c r="G129" i="7"/>
  <c r="I129" i="7" s="1"/>
  <c r="G130" i="7"/>
  <c r="G131" i="7"/>
  <c r="I131" i="7" s="1"/>
  <c r="G132" i="7"/>
  <c r="F132" i="7" s="1"/>
  <c r="G133" i="7"/>
  <c r="F133" i="7" s="1"/>
  <c r="G134" i="7"/>
  <c r="G135" i="7"/>
  <c r="F135" i="7" s="1"/>
  <c r="G136" i="7"/>
  <c r="G137" i="7"/>
  <c r="I137" i="7" s="1"/>
  <c r="G138" i="7"/>
  <c r="I138" i="7" s="1"/>
  <c r="G139" i="7"/>
  <c r="F139" i="7" s="1"/>
  <c r="G140" i="7"/>
  <c r="I140" i="7" s="1"/>
  <c r="G141" i="7"/>
  <c r="I141" i="7" s="1"/>
  <c r="G142" i="7"/>
  <c r="G143" i="7"/>
  <c r="I143" i="7"/>
  <c r="G144" i="7"/>
  <c r="I144" i="7" s="1"/>
  <c r="G145" i="7"/>
  <c r="I145" i="7" s="1"/>
  <c r="G146" i="7"/>
  <c r="F146" i="7" s="1"/>
  <c r="G147" i="7"/>
  <c r="I147" i="7" s="1"/>
  <c r="G148" i="7"/>
  <c r="I148" i="7" s="1"/>
  <c r="G149" i="7"/>
  <c r="G150" i="7"/>
  <c r="I150" i="7" s="1"/>
  <c r="H34" i="7"/>
  <c r="H74" i="7"/>
  <c r="H113" i="7"/>
  <c r="H72" i="7"/>
  <c r="H119" i="7"/>
  <c r="H39" i="7"/>
  <c r="H24" i="7"/>
  <c r="H7" i="7"/>
  <c r="I7" i="7" s="1"/>
  <c r="H108" i="7"/>
  <c r="H28" i="7"/>
  <c r="H68" i="7"/>
  <c r="H23" i="7"/>
  <c r="H110" i="7"/>
  <c r="H120" i="7"/>
  <c r="H136" i="7"/>
  <c r="H8" i="7"/>
  <c r="H91" i="7"/>
  <c r="H139" i="7"/>
  <c r="H124" i="7"/>
  <c r="H135" i="7"/>
  <c r="H87" i="7"/>
  <c r="H22" i="7"/>
  <c r="H90" i="7"/>
  <c r="H57" i="7"/>
  <c r="H79" i="7"/>
  <c r="H121" i="7"/>
  <c r="H103" i="7"/>
  <c r="H106" i="7"/>
  <c r="H138" i="7"/>
  <c r="H11" i="7"/>
  <c r="H59" i="7"/>
  <c r="H112" i="7"/>
  <c r="H105" i="7"/>
  <c r="H140" i="7"/>
  <c r="H55" i="7"/>
  <c r="H104" i="7"/>
  <c r="H71" i="7"/>
  <c r="H10" i="7"/>
  <c r="H88" i="7"/>
  <c r="H19" i="7"/>
  <c r="H109" i="7"/>
  <c r="H75" i="7"/>
  <c r="H96" i="7"/>
  <c r="H76" i="7"/>
  <c r="H45" i="7"/>
  <c r="H93" i="7"/>
  <c r="H49" i="7"/>
  <c r="H73" i="7"/>
  <c r="H15" i="7"/>
  <c r="H42" i="7"/>
  <c r="H61" i="7"/>
  <c r="H51" i="7"/>
  <c r="H95" i="7"/>
  <c r="H98" i="7"/>
  <c r="H128" i="7"/>
  <c r="H141" i="7"/>
  <c r="H56" i="7"/>
  <c r="H94" i="7"/>
  <c r="H53" i="7"/>
  <c r="H17" i="7"/>
  <c r="H26" i="7"/>
  <c r="H36" i="7"/>
  <c r="H13" i="7"/>
  <c r="H126" i="7"/>
  <c r="I126" i="7"/>
  <c r="H43" i="7"/>
  <c r="H66" i="7"/>
  <c r="H144" i="7"/>
  <c r="H81" i="7"/>
  <c r="H137" i="7"/>
  <c r="H60" i="7"/>
  <c r="H122" i="7"/>
  <c r="H9" i="7"/>
  <c r="H62" i="7"/>
  <c r="H30" i="7"/>
  <c r="H89" i="7"/>
  <c r="H102" i="7"/>
  <c r="H123" i="7"/>
  <c r="H38" i="7"/>
  <c r="H101" i="7"/>
  <c r="H64" i="7"/>
  <c r="H18" i="7"/>
  <c r="H134" i="7"/>
  <c r="I134" i="7"/>
  <c r="H78" i="7"/>
  <c r="H16" i="7"/>
  <c r="H118" i="7"/>
  <c r="I118" i="7"/>
  <c r="H33" i="7"/>
  <c r="H147" i="7"/>
  <c r="H50" i="7"/>
  <c r="H83" i="7"/>
  <c r="H14" i="7"/>
  <c r="H116" i="7"/>
  <c r="H92" i="7"/>
  <c r="H52" i="7"/>
  <c r="H150" i="7"/>
  <c r="H31" i="7"/>
  <c r="H133" i="7"/>
  <c r="H35" i="7"/>
  <c r="H67" i="7"/>
  <c r="H48" i="7"/>
  <c r="H125" i="7"/>
  <c r="H29" i="7"/>
  <c r="H27" i="7"/>
  <c r="H131" i="7"/>
  <c r="H46" i="7"/>
  <c r="H148" i="7"/>
  <c r="H63" i="7"/>
  <c r="H12" i="7"/>
  <c r="H142" i="7"/>
  <c r="I142" i="7"/>
  <c r="H40" i="7"/>
  <c r="H58" i="7"/>
  <c r="H41" i="7"/>
  <c r="H97" i="7"/>
  <c r="H80" i="7"/>
  <c r="H143" i="7"/>
  <c r="H82" i="7"/>
  <c r="H65" i="7"/>
  <c r="H107" i="7"/>
  <c r="H25" i="7"/>
  <c r="H127" i="7"/>
  <c r="H129" i="7"/>
  <c r="H21" i="7"/>
  <c r="H44" i="7"/>
  <c r="H146" i="7"/>
  <c r="I146" i="7"/>
  <c r="H130" i="7"/>
  <c r="H85" i="7"/>
  <c r="H20" i="7"/>
  <c r="H37" i="7"/>
  <c r="H32" i="7"/>
  <c r="H100" i="7"/>
  <c r="H70" i="7"/>
  <c r="H111" i="7"/>
  <c r="H117" i="7"/>
  <c r="I117" i="7"/>
  <c r="H86" i="7"/>
  <c r="H145" i="7"/>
  <c r="H149" i="7"/>
  <c r="I149" i="7"/>
  <c r="H84" i="7"/>
  <c r="H54" i="7"/>
  <c r="H115" i="7"/>
  <c r="H99" i="7"/>
  <c r="H47" i="7"/>
  <c r="H132" i="7"/>
  <c r="H114" i="7"/>
  <c r="H69" i="7"/>
  <c r="H77" i="7"/>
  <c r="B8" i="7"/>
  <c r="B9" i="7"/>
  <c r="B10" i="7"/>
  <c r="B11" i="7"/>
  <c r="B12" i="7"/>
  <c r="B13" i="7"/>
  <c r="B14" i="7"/>
  <c r="B15" i="7"/>
  <c r="B16" i="7"/>
  <c r="B17" i="7"/>
  <c r="B18" i="7"/>
  <c r="B19" i="7"/>
  <c r="B20" i="7"/>
  <c r="B21" i="7"/>
  <c r="B22" i="7"/>
  <c r="B23" i="7"/>
  <c r="B24" i="7"/>
  <c r="B25" i="7"/>
  <c r="B26" i="7"/>
  <c r="B27" i="7"/>
  <c r="B28" i="7"/>
  <c r="B29" i="7"/>
  <c r="B30" i="7"/>
  <c r="B31" i="7"/>
  <c r="B32" i="7"/>
  <c r="B33" i="7"/>
  <c r="B34" i="7"/>
  <c r="B35" i="7"/>
  <c r="B36" i="7"/>
  <c r="B37" i="7"/>
  <c r="B38" i="7"/>
  <c r="B7" i="7"/>
  <c r="S22" i="3"/>
  <c r="S25" i="3"/>
  <c r="S26" i="3"/>
  <c r="S27" i="3"/>
  <c r="S28" i="3"/>
  <c r="S32" i="3"/>
  <c r="S34" i="3"/>
  <c r="C25" i="8"/>
  <c r="C26" i="8"/>
  <c r="C27" i="8"/>
  <c r="C28" i="8"/>
  <c r="C29" i="8"/>
  <c r="C30" i="8"/>
  <c r="C31" i="8"/>
  <c r="C32" i="8"/>
  <c r="C33" i="8"/>
  <c r="C34" i="8"/>
  <c r="C35" i="8"/>
  <c r="C36" i="8"/>
  <c r="F115" i="7"/>
  <c r="F116" i="7"/>
  <c r="F117" i="7"/>
  <c r="F118" i="7"/>
  <c r="F119" i="7"/>
  <c r="F120" i="7"/>
  <c r="F122" i="7"/>
  <c r="F123" i="7"/>
  <c r="F124" i="7"/>
  <c r="F125" i="7"/>
  <c r="F126" i="7"/>
  <c r="F129" i="7"/>
  <c r="F131" i="7"/>
  <c r="F134" i="7"/>
  <c r="F140" i="7"/>
  <c r="F141" i="7"/>
  <c r="F142" i="7"/>
  <c r="F143" i="7"/>
  <c r="F145" i="7"/>
  <c r="F147" i="7"/>
  <c r="F148" i="7"/>
  <c r="F149" i="7"/>
  <c r="E55" i="9"/>
  <c r="C15" i="8"/>
  <c r="C16" i="8"/>
  <c r="C17" i="8"/>
  <c r="C18" i="8"/>
  <c r="C19" i="8"/>
  <c r="C20" i="8"/>
  <c r="C21" i="8"/>
  <c r="C22" i="8"/>
  <c r="C23" i="8"/>
  <c r="C24" i="8"/>
  <c r="E35" i="6"/>
  <c r="S12" i="3"/>
  <c r="S13" i="3"/>
  <c r="S15" i="3"/>
  <c r="S16" i="3"/>
  <c r="S17" i="3"/>
  <c r="S18" i="3"/>
  <c r="S19" i="3"/>
  <c r="S20" i="3"/>
  <c r="S21" i="3"/>
  <c r="D81" i="6"/>
  <c r="E81" i="6"/>
  <c r="D82" i="6"/>
  <c r="E82" i="6"/>
  <c r="D83" i="6"/>
  <c r="E83" i="6"/>
  <c r="D84" i="6"/>
  <c r="E84" i="6"/>
  <c r="D85" i="6"/>
  <c r="E85" i="6"/>
  <c r="D86" i="6"/>
  <c r="E86" i="6"/>
  <c r="D87" i="6"/>
  <c r="E87" i="6"/>
  <c r="D88" i="6"/>
  <c r="E88" i="6"/>
  <c r="D89" i="6"/>
  <c r="E89" i="6"/>
  <c r="D90" i="6"/>
  <c r="E90" i="6"/>
  <c r="D91" i="6"/>
  <c r="E91" i="6"/>
  <c r="D92" i="6"/>
  <c r="E92" i="6"/>
  <c r="D93" i="6"/>
  <c r="E93" i="6"/>
  <c r="D94" i="6"/>
  <c r="E94" i="6"/>
  <c r="D95" i="6"/>
  <c r="E95" i="6"/>
  <c r="D96" i="6"/>
  <c r="E96" i="6"/>
  <c r="D97" i="6"/>
  <c r="E97" i="6"/>
  <c r="D98" i="6"/>
  <c r="E98" i="6"/>
  <c r="D99" i="6"/>
  <c r="E99" i="6"/>
  <c r="D100" i="6"/>
  <c r="E100" i="6"/>
  <c r="D101" i="6"/>
  <c r="E101" i="6"/>
  <c r="D102" i="6"/>
  <c r="E102" i="6"/>
  <c r="D103" i="6"/>
  <c r="E103" i="6"/>
  <c r="D104" i="6"/>
  <c r="E104" i="6"/>
  <c r="D105" i="6"/>
  <c r="E105" i="6"/>
  <c r="D106" i="6"/>
  <c r="E106" i="6"/>
  <c r="D107" i="6"/>
  <c r="E107" i="6"/>
  <c r="D108" i="6"/>
  <c r="E108" i="6"/>
  <c r="D109" i="6"/>
  <c r="E109" i="6"/>
  <c r="D110" i="6"/>
  <c r="E110" i="6"/>
  <c r="D111" i="6"/>
  <c r="E111" i="6"/>
  <c r="D112" i="6"/>
  <c r="E112" i="6"/>
  <c r="D113" i="6"/>
  <c r="E113" i="6"/>
  <c r="D114" i="6"/>
  <c r="E114" i="6"/>
  <c r="D115" i="6"/>
  <c r="E115" i="6"/>
  <c r="D116" i="6"/>
  <c r="E116" i="6"/>
  <c r="D10" i="6"/>
  <c r="E10" i="6"/>
  <c r="D11" i="6"/>
  <c r="E11" i="6"/>
  <c r="D12" i="6"/>
  <c r="E12" i="6"/>
  <c r="D13" i="6"/>
  <c r="E13" i="6"/>
  <c r="D14" i="6"/>
  <c r="E14" i="6"/>
  <c r="D15" i="6"/>
  <c r="E15" i="6"/>
  <c r="D16" i="6"/>
  <c r="E16" i="6"/>
  <c r="D17" i="6"/>
  <c r="E17" i="6"/>
  <c r="D18" i="6"/>
  <c r="E18" i="6"/>
  <c r="D19" i="6"/>
  <c r="E19" i="6"/>
  <c r="D20" i="6"/>
  <c r="E20" i="6"/>
  <c r="D21" i="6"/>
  <c r="E21" i="6"/>
  <c r="D22" i="6"/>
  <c r="E22" i="6"/>
  <c r="D23" i="6"/>
  <c r="E23" i="6"/>
  <c r="D24" i="6"/>
  <c r="E24" i="6"/>
  <c r="D25" i="6"/>
  <c r="E25" i="6"/>
  <c r="D26" i="6"/>
  <c r="E26" i="6"/>
  <c r="D27" i="6"/>
  <c r="E27" i="6"/>
  <c r="D28" i="6"/>
  <c r="E28" i="6"/>
  <c r="D29" i="6"/>
  <c r="E29" i="6"/>
  <c r="D30" i="6"/>
  <c r="E30" i="6"/>
  <c r="D31" i="6"/>
  <c r="E31" i="6"/>
  <c r="D32" i="6"/>
  <c r="E32" i="6"/>
  <c r="D33" i="6"/>
  <c r="E33" i="6"/>
  <c r="D34" i="6"/>
  <c r="E34" i="6"/>
  <c r="D35" i="6"/>
  <c r="D36" i="6"/>
  <c r="E36" i="6"/>
  <c r="D37" i="6"/>
  <c r="E37" i="6"/>
  <c r="D38" i="6"/>
  <c r="E38" i="6"/>
  <c r="D39" i="6"/>
  <c r="E39" i="6"/>
  <c r="D40" i="6"/>
  <c r="E40" i="6"/>
  <c r="D41" i="6"/>
  <c r="E41" i="6"/>
  <c r="D42" i="6"/>
  <c r="E42" i="6"/>
  <c r="D43" i="6"/>
  <c r="E43" i="6"/>
  <c r="D44" i="6"/>
  <c r="E44" i="6"/>
  <c r="D45" i="6"/>
  <c r="E45" i="6"/>
  <c r="D46" i="6"/>
  <c r="E46" i="6"/>
  <c r="D47" i="6"/>
  <c r="E47" i="6"/>
  <c r="D48" i="6"/>
  <c r="E48" i="6"/>
  <c r="D49" i="6"/>
  <c r="E49" i="6"/>
  <c r="D50" i="6"/>
  <c r="E50" i="6"/>
  <c r="D51" i="6"/>
  <c r="E51" i="6"/>
  <c r="D52" i="6"/>
  <c r="E52" i="6"/>
  <c r="D53" i="6"/>
  <c r="E53" i="6"/>
  <c r="D54" i="6"/>
  <c r="E54" i="6"/>
  <c r="D55" i="6"/>
  <c r="E55" i="6"/>
  <c r="D56" i="6"/>
  <c r="E56" i="6"/>
  <c r="D57" i="6"/>
  <c r="E57" i="6"/>
  <c r="D58" i="6"/>
  <c r="E58" i="6"/>
  <c r="D59" i="6"/>
  <c r="E59" i="6"/>
  <c r="D60" i="6"/>
  <c r="E60" i="6"/>
  <c r="D61" i="6"/>
  <c r="E61" i="6"/>
  <c r="D62" i="6"/>
  <c r="E62" i="6"/>
  <c r="D63" i="6"/>
  <c r="E63" i="6"/>
  <c r="D64" i="6"/>
  <c r="E64" i="6"/>
  <c r="D65" i="6"/>
  <c r="E65" i="6"/>
  <c r="D66" i="6"/>
  <c r="E66" i="6"/>
  <c r="D67" i="6"/>
  <c r="E67" i="6"/>
  <c r="D68" i="6"/>
  <c r="E68" i="6"/>
  <c r="D69" i="6"/>
  <c r="E69" i="6"/>
  <c r="D70" i="6"/>
  <c r="E70" i="6"/>
  <c r="D71" i="6"/>
  <c r="E71" i="6"/>
  <c r="D72" i="6"/>
  <c r="E72" i="6"/>
  <c r="D73" i="6"/>
  <c r="E73" i="6"/>
  <c r="D74" i="6"/>
  <c r="E74" i="6"/>
  <c r="D75" i="6"/>
  <c r="E75" i="6"/>
  <c r="D76" i="6"/>
  <c r="E76" i="6"/>
  <c r="D77" i="6"/>
  <c r="E77" i="6"/>
  <c r="D78" i="6"/>
  <c r="E78" i="6"/>
  <c r="D79" i="6"/>
  <c r="E79" i="6"/>
  <c r="D80" i="6"/>
  <c r="E80" i="6"/>
  <c r="E9" i="6"/>
  <c r="D9" i="6"/>
  <c r="C7" i="8"/>
  <c r="C8" i="8"/>
  <c r="C9" i="8"/>
  <c r="C10" i="8"/>
  <c r="C11" i="8"/>
  <c r="C12" i="8"/>
  <c r="C13" i="8"/>
  <c r="C14" i="8"/>
  <c r="C6" i="8"/>
  <c r="S5" i="3"/>
  <c r="S6" i="3"/>
  <c r="S10" i="3"/>
  <c r="S11" i="3"/>
  <c r="S4" i="3"/>
  <c r="E12" i="9"/>
  <c r="E50" i="9"/>
  <c r="F5" i="9" s="1"/>
  <c r="C5" i="9"/>
  <c r="K1" i="9"/>
  <c r="E19" i="9"/>
  <c r="E8" i="9"/>
  <c r="E44" i="9"/>
  <c r="C2" i="7" s="1"/>
  <c r="E45" i="9"/>
  <c r="E14" i="9"/>
  <c r="F8" i="6"/>
  <c r="F109" i="13"/>
  <c r="G107" i="13"/>
  <c r="F105" i="13"/>
  <c r="G103" i="13"/>
  <c r="F103" i="13"/>
  <c r="F97" i="13"/>
  <c r="F95" i="13"/>
  <c r="F93" i="13"/>
  <c r="G91" i="13"/>
  <c r="G87" i="13"/>
  <c r="F85" i="13"/>
  <c r="G95" i="13"/>
  <c r="F81" i="13"/>
  <c r="G100" i="13"/>
  <c r="F101" i="13"/>
  <c r="F71" i="13"/>
  <c r="F86" i="13"/>
  <c r="G88" i="13"/>
  <c r="G104" i="13"/>
  <c r="G62" i="13"/>
  <c r="S24" i="3"/>
  <c r="S14" i="3"/>
  <c r="F54" i="13"/>
  <c r="F78" i="13"/>
  <c r="F66" i="13"/>
  <c r="F98" i="13"/>
  <c r="F74" i="13"/>
  <c r="F62" i="13"/>
  <c r="F110" i="13"/>
  <c r="F90" i="13"/>
  <c r="F102" i="13"/>
  <c r="F70" i="13"/>
  <c r="F94" i="13"/>
  <c r="F65" i="13"/>
  <c r="G96" i="13"/>
  <c r="F77" i="13"/>
  <c r="F61" i="13"/>
  <c r="F89" i="13"/>
  <c r="F83" i="13"/>
  <c r="G76" i="13"/>
  <c r="F67" i="13"/>
  <c r="G110" i="13"/>
  <c r="G106" i="13"/>
  <c r="G94" i="13"/>
  <c r="G90" i="13"/>
  <c r="G86" i="13"/>
  <c r="G82" i="13"/>
  <c r="F69" i="13"/>
  <c r="G85" i="13"/>
  <c r="F73" i="13"/>
  <c r="F68" i="13"/>
  <c r="G61" i="13"/>
  <c r="F57" i="13"/>
  <c r="F108" i="13"/>
  <c r="F104" i="13"/>
  <c r="F96" i="13"/>
  <c r="F92" i="13"/>
  <c r="F80" i="13"/>
  <c r="G70" i="13"/>
  <c r="F60" i="13"/>
  <c r="G54" i="13"/>
  <c r="G39" i="13"/>
  <c r="F63" i="13"/>
  <c r="G33" i="13"/>
  <c r="G35" i="13"/>
  <c r="G75" i="13"/>
  <c r="G71" i="13"/>
  <c r="G63" i="13"/>
  <c r="F50" i="13"/>
  <c r="F40" i="13"/>
  <c r="F39" i="13"/>
  <c r="F46" i="13"/>
  <c r="F35" i="13"/>
  <c r="F23" i="13"/>
  <c r="F9" i="6"/>
  <c r="F42" i="13"/>
  <c r="G43" i="13"/>
  <c r="G7" i="13"/>
  <c r="G52" i="13"/>
  <c r="G47" i="13"/>
  <c r="G30" i="13"/>
  <c r="G51" i="13"/>
  <c r="G27" i="13"/>
  <c r="F38" i="13"/>
  <c r="F22" i="13"/>
  <c r="F18" i="13"/>
  <c r="F14" i="13"/>
  <c r="F6" i="13"/>
  <c r="F31" i="3"/>
  <c r="H9" i="6"/>
  <c r="S35" i="3"/>
  <c r="F39" i="3"/>
  <c r="S23" i="3"/>
  <c r="F53" i="13"/>
  <c r="F49" i="13"/>
  <c r="F45" i="13"/>
  <c r="F37" i="13"/>
  <c r="F25" i="13"/>
  <c r="F21" i="13"/>
  <c r="F17" i="13"/>
  <c r="F9" i="13"/>
  <c r="S38" i="3"/>
  <c r="F37" i="3"/>
  <c r="F36" i="3"/>
  <c r="F28" i="13"/>
  <c r="I115" i="7"/>
  <c r="E58" i="9" l="1"/>
  <c r="E15" i="9"/>
  <c r="E68" i="9"/>
  <c r="E43" i="9"/>
  <c r="R6" i="6" s="1"/>
  <c r="E47" i="9"/>
  <c r="M6" i="7" s="1"/>
  <c r="E62" i="9"/>
  <c r="U6" i="7" s="1"/>
  <c r="E20" i="9"/>
  <c r="E34" i="9"/>
  <c r="B14" i="14" s="1"/>
  <c r="E87" i="9"/>
  <c r="C5" i="7" s="1"/>
  <c r="E17" i="9"/>
  <c r="E85" i="9"/>
  <c r="E57" i="9"/>
  <c r="B12" i="12" s="1"/>
  <c r="E28" i="9"/>
  <c r="E56" i="9"/>
  <c r="E6" i="7" s="1"/>
  <c r="E16" i="9"/>
  <c r="E36" i="9"/>
  <c r="B34" i="14" s="1"/>
  <c r="E13" i="9"/>
  <c r="E46" i="9"/>
  <c r="M4" i="7" s="1"/>
  <c r="E59" i="9"/>
  <c r="T6" i="7" s="1"/>
  <c r="E11" i="9"/>
  <c r="B6" i="6" s="1"/>
  <c r="E7" i="9"/>
  <c r="E64" i="9"/>
  <c r="E71" i="9"/>
  <c r="P49" i="6" s="1"/>
  <c r="E89" i="9"/>
  <c r="E69" i="9"/>
  <c r="Q2" i="7" s="1"/>
  <c r="E6" i="9"/>
  <c r="B2" i="8" s="1"/>
  <c r="E60" i="9"/>
  <c r="E49" i="9"/>
  <c r="F1" i="9" s="1"/>
  <c r="E53" i="9"/>
  <c r="E65" i="9"/>
  <c r="L8" i="6" s="1"/>
  <c r="E73" i="9"/>
  <c r="P51" i="6" s="1"/>
  <c r="E51" i="9"/>
  <c r="F67" i="9" s="1"/>
  <c r="E86" i="9"/>
  <c r="L1" i="9" s="1"/>
  <c r="E61" i="9"/>
  <c r="E52" i="9"/>
  <c r="E54" i="9"/>
  <c r="E77" i="9"/>
  <c r="O58" i="6" s="1"/>
  <c r="E10" i="9"/>
  <c r="D6" i="7" s="1"/>
  <c r="E63" i="9"/>
  <c r="D5" i="8" s="1"/>
  <c r="E48" i="9"/>
  <c r="N6" i="7" s="1"/>
  <c r="E9" i="9"/>
  <c r="B5" i="8" s="1"/>
  <c r="E79" i="9"/>
  <c r="P61" i="6" s="1"/>
  <c r="E23" i="9"/>
  <c r="S8" i="6" s="1"/>
  <c r="I24" i="7"/>
  <c r="I21" i="7"/>
  <c r="I83" i="7"/>
  <c r="F93" i="7"/>
  <c r="K130" i="7"/>
  <c r="D8" i="6"/>
  <c r="K87" i="7"/>
  <c r="K148" i="7"/>
  <c r="I107" i="7"/>
  <c r="I133" i="7"/>
  <c r="E83" i="9"/>
  <c r="O66" i="6" s="1"/>
  <c r="I35" i="7"/>
  <c r="F80" i="7"/>
  <c r="K9" i="7"/>
  <c r="K114" i="7"/>
  <c r="K85" i="7"/>
  <c r="K34" i="7"/>
  <c r="C5" i="8"/>
  <c r="E8" i="6"/>
  <c r="K20" i="7"/>
  <c r="K67" i="7"/>
  <c r="K68" i="7"/>
  <c r="I34" i="7"/>
  <c r="Q31" i="13" s="1"/>
  <c r="I112" i="7"/>
  <c r="I96" i="7"/>
  <c r="I88" i="7"/>
  <c r="I80" i="7"/>
  <c r="I72" i="7"/>
  <c r="I56" i="7"/>
  <c r="I48" i="7"/>
  <c r="I40" i="7"/>
  <c r="J37" i="13" s="1"/>
  <c r="F47" i="7"/>
  <c r="I77" i="7"/>
  <c r="K122" i="7"/>
  <c r="K10" i="7"/>
  <c r="I79" i="7"/>
  <c r="E75" i="9"/>
  <c r="P53" i="6" s="1"/>
  <c r="I110" i="7"/>
  <c r="Q107" i="13" s="1"/>
  <c r="K8" i="7"/>
  <c r="I30" i="7"/>
  <c r="K36" i="7"/>
  <c r="K78" i="7"/>
  <c r="I60" i="7"/>
  <c r="F137" i="7"/>
  <c r="I85" i="7"/>
  <c r="J82" i="13" s="1"/>
  <c r="I46" i="7"/>
  <c r="Q43" i="13" s="1"/>
  <c r="I78" i="7"/>
  <c r="O6" i="6"/>
  <c r="K12" i="7"/>
  <c r="K88" i="7"/>
  <c r="K61" i="7"/>
  <c r="K131" i="7"/>
  <c r="K109" i="7"/>
  <c r="K94" i="7"/>
  <c r="K53" i="7"/>
  <c r="K115" i="7"/>
  <c r="K64" i="7"/>
  <c r="K95" i="7"/>
  <c r="K102" i="7"/>
  <c r="K99" i="7"/>
  <c r="K140" i="7"/>
  <c r="I57" i="7"/>
  <c r="J54" i="13" s="1"/>
  <c r="I91" i="7"/>
  <c r="F81" i="6"/>
  <c r="F76" i="13"/>
  <c r="F105" i="6"/>
  <c r="F100" i="13"/>
  <c r="K143" i="7"/>
  <c r="F136" i="7"/>
  <c r="I136" i="7"/>
  <c r="K69" i="7"/>
  <c r="K136" i="7"/>
  <c r="F128" i="7"/>
  <c r="I103" i="7"/>
  <c r="J100" i="13" s="1"/>
  <c r="I95" i="7"/>
  <c r="I87" i="7"/>
  <c r="I71" i="7"/>
  <c r="I63" i="7"/>
  <c r="Q60" i="13" s="1"/>
  <c r="I47" i="7"/>
  <c r="I23" i="7"/>
  <c r="I15" i="7"/>
  <c r="I25" i="7"/>
  <c r="I108" i="7"/>
  <c r="I26" i="7"/>
  <c r="K45" i="7"/>
  <c r="K56" i="7"/>
  <c r="K101" i="7"/>
  <c r="K98" i="7"/>
  <c r="K15" i="7"/>
  <c r="I84" i="7"/>
  <c r="I18" i="7"/>
  <c r="I111" i="7"/>
  <c r="S30" i="3"/>
  <c r="I50" i="7"/>
  <c r="K55" i="7"/>
  <c r="K62" i="7"/>
  <c r="K86" i="7"/>
  <c r="K28" i="7"/>
  <c r="K57" i="7"/>
  <c r="K29" i="7"/>
  <c r="K40" i="7"/>
  <c r="K90" i="7"/>
  <c r="K14" i="7"/>
  <c r="K128" i="7"/>
  <c r="K47" i="7"/>
  <c r="K26" i="7"/>
  <c r="K112" i="7"/>
  <c r="I12" i="7"/>
  <c r="I64" i="7"/>
  <c r="J61" i="13" s="1"/>
  <c r="I104" i="7"/>
  <c r="K138" i="7"/>
  <c r="K54" i="7"/>
  <c r="K91" i="7"/>
  <c r="K19" i="7"/>
  <c r="K141" i="7"/>
  <c r="K127" i="7"/>
  <c r="K123" i="7"/>
  <c r="K18" i="7"/>
  <c r="K103" i="7"/>
  <c r="K104" i="7"/>
  <c r="K76" i="7"/>
  <c r="K71" i="7"/>
  <c r="K72" i="7"/>
  <c r="K24" i="7"/>
  <c r="K121" i="7"/>
  <c r="K92" i="7"/>
  <c r="K60" i="7"/>
  <c r="K27" i="7"/>
  <c r="K51" i="7"/>
  <c r="K33" i="7"/>
  <c r="K119" i="7"/>
  <c r="K139" i="7"/>
  <c r="K129" i="7"/>
  <c r="K124" i="7"/>
  <c r="K149" i="7"/>
  <c r="K110" i="7"/>
  <c r="K41" i="7"/>
  <c r="K142" i="7"/>
  <c r="K89" i="7"/>
  <c r="K30" i="7"/>
  <c r="K31" i="7"/>
  <c r="K49" i="7"/>
  <c r="K16" i="7"/>
  <c r="K125" i="7"/>
  <c r="K13" i="7"/>
  <c r="K52" i="7"/>
  <c r="I41" i="7"/>
  <c r="K35" i="7"/>
  <c r="K32" i="7"/>
  <c r="K108" i="7"/>
  <c r="K25" i="7"/>
  <c r="S7" i="3"/>
  <c r="K84" i="7"/>
  <c r="K107" i="7"/>
  <c r="K66" i="7"/>
  <c r="K93" i="7"/>
  <c r="K146" i="7"/>
  <c r="K43" i="7"/>
  <c r="K38" i="7"/>
  <c r="K120" i="7"/>
  <c r="K65" i="7"/>
  <c r="K144" i="7"/>
  <c r="K37" i="7"/>
  <c r="K50" i="7"/>
  <c r="K106" i="7"/>
  <c r="F138" i="7"/>
  <c r="I43" i="7"/>
  <c r="I135" i="7"/>
  <c r="K137" i="7"/>
  <c r="I8" i="7"/>
  <c r="K145" i="7"/>
  <c r="K39" i="7"/>
  <c r="F24" i="13"/>
  <c r="I27" i="7"/>
  <c r="I55" i="7"/>
  <c r="K80" i="7"/>
  <c r="K113" i="7"/>
  <c r="K133" i="7"/>
  <c r="K81" i="7"/>
  <c r="K23" i="7"/>
  <c r="K17" i="7"/>
  <c r="K105" i="7"/>
  <c r="K147" i="7"/>
  <c r="K58" i="7"/>
  <c r="K7" i="7"/>
  <c r="K82" i="7"/>
  <c r="K46" i="7"/>
  <c r="K116" i="7"/>
  <c r="K126" i="7"/>
  <c r="Q6" i="7"/>
  <c r="C4" i="7"/>
  <c r="I37" i="7"/>
  <c r="K135" i="7"/>
  <c r="I93" i="7"/>
  <c r="Q90" i="13" s="1"/>
  <c r="I62" i="7"/>
  <c r="I31" i="7"/>
  <c r="I94" i="7"/>
  <c r="K150" i="7"/>
  <c r="K100" i="7"/>
  <c r="K11" i="7"/>
  <c r="K21" i="7"/>
  <c r="K134" i="7"/>
  <c r="K111" i="7"/>
  <c r="K117" i="7"/>
  <c r="K74" i="7"/>
  <c r="K59" i="7"/>
  <c r="K132" i="7"/>
  <c r="K83" i="7"/>
  <c r="K79" i="7"/>
  <c r="K70" i="7"/>
  <c r="I99" i="7"/>
  <c r="I19" i="7"/>
  <c r="I130" i="7"/>
  <c r="F130" i="7"/>
  <c r="F8" i="3"/>
  <c r="S8" i="3"/>
  <c r="H104" i="6"/>
  <c r="G99" i="13"/>
  <c r="X3" i="14"/>
  <c r="S77" i="6"/>
  <c r="S116" i="6"/>
  <c r="I17" i="7"/>
  <c r="I100" i="7"/>
  <c r="I92" i="7"/>
  <c r="I76" i="7"/>
  <c r="I52" i="7"/>
  <c r="I44" i="7"/>
  <c r="I28" i="7"/>
  <c r="E88" i="9"/>
  <c r="G2" i="14" s="1"/>
  <c r="E21" i="9"/>
  <c r="Q8" i="6" s="1"/>
  <c r="E27" i="9"/>
  <c r="AA8" i="6" s="1"/>
  <c r="I59" i="7"/>
  <c r="I51" i="7"/>
  <c r="F114" i="7"/>
  <c r="I106" i="7"/>
  <c r="I98" i="7"/>
  <c r="I90" i="7"/>
  <c r="J87" i="13" s="1"/>
  <c r="I82" i="7"/>
  <c r="I66" i="7"/>
  <c r="Q63" i="13" s="1"/>
  <c r="I58" i="7"/>
  <c r="I42" i="7"/>
  <c r="I10" i="7"/>
  <c r="E32" i="9"/>
  <c r="E29" i="9"/>
  <c r="Y8" i="6" s="1"/>
  <c r="E42" i="9"/>
  <c r="T2" i="14" s="1"/>
  <c r="I67" i="7"/>
  <c r="I75" i="7"/>
  <c r="I113" i="7"/>
  <c r="I105" i="7"/>
  <c r="I97" i="7"/>
  <c r="J94" i="13" s="1"/>
  <c r="I81" i="7"/>
  <c r="I73" i="7"/>
  <c r="I65" i="7"/>
  <c r="J62" i="13" s="1"/>
  <c r="I49" i="7"/>
  <c r="Q46" i="13" s="1"/>
  <c r="I33" i="7"/>
  <c r="E70" i="9"/>
  <c r="O47" i="6" s="1"/>
  <c r="E74" i="9"/>
  <c r="P52" i="6" s="1"/>
  <c r="E78" i="9"/>
  <c r="P60" i="6" s="1"/>
  <c r="E82" i="9"/>
  <c r="P64" i="6" s="1"/>
  <c r="E38" i="9"/>
  <c r="B2" i="14" s="1"/>
  <c r="E37" i="9"/>
  <c r="B40" i="14" s="1"/>
  <c r="E25" i="9"/>
  <c r="U8" i="6" s="1"/>
  <c r="E41" i="9"/>
  <c r="E31" i="9"/>
  <c r="E24" i="9"/>
  <c r="T8" i="6" s="1"/>
  <c r="E33" i="9"/>
  <c r="E30" i="9"/>
  <c r="Z8" i="6" s="1"/>
  <c r="E39" i="9"/>
  <c r="S3" i="14" s="1"/>
  <c r="I69" i="7"/>
  <c r="I89" i="7"/>
  <c r="Q86" i="13" s="1"/>
  <c r="I102" i="7"/>
  <c r="I86" i="7"/>
  <c r="I70" i="7"/>
  <c r="I54" i="7"/>
  <c r="I38" i="7"/>
  <c r="I22" i="7"/>
  <c r="G111" i="13"/>
  <c r="E22" i="9"/>
  <c r="R8" i="6" s="1"/>
  <c r="I32" i="7"/>
  <c r="I11" i="7"/>
  <c r="I109" i="7"/>
  <c r="I101" i="7"/>
  <c r="I61" i="7"/>
  <c r="I53" i="7"/>
  <c r="I45" i="7"/>
  <c r="J42" i="13" s="1"/>
  <c r="I29" i="7"/>
  <c r="I13" i="7"/>
  <c r="E18" i="9"/>
  <c r="Y7" i="6" s="1"/>
  <c r="E72" i="9"/>
  <c r="P50" i="6" s="1"/>
  <c r="E76" i="9"/>
  <c r="O55" i="6" s="1"/>
  <c r="E80" i="9"/>
  <c r="P62" i="6" s="1"/>
  <c r="E84" i="9"/>
  <c r="O68" i="6" s="1"/>
  <c r="E66" i="9"/>
  <c r="AB8" i="6" s="1"/>
  <c r="E90" i="9"/>
  <c r="E35" i="9"/>
  <c r="B26" i="14" s="1"/>
  <c r="E26" i="9"/>
  <c r="X8" i="6" s="1"/>
  <c r="I114" i="7"/>
  <c r="F111" i="13"/>
  <c r="J111" i="13" s="1"/>
  <c r="F106" i="13"/>
  <c r="F106" i="7"/>
  <c r="F99" i="13"/>
  <c r="F74" i="7"/>
  <c r="G84" i="13"/>
  <c r="F82" i="13"/>
  <c r="F57" i="7"/>
  <c r="G78" i="13"/>
  <c r="Q78" i="13" s="1"/>
  <c r="F72" i="13"/>
  <c r="I74" i="7"/>
  <c r="F70" i="7"/>
  <c r="I68" i="7"/>
  <c r="F63" i="7"/>
  <c r="G60" i="13"/>
  <c r="F44" i="7"/>
  <c r="F27" i="7"/>
  <c r="I39" i="7"/>
  <c r="F31" i="13"/>
  <c r="G23" i="13"/>
  <c r="Q23" i="13" s="1"/>
  <c r="F23" i="7"/>
  <c r="I20" i="7"/>
  <c r="F17" i="7"/>
  <c r="I16" i="7"/>
  <c r="I14" i="7"/>
  <c r="F9" i="7"/>
  <c r="I9" i="7"/>
  <c r="F8" i="7"/>
  <c r="G28" i="13"/>
  <c r="Q28" i="13" s="1"/>
  <c r="G31" i="13"/>
  <c r="G64" i="13"/>
  <c r="G79" i="13"/>
  <c r="G20" i="13"/>
  <c r="J20" i="13" s="1"/>
  <c r="G32" i="13"/>
  <c r="G36" i="13"/>
  <c r="F29" i="13"/>
  <c r="G55" i="13"/>
  <c r="G80" i="13"/>
  <c r="Q80" i="13" s="1"/>
  <c r="F26" i="13"/>
  <c r="F33" i="13"/>
  <c r="Q33" i="13" s="1"/>
  <c r="F34" i="13"/>
  <c r="G59" i="13"/>
  <c r="G83" i="13"/>
  <c r="Q83" i="13" s="1"/>
  <c r="F5" i="13"/>
  <c r="F41" i="13"/>
  <c r="G11" i="13"/>
  <c r="G67" i="13"/>
  <c r="G72" i="13"/>
  <c r="G68" i="13"/>
  <c r="F58" i="13"/>
  <c r="F19" i="13"/>
  <c r="G24" i="13"/>
  <c r="F10" i="13"/>
  <c r="G19" i="13"/>
  <c r="F51" i="13"/>
  <c r="G15" i="13"/>
  <c r="F48" i="13"/>
  <c r="F52" i="13"/>
  <c r="G50" i="13"/>
  <c r="Q50" i="13" s="1"/>
  <c r="F55" i="13"/>
  <c r="G12" i="13"/>
  <c r="Q12" i="13" s="1"/>
  <c r="G44" i="13"/>
  <c r="G14" i="13"/>
  <c r="F36" i="13"/>
  <c r="G26" i="13"/>
  <c r="F84" i="13"/>
  <c r="G58" i="13"/>
  <c r="G98" i="13"/>
  <c r="Q98" i="13" s="1"/>
  <c r="F79" i="13"/>
  <c r="G92" i="13"/>
  <c r="Q92" i="13" s="1"/>
  <c r="G108" i="13"/>
  <c r="F11" i="13"/>
  <c r="F27" i="13"/>
  <c r="Q27" i="13" s="1"/>
  <c r="G56" i="13"/>
  <c r="G66" i="13"/>
  <c r="G16" i="13"/>
  <c r="G48" i="13"/>
  <c r="J48" i="13" s="1"/>
  <c r="G46" i="13"/>
  <c r="G22" i="13"/>
  <c r="F7" i="13"/>
  <c r="G74" i="13"/>
  <c r="J74" i="13" s="1"/>
  <c r="F88" i="13"/>
  <c r="F64" i="13"/>
  <c r="G102" i="13"/>
  <c r="J102" i="13" s="1"/>
  <c r="F56" i="13"/>
  <c r="Q56" i="13" s="1"/>
  <c r="F87" i="13"/>
  <c r="F91" i="13"/>
  <c r="F8" i="13"/>
  <c r="F25" i="6"/>
  <c r="F43" i="13"/>
  <c r="G34" i="13"/>
  <c r="F59" i="13"/>
  <c r="G18" i="13"/>
  <c r="Q18" i="13" s="1"/>
  <c r="G40" i="13"/>
  <c r="G38" i="13"/>
  <c r="J38" i="13" s="1"/>
  <c r="F47" i="13"/>
  <c r="F44" i="13"/>
  <c r="G10" i="13"/>
  <c r="F16" i="13"/>
  <c r="J16" i="13" s="1"/>
  <c r="F17" i="6"/>
  <c r="G42" i="13"/>
  <c r="Q76" i="13"/>
  <c r="Q71" i="13"/>
  <c r="J71" i="13"/>
  <c r="G37" i="13"/>
  <c r="Q111" i="13"/>
  <c r="G93" i="13"/>
  <c r="Q93" i="13" s="1"/>
  <c r="G29" i="13"/>
  <c r="G57" i="13"/>
  <c r="J57" i="13" s="1"/>
  <c r="G97" i="13"/>
  <c r="G89" i="13"/>
  <c r="J89" i="13" s="1"/>
  <c r="G41" i="13"/>
  <c r="G5" i="13"/>
  <c r="G17" i="13"/>
  <c r="G45" i="13"/>
  <c r="G13" i="13"/>
  <c r="Q13" i="13" s="1"/>
  <c r="G101" i="13"/>
  <c r="G73" i="13"/>
  <c r="Q73" i="13" s="1"/>
  <c r="G69" i="13"/>
  <c r="Q69" i="13" s="1"/>
  <c r="G25" i="13"/>
  <c r="J25" i="13" s="1"/>
  <c r="G105" i="13"/>
  <c r="J105" i="13" s="1"/>
  <c r="G53" i="13"/>
  <c r="J53" i="13" s="1"/>
  <c r="G65" i="13"/>
  <c r="G77" i="13"/>
  <c r="J77" i="13" s="1"/>
  <c r="G109" i="13"/>
  <c r="J109" i="13" s="1"/>
  <c r="G49" i="13"/>
  <c r="G81" i="13"/>
  <c r="J81" i="13" s="1"/>
  <c r="Q94" i="13"/>
  <c r="J103" i="13"/>
  <c r="J70" i="13"/>
  <c r="Q104" i="13"/>
  <c r="Q106" i="13"/>
  <c r="J83" i="13"/>
  <c r="J59" i="13"/>
  <c r="J106" i="13"/>
  <c r="S9" i="3"/>
  <c r="Q70" i="13"/>
  <c r="Q103" i="13"/>
  <c r="J76" i="13"/>
  <c r="J108" i="13"/>
  <c r="J33" i="13"/>
  <c r="Q85" i="13"/>
  <c r="Q110" i="13"/>
  <c r="J104" i="13"/>
  <c r="F15" i="13"/>
  <c r="Q15" i="13" s="1"/>
  <c r="F18" i="6"/>
  <c r="G8" i="13"/>
  <c r="F30" i="13"/>
  <c r="G6" i="13"/>
  <c r="J6" i="13" s="1"/>
  <c r="G9" i="13"/>
  <c r="F32" i="13"/>
  <c r="G21" i="13"/>
  <c r="J21" i="13" s="1"/>
  <c r="F75" i="13"/>
  <c r="J75" i="13" s="1"/>
  <c r="B6" i="7"/>
  <c r="Q84" i="13"/>
  <c r="J95" i="13"/>
  <c r="Q67" i="13"/>
  <c r="J85" i="13"/>
  <c r="J96" i="13"/>
  <c r="J110" i="13"/>
  <c r="J80" i="13"/>
  <c r="J39" i="13"/>
  <c r="J67" i="13"/>
  <c r="Q96" i="13"/>
  <c r="Q100" i="13"/>
  <c r="Q108" i="13"/>
  <c r="Q4" i="13"/>
  <c r="Q39" i="13"/>
  <c r="J35" i="13"/>
  <c r="Q35" i="13"/>
  <c r="J92" i="13"/>
  <c r="J4" i="13"/>
  <c r="J63" i="13"/>
  <c r="Q95" i="13"/>
  <c r="F33" i="3"/>
  <c r="F29" i="3"/>
  <c r="F10" i="7"/>
  <c r="F21" i="7"/>
  <c r="F35" i="7"/>
  <c r="F54" i="7"/>
  <c r="F56" i="7"/>
  <c r="F51" i="7"/>
  <c r="F72" i="7"/>
  <c r="F78" i="7"/>
  <c r="F109" i="7"/>
  <c r="F110" i="7"/>
  <c r="F107" i="7"/>
  <c r="I139" i="7"/>
  <c r="I127" i="7"/>
  <c r="I121" i="7"/>
  <c r="I132" i="7"/>
  <c r="F12" i="7"/>
  <c r="F42" i="7"/>
  <c r="F33" i="7"/>
  <c r="F41" i="7"/>
  <c r="F16" i="7"/>
  <c r="F22" i="7"/>
  <c r="F29" i="7"/>
  <c r="F36" i="7"/>
  <c r="F38" i="7"/>
  <c r="F46" i="7"/>
  <c r="F48" i="7"/>
  <c r="F58" i="7"/>
  <c r="F64" i="7"/>
  <c r="F68" i="7"/>
  <c r="F76" i="7"/>
  <c r="F144" i="7"/>
  <c r="F20" i="7"/>
  <c r="F82" i="7"/>
  <c r="F81" i="7"/>
  <c r="F73" i="7"/>
  <c r="F15" i="7"/>
  <c r="F30" i="7"/>
  <c r="F37" i="7"/>
  <c r="F39" i="7"/>
  <c r="F49" i="7"/>
  <c r="F55" i="7"/>
  <c r="F59" i="7"/>
  <c r="F71" i="7"/>
  <c r="F77" i="7"/>
  <c r="F67" i="7"/>
  <c r="F79" i="7"/>
  <c r="F13" i="7"/>
  <c r="F90" i="7"/>
  <c r="F19" i="7"/>
  <c r="F89" i="7"/>
  <c r="F28" i="7"/>
  <c r="F40" i="7"/>
  <c r="F50" i="7"/>
  <c r="F60" i="7"/>
  <c r="F65" i="7"/>
  <c r="F84" i="7"/>
  <c r="F99" i="7"/>
  <c r="F92" i="7"/>
  <c r="F111" i="7"/>
  <c r="F102" i="7"/>
  <c r="F103" i="7"/>
  <c r="F150" i="7"/>
  <c r="F105" i="7"/>
  <c r="F25" i="7"/>
  <c r="F31" i="7"/>
  <c r="F52" i="7"/>
  <c r="F61" i="7"/>
  <c r="F66" i="7"/>
  <c r="F85" i="7"/>
  <c r="F94" i="7"/>
  <c r="F100" i="7"/>
  <c r="F108" i="7"/>
  <c r="F113" i="7"/>
  <c r="F88" i="7"/>
  <c r="F96" i="7"/>
  <c r="F7" i="7"/>
  <c r="F32" i="7"/>
  <c r="F34" i="7"/>
  <c r="F45" i="7"/>
  <c r="F53" i="7"/>
  <c r="F69" i="7"/>
  <c r="F75" i="7"/>
  <c r="F86" i="7"/>
  <c r="F87" i="7"/>
  <c r="F97" i="7"/>
  <c r="F83" i="7"/>
  <c r="F104" i="7"/>
  <c r="F112" i="7"/>
  <c r="F98" i="7"/>
  <c r="F14" i="7"/>
  <c r="F24" i="7"/>
  <c r="F101" i="7"/>
  <c r="F11" i="7"/>
  <c r="F18" i="7"/>
  <c r="F26" i="7"/>
  <c r="F43" i="7"/>
  <c r="F62" i="7"/>
  <c r="F95" i="7"/>
  <c r="F91" i="7"/>
  <c r="K42" i="7" l="1"/>
  <c r="K118" i="7"/>
  <c r="K96" i="7"/>
  <c r="K48" i="7"/>
  <c r="K44" i="7"/>
  <c r="K63" i="7"/>
  <c r="K97" i="7"/>
  <c r="K77" i="7"/>
  <c r="K75" i="7"/>
  <c r="K73" i="7"/>
  <c r="K22" i="7"/>
  <c r="L6" i="7"/>
  <c r="B8" i="6"/>
  <c r="H41" i="14"/>
  <c r="I8" i="6"/>
  <c r="C8" i="6"/>
  <c r="C6" i="7"/>
  <c r="Q42" i="13"/>
  <c r="J90" i="13"/>
  <c r="Q87" i="13"/>
  <c r="J99" i="13"/>
  <c r="J52" i="13"/>
  <c r="Q40" i="13"/>
  <c r="Q88" i="13"/>
  <c r="J41" i="13"/>
  <c r="J43" i="13"/>
  <c r="Q62" i="13"/>
  <c r="Q82" i="13"/>
  <c r="Q49" i="13"/>
  <c r="J66" i="13"/>
  <c r="J31" i="13"/>
  <c r="Q37" i="13"/>
  <c r="Q20" i="13"/>
  <c r="J107" i="13"/>
  <c r="Q61" i="13"/>
  <c r="J60" i="13"/>
  <c r="Q68" i="13"/>
  <c r="J23" i="13"/>
  <c r="Q7" i="13"/>
  <c r="J45" i="13"/>
  <c r="J91" i="13"/>
  <c r="J22" i="13"/>
  <c r="AF3" i="14"/>
  <c r="AA77" i="6"/>
  <c r="AA116" i="6"/>
  <c r="J88" i="13"/>
  <c r="J40" i="13"/>
  <c r="Q24" i="13"/>
  <c r="AB116" i="6"/>
  <c r="AB77" i="6"/>
  <c r="J86" i="13"/>
  <c r="J46" i="13"/>
  <c r="Q52" i="13"/>
  <c r="J18" i="13"/>
  <c r="Q10" i="13"/>
  <c r="J19" i="13"/>
  <c r="Y77" i="6"/>
  <c r="AD3" i="14"/>
  <c r="Y116" i="6"/>
  <c r="V3" i="14"/>
  <c r="Q77" i="6"/>
  <c r="W116" i="6"/>
  <c r="V116" i="6"/>
  <c r="Q116" i="6"/>
  <c r="Q54" i="13"/>
  <c r="Q30" i="13"/>
  <c r="Q101" i="13"/>
  <c r="J97" i="13"/>
  <c r="J84" i="13"/>
  <c r="AE3" i="14"/>
  <c r="Z77" i="6"/>
  <c r="Z116" i="6"/>
  <c r="K27" i="14"/>
  <c r="K15" i="14"/>
  <c r="K3" i="14"/>
  <c r="K35" i="14"/>
  <c r="Q99" i="13"/>
  <c r="Q65" i="13"/>
  <c r="Q44" i="13"/>
  <c r="K40" i="14"/>
  <c r="N34" i="14"/>
  <c r="N26" i="14"/>
  <c r="N14" i="14"/>
  <c r="N2" i="14"/>
  <c r="L37" i="14"/>
  <c r="O30" i="14"/>
  <c r="I28" i="14"/>
  <c r="I22" i="14"/>
  <c r="L19" i="14"/>
  <c r="O16" i="14"/>
  <c r="O11" i="14"/>
  <c r="I5" i="14"/>
  <c r="I9" i="14"/>
  <c r="V40" i="6"/>
  <c r="V36" i="6"/>
  <c r="V28" i="6"/>
  <c r="V20" i="6"/>
  <c r="V12" i="6"/>
  <c r="J61" i="6"/>
  <c r="J38" i="6"/>
  <c r="J9" i="6"/>
  <c r="J107" i="6"/>
  <c r="J91" i="6"/>
  <c r="J90" i="6"/>
  <c r="J39" i="6"/>
  <c r="J73" i="6"/>
  <c r="J102" i="6"/>
  <c r="J58" i="6"/>
  <c r="J21" i="6"/>
  <c r="J75" i="6"/>
  <c r="L42" i="14"/>
  <c r="I37" i="14"/>
  <c r="L30" i="14"/>
  <c r="O21" i="14"/>
  <c r="I19" i="14"/>
  <c r="L16" i="14"/>
  <c r="O10" i="14"/>
  <c r="L5" i="14"/>
  <c r="L9" i="14"/>
  <c r="V41" i="6"/>
  <c r="V35" i="6"/>
  <c r="V27" i="6"/>
  <c r="V19" i="6"/>
  <c r="V11" i="6"/>
  <c r="L36" i="14"/>
  <c r="O29" i="14"/>
  <c r="O23" i="14"/>
  <c r="I21" i="14"/>
  <c r="L18" i="14"/>
  <c r="O8" i="14"/>
  <c r="L6" i="14"/>
  <c r="L10" i="14"/>
  <c r="V43" i="6"/>
  <c r="V33" i="6"/>
  <c r="V25" i="6"/>
  <c r="V17" i="6"/>
  <c r="I36" i="14"/>
  <c r="L29" i="14"/>
  <c r="L23" i="14"/>
  <c r="O20" i="14"/>
  <c r="I18" i="14"/>
  <c r="O7" i="14"/>
  <c r="I7" i="14"/>
  <c r="I11" i="14"/>
  <c r="V44" i="6"/>
  <c r="V32" i="6"/>
  <c r="V24" i="6"/>
  <c r="V16" i="6"/>
  <c r="J24" i="6"/>
  <c r="J63" i="6"/>
  <c r="J69" i="6"/>
  <c r="J81" i="6"/>
  <c r="J13" i="6"/>
  <c r="J86" i="6"/>
  <c r="J17" i="6"/>
  <c r="J103" i="6"/>
  <c r="J12" i="6"/>
  <c r="J106" i="6"/>
  <c r="J20" i="6"/>
  <c r="J114" i="6"/>
  <c r="J44" i="6"/>
  <c r="O31" i="14"/>
  <c r="I29" i="14"/>
  <c r="I23" i="14"/>
  <c r="L20" i="14"/>
  <c r="O17" i="14"/>
  <c r="O6" i="14"/>
  <c r="L7" i="14"/>
  <c r="L11" i="14"/>
  <c r="V39" i="6"/>
  <c r="V31" i="6"/>
  <c r="V23" i="6"/>
  <c r="V15" i="6"/>
  <c r="L31" i="14"/>
  <c r="O28" i="14"/>
  <c r="O22" i="14"/>
  <c r="I20" i="14"/>
  <c r="L17" i="14"/>
  <c r="O5" i="14"/>
  <c r="I8" i="14"/>
  <c r="L4" i="14"/>
  <c r="V38" i="6"/>
  <c r="V30" i="6"/>
  <c r="V22" i="6"/>
  <c r="V14" i="6"/>
  <c r="O37" i="14"/>
  <c r="I31" i="14"/>
  <c r="L28" i="14"/>
  <c r="L22" i="14"/>
  <c r="O19" i="14"/>
  <c r="I17" i="14"/>
  <c r="O4" i="14"/>
  <c r="L8" i="14"/>
  <c r="I4" i="14"/>
  <c r="V37" i="6"/>
  <c r="V29" i="6"/>
  <c r="V21" i="6"/>
  <c r="V13" i="6"/>
  <c r="O36" i="14"/>
  <c r="I10" i="14"/>
  <c r="J79" i="6"/>
  <c r="J51" i="6"/>
  <c r="J25" i="6"/>
  <c r="I30" i="14"/>
  <c r="J99" i="6"/>
  <c r="J68" i="6"/>
  <c r="J22" i="6"/>
  <c r="J55" i="6"/>
  <c r="J89" i="6"/>
  <c r="J46" i="6"/>
  <c r="J43" i="6"/>
  <c r="J101" i="6"/>
  <c r="J53" i="6"/>
  <c r="J42" i="6"/>
  <c r="J67" i="6"/>
  <c r="J88" i="6"/>
  <c r="J52" i="6"/>
  <c r="J93" i="6"/>
  <c r="J40" i="6"/>
  <c r="V9" i="6"/>
  <c r="J116" i="6"/>
  <c r="J26" i="6"/>
  <c r="J84" i="6"/>
  <c r="J94" i="6"/>
  <c r="J78" i="6"/>
  <c r="J104" i="6"/>
  <c r="J110" i="6"/>
  <c r="J60" i="6"/>
  <c r="J83" i="6"/>
  <c r="O9" i="14"/>
  <c r="J54" i="6"/>
  <c r="J82" i="6"/>
  <c r="J105" i="6"/>
  <c r="J115" i="6"/>
  <c r="L21" i="14"/>
  <c r="V42" i="6"/>
  <c r="J59" i="6"/>
  <c r="J49" i="6"/>
  <c r="J37" i="6"/>
  <c r="J11" i="6"/>
  <c r="J95" i="6"/>
  <c r="J97" i="6"/>
  <c r="J48" i="6"/>
  <c r="J15" i="6"/>
  <c r="J113" i="6"/>
  <c r="J64" i="6"/>
  <c r="J76" i="6"/>
  <c r="J98" i="6"/>
  <c r="J36" i="6"/>
  <c r="O18" i="14"/>
  <c r="V34" i="6"/>
  <c r="J10" i="6"/>
  <c r="J41" i="6"/>
  <c r="J72" i="6"/>
  <c r="J77" i="6"/>
  <c r="J85" i="6"/>
  <c r="J92" i="6"/>
  <c r="J50" i="6"/>
  <c r="J71" i="6"/>
  <c r="J108" i="6"/>
  <c r="J70" i="6"/>
  <c r="J109" i="6"/>
  <c r="J16" i="6"/>
  <c r="J74" i="6"/>
  <c r="J111" i="6"/>
  <c r="I16" i="14"/>
  <c r="V26" i="6"/>
  <c r="J87" i="6"/>
  <c r="V18" i="6"/>
  <c r="J18" i="6"/>
  <c r="J65" i="6"/>
  <c r="J112" i="6"/>
  <c r="J80" i="6"/>
  <c r="J19" i="6"/>
  <c r="J66" i="6"/>
  <c r="I42" i="14"/>
  <c r="I6" i="14"/>
  <c r="V10" i="6"/>
  <c r="J14" i="6"/>
  <c r="J62" i="6"/>
  <c r="J57" i="6"/>
  <c r="J45" i="6"/>
  <c r="J47" i="6"/>
  <c r="J96" i="6"/>
  <c r="J100" i="6"/>
  <c r="J56" i="6"/>
  <c r="J23" i="6"/>
  <c r="W3" i="14"/>
  <c r="R116" i="6"/>
  <c r="R77" i="6"/>
  <c r="J47" i="13"/>
  <c r="Q11" i="13"/>
  <c r="J72" i="13"/>
  <c r="T77" i="6"/>
  <c r="Y3" i="14"/>
  <c r="T116" i="6"/>
  <c r="U116" i="6"/>
  <c r="Z3" i="14"/>
  <c r="U77" i="6"/>
  <c r="J27" i="13"/>
  <c r="J78" i="13"/>
  <c r="J17" i="13"/>
  <c r="Q14" i="13"/>
  <c r="J51" i="13"/>
  <c r="X116" i="6"/>
  <c r="AC3" i="14"/>
  <c r="X77" i="6"/>
  <c r="H35" i="14"/>
  <c r="H15" i="14"/>
  <c r="H3" i="14"/>
  <c r="H27" i="14"/>
  <c r="J98" i="13"/>
  <c r="Q79" i="13"/>
  <c r="J79" i="13"/>
  <c r="Q72" i="13"/>
  <c r="J64" i="13"/>
  <c r="J58" i="13"/>
  <c r="J55" i="13"/>
  <c r="Q55" i="13"/>
  <c r="Q51" i="13"/>
  <c r="Q38" i="13"/>
  <c r="J32" i="13"/>
  <c r="Q59" i="13"/>
  <c r="Q19" i="13"/>
  <c r="Q36" i="13"/>
  <c r="Q26" i="13"/>
  <c r="J50" i="13"/>
  <c r="Q29" i="13"/>
  <c r="J28" i="13"/>
  <c r="J26" i="13"/>
  <c r="J24" i="13"/>
  <c r="Q16" i="13"/>
  <c r="J14" i="13"/>
  <c r="Q102" i="13"/>
  <c r="J68" i="13"/>
  <c r="J34" i="13"/>
  <c r="Q58" i="13"/>
  <c r="J5" i="13"/>
  <c r="J56" i="13"/>
  <c r="J11" i="13"/>
  <c r="Q22" i="13"/>
  <c r="Q91" i="13"/>
  <c r="Q64" i="13"/>
  <c r="Q66" i="13"/>
  <c r="J10" i="13"/>
  <c r="Q48" i="13"/>
  <c r="J44" i="13"/>
  <c r="Q34" i="13"/>
  <c r="J36" i="13"/>
  <c r="J7" i="13"/>
  <c r="J12" i="13"/>
  <c r="J8" i="13"/>
  <c r="Q47" i="13"/>
  <c r="Q74" i="13"/>
  <c r="J49" i="13"/>
  <c r="J69" i="13"/>
  <c r="Q97" i="13"/>
  <c r="J29" i="13"/>
  <c r="Q45" i="13"/>
  <c r="Q53" i="13"/>
  <c r="Q81" i="13"/>
  <c r="Q109" i="13"/>
  <c r="Q41" i="13"/>
  <c r="J13" i="13"/>
  <c r="Q57" i="13"/>
  <c r="J65" i="13"/>
  <c r="Q5" i="13"/>
  <c r="Q17" i="13"/>
  <c r="J93" i="13"/>
  <c r="Q105" i="13"/>
  <c r="Q77" i="13"/>
  <c r="Q25" i="13"/>
  <c r="Q89" i="13"/>
  <c r="J73" i="13"/>
  <c r="J101" i="13"/>
  <c r="Q32" i="13"/>
  <c r="Q21" i="13"/>
  <c r="Q8" i="13"/>
  <c r="Q6" i="13"/>
  <c r="J30" i="13"/>
  <c r="Q75" i="13"/>
  <c r="J15" i="13"/>
  <c r="Q9" i="13"/>
  <c r="J9" i="13"/>
  <c r="F40" i="3"/>
  <c r="F42" i="3" s="1"/>
  <c r="F6" i="7"/>
  <c r="H38" i="13" l="1"/>
  <c r="H50" i="13"/>
  <c r="H88" i="13"/>
  <c r="I64" i="13"/>
  <c r="N64" i="13" s="1"/>
  <c r="I96" i="13"/>
  <c r="N96" i="13" s="1"/>
  <c r="I30" i="13"/>
  <c r="N30" i="13" s="1"/>
  <c r="I47" i="13"/>
  <c r="N47" i="13" s="1"/>
  <c r="H21" i="13"/>
  <c r="H51" i="13"/>
  <c r="H90" i="13"/>
  <c r="H15" i="13"/>
  <c r="I7" i="13"/>
  <c r="N7" i="13" s="1"/>
  <c r="I75" i="13"/>
  <c r="N75" i="13" s="1"/>
  <c r="I107" i="13"/>
  <c r="N107" i="13" s="1"/>
  <c r="H48" i="13"/>
  <c r="H84" i="13"/>
  <c r="I60" i="13"/>
  <c r="N60" i="13" s="1"/>
  <c r="I92" i="13"/>
  <c r="N92" i="13" s="1"/>
  <c r="I28" i="13"/>
  <c r="N28" i="13" s="1"/>
  <c r="I45" i="13"/>
  <c r="N45" i="13" s="1"/>
  <c r="H9" i="13"/>
  <c r="H109" i="13"/>
  <c r="H46" i="13"/>
  <c r="H78" i="13"/>
  <c r="H103" i="13"/>
  <c r="I71" i="13"/>
  <c r="N71" i="13" s="1"/>
  <c r="I103" i="13"/>
  <c r="N103" i="13" s="1"/>
  <c r="H54" i="13"/>
  <c r="H96" i="13"/>
  <c r="H65" i="13"/>
  <c r="I13" i="13"/>
  <c r="N13" i="13" s="1"/>
  <c r="I81" i="13"/>
  <c r="N81" i="13" s="1"/>
  <c r="H23" i="13"/>
  <c r="H55" i="13"/>
  <c r="H98" i="13"/>
  <c r="I66" i="13"/>
  <c r="N66" i="13" s="1"/>
  <c r="I98" i="13"/>
  <c r="N98" i="13" s="1"/>
  <c r="I31" i="13"/>
  <c r="N31" i="13" s="1"/>
  <c r="I42" i="13"/>
  <c r="N42" i="13" s="1"/>
  <c r="H59" i="13"/>
  <c r="H52" i="13"/>
  <c r="H92" i="13"/>
  <c r="H17" i="13"/>
  <c r="I9" i="13"/>
  <c r="N9" i="13" s="1"/>
  <c r="I77" i="13"/>
  <c r="N77" i="13" s="1"/>
  <c r="I109" i="13"/>
  <c r="N109" i="13" s="1"/>
  <c r="H49" i="13"/>
  <c r="H86" i="13"/>
  <c r="I62" i="13"/>
  <c r="N62" i="13" s="1"/>
  <c r="I94" i="13"/>
  <c r="N94" i="13" s="1"/>
  <c r="I29" i="13"/>
  <c r="N29" i="13" s="1"/>
  <c r="I46" i="13"/>
  <c r="N46" i="13" s="1"/>
  <c r="H11" i="13"/>
  <c r="H111" i="13"/>
  <c r="H22" i="13"/>
  <c r="H4" i="13"/>
  <c r="H104" i="13"/>
  <c r="I72" i="13"/>
  <c r="N72" i="13" s="1"/>
  <c r="I104" i="13"/>
  <c r="N104" i="13" s="1"/>
  <c r="I34" i="13"/>
  <c r="N34" i="13" s="1"/>
  <c r="I50" i="13"/>
  <c r="N50" i="13" s="1"/>
  <c r="H73" i="13"/>
  <c r="H27" i="13"/>
  <c r="H6" i="13"/>
  <c r="H106" i="13"/>
  <c r="H67" i="13"/>
  <c r="I15" i="13"/>
  <c r="N15" i="13" s="1"/>
  <c r="I83" i="13"/>
  <c r="N83" i="13" s="1"/>
  <c r="H24" i="13"/>
  <c r="H56" i="13"/>
  <c r="H100" i="13"/>
  <c r="I68" i="13"/>
  <c r="N68" i="13" s="1"/>
  <c r="I100" i="13"/>
  <c r="N100" i="13" s="1"/>
  <c r="I32" i="13"/>
  <c r="N32" i="13" s="1"/>
  <c r="I48" i="13"/>
  <c r="N48" i="13" s="1"/>
  <c r="H61" i="13"/>
  <c r="H53" i="13"/>
  <c r="H94" i="13"/>
  <c r="H19" i="13"/>
  <c r="I11" i="13"/>
  <c r="N11" i="13" s="1"/>
  <c r="I79" i="13"/>
  <c r="N79" i="13" s="1"/>
  <c r="I111" i="13"/>
  <c r="N111" i="13" s="1"/>
  <c r="H26" i="13"/>
  <c r="H12" i="13"/>
  <c r="I4" i="13"/>
  <c r="H81" i="13"/>
  <c r="I21" i="13"/>
  <c r="N21" i="13" s="1"/>
  <c r="I89" i="13"/>
  <c r="N89" i="13" s="1"/>
  <c r="H31" i="13"/>
  <c r="H14" i="13"/>
  <c r="I6" i="13"/>
  <c r="N6" i="13" s="1"/>
  <c r="I74" i="13"/>
  <c r="N74" i="13" s="1"/>
  <c r="I106" i="13"/>
  <c r="N106" i="13" s="1"/>
  <c r="I35" i="13"/>
  <c r="N35" i="13" s="1"/>
  <c r="I51" i="13"/>
  <c r="N51" i="13" s="1"/>
  <c r="H75" i="13"/>
  <c r="H28" i="13"/>
  <c r="H8" i="13"/>
  <c r="H108" i="13"/>
  <c r="H69" i="13"/>
  <c r="I17" i="13"/>
  <c r="N17" i="13" s="1"/>
  <c r="I85" i="13"/>
  <c r="N85" i="13" s="1"/>
  <c r="H25" i="13"/>
  <c r="H57" i="13"/>
  <c r="H102" i="13"/>
  <c r="I70" i="13"/>
  <c r="N70" i="13" s="1"/>
  <c r="I102" i="13"/>
  <c r="N102" i="13" s="1"/>
  <c r="I33" i="13"/>
  <c r="N33" i="13" s="1"/>
  <c r="I49" i="13"/>
  <c r="N49" i="13" s="1"/>
  <c r="H63" i="13"/>
  <c r="H30" i="13"/>
  <c r="H20" i="13"/>
  <c r="I12" i="13"/>
  <c r="N12" i="13" s="1"/>
  <c r="I80" i="13"/>
  <c r="N80" i="13" s="1"/>
  <c r="I22" i="13"/>
  <c r="N22" i="13" s="1"/>
  <c r="I38" i="13"/>
  <c r="N38" i="13" s="1"/>
  <c r="I54" i="13"/>
  <c r="N54" i="13" s="1"/>
  <c r="H89" i="13"/>
  <c r="H35" i="13"/>
  <c r="H58" i="13"/>
  <c r="H83" i="13"/>
  <c r="I59" i="13"/>
  <c r="N59" i="13" s="1"/>
  <c r="I91" i="13"/>
  <c r="N91" i="13" s="1"/>
  <c r="H32" i="13"/>
  <c r="H16" i="13"/>
  <c r="I8" i="13"/>
  <c r="N8" i="13" s="1"/>
  <c r="I76" i="13"/>
  <c r="N76" i="13" s="1"/>
  <c r="I108" i="13"/>
  <c r="N108" i="13" s="1"/>
  <c r="I36" i="13"/>
  <c r="N36" i="13" s="1"/>
  <c r="I52" i="13"/>
  <c r="N52" i="13" s="1"/>
  <c r="H77" i="13"/>
  <c r="H29" i="13"/>
  <c r="H10" i="13"/>
  <c r="H110" i="13"/>
  <c r="H71" i="13"/>
  <c r="I19" i="13"/>
  <c r="N19" i="13" s="1"/>
  <c r="I87" i="13"/>
  <c r="N87" i="13" s="1"/>
  <c r="H34" i="13"/>
  <c r="H64" i="13"/>
  <c r="H97" i="13"/>
  <c r="I65" i="13"/>
  <c r="N65" i="13" s="1"/>
  <c r="I97" i="13"/>
  <c r="N97" i="13" s="1"/>
  <c r="H39" i="13"/>
  <c r="H66" i="13"/>
  <c r="I14" i="13"/>
  <c r="N14" i="13" s="1"/>
  <c r="I82" i="13"/>
  <c r="N82" i="13" s="1"/>
  <c r="I23" i="13"/>
  <c r="N23" i="13" s="1"/>
  <c r="I39" i="13"/>
  <c r="N39" i="13" s="1"/>
  <c r="I55" i="13"/>
  <c r="N55" i="13" s="1"/>
  <c r="H91" i="13"/>
  <c r="H36" i="13"/>
  <c r="H60" i="13"/>
  <c r="H85" i="13"/>
  <c r="I61" i="13"/>
  <c r="N61" i="13" s="1"/>
  <c r="I93" i="13"/>
  <c r="N93" i="13" s="1"/>
  <c r="H33" i="13"/>
  <c r="H18" i="13"/>
  <c r="I10" i="13"/>
  <c r="N10" i="13" s="1"/>
  <c r="I78" i="13"/>
  <c r="N78" i="13" s="1"/>
  <c r="I110" i="13"/>
  <c r="N110" i="13" s="1"/>
  <c r="I37" i="13"/>
  <c r="N37" i="13" s="1"/>
  <c r="I53" i="13"/>
  <c r="N53" i="13" s="1"/>
  <c r="H79" i="13"/>
  <c r="H43" i="13"/>
  <c r="H72" i="13"/>
  <c r="I20" i="13"/>
  <c r="N20" i="13" s="1"/>
  <c r="I88" i="13"/>
  <c r="N88" i="13" s="1"/>
  <c r="I26" i="13"/>
  <c r="N26" i="13" s="1"/>
  <c r="I43" i="13"/>
  <c r="N43" i="13" s="1"/>
  <c r="H5" i="13"/>
  <c r="H105" i="13"/>
  <c r="H44" i="13"/>
  <c r="H74" i="13"/>
  <c r="H99" i="13"/>
  <c r="I67" i="13"/>
  <c r="N67" i="13" s="1"/>
  <c r="I99" i="13"/>
  <c r="N99" i="13" s="1"/>
  <c r="H41" i="13"/>
  <c r="H68" i="13"/>
  <c r="I16" i="13"/>
  <c r="N16" i="13" s="1"/>
  <c r="I84" i="13"/>
  <c r="N84" i="13" s="1"/>
  <c r="I24" i="13"/>
  <c r="N24" i="13" s="1"/>
  <c r="I41" i="13"/>
  <c r="N41" i="13" s="1"/>
  <c r="I56" i="13"/>
  <c r="N56" i="13" s="1"/>
  <c r="H93" i="13"/>
  <c r="H37" i="13"/>
  <c r="H62" i="13"/>
  <c r="H87" i="13"/>
  <c r="I63" i="13"/>
  <c r="N63" i="13" s="1"/>
  <c r="I95" i="13"/>
  <c r="N95" i="13" s="1"/>
  <c r="H47" i="13"/>
  <c r="H80" i="13"/>
  <c r="H13" i="13"/>
  <c r="I5" i="13"/>
  <c r="N5" i="13" s="1"/>
  <c r="I73" i="13"/>
  <c r="N73" i="13" s="1"/>
  <c r="I105" i="13"/>
  <c r="N105" i="13" s="1"/>
  <c r="H42" i="13"/>
  <c r="H82" i="13"/>
  <c r="I58" i="13"/>
  <c r="N58" i="13" s="1"/>
  <c r="I90" i="13"/>
  <c r="N90" i="13" s="1"/>
  <c r="I27" i="13"/>
  <c r="N27" i="13" s="1"/>
  <c r="I44" i="13"/>
  <c r="N44" i="13" s="1"/>
  <c r="H7" i="13"/>
  <c r="H107" i="13"/>
  <c r="H45" i="13"/>
  <c r="H76" i="13"/>
  <c r="H101" i="13"/>
  <c r="I69" i="13"/>
  <c r="N69" i="13" s="1"/>
  <c r="I101" i="13"/>
  <c r="N101" i="13" s="1"/>
  <c r="H40" i="13"/>
  <c r="H70" i="13"/>
  <c r="I18" i="13"/>
  <c r="N18" i="13" s="1"/>
  <c r="I86" i="13"/>
  <c r="N86" i="13" s="1"/>
  <c r="I25" i="13"/>
  <c r="N25" i="13" s="1"/>
  <c r="I40" i="13"/>
  <c r="N40" i="13" s="1"/>
  <c r="I57" i="13"/>
  <c r="N57" i="13" s="1"/>
  <c r="H95" i="13"/>
  <c r="K62" i="13" l="1"/>
  <c r="M62" i="13"/>
  <c r="K34" i="13"/>
  <c r="M34" i="13"/>
  <c r="K40" i="13"/>
  <c r="M40" i="13"/>
  <c r="M37" i="13"/>
  <c r="K37" i="13"/>
  <c r="K83" i="13"/>
  <c r="M83" i="13"/>
  <c r="M28" i="13"/>
  <c r="K28" i="13"/>
  <c r="K106" i="13"/>
  <c r="M106" i="13"/>
  <c r="K95" i="13"/>
  <c r="M95" i="13"/>
  <c r="M13" i="13"/>
  <c r="K13" i="13"/>
  <c r="M93" i="13"/>
  <c r="K93" i="13"/>
  <c r="K60" i="13"/>
  <c r="M60" i="13"/>
  <c r="M66" i="13"/>
  <c r="K66" i="13"/>
  <c r="K58" i="13"/>
  <c r="M58" i="13"/>
  <c r="M20" i="13"/>
  <c r="K20" i="13"/>
  <c r="M57" i="13"/>
  <c r="K57" i="13"/>
  <c r="K75" i="13"/>
  <c r="M75" i="13"/>
  <c r="K6" i="13"/>
  <c r="M6" i="13"/>
  <c r="K38" i="3"/>
  <c r="K15" i="3"/>
  <c r="L4" i="3"/>
  <c r="L17" i="3"/>
  <c r="L23" i="3"/>
  <c r="G21" i="3"/>
  <c r="K10" i="3"/>
  <c r="N15" i="3"/>
  <c r="L13" i="3"/>
  <c r="P30" i="3"/>
  <c r="L26" i="3"/>
  <c r="M23" i="3"/>
  <c r="M28" i="3"/>
  <c r="P11" i="3"/>
  <c r="N8" i="3"/>
  <c r="L21" i="3"/>
  <c r="G7" i="3"/>
  <c r="M4" i="3"/>
  <c r="G32" i="3"/>
  <c r="N23" i="3"/>
  <c r="N5" i="3"/>
  <c r="N7" i="3"/>
  <c r="N27" i="3"/>
  <c r="N17" i="3"/>
  <c r="P22" i="3"/>
  <c r="L38" i="3"/>
  <c r="G35" i="3"/>
  <c r="M20" i="3"/>
  <c r="P34" i="3"/>
  <c r="M25" i="3"/>
  <c r="P28" i="3"/>
  <c r="M17" i="3"/>
  <c r="M35" i="3"/>
  <c r="K27" i="3"/>
  <c r="P15" i="3"/>
  <c r="L28" i="3"/>
  <c r="P17" i="3"/>
  <c r="K30" i="3"/>
  <c r="P19" i="3"/>
  <c r="N24" i="3"/>
  <c r="L6" i="3"/>
  <c r="N30" i="3"/>
  <c r="M5" i="3"/>
  <c r="N32" i="3"/>
  <c r="L30" i="3"/>
  <c r="M27" i="3"/>
  <c r="K24" i="3"/>
  <c r="P7" i="3"/>
  <c r="K5" i="3"/>
  <c r="K32" i="3"/>
  <c r="L14" i="3"/>
  <c r="G11" i="3"/>
  <c r="P16" i="3"/>
  <c r="G27" i="3"/>
  <c r="G17" i="3"/>
  <c r="N22" i="3"/>
  <c r="L20" i="3"/>
  <c r="M18" i="3"/>
  <c r="K35" i="3"/>
  <c r="M12" i="3"/>
  <c r="N38" i="3"/>
  <c r="L15" i="3"/>
  <c r="N28" i="3"/>
  <c r="G26" i="3"/>
  <c r="L9" i="3"/>
  <c r="K13" i="3"/>
  <c r="M24" i="3"/>
  <c r="M22" i="3"/>
  <c r="M19" i="3"/>
  <c r="M16" i="3"/>
  <c r="L35" i="3"/>
  <c r="M13" i="3"/>
  <c r="P24" i="3"/>
  <c r="M6" i="3"/>
  <c r="M11" i="3"/>
  <c r="K8" i="3"/>
  <c r="N19" i="3"/>
  <c r="L24" i="3"/>
  <c r="K14" i="3"/>
  <c r="K26" i="3"/>
  <c r="N25" i="3"/>
  <c r="G18" i="3"/>
  <c r="M8" i="3"/>
  <c r="L22" i="3"/>
  <c r="P27" i="3"/>
  <c r="K16" i="3"/>
  <c r="K21" i="3"/>
  <c r="M34" i="3"/>
  <c r="K9" i="3"/>
  <c r="K11" i="3"/>
  <c r="G24" i="3"/>
  <c r="P13" i="3"/>
  <c r="K17" i="3"/>
  <c r="G22" i="3"/>
  <c r="N11" i="3"/>
  <c r="L16" i="3"/>
  <c r="N18" i="3"/>
  <c r="P9" i="3"/>
  <c r="N21" i="3"/>
  <c r="G10" i="3"/>
  <c r="G25" i="3"/>
  <c r="M14" i="3"/>
  <c r="G19" i="3"/>
  <c r="K25" i="3"/>
  <c r="G5" i="3"/>
  <c r="M26" i="3"/>
  <c r="L7" i="3"/>
  <c r="K34" i="3"/>
  <c r="N16" i="3"/>
  <c r="M21" i="3"/>
  <c r="L27" i="3"/>
  <c r="M32" i="3"/>
  <c r="N10" i="3"/>
  <c r="P23" i="3"/>
  <c r="N20" i="3"/>
  <c r="N9" i="3"/>
  <c r="L19" i="3"/>
  <c r="G9" i="3"/>
  <c r="M38" i="3"/>
  <c r="K7" i="3"/>
  <c r="L34" i="3"/>
  <c r="P8" i="3"/>
  <c r="G28" i="3"/>
  <c r="K19" i="3"/>
  <c r="G16" i="3"/>
  <c r="P6" i="3"/>
  <c r="N26" i="3"/>
  <c r="G8" i="3"/>
  <c r="N14" i="3"/>
  <c r="N4" i="3"/>
  <c r="G38" i="3"/>
  <c r="M30" i="3"/>
  <c r="G4" i="3"/>
  <c r="G37" i="3"/>
  <c r="L39" i="3"/>
  <c r="K20" i="3"/>
  <c r="L25" i="3"/>
  <c r="L5" i="3"/>
  <c r="P10" i="3"/>
  <c r="G14" i="3"/>
  <c r="P5" i="3"/>
  <c r="K37" i="3"/>
  <c r="P37" i="3"/>
  <c r="L31" i="3"/>
  <c r="N13" i="3"/>
  <c r="M9" i="3"/>
  <c r="G20" i="3"/>
  <c r="L10" i="3"/>
  <c r="G6" i="3"/>
  <c r="P12" i="3"/>
  <c r="P39" i="3"/>
  <c r="M31" i="3"/>
  <c r="P4" i="3"/>
  <c r="N34" i="3"/>
  <c r="G23" i="3"/>
  <c r="G12" i="3"/>
  <c r="N12" i="3"/>
  <c r="P31" i="3"/>
  <c r="N31" i="3"/>
  <c r="P26" i="3"/>
  <c r="K18" i="3"/>
  <c r="M7" i="3"/>
  <c r="L12" i="3"/>
  <c r="P32" i="3"/>
  <c r="P21" i="3"/>
  <c r="G36" i="3"/>
  <c r="N36" i="3"/>
  <c r="G31" i="3"/>
  <c r="P38" i="3"/>
  <c r="L18" i="3"/>
  <c r="P35" i="3"/>
  <c r="G13" i="3"/>
  <c r="P25" i="3"/>
  <c r="K28" i="3"/>
  <c r="M37" i="3"/>
  <c r="M39" i="3"/>
  <c r="M15" i="3"/>
  <c r="M10" i="3"/>
  <c r="K22" i="3"/>
  <c r="L11" i="3"/>
  <c r="K23" i="3"/>
  <c r="P20" i="3"/>
  <c r="L36" i="3"/>
  <c r="G30" i="3"/>
  <c r="L32" i="3"/>
  <c r="N6" i="3"/>
  <c r="G34" i="3"/>
  <c r="G15" i="3"/>
  <c r="K12" i="3"/>
  <c r="K39" i="3"/>
  <c r="K36" i="3"/>
  <c r="N37" i="3"/>
  <c r="P14" i="3"/>
  <c r="L8" i="3"/>
  <c r="P18" i="3"/>
  <c r="N35" i="3"/>
  <c r="K6" i="3"/>
  <c r="P36" i="3"/>
  <c r="L37" i="3"/>
  <c r="G39" i="3"/>
  <c r="M4" i="13"/>
  <c r="K31" i="3"/>
  <c r="K4" i="13"/>
  <c r="M36" i="3"/>
  <c r="N39" i="3"/>
  <c r="K4" i="3"/>
  <c r="M33" i="3"/>
  <c r="G29" i="3"/>
  <c r="N29" i="3"/>
  <c r="L29" i="3"/>
  <c r="G33" i="3"/>
  <c r="K29" i="3"/>
  <c r="N33" i="3"/>
  <c r="L33" i="3"/>
  <c r="M29" i="3"/>
  <c r="K33" i="3"/>
  <c r="P33" i="3"/>
  <c r="P29" i="3"/>
  <c r="M86" i="13"/>
  <c r="K86" i="13"/>
  <c r="M59" i="13"/>
  <c r="K59" i="13"/>
  <c r="M78" i="13"/>
  <c r="K78" i="13"/>
  <c r="K84" i="13"/>
  <c r="M84" i="13"/>
  <c r="K21" i="13"/>
  <c r="M21" i="13"/>
  <c r="K70" i="13"/>
  <c r="M70" i="13"/>
  <c r="M68" i="13"/>
  <c r="K68" i="13"/>
  <c r="K104" i="13"/>
  <c r="M104" i="13"/>
  <c r="M80" i="13"/>
  <c r="K80" i="13"/>
  <c r="M36" i="13"/>
  <c r="K36" i="13"/>
  <c r="M39" i="13"/>
  <c r="K39" i="13"/>
  <c r="M71" i="13"/>
  <c r="K71" i="13"/>
  <c r="M35" i="13"/>
  <c r="K35" i="13"/>
  <c r="K30" i="13"/>
  <c r="M30" i="13"/>
  <c r="K25" i="13"/>
  <c r="M25" i="13"/>
  <c r="K19" i="13"/>
  <c r="M19" i="13"/>
  <c r="M100" i="13"/>
  <c r="K100" i="13"/>
  <c r="M27" i="13"/>
  <c r="K27" i="13"/>
  <c r="K22" i="13"/>
  <c r="M22" i="13"/>
  <c r="M49" i="13"/>
  <c r="K49" i="13"/>
  <c r="K46" i="13"/>
  <c r="M46" i="13"/>
  <c r="M48" i="13"/>
  <c r="K48" i="13"/>
  <c r="M81" i="13"/>
  <c r="K81" i="13"/>
  <c r="M94" i="13"/>
  <c r="K94" i="13"/>
  <c r="M56" i="13"/>
  <c r="K56" i="13"/>
  <c r="M73" i="13"/>
  <c r="K73" i="13"/>
  <c r="M111" i="13"/>
  <c r="K111" i="13"/>
  <c r="K65" i="13"/>
  <c r="M65" i="13"/>
  <c r="K109" i="13"/>
  <c r="M109" i="13"/>
  <c r="K91" i="13"/>
  <c r="M91" i="13"/>
  <c r="K89" i="13"/>
  <c r="M89" i="13"/>
  <c r="M76" i="13"/>
  <c r="K76" i="13"/>
  <c r="M18" i="13"/>
  <c r="K18" i="13"/>
  <c r="M10" i="13"/>
  <c r="K10" i="13"/>
  <c r="H38" i="3"/>
  <c r="H17" i="3"/>
  <c r="H10" i="3"/>
  <c r="O25" i="3"/>
  <c r="H24" i="3"/>
  <c r="H5" i="3"/>
  <c r="O31" i="3"/>
  <c r="O16" i="3"/>
  <c r="H30" i="3"/>
  <c r="H8" i="3"/>
  <c r="H32" i="3"/>
  <c r="O15" i="3"/>
  <c r="H16" i="3"/>
  <c r="O30" i="3"/>
  <c r="H4" i="3"/>
  <c r="O36" i="3"/>
  <c r="O8" i="3"/>
  <c r="O6" i="3"/>
  <c r="H15" i="3"/>
  <c r="O23" i="3"/>
  <c r="O35" i="3"/>
  <c r="O9" i="3"/>
  <c r="H21" i="3"/>
  <c r="H20" i="3"/>
  <c r="H39" i="3"/>
  <c r="H9" i="3"/>
  <c r="H35" i="3"/>
  <c r="H14" i="3"/>
  <c r="H6" i="3"/>
  <c r="H23" i="3"/>
  <c r="O17" i="3"/>
  <c r="O28" i="3"/>
  <c r="O37" i="3"/>
  <c r="O27" i="3"/>
  <c r="O14" i="3"/>
  <c r="O34" i="3"/>
  <c r="H22" i="3"/>
  <c r="O21" i="3"/>
  <c r="O5" i="3"/>
  <c r="O7" i="3"/>
  <c r="O24" i="3"/>
  <c r="H36" i="3"/>
  <c r="O19" i="3"/>
  <c r="H28" i="3"/>
  <c r="O26" i="3"/>
  <c r="H13" i="3"/>
  <c r="O12" i="3"/>
  <c r="H25" i="3"/>
  <c r="H31" i="3"/>
  <c r="H11" i="3"/>
  <c r="O20" i="3"/>
  <c r="H18" i="3"/>
  <c r="H12" i="3"/>
  <c r="O18" i="3"/>
  <c r="H26" i="3"/>
  <c r="H27" i="3"/>
  <c r="H7" i="3"/>
  <c r="H37" i="3"/>
  <c r="H34" i="3"/>
  <c r="O38" i="3"/>
  <c r="O4" i="3"/>
  <c r="O32" i="3"/>
  <c r="O10" i="3"/>
  <c r="H19" i="3"/>
  <c r="O22" i="3"/>
  <c r="O39" i="3"/>
  <c r="N4" i="13"/>
  <c r="O11" i="3"/>
  <c r="O13" i="3"/>
  <c r="O29" i="3"/>
  <c r="O33" i="3"/>
  <c r="H29" i="3"/>
  <c r="H33" i="3"/>
  <c r="K24" i="13"/>
  <c r="M24" i="13"/>
  <c r="K11" i="13"/>
  <c r="M11" i="13"/>
  <c r="K96" i="13"/>
  <c r="M96" i="13"/>
  <c r="M9" i="13"/>
  <c r="K9" i="13"/>
  <c r="K47" i="13"/>
  <c r="M47" i="13"/>
  <c r="M110" i="13"/>
  <c r="K110" i="13"/>
  <c r="K72" i="13"/>
  <c r="M72" i="13"/>
  <c r="K16" i="13"/>
  <c r="M16" i="13"/>
  <c r="M53" i="13"/>
  <c r="K53" i="13"/>
  <c r="M45" i="13"/>
  <c r="K45" i="13"/>
  <c r="M42" i="13"/>
  <c r="K42" i="13"/>
  <c r="M44" i="13"/>
  <c r="K44" i="13"/>
  <c r="M43" i="13"/>
  <c r="K43" i="13"/>
  <c r="K33" i="13"/>
  <c r="M33" i="13"/>
  <c r="M97" i="13"/>
  <c r="K97" i="13"/>
  <c r="M29" i="13"/>
  <c r="K29" i="13"/>
  <c r="K32" i="13"/>
  <c r="M32" i="13"/>
  <c r="K69" i="13"/>
  <c r="M69" i="13"/>
  <c r="M12" i="13"/>
  <c r="K12" i="13"/>
  <c r="M61" i="13"/>
  <c r="K61" i="13"/>
  <c r="M54" i="13"/>
  <c r="K54" i="13"/>
  <c r="K101" i="13"/>
  <c r="M101" i="13"/>
  <c r="M99" i="13"/>
  <c r="K99" i="13"/>
  <c r="M63" i="13"/>
  <c r="K63" i="13"/>
  <c r="M82" i="13"/>
  <c r="K82" i="13"/>
  <c r="K74" i="13"/>
  <c r="M74" i="13"/>
  <c r="K107" i="13"/>
  <c r="M107" i="13"/>
  <c r="K87" i="13"/>
  <c r="M87" i="13"/>
  <c r="K105" i="13"/>
  <c r="M105" i="13"/>
  <c r="M79" i="13"/>
  <c r="K79" i="13"/>
  <c r="M64" i="13"/>
  <c r="K64" i="13"/>
  <c r="M77" i="13"/>
  <c r="K77" i="13"/>
  <c r="M108" i="13"/>
  <c r="K108" i="13"/>
  <c r="K26" i="13"/>
  <c r="M26" i="13"/>
  <c r="K17" i="13"/>
  <c r="M17" i="13"/>
  <c r="M98" i="13"/>
  <c r="K98" i="13"/>
  <c r="M15" i="13"/>
  <c r="K15" i="13"/>
  <c r="K88" i="13"/>
  <c r="M88" i="13"/>
  <c r="M5" i="13"/>
  <c r="K5" i="13"/>
  <c r="M8" i="13"/>
  <c r="K8" i="13"/>
  <c r="M14" i="13"/>
  <c r="K14" i="13"/>
  <c r="K67" i="13"/>
  <c r="M67" i="13"/>
  <c r="M92" i="13"/>
  <c r="K92" i="13"/>
  <c r="K55" i="13"/>
  <c r="M55" i="13"/>
  <c r="M90" i="13"/>
  <c r="K90" i="13"/>
  <c r="K50" i="13"/>
  <c r="M50" i="13"/>
  <c r="M7" i="13"/>
  <c r="K7" i="13"/>
  <c r="M41" i="13"/>
  <c r="K41" i="13"/>
  <c r="K85" i="13"/>
  <c r="M85" i="13"/>
  <c r="M102" i="13"/>
  <c r="K102" i="13"/>
  <c r="K31" i="13"/>
  <c r="M31" i="13"/>
  <c r="M52" i="13"/>
  <c r="K52" i="13"/>
  <c r="K23" i="13"/>
  <c r="M23" i="13"/>
  <c r="K103" i="13"/>
  <c r="M103" i="13"/>
  <c r="M51" i="13"/>
  <c r="K51" i="13"/>
  <c r="M38" i="13"/>
  <c r="K38" i="13"/>
  <c r="K40" i="3" l="1"/>
  <c r="I29" i="3"/>
  <c r="R15" i="13"/>
  <c r="S15" i="13" s="1"/>
  <c r="L15" i="13"/>
  <c r="R54" i="13"/>
  <c r="S54" i="13" s="1"/>
  <c r="L54" i="13"/>
  <c r="L43" i="13"/>
  <c r="R43" i="13"/>
  <c r="S43" i="13" s="1"/>
  <c r="L23" i="13"/>
  <c r="R23" i="13"/>
  <c r="S23" i="13" s="1"/>
  <c r="R105" i="13"/>
  <c r="S105" i="13" s="1"/>
  <c r="L105" i="13"/>
  <c r="L41" i="13"/>
  <c r="R41" i="13"/>
  <c r="S41" i="13" s="1"/>
  <c r="R55" i="13"/>
  <c r="S55" i="13" s="1"/>
  <c r="L55" i="13"/>
  <c r="L87" i="13"/>
  <c r="R87" i="13"/>
  <c r="S87" i="13" s="1"/>
  <c r="L16" i="13"/>
  <c r="R16" i="13"/>
  <c r="S16" i="13" s="1"/>
  <c r="R10" i="13"/>
  <c r="S10" i="13" s="1"/>
  <c r="L10" i="13"/>
  <c r="R73" i="13"/>
  <c r="S73" i="13" s="1"/>
  <c r="L73" i="13"/>
  <c r="R48" i="13"/>
  <c r="S48" i="13" s="1"/>
  <c r="L48" i="13"/>
  <c r="R27" i="13"/>
  <c r="S27" i="13" s="1"/>
  <c r="L27" i="13"/>
  <c r="L36" i="13"/>
  <c r="R36" i="13"/>
  <c r="S36" i="13" s="1"/>
  <c r="R59" i="13"/>
  <c r="S59" i="13" s="1"/>
  <c r="L59" i="13"/>
  <c r="I36" i="3"/>
  <c r="I37" i="3"/>
  <c r="I9" i="3"/>
  <c r="I22" i="3"/>
  <c r="I27" i="3"/>
  <c r="I21" i="3"/>
  <c r="L66" i="13"/>
  <c r="R66" i="13"/>
  <c r="S66" i="13" s="1"/>
  <c r="L37" i="13"/>
  <c r="R37" i="13"/>
  <c r="S37" i="13" s="1"/>
  <c r="L50" i="13"/>
  <c r="R50" i="13"/>
  <c r="S50" i="13" s="1"/>
  <c r="R26" i="13"/>
  <c r="S26" i="13" s="1"/>
  <c r="L26" i="13"/>
  <c r="R101" i="13"/>
  <c r="S101" i="13" s="1"/>
  <c r="L101" i="13"/>
  <c r="Q32" i="3"/>
  <c r="J32" i="3" s="1"/>
  <c r="Q11" i="3"/>
  <c r="J11" i="3" s="1"/>
  <c r="Q20" i="3"/>
  <c r="J20" i="3" s="1"/>
  <c r="Q25" i="3"/>
  <c r="J25" i="3" s="1"/>
  <c r="Q8" i="3"/>
  <c r="J8" i="3" s="1"/>
  <c r="Q10" i="3"/>
  <c r="J10" i="3" s="1"/>
  <c r="Q30" i="3"/>
  <c r="J30" i="3" s="1"/>
  <c r="Q39" i="3"/>
  <c r="J39" i="3" s="1"/>
  <c r="Q27" i="3"/>
  <c r="J27" i="3" s="1"/>
  <c r="Q26" i="3"/>
  <c r="J26" i="3" s="1"/>
  <c r="Q13" i="3"/>
  <c r="J13" i="3" s="1"/>
  <c r="Q38" i="3"/>
  <c r="J38" i="3" s="1"/>
  <c r="Q19" i="3"/>
  <c r="J19" i="3" s="1"/>
  <c r="Q5" i="3"/>
  <c r="J5" i="3" s="1"/>
  <c r="Q17" i="3"/>
  <c r="J17" i="3" s="1"/>
  <c r="Q37" i="3"/>
  <c r="J37" i="3" s="1"/>
  <c r="Q4" i="3"/>
  <c r="J4" i="3" s="1"/>
  <c r="Q21" i="3"/>
  <c r="J21" i="3" s="1"/>
  <c r="Q14" i="3"/>
  <c r="J14" i="3" s="1"/>
  <c r="Q34" i="3"/>
  <c r="J34" i="3" s="1"/>
  <c r="Q28" i="3"/>
  <c r="J28" i="3" s="1"/>
  <c r="Q15" i="3"/>
  <c r="J15" i="3" s="1"/>
  <c r="Q7" i="3"/>
  <c r="J7" i="3" s="1"/>
  <c r="Q22" i="3"/>
  <c r="J22" i="3" s="1"/>
  <c r="Q18" i="3"/>
  <c r="J18" i="3" s="1"/>
  <c r="Q6" i="3"/>
  <c r="J6" i="3" s="1"/>
  <c r="Q23" i="3"/>
  <c r="J23" i="3" s="1"/>
  <c r="Q31" i="3"/>
  <c r="J31" i="3" s="1"/>
  <c r="Q12" i="3"/>
  <c r="J12" i="3" s="1"/>
  <c r="Q16" i="3"/>
  <c r="J16" i="3" s="1"/>
  <c r="Q35" i="3"/>
  <c r="J35" i="3" s="1"/>
  <c r="Q9" i="3"/>
  <c r="J9" i="3" s="1"/>
  <c r="Q24" i="3"/>
  <c r="J24" i="3" s="1"/>
  <c r="Q36" i="3"/>
  <c r="J36" i="3" s="1"/>
  <c r="T36" i="3" s="1"/>
  <c r="Q29" i="3"/>
  <c r="J29" i="3" s="1"/>
  <c r="Q33" i="3"/>
  <c r="J33" i="3" s="1"/>
  <c r="L5" i="13"/>
  <c r="R5" i="13"/>
  <c r="S5" i="13" s="1"/>
  <c r="R91" i="13"/>
  <c r="S91" i="13" s="1"/>
  <c r="L91" i="13"/>
  <c r="L30" i="13"/>
  <c r="R30" i="13"/>
  <c r="S30" i="13" s="1"/>
  <c r="L70" i="13"/>
  <c r="R70" i="13"/>
  <c r="S70" i="13" s="1"/>
  <c r="I6" i="3"/>
  <c r="I4" i="3"/>
  <c r="I16" i="3"/>
  <c r="I25" i="3"/>
  <c r="L75" i="13"/>
  <c r="R75" i="13"/>
  <c r="S75" i="13" s="1"/>
  <c r="L95" i="13"/>
  <c r="R95" i="13"/>
  <c r="S95" i="13" s="1"/>
  <c r="L103" i="13"/>
  <c r="R103" i="13"/>
  <c r="S103" i="13" s="1"/>
  <c r="L88" i="13"/>
  <c r="R88" i="13"/>
  <c r="S88" i="13" s="1"/>
  <c r="L69" i="13"/>
  <c r="R69" i="13"/>
  <c r="S69" i="13" s="1"/>
  <c r="L11" i="13"/>
  <c r="R11" i="13"/>
  <c r="S11" i="13" s="1"/>
  <c r="L94" i="13"/>
  <c r="R94" i="13"/>
  <c r="S94" i="13" s="1"/>
  <c r="R71" i="13"/>
  <c r="S71" i="13" s="1"/>
  <c r="L71" i="13"/>
  <c r="R65" i="13"/>
  <c r="S65" i="13" s="1"/>
  <c r="L65" i="13"/>
  <c r="L84" i="13"/>
  <c r="R84" i="13"/>
  <c r="S84" i="13" s="1"/>
  <c r="L22" i="13"/>
  <c r="R22" i="13"/>
  <c r="S22" i="13" s="1"/>
  <c r="L25" i="13"/>
  <c r="R25" i="13"/>
  <c r="S25" i="13" s="1"/>
  <c r="R7" i="13"/>
  <c r="S7" i="13" s="1"/>
  <c r="L7" i="13"/>
  <c r="L64" i="13"/>
  <c r="R64" i="13"/>
  <c r="S64" i="13" s="1"/>
  <c r="R12" i="13"/>
  <c r="S12" i="13" s="1"/>
  <c r="L12" i="13"/>
  <c r="R97" i="13"/>
  <c r="S97" i="13" s="1"/>
  <c r="L97" i="13"/>
  <c r="L18" i="13"/>
  <c r="R18" i="13"/>
  <c r="S18" i="13" s="1"/>
  <c r="R56" i="13"/>
  <c r="S56" i="13" s="1"/>
  <c r="L56" i="13"/>
  <c r="R100" i="13"/>
  <c r="S100" i="13" s="1"/>
  <c r="L100" i="13"/>
  <c r="L35" i="13"/>
  <c r="R35" i="13"/>
  <c r="S35" i="13" s="1"/>
  <c r="L80" i="13"/>
  <c r="R80" i="13"/>
  <c r="S80" i="13" s="1"/>
  <c r="L86" i="13"/>
  <c r="R86" i="13"/>
  <c r="S86" i="13" s="1"/>
  <c r="I13" i="3"/>
  <c r="I12" i="3"/>
  <c r="I14" i="3"/>
  <c r="I10" i="3"/>
  <c r="I11" i="3"/>
  <c r="R57" i="13"/>
  <c r="S57" i="13" s="1"/>
  <c r="L57" i="13"/>
  <c r="R85" i="13"/>
  <c r="S85" i="13" s="1"/>
  <c r="L85" i="13"/>
  <c r="R32" i="13"/>
  <c r="S32" i="13" s="1"/>
  <c r="L32" i="13"/>
  <c r="R47" i="13"/>
  <c r="S47" i="13" s="1"/>
  <c r="L47" i="13"/>
  <c r="L24" i="13"/>
  <c r="R24" i="13"/>
  <c r="S24" i="13" s="1"/>
  <c r="L38" i="13"/>
  <c r="R38" i="13"/>
  <c r="S38" i="13" s="1"/>
  <c r="R8" i="13"/>
  <c r="S8" i="13" s="1"/>
  <c r="L8" i="13"/>
  <c r="R77" i="13"/>
  <c r="S77" i="13" s="1"/>
  <c r="L77" i="13"/>
  <c r="L63" i="13"/>
  <c r="R63" i="13"/>
  <c r="S63" i="13" s="1"/>
  <c r="L29" i="13"/>
  <c r="R29" i="13"/>
  <c r="S29" i="13" s="1"/>
  <c r="R9" i="13"/>
  <c r="S9" i="13" s="1"/>
  <c r="L9" i="13"/>
  <c r="L89" i="13"/>
  <c r="R89" i="13"/>
  <c r="S89" i="13" s="1"/>
  <c r="R51" i="13"/>
  <c r="S51" i="13" s="1"/>
  <c r="L51" i="13"/>
  <c r="R92" i="13"/>
  <c r="S92" i="13" s="1"/>
  <c r="L92" i="13"/>
  <c r="R99" i="13"/>
  <c r="S99" i="13" s="1"/>
  <c r="L99" i="13"/>
  <c r="R42" i="13"/>
  <c r="S42" i="13" s="1"/>
  <c r="L42" i="13"/>
  <c r="L31" i="13"/>
  <c r="R31" i="13"/>
  <c r="S31" i="13" s="1"/>
  <c r="L17" i="13"/>
  <c r="R17" i="13"/>
  <c r="S17" i="13" s="1"/>
  <c r="L107" i="13"/>
  <c r="R107" i="13"/>
  <c r="S107" i="13" s="1"/>
  <c r="R72" i="13"/>
  <c r="S72" i="13" s="1"/>
  <c r="L72" i="13"/>
  <c r="L96" i="13"/>
  <c r="R96" i="13"/>
  <c r="S96" i="13" s="1"/>
  <c r="I15" i="3"/>
  <c r="R102" i="13"/>
  <c r="S102" i="13" s="1"/>
  <c r="L102" i="13"/>
  <c r="L79" i="13"/>
  <c r="R79" i="13"/>
  <c r="S79" i="13" s="1"/>
  <c r="L45" i="13"/>
  <c r="R45" i="13"/>
  <c r="S45" i="13" s="1"/>
  <c r="L110" i="13"/>
  <c r="R110" i="13"/>
  <c r="S110" i="13" s="1"/>
  <c r="R109" i="13"/>
  <c r="S109" i="13" s="1"/>
  <c r="L109" i="13"/>
  <c r="R46" i="13"/>
  <c r="S46" i="13" s="1"/>
  <c r="L46" i="13"/>
  <c r="L21" i="13"/>
  <c r="R21" i="13"/>
  <c r="S21" i="13" s="1"/>
  <c r="I33" i="3"/>
  <c r="R4" i="13"/>
  <c r="S4" i="13" s="1"/>
  <c r="L4" i="13"/>
  <c r="I34" i="3"/>
  <c r="I23" i="3"/>
  <c r="I20" i="3"/>
  <c r="I38" i="3"/>
  <c r="I28" i="3"/>
  <c r="I24" i="3"/>
  <c r="I35" i="3"/>
  <c r="I32" i="3"/>
  <c r="R60" i="13"/>
  <c r="S60" i="13" s="1"/>
  <c r="L60" i="13"/>
  <c r="R106" i="13"/>
  <c r="S106" i="13" s="1"/>
  <c r="L106" i="13"/>
  <c r="R40" i="13"/>
  <c r="S40" i="13" s="1"/>
  <c r="L40" i="13"/>
  <c r="I18" i="3"/>
  <c r="L20" i="13"/>
  <c r="R20" i="13"/>
  <c r="S20" i="13" s="1"/>
  <c r="R93" i="13"/>
  <c r="S93" i="13" s="1"/>
  <c r="L93" i="13"/>
  <c r="L28" i="13"/>
  <c r="R28" i="13"/>
  <c r="S28" i="13" s="1"/>
  <c r="L90" i="13"/>
  <c r="R90" i="13"/>
  <c r="S90" i="13" s="1"/>
  <c r="L108" i="13"/>
  <c r="R108" i="13"/>
  <c r="S108" i="13" s="1"/>
  <c r="L82" i="13"/>
  <c r="R82" i="13"/>
  <c r="S82" i="13" s="1"/>
  <c r="R53" i="13"/>
  <c r="S53" i="13" s="1"/>
  <c r="L53" i="13"/>
  <c r="I5" i="3"/>
  <c r="I7" i="3"/>
  <c r="R34" i="13"/>
  <c r="S34" i="13" s="1"/>
  <c r="L34" i="13"/>
  <c r="L19" i="13"/>
  <c r="R19" i="13"/>
  <c r="S19" i="13" s="1"/>
  <c r="L104" i="13"/>
  <c r="R104" i="13"/>
  <c r="S104" i="13" s="1"/>
  <c r="L111" i="13"/>
  <c r="R111" i="13"/>
  <c r="S111" i="13" s="1"/>
  <c r="R81" i="13"/>
  <c r="S81" i="13" s="1"/>
  <c r="L81" i="13"/>
  <c r="L39" i="13"/>
  <c r="R39" i="13"/>
  <c r="S39" i="13" s="1"/>
  <c r="R68" i="13"/>
  <c r="S68" i="13" s="1"/>
  <c r="L68" i="13"/>
  <c r="R78" i="13"/>
  <c r="S78" i="13" s="1"/>
  <c r="L78" i="13"/>
  <c r="I39" i="3"/>
  <c r="I30" i="3"/>
  <c r="I31" i="3"/>
  <c r="I8" i="3"/>
  <c r="I26" i="3"/>
  <c r="L13" i="13"/>
  <c r="R13" i="13"/>
  <c r="S13" i="13" s="1"/>
  <c r="L67" i="13"/>
  <c r="R67" i="13"/>
  <c r="S67" i="13" s="1"/>
  <c r="R74" i="13"/>
  <c r="S74" i="13" s="1"/>
  <c r="L74" i="13"/>
  <c r="R33" i="13"/>
  <c r="S33" i="13" s="1"/>
  <c r="L33" i="13"/>
  <c r="R76" i="13"/>
  <c r="S76" i="13" s="1"/>
  <c r="L76" i="13"/>
  <c r="L49" i="13"/>
  <c r="R49" i="13"/>
  <c r="S49" i="13" s="1"/>
  <c r="L14" i="13"/>
  <c r="R14" i="13"/>
  <c r="S14" i="13" s="1"/>
  <c r="L52" i="13"/>
  <c r="R52" i="13"/>
  <c r="S52" i="13" s="1"/>
  <c r="L98" i="13"/>
  <c r="R98" i="13"/>
  <c r="S98" i="13" s="1"/>
  <c r="R61" i="13"/>
  <c r="S61" i="13" s="1"/>
  <c r="L61" i="13"/>
  <c r="L44" i="13"/>
  <c r="R44" i="13"/>
  <c r="S44" i="13" s="1"/>
  <c r="I19" i="3"/>
  <c r="I17" i="3"/>
  <c r="L6" i="13"/>
  <c r="R6" i="13"/>
  <c r="S6" i="13" s="1"/>
  <c r="L58" i="13"/>
  <c r="R58" i="13"/>
  <c r="S58" i="13" s="1"/>
  <c r="L83" i="13"/>
  <c r="R83" i="13"/>
  <c r="S83" i="13" s="1"/>
  <c r="L62" i="13"/>
  <c r="R62" i="13"/>
  <c r="S62" i="13" s="1"/>
  <c r="T37" i="3" l="1"/>
  <c r="T22" i="3"/>
  <c r="T29" i="3"/>
  <c r="T9" i="3"/>
  <c r="T27" i="3"/>
  <c r="T21" i="3"/>
  <c r="T31" i="3"/>
  <c r="T39" i="3"/>
  <c r="T16" i="3"/>
  <c r="T35" i="3"/>
  <c r="T5" i="3"/>
  <c r="T10" i="3"/>
  <c r="T18" i="3"/>
  <c r="T4" i="3"/>
  <c r="T12" i="3"/>
  <c r="T6" i="3"/>
  <c r="T20" i="3"/>
  <c r="T24" i="3"/>
  <c r="T15" i="3"/>
  <c r="T33" i="3"/>
  <c r="T13" i="3"/>
  <c r="T32" i="3"/>
  <c r="T14" i="3"/>
  <c r="T25" i="3"/>
  <c r="T7" i="3"/>
  <c r="T23" i="3"/>
  <c r="T8" i="3"/>
  <c r="T26" i="3"/>
  <c r="T30" i="3"/>
  <c r="T28" i="3"/>
  <c r="T11" i="3"/>
  <c r="T19" i="3"/>
  <c r="T17" i="3"/>
  <c r="T34" i="3"/>
  <c r="T38" i="3"/>
  <c r="O9" i="6"/>
  <c r="V34" i="3" l="1"/>
  <c r="V24" i="3"/>
  <c r="V18" i="3"/>
  <c r="V21" i="3"/>
  <c r="V20" i="3"/>
  <c r="V23" i="3"/>
  <c r="V39" i="3"/>
  <c r="V9" i="3"/>
  <c r="V37" i="3"/>
  <c r="V10" i="3"/>
  <c r="V22" i="3"/>
  <c r="V35" i="3"/>
  <c r="V5" i="3"/>
  <c r="V4" i="3"/>
  <c r="V14" i="3"/>
  <c r="V30" i="3"/>
  <c r="V36" i="3"/>
  <c r="V31" i="3"/>
  <c r="AE9" i="6"/>
  <c r="V38" i="3"/>
  <c r="V19" i="3"/>
  <c r="V26" i="3"/>
  <c r="V13" i="3"/>
  <c r="V15" i="3"/>
  <c r="V11" i="3"/>
  <c r="V8" i="3"/>
  <c r="V32" i="3"/>
  <c r="V27" i="3"/>
  <c r="V28" i="3"/>
  <c r="V6" i="3"/>
  <c r="V7" i="3"/>
  <c r="V29" i="3"/>
  <c r="V17" i="3"/>
  <c r="V12" i="3"/>
  <c r="V16" i="3"/>
  <c r="V25" i="3"/>
  <c r="V33" i="3"/>
  <c r="E28" i="3" l="1"/>
  <c r="D28" i="3" s="1"/>
  <c r="E33" i="3"/>
  <c r="D33" i="3" s="1"/>
  <c r="E15" i="3"/>
  <c r="D15" i="3" s="1"/>
  <c r="E35" i="3"/>
  <c r="D35" i="3" s="1"/>
  <c r="E9" i="3"/>
  <c r="D9" i="3" s="1"/>
  <c r="E34" i="3"/>
  <c r="D34" i="3" s="1"/>
  <c r="E25" i="3"/>
  <c r="D25" i="3" s="1"/>
  <c r="E13" i="3"/>
  <c r="D13" i="3" s="1"/>
  <c r="E32" i="3"/>
  <c r="D32" i="3" s="1"/>
  <c r="E26" i="3"/>
  <c r="D26" i="3" s="1"/>
  <c r="E27" i="3"/>
  <c r="D27" i="3" s="1"/>
  <c r="E29" i="3"/>
  <c r="D29" i="3" s="1"/>
  <c r="E7" i="3"/>
  <c r="D7" i="3" s="1"/>
  <c r="E8" i="3"/>
  <c r="D8" i="3" s="1"/>
  <c r="E16" i="3"/>
  <c r="D16" i="3" s="1"/>
  <c r="E12" i="3"/>
  <c r="D12" i="3" s="1"/>
  <c r="E19" i="3"/>
  <c r="D19" i="3" s="1"/>
  <c r="E17" i="3"/>
  <c r="D17" i="3" s="1"/>
  <c r="E6" i="3"/>
  <c r="D6" i="3" s="1"/>
  <c r="E11" i="3"/>
  <c r="D11" i="3" s="1"/>
  <c r="E38" i="3"/>
  <c r="D38" i="3" s="1"/>
  <c r="E39" i="3"/>
  <c r="D39" i="3" s="1"/>
  <c r="E31" i="3"/>
  <c r="D31" i="3" s="1"/>
  <c r="E14" i="3"/>
  <c r="D14" i="3" s="1"/>
  <c r="E22" i="3"/>
  <c r="D22" i="3" s="1"/>
  <c r="E23" i="3"/>
  <c r="D23" i="3" s="1"/>
  <c r="E36" i="3"/>
  <c r="D36" i="3" s="1"/>
  <c r="E4" i="3"/>
  <c r="D4" i="3" s="1"/>
  <c r="E10" i="3"/>
  <c r="D10" i="3" s="1"/>
  <c r="E20" i="3"/>
  <c r="D20" i="3" s="1"/>
  <c r="E18" i="3"/>
  <c r="D18" i="3" s="1"/>
  <c r="E30" i="3"/>
  <c r="D30" i="3" s="1"/>
  <c r="E5" i="3"/>
  <c r="D5" i="3" s="1"/>
  <c r="E37" i="3"/>
  <c r="D37" i="3" s="1"/>
  <c r="E21" i="3"/>
  <c r="D21" i="3" s="1"/>
  <c r="E24" i="3"/>
  <c r="D24" i="3" s="1"/>
  <c r="C24" i="3" l="1"/>
  <c r="C20" i="3"/>
  <c r="C21" i="3"/>
  <c r="C18" i="3"/>
  <c r="C6" i="3"/>
  <c r="C13" i="3"/>
  <c r="C37" i="3"/>
  <c r="C36" i="3"/>
  <c r="C31" i="3"/>
  <c r="C15" i="3"/>
  <c r="C39" i="3"/>
  <c r="C7" i="3"/>
  <c r="C26" i="3"/>
  <c r="C4" i="3"/>
  <c r="C38" i="3"/>
  <c r="C29" i="3"/>
  <c r="C34" i="3"/>
  <c r="C9" i="3"/>
  <c r="C17" i="3"/>
  <c r="C35" i="3"/>
  <c r="C5" i="3"/>
  <c r="C10" i="3"/>
  <c r="C14" i="3"/>
  <c r="C32" i="3"/>
  <c r="C25" i="3"/>
  <c r="C33" i="3"/>
  <c r="C23" i="3"/>
  <c r="C11" i="3"/>
  <c r="C12" i="3"/>
  <c r="C27" i="3"/>
  <c r="C30" i="3"/>
  <c r="C28" i="3"/>
  <c r="C22" i="3"/>
  <c r="C19" i="3"/>
  <c r="C16" i="3"/>
  <c r="C8" i="3"/>
  <c r="O10" i="6" l="1"/>
  <c r="AE10" i="6" s="1"/>
  <c r="Q37" i="6"/>
  <c r="Q17" i="6"/>
  <c r="Q33" i="6"/>
  <c r="Q26" i="6"/>
  <c r="P23" i="6"/>
  <c r="Q14" i="6"/>
  <c r="P34" i="6"/>
  <c r="P28" i="6"/>
  <c r="E9" i="14" s="1"/>
  <c r="Q35" i="6"/>
  <c r="P31" i="6"/>
  <c r="E6" i="14" s="1"/>
  <c r="P37" i="6"/>
  <c r="Q13" i="6"/>
  <c r="P16" i="6"/>
  <c r="Q11" i="6"/>
  <c r="Q15" i="6"/>
  <c r="Q36" i="6"/>
  <c r="Q25" i="6"/>
  <c r="P25" i="6"/>
  <c r="E7" i="14" s="1"/>
  <c r="Q19" i="6"/>
  <c r="P36" i="6"/>
  <c r="P42" i="6"/>
  <c r="P21" i="6"/>
  <c r="P15" i="6"/>
  <c r="P19" i="6"/>
  <c r="P33" i="6"/>
  <c r="P40" i="6"/>
  <c r="P12" i="6"/>
  <c r="Q34" i="6"/>
  <c r="Q23" i="6"/>
  <c r="Q39" i="6"/>
  <c r="P30" i="6"/>
  <c r="E8" i="14" s="1"/>
  <c r="P38" i="6"/>
  <c r="Q27" i="6"/>
  <c r="P27" i="6"/>
  <c r="E5" i="14" s="1"/>
  <c r="P20" i="6"/>
  <c r="Q41" i="6"/>
  <c r="P22" i="6"/>
  <c r="Q40" i="6"/>
  <c r="P44" i="6"/>
  <c r="Q16" i="6"/>
  <c r="P9" i="6"/>
  <c r="Q18" i="6"/>
  <c r="Q29" i="6"/>
  <c r="Q28" i="6"/>
  <c r="Q21" i="6"/>
  <c r="P14" i="6"/>
  <c r="Q30" i="6"/>
  <c r="Q12" i="6"/>
  <c r="Q44" i="6"/>
  <c r="Q24" i="6"/>
  <c r="Q22" i="6"/>
  <c r="P43" i="6"/>
  <c r="P41" i="6"/>
  <c r="P13" i="6"/>
  <c r="Q32" i="6"/>
  <c r="P17" i="6"/>
  <c r="Q43" i="6"/>
  <c r="Q38" i="6"/>
  <c r="Q31" i="6"/>
  <c r="Q20" i="6"/>
  <c r="P39" i="6"/>
  <c r="P18" i="6"/>
  <c r="P24" i="6"/>
  <c r="Q42" i="6"/>
  <c r="P11" i="6"/>
  <c r="P32" i="6"/>
  <c r="E10" i="14" s="1"/>
  <c r="Q10" i="6"/>
  <c r="P35" i="6"/>
  <c r="P26" i="6"/>
  <c r="E11" i="14" s="1"/>
  <c r="Q9" i="6"/>
  <c r="P29" i="6"/>
  <c r="E4" i="14" s="1"/>
  <c r="P10" i="6"/>
  <c r="AB23" i="6"/>
  <c r="AB43" i="6"/>
  <c r="AB27" i="6"/>
  <c r="AB29" i="6"/>
  <c r="AB17" i="6"/>
  <c r="AB9" i="6"/>
  <c r="AB28" i="6"/>
  <c r="AB33" i="6"/>
  <c r="AB26" i="6"/>
  <c r="AB12" i="6"/>
  <c r="AB15" i="6"/>
  <c r="AB40" i="6"/>
  <c r="AB39" i="6"/>
  <c r="AB34" i="6"/>
  <c r="AB30" i="6"/>
  <c r="AB24" i="6"/>
  <c r="AB11" i="6"/>
  <c r="AB19" i="6"/>
  <c r="AB42" i="6"/>
  <c r="AB32" i="6"/>
  <c r="AB14" i="6"/>
  <c r="AB31" i="6"/>
  <c r="AB36" i="6"/>
  <c r="AB41" i="6"/>
  <c r="AB10" i="6"/>
  <c r="AB13" i="6"/>
  <c r="AB21" i="6"/>
  <c r="AB35" i="6"/>
  <c r="AB44" i="6"/>
  <c r="AB20" i="6"/>
  <c r="AB37" i="6"/>
  <c r="AB38" i="6"/>
  <c r="AB22" i="6"/>
  <c r="AB16" i="6"/>
  <c r="AB18" i="6"/>
  <c r="AB25" i="6"/>
  <c r="AQ23" i="14" l="1"/>
  <c r="AQ22" i="14"/>
  <c r="E22" i="14" s="1"/>
  <c r="AQ18" i="14"/>
  <c r="AQ19" i="14"/>
  <c r="AQ17" i="14"/>
  <c r="AQ16" i="14"/>
  <c r="AQ21" i="14"/>
  <c r="AQ20" i="14"/>
  <c r="O11" i="6"/>
  <c r="AE11" i="6" s="1"/>
  <c r="AC29" i="6"/>
  <c r="BA7" i="6" s="1"/>
  <c r="AF29" i="6"/>
  <c r="BA8" i="6"/>
  <c r="BA16" i="6" s="1"/>
  <c r="AA14" i="6"/>
  <c r="Z14" i="6"/>
  <c r="U14" i="6"/>
  <c r="T14" i="6"/>
  <c r="R14" i="6"/>
  <c r="Y14" i="6"/>
  <c r="S14" i="6"/>
  <c r="W14" i="6"/>
  <c r="X14" i="6"/>
  <c r="AA42" i="6"/>
  <c r="U42" i="6"/>
  <c r="W42" i="6"/>
  <c r="T42" i="6"/>
  <c r="Z42" i="6"/>
  <c r="Y42" i="6"/>
  <c r="S42" i="6"/>
  <c r="X42" i="6"/>
  <c r="R42" i="6"/>
  <c r="Y40" i="6"/>
  <c r="U40" i="6"/>
  <c r="R40" i="6"/>
  <c r="Z40" i="6"/>
  <c r="X40" i="6"/>
  <c r="T40" i="6"/>
  <c r="AA40" i="6"/>
  <c r="S40" i="6"/>
  <c r="W40" i="6"/>
  <c r="AC38" i="6"/>
  <c r="BJ7" i="6" s="1"/>
  <c r="AF38" i="6"/>
  <c r="BJ8" i="6"/>
  <c r="BJ17" i="6" s="1"/>
  <c r="AC33" i="6"/>
  <c r="BE7" i="6" s="1"/>
  <c r="BE8" i="6"/>
  <c r="BE37" i="6" s="1"/>
  <c r="AF33" i="6"/>
  <c r="Y19" i="6"/>
  <c r="U19" i="6"/>
  <c r="W19" i="6"/>
  <c r="Z19" i="6"/>
  <c r="AA19" i="6"/>
  <c r="X19" i="6"/>
  <c r="T19" i="6"/>
  <c r="R19" i="6"/>
  <c r="S19" i="6"/>
  <c r="AC23" i="6"/>
  <c r="AU7" i="6" s="1"/>
  <c r="G10" i="14"/>
  <c r="AU8" i="6"/>
  <c r="AU37" i="6" s="1"/>
  <c r="AF23" i="6"/>
  <c r="S32" i="6"/>
  <c r="Y32" i="6"/>
  <c r="W32" i="6"/>
  <c r="U32" i="6"/>
  <c r="AA32" i="6"/>
  <c r="X32" i="6"/>
  <c r="T32" i="6"/>
  <c r="R32" i="6"/>
  <c r="Z32" i="6"/>
  <c r="S20" i="6"/>
  <c r="Y20" i="6"/>
  <c r="Z20" i="6"/>
  <c r="R20" i="6"/>
  <c r="W20" i="6"/>
  <c r="X20" i="6"/>
  <c r="T20" i="6"/>
  <c r="U20" i="6"/>
  <c r="AA20" i="6"/>
  <c r="AF9" i="6"/>
  <c r="AC9" i="6"/>
  <c r="AG7" i="6" s="1"/>
  <c r="AG8" i="6"/>
  <c r="AG33" i="6" s="1"/>
  <c r="G16" i="14"/>
  <c r="AQ26" i="14" s="1"/>
  <c r="E30" i="14" s="1"/>
  <c r="AQ37" i="14" s="1"/>
  <c r="AT8" i="6"/>
  <c r="AT19" i="6" s="1"/>
  <c r="G9" i="14"/>
  <c r="AF22" i="6"/>
  <c r="AC22" i="6"/>
  <c r="AT7" i="6" s="1"/>
  <c r="AC30" i="6"/>
  <c r="BB7" i="6" s="1"/>
  <c r="BB8" i="6"/>
  <c r="BB37" i="6" s="1"/>
  <c r="AF30" i="6"/>
  <c r="AQ8" i="6"/>
  <c r="AQ11" i="6" s="1"/>
  <c r="G6" i="14"/>
  <c r="AC19" i="6"/>
  <c r="AQ7" i="6" s="1"/>
  <c r="AF19" i="6"/>
  <c r="AC25" i="6"/>
  <c r="AW7" i="6" s="1"/>
  <c r="AF25" i="6"/>
  <c r="AW8" i="6"/>
  <c r="AW16" i="6" s="1"/>
  <c r="Z13" i="6"/>
  <c r="AA13" i="6"/>
  <c r="S13" i="6"/>
  <c r="X13" i="6"/>
  <c r="U13" i="6"/>
  <c r="R13" i="6"/>
  <c r="T13" i="6"/>
  <c r="W13" i="6"/>
  <c r="Y13" i="6"/>
  <c r="AA26" i="6"/>
  <c r="Z26" i="6"/>
  <c r="Y26" i="6"/>
  <c r="R26" i="6"/>
  <c r="U26" i="6"/>
  <c r="X26" i="6"/>
  <c r="W26" i="6"/>
  <c r="T26" i="6"/>
  <c r="S26" i="6"/>
  <c r="AX8" i="6"/>
  <c r="AX29" i="6" s="1"/>
  <c r="AC26" i="6"/>
  <c r="AX7" i="6" s="1"/>
  <c r="AF26" i="6"/>
  <c r="S31" i="6"/>
  <c r="W31" i="6"/>
  <c r="Y31" i="6"/>
  <c r="AA31" i="6"/>
  <c r="T31" i="6"/>
  <c r="R31" i="6"/>
  <c r="U31" i="6"/>
  <c r="X31" i="6"/>
  <c r="Z31" i="6"/>
  <c r="Y21" i="6"/>
  <c r="U21" i="6"/>
  <c r="X21" i="6"/>
  <c r="R21" i="6"/>
  <c r="AA21" i="6"/>
  <c r="Z21" i="6"/>
  <c r="W21" i="6"/>
  <c r="S21" i="6"/>
  <c r="T21" i="6"/>
  <c r="Z41" i="6"/>
  <c r="X41" i="6"/>
  <c r="Y41" i="6"/>
  <c r="S41" i="6"/>
  <c r="W41" i="6"/>
  <c r="AA41" i="6"/>
  <c r="R41" i="6"/>
  <c r="U41" i="6"/>
  <c r="T41" i="6"/>
  <c r="X39" i="6"/>
  <c r="U39" i="6"/>
  <c r="Y39" i="6"/>
  <c r="T39" i="6"/>
  <c r="R39" i="6"/>
  <c r="W39" i="6"/>
  <c r="S39" i="6"/>
  <c r="AA39" i="6"/>
  <c r="Z39" i="6"/>
  <c r="G22" i="14"/>
  <c r="AQ32" i="14" s="1"/>
  <c r="G30" i="14" s="1"/>
  <c r="AF15" i="6"/>
  <c r="AC15" i="6"/>
  <c r="AM7" i="6" s="1"/>
  <c r="AM8" i="6"/>
  <c r="AM37" i="6" s="1"/>
  <c r="Z25" i="6"/>
  <c r="X25" i="6"/>
  <c r="AA25" i="6"/>
  <c r="W25" i="6"/>
  <c r="R25" i="6"/>
  <c r="U25" i="6"/>
  <c r="Y25" i="6"/>
  <c r="S25" i="6"/>
  <c r="T25" i="6"/>
  <c r="AC37" i="6"/>
  <c r="BI7" i="6" s="1"/>
  <c r="BI8" i="6"/>
  <c r="BI26" i="6" s="1"/>
  <c r="AF37" i="6"/>
  <c r="R33" i="6"/>
  <c r="Y33" i="6"/>
  <c r="AA33" i="6"/>
  <c r="Z33" i="6"/>
  <c r="U33" i="6"/>
  <c r="X33" i="6"/>
  <c r="T33" i="6"/>
  <c r="S33" i="6"/>
  <c r="W33" i="6"/>
  <c r="Z24" i="6"/>
  <c r="AA24" i="6"/>
  <c r="T24" i="6"/>
  <c r="X24" i="6"/>
  <c r="Y24" i="6"/>
  <c r="S24" i="6"/>
  <c r="U24" i="6"/>
  <c r="W24" i="6"/>
  <c r="R24" i="6"/>
  <c r="X28" i="6"/>
  <c r="W28" i="6"/>
  <c r="Y28" i="6"/>
  <c r="S28" i="6"/>
  <c r="T28" i="6"/>
  <c r="Z28" i="6"/>
  <c r="R28" i="6"/>
  <c r="AA28" i="6"/>
  <c r="U28" i="6"/>
  <c r="T16" i="6"/>
  <c r="X16" i="6"/>
  <c r="R16" i="6"/>
  <c r="Y16" i="6"/>
  <c r="AA16" i="6"/>
  <c r="S16" i="6"/>
  <c r="U16" i="6"/>
  <c r="W16" i="6"/>
  <c r="Z16" i="6"/>
  <c r="AC20" i="6"/>
  <c r="AR7" i="6" s="1"/>
  <c r="G7" i="14"/>
  <c r="AR8" i="6"/>
  <c r="AR17" i="6" s="1"/>
  <c r="AF20" i="6"/>
  <c r="T23" i="6"/>
  <c r="X23" i="6"/>
  <c r="Z23" i="6"/>
  <c r="AA23" i="6"/>
  <c r="U23" i="6"/>
  <c r="R23" i="6"/>
  <c r="Y23" i="6"/>
  <c r="W23" i="6"/>
  <c r="S23" i="6"/>
  <c r="G8" i="14"/>
  <c r="AF21" i="6"/>
  <c r="AS8" i="6"/>
  <c r="AS41" i="6" s="1"/>
  <c r="AC21" i="6"/>
  <c r="AS7" i="6" s="1"/>
  <c r="Y36" i="6"/>
  <c r="S36" i="6"/>
  <c r="T36" i="6"/>
  <c r="Z36" i="6"/>
  <c r="U36" i="6"/>
  <c r="AA36" i="6"/>
  <c r="W36" i="6"/>
  <c r="R36" i="6"/>
  <c r="X36" i="6"/>
  <c r="AC31" i="6"/>
  <c r="BC7" i="6" s="1"/>
  <c r="AF31" i="6"/>
  <c r="BC8" i="6"/>
  <c r="BC29" i="6" s="1"/>
  <c r="AA17" i="6"/>
  <c r="R17" i="6"/>
  <c r="T17" i="6"/>
  <c r="Z17" i="6"/>
  <c r="W17" i="6"/>
  <c r="X17" i="6"/>
  <c r="U17" i="6"/>
  <c r="Y17" i="6"/>
  <c r="S17" i="6"/>
  <c r="AC16" i="6"/>
  <c r="AN7" i="6" s="1"/>
  <c r="AF16" i="6"/>
  <c r="AN8" i="6"/>
  <c r="AN37" i="6" s="1"/>
  <c r="G23" i="14"/>
  <c r="BJ16" i="6"/>
  <c r="AU16" i="6"/>
  <c r="G20" i="14"/>
  <c r="AQ30" i="14" s="1"/>
  <c r="E31" i="14" s="1"/>
  <c r="AQ38" i="14" s="1"/>
  <c r="AF13" i="6"/>
  <c r="AK8" i="6"/>
  <c r="AK41" i="6" s="1"/>
  <c r="AC13" i="6"/>
  <c r="AK7" i="6" s="1"/>
  <c r="BJ13" i="6"/>
  <c r="R38" i="6"/>
  <c r="S38" i="6"/>
  <c r="U38" i="6"/>
  <c r="Z38" i="6"/>
  <c r="X38" i="6"/>
  <c r="W38" i="6"/>
  <c r="Y38" i="6"/>
  <c r="AA38" i="6"/>
  <c r="T38" i="6"/>
  <c r="Y10" i="6"/>
  <c r="R10" i="6"/>
  <c r="Z10" i="6"/>
  <c r="W10" i="6"/>
  <c r="AA10" i="6"/>
  <c r="T10" i="6"/>
  <c r="U10" i="6"/>
  <c r="X10" i="6"/>
  <c r="S10" i="6"/>
  <c r="AP8" i="6"/>
  <c r="AP16" i="6" s="1"/>
  <c r="AC18" i="6"/>
  <c r="AP7" i="6" s="1"/>
  <c r="G5" i="14"/>
  <c r="AF18" i="6"/>
  <c r="BJ18" i="6"/>
  <c r="S43" i="6"/>
  <c r="Z43" i="6"/>
  <c r="Y43" i="6"/>
  <c r="AA43" i="6"/>
  <c r="X43" i="6"/>
  <c r="R43" i="6"/>
  <c r="T43" i="6"/>
  <c r="U43" i="6"/>
  <c r="W43" i="6"/>
  <c r="X44" i="6"/>
  <c r="U44" i="6"/>
  <c r="AA44" i="6"/>
  <c r="W44" i="6"/>
  <c r="Y44" i="6"/>
  <c r="T44" i="6"/>
  <c r="Z44" i="6"/>
  <c r="R44" i="6"/>
  <c r="S44" i="6"/>
  <c r="S29" i="6"/>
  <c r="AA29" i="6"/>
  <c r="T29" i="6"/>
  <c r="X29" i="6"/>
  <c r="R29" i="6"/>
  <c r="Y29" i="6"/>
  <c r="Z29" i="6"/>
  <c r="W29" i="6"/>
  <c r="U29" i="6"/>
  <c r="AF27" i="6"/>
  <c r="AY8" i="6"/>
  <c r="AY18" i="6" s="1"/>
  <c r="AC27" i="6"/>
  <c r="AY7" i="6" s="1"/>
  <c r="BJ27" i="6"/>
  <c r="AU27" i="6"/>
  <c r="X34" i="6"/>
  <c r="Z34" i="6"/>
  <c r="Y34" i="6"/>
  <c r="W34" i="6"/>
  <c r="U34" i="6"/>
  <c r="T34" i="6"/>
  <c r="AA34" i="6"/>
  <c r="R34" i="6"/>
  <c r="S34" i="6"/>
  <c r="Z15" i="6"/>
  <c r="Y15" i="6"/>
  <c r="S15" i="6"/>
  <c r="R15" i="6"/>
  <c r="W15" i="6"/>
  <c r="AA15" i="6"/>
  <c r="T15" i="6"/>
  <c r="X15" i="6"/>
  <c r="U15" i="6"/>
  <c r="AA35" i="6"/>
  <c r="W35" i="6"/>
  <c r="S35" i="6"/>
  <c r="R35" i="6"/>
  <c r="Z35" i="6"/>
  <c r="Y35" i="6"/>
  <c r="T35" i="6"/>
  <c r="U35" i="6"/>
  <c r="X35" i="6"/>
  <c r="AC43" i="6"/>
  <c r="BO7" i="6" s="1"/>
  <c r="AF43" i="6"/>
  <c r="BO8" i="6"/>
  <c r="BO16" i="6" s="1"/>
  <c r="BJ43" i="6"/>
  <c r="AU43" i="6"/>
  <c r="G11" i="14"/>
  <c r="AV8" i="6"/>
  <c r="AV35" i="6" s="1"/>
  <c r="AF24" i="6"/>
  <c r="AC24" i="6"/>
  <c r="AV7" i="6" s="1"/>
  <c r="BJ24" i="6"/>
  <c r="Z22" i="6"/>
  <c r="W22" i="6"/>
  <c r="X22" i="6"/>
  <c r="U22" i="6"/>
  <c r="T22" i="6"/>
  <c r="AA22" i="6"/>
  <c r="R22" i="6"/>
  <c r="S22" i="6"/>
  <c r="Y22" i="6"/>
  <c r="AF35" i="6"/>
  <c r="BG8" i="6"/>
  <c r="BG11" i="6" s="1"/>
  <c r="AC35" i="6"/>
  <c r="BG7" i="6" s="1"/>
  <c r="AU35" i="6"/>
  <c r="AT35" i="6"/>
  <c r="BJ35" i="6"/>
  <c r="BD8" i="6"/>
  <c r="BD33" i="6" s="1"/>
  <c r="AF32" i="6"/>
  <c r="AC32" i="6"/>
  <c r="BD7" i="6" s="1"/>
  <c r="BJ32" i="6"/>
  <c r="G4" i="14"/>
  <c r="AF17" i="6"/>
  <c r="AO8" i="6"/>
  <c r="AO26" i="6" s="1"/>
  <c r="AC17" i="6"/>
  <c r="AO7" i="6" s="1"/>
  <c r="AU17" i="6"/>
  <c r="AC41" i="6"/>
  <c r="BM7" i="6" s="1"/>
  <c r="AF41" i="6"/>
  <c r="BM8" i="6"/>
  <c r="BM39" i="6" s="1"/>
  <c r="BJ41" i="6"/>
  <c r="AU41" i="6"/>
  <c r="U12" i="6"/>
  <c r="Y12" i="6"/>
  <c r="X12" i="6"/>
  <c r="W12" i="6"/>
  <c r="R12" i="6"/>
  <c r="AA12" i="6"/>
  <c r="S12" i="6"/>
  <c r="Z12" i="6"/>
  <c r="T12" i="6"/>
  <c r="Z18" i="6"/>
  <c r="W18" i="6"/>
  <c r="U18" i="6"/>
  <c r="T18" i="6"/>
  <c r="R18" i="6"/>
  <c r="S18" i="6"/>
  <c r="AA18" i="6"/>
  <c r="Y18" i="6"/>
  <c r="X18" i="6"/>
  <c r="S27" i="6"/>
  <c r="R27" i="6"/>
  <c r="Y27" i="6"/>
  <c r="AA27" i="6"/>
  <c r="X27" i="6"/>
  <c r="U27" i="6"/>
  <c r="T27" i="6"/>
  <c r="Z27" i="6"/>
  <c r="W27" i="6"/>
  <c r="AC12" i="6"/>
  <c r="AJ7" i="6" s="1"/>
  <c r="AF12" i="6"/>
  <c r="G19" i="14"/>
  <c r="AQ29" i="14" s="1"/>
  <c r="G31" i="14" s="1"/>
  <c r="AJ8" i="6"/>
  <c r="AJ29" i="6" s="1"/>
  <c r="AT12" i="6"/>
  <c r="BJ12" i="6"/>
  <c r="AZ8" i="6"/>
  <c r="AZ16" i="6" s="1"/>
  <c r="AC28" i="6"/>
  <c r="AZ7" i="6" s="1"/>
  <c r="AF28" i="6"/>
  <c r="AT28" i="6"/>
  <c r="AU28" i="6"/>
  <c r="BJ28" i="6"/>
  <c r="Z37" i="6"/>
  <c r="U37" i="6"/>
  <c r="AA37" i="6"/>
  <c r="S37" i="6"/>
  <c r="T37" i="6"/>
  <c r="Y37" i="6"/>
  <c r="R37" i="6"/>
  <c r="W37" i="6"/>
  <c r="X37" i="6"/>
  <c r="AC39" i="6"/>
  <c r="BK7" i="6" s="1"/>
  <c r="BK8" i="6"/>
  <c r="BK41" i="6" s="1"/>
  <c r="AF39" i="6"/>
  <c r="BJ39" i="6"/>
  <c r="AT39" i="6"/>
  <c r="AU39" i="6"/>
  <c r="BH8" i="6"/>
  <c r="BH35" i="6" s="1"/>
  <c r="AC36" i="6"/>
  <c r="BH7" i="6" s="1"/>
  <c r="AF36" i="6"/>
  <c r="BJ36" i="6"/>
  <c r="AU36" i="6"/>
  <c r="AA9" i="6"/>
  <c r="S9" i="6"/>
  <c r="Z9" i="6"/>
  <c r="U9" i="6"/>
  <c r="W9" i="6"/>
  <c r="R9" i="6"/>
  <c r="Y9" i="6"/>
  <c r="T9" i="6"/>
  <c r="X9" i="6"/>
  <c r="AL8" i="6"/>
  <c r="AL26" i="6" s="1"/>
  <c r="G21" i="14"/>
  <c r="AF14" i="6"/>
  <c r="AC14" i="6"/>
  <c r="AL7" i="6" s="1"/>
  <c r="BE14" i="6"/>
  <c r="AT14" i="6"/>
  <c r="BJ14" i="6"/>
  <c r="AU14" i="6"/>
  <c r="AF10" i="6"/>
  <c r="G17" i="14"/>
  <c r="AH8" i="6"/>
  <c r="AH24" i="6" s="1"/>
  <c r="AC10" i="6"/>
  <c r="AH7" i="6" s="1"/>
  <c r="AT10" i="6"/>
  <c r="BJ10" i="6"/>
  <c r="G18" i="14"/>
  <c r="AQ28" i="14" s="1"/>
  <c r="G29" i="14" s="1"/>
  <c r="AC11" i="6"/>
  <c r="AI7" i="6" s="1"/>
  <c r="AI8" i="6"/>
  <c r="AI33" i="6" s="1"/>
  <c r="AF11" i="6"/>
  <c r="AT11" i="6"/>
  <c r="AU11" i="6"/>
  <c r="BJ11" i="6"/>
  <c r="Z30" i="6"/>
  <c r="R30" i="6"/>
  <c r="AA30" i="6"/>
  <c r="U30" i="6"/>
  <c r="T30" i="6"/>
  <c r="Y30" i="6"/>
  <c r="X30" i="6"/>
  <c r="W30" i="6"/>
  <c r="S30" i="6"/>
  <c r="AF44" i="6"/>
  <c r="AC44" i="6"/>
  <c r="BP7" i="6" s="1"/>
  <c r="BP8" i="6"/>
  <c r="BP35" i="6" s="1"/>
  <c r="BJ44" i="6"/>
  <c r="AT44" i="6"/>
  <c r="AF40" i="6"/>
  <c r="AC40" i="6"/>
  <c r="BL7" i="6" s="1"/>
  <c r="BL8" i="6"/>
  <c r="BL26" i="6" s="1"/>
  <c r="BJ40" i="6"/>
  <c r="AT40" i="6"/>
  <c r="BN8" i="6"/>
  <c r="BN24" i="6" s="1"/>
  <c r="AC42" i="6"/>
  <c r="BN7" i="6" s="1"/>
  <c r="AF42" i="6"/>
  <c r="BJ42" i="6"/>
  <c r="BE42" i="6"/>
  <c r="AT42" i="6"/>
  <c r="AU42" i="6"/>
  <c r="AA11" i="6"/>
  <c r="Y11" i="6"/>
  <c r="S11" i="6"/>
  <c r="R11" i="6"/>
  <c r="U11" i="6"/>
  <c r="X11" i="6"/>
  <c r="T11" i="6"/>
  <c r="Z11" i="6"/>
  <c r="W11" i="6"/>
  <c r="AC34" i="6"/>
  <c r="BF7" i="6" s="1"/>
  <c r="AF34" i="6"/>
  <c r="BF8" i="6"/>
  <c r="BF29" i="6" s="1"/>
  <c r="AT34" i="6"/>
  <c r="BJ34" i="6"/>
  <c r="BA14" i="6" l="1"/>
  <c r="BE32" i="6"/>
  <c r="AX14" i="6"/>
  <c r="AX34" i="6"/>
  <c r="BJ21" i="6"/>
  <c r="BA30" i="6"/>
  <c r="AU18" i="6"/>
  <c r="BE13" i="6"/>
  <c r="BE12" i="6"/>
  <c r="BA17" i="6"/>
  <c r="BE34" i="6"/>
  <c r="BA40" i="6"/>
  <c r="BE41" i="6"/>
  <c r="BE39" i="6"/>
  <c r="BE21" i="6"/>
  <c r="BA34" i="6"/>
  <c r="BE44" i="6"/>
  <c r="BE10" i="6"/>
  <c r="BE17" i="6"/>
  <c r="BA42" i="6"/>
  <c r="BE40" i="6"/>
  <c r="BA44" i="6"/>
  <c r="BE11" i="6"/>
  <c r="BA10" i="6"/>
  <c r="BE28" i="6"/>
  <c r="BE36" i="6"/>
  <c r="BA24" i="6"/>
  <c r="BE43" i="6"/>
  <c r="BE24" i="6"/>
  <c r="BA43" i="6"/>
  <c r="BE27" i="6"/>
  <c r="BE18" i="6"/>
  <c r="BE35" i="6"/>
  <c r="BA37" i="6"/>
  <c r="BE31" i="6"/>
  <c r="BJ31" i="6"/>
  <c r="BD42" i="6"/>
  <c r="AK11" i="6"/>
  <c r="AU13" i="6"/>
  <c r="BE16" i="6"/>
  <c r="AU31" i="6"/>
  <c r="AY41" i="6"/>
  <c r="AT18" i="6"/>
  <c r="AT41" i="6"/>
  <c r="AT36" i="6"/>
  <c r="AY34" i="6"/>
  <c r="AJ42" i="6"/>
  <c r="AY10" i="6"/>
  <c r="BJ15" i="6"/>
  <c r="BJ20" i="6"/>
  <c r="AY42" i="6"/>
  <c r="BG44" i="6"/>
  <c r="AY36" i="6"/>
  <c r="BI11" i="6"/>
  <c r="AY44" i="6"/>
  <c r="AY40" i="6"/>
  <c r="AY14" i="6"/>
  <c r="AT20" i="6"/>
  <c r="AY11" i="6"/>
  <c r="AY39" i="6"/>
  <c r="BI14" i="6"/>
  <c r="BC42" i="6"/>
  <c r="AW21" i="6"/>
  <c r="BC34" i="6"/>
  <c r="AS44" i="6"/>
  <c r="BC40" i="6"/>
  <c r="BC12" i="6"/>
  <c r="BK42" i="6"/>
  <c r="BJ26" i="6"/>
  <c r="BK34" i="6"/>
  <c r="AN34" i="6"/>
  <c r="AN42" i="6"/>
  <c r="AN40" i="6"/>
  <c r="BJ37" i="6"/>
  <c r="AU26" i="6"/>
  <c r="AJ34" i="6"/>
  <c r="AW14" i="6"/>
  <c r="BK40" i="6"/>
  <c r="BG14" i="6"/>
  <c r="BM42" i="6"/>
  <c r="AJ44" i="6"/>
  <c r="AK42" i="6"/>
  <c r="AK10" i="6"/>
  <c r="AK28" i="6"/>
  <c r="AK32" i="6"/>
  <c r="AK44" i="6"/>
  <c r="AK17" i="6"/>
  <c r="AK12" i="6"/>
  <c r="AK14" i="6"/>
  <c r="AK36" i="6"/>
  <c r="AK34" i="6"/>
  <c r="AL42" i="6"/>
  <c r="AK40" i="6"/>
  <c r="AK39" i="6"/>
  <c r="AK24" i="6"/>
  <c r="AY28" i="6"/>
  <c r="AY12" i="6"/>
  <c r="AJ40" i="6"/>
  <c r="AJ11" i="6"/>
  <c r="AP28" i="6"/>
  <c r="AW28" i="6"/>
  <c r="AP12" i="6"/>
  <c r="BM11" i="6"/>
  <c r="AW42" i="6"/>
  <c r="AW40" i="6"/>
  <c r="AW11" i="6"/>
  <c r="AW10" i="6"/>
  <c r="AY35" i="6"/>
  <c r="AP42" i="6"/>
  <c r="AP35" i="6"/>
  <c r="AW34" i="6"/>
  <c r="BM40" i="6"/>
  <c r="AW36" i="6"/>
  <c r="AW41" i="6"/>
  <c r="AY17" i="6"/>
  <c r="AW43" i="6"/>
  <c r="BM34" i="6"/>
  <c r="AW44" i="6"/>
  <c r="AP11" i="6"/>
  <c r="AW39" i="6"/>
  <c r="AL34" i="6"/>
  <c r="AN44" i="6"/>
  <c r="AL11" i="6"/>
  <c r="AN28" i="6"/>
  <c r="BJ19" i="6"/>
  <c r="AL10" i="6"/>
  <c r="AN14" i="6"/>
  <c r="AN41" i="6"/>
  <c r="AN11" i="6"/>
  <c r="AN10" i="6"/>
  <c r="AV11" i="6"/>
  <c r="AV10" i="6"/>
  <c r="BI42" i="6"/>
  <c r="AV40" i="6"/>
  <c r="AV44" i="6"/>
  <c r="BI13" i="6"/>
  <c r="BI31" i="6"/>
  <c r="BL34" i="6"/>
  <c r="BI40" i="6"/>
  <c r="BI28" i="6"/>
  <c r="BI27" i="6"/>
  <c r="AI42" i="6"/>
  <c r="AX42" i="6"/>
  <c r="AX40" i="6"/>
  <c r="BI44" i="6"/>
  <c r="BI36" i="6"/>
  <c r="BE19" i="6"/>
  <c r="AV39" i="6"/>
  <c r="BI24" i="6"/>
  <c r="AV42" i="6"/>
  <c r="BI10" i="6"/>
  <c r="BI39" i="6"/>
  <c r="BI18" i="6"/>
  <c r="BI21" i="6"/>
  <c r="BP34" i="6"/>
  <c r="AV34" i="6"/>
  <c r="BI34" i="6"/>
  <c r="AV36" i="6"/>
  <c r="BI12" i="6"/>
  <c r="BI41" i="6"/>
  <c r="BI17" i="6"/>
  <c r="AX11" i="6"/>
  <c r="BM44" i="6"/>
  <c r="BM10" i="6"/>
  <c r="AV14" i="6"/>
  <c r="AX36" i="6"/>
  <c r="AP41" i="6"/>
  <c r="BI32" i="6"/>
  <c r="BI35" i="6"/>
  <c r="BI43" i="6"/>
  <c r="BE30" i="6"/>
  <c r="AX17" i="6"/>
  <c r="AX10" i="6"/>
  <c r="AV28" i="6"/>
  <c r="AX24" i="6"/>
  <c r="AX18" i="6"/>
  <c r="BI16" i="6"/>
  <c r="AW20" i="6"/>
  <c r="AX35" i="6"/>
  <c r="AX27" i="6"/>
  <c r="AI34" i="6"/>
  <c r="AZ42" i="6"/>
  <c r="BK10" i="6"/>
  <c r="AV12" i="6"/>
  <c r="AK35" i="6"/>
  <c r="AX43" i="6"/>
  <c r="AX21" i="6"/>
  <c r="BE15" i="6"/>
  <c r="BE25" i="6"/>
  <c r="AX39" i="6"/>
  <c r="AX12" i="6"/>
  <c r="AX44" i="6"/>
  <c r="AX28" i="6"/>
  <c r="AX41" i="6"/>
  <c r="AX32" i="6"/>
  <c r="AX16" i="6"/>
  <c r="AS42" i="6"/>
  <c r="AG10" i="6"/>
  <c r="BE26" i="6"/>
  <c r="BJ25" i="6"/>
  <c r="AM42" i="6"/>
  <c r="AS11" i="6"/>
  <c r="AM11" i="6"/>
  <c r="AM10" i="6"/>
  <c r="AU22" i="6"/>
  <c r="AU33" i="6"/>
  <c r="AG43" i="6"/>
  <c r="AM31" i="6"/>
  <c r="AM40" i="6"/>
  <c r="AG11" i="6"/>
  <c r="AG36" i="6"/>
  <c r="AM34" i="6"/>
  <c r="AL44" i="6"/>
  <c r="AM44" i="6"/>
  <c r="AV41" i="6"/>
  <c r="AG13" i="6"/>
  <c r="AG31" i="6"/>
  <c r="AU20" i="6"/>
  <c r="AU19" i="6"/>
  <c r="BJ30" i="6"/>
  <c r="AG40" i="6"/>
  <c r="BO44" i="6"/>
  <c r="AG14" i="6"/>
  <c r="AG12" i="6"/>
  <c r="BD34" i="6"/>
  <c r="AS34" i="6"/>
  <c r="AG42" i="6"/>
  <c r="AN36" i="6"/>
  <c r="AM28" i="6"/>
  <c r="AN17" i="6"/>
  <c r="AN24" i="6"/>
  <c r="AK27" i="6"/>
  <c r="AG21" i="6"/>
  <c r="AM14" i="6"/>
  <c r="AM32" i="6"/>
  <c r="AW24" i="6"/>
  <c r="AG18" i="6"/>
  <c r="AW13" i="6"/>
  <c r="AN32" i="6"/>
  <c r="AW18" i="6"/>
  <c r="AN12" i="6"/>
  <c r="AN35" i="6"/>
  <c r="AW27" i="6"/>
  <c r="AM36" i="6"/>
  <c r="AN39" i="6"/>
  <c r="BB17" i="6"/>
  <c r="AW17" i="6"/>
  <c r="AG32" i="6"/>
  <c r="AW35" i="6"/>
  <c r="AM24" i="6"/>
  <c r="AM43" i="6"/>
  <c r="AW31" i="6"/>
  <c r="AG37" i="6"/>
  <c r="AW12" i="6"/>
  <c r="AM17" i="6"/>
  <c r="AG17" i="6"/>
  <c r="AW32" i="6"/>
  <c r="AW37" i="6"/>
  <c r="AM41" i="6"/>
  <c r="AS17" i="6"/>
  <c r="AT32" i="6"/>
  <c r="AS32" i="6"/>
  <c r="AT24" i="6"/>
  <c r="BE20" i="6"/>
  <c r="AT26" i="6"/>
  <c r="AU9" i="6"/>
  <c r="BA23" i="6"/>
  <c r="BA33" i="6"/>
  <c r="AS36" i="6"/>
  <c r="AS39" i="6"/>
  <c r="AS12" i="6"/>
  <c r="AM12" i="6"/>
  <c r="AM35" i="6"/>
  <c r="AS24" i="6"/>
  <c r="AT43" i="6"/>
  <c r="AM27" i="6"/>
  <c r="AM21" i="6"/>
  <c r="AX20" i="6"/>
  <c r="AG22" i="6"/>
  <c r="BE9" i="6"/>
  <c r="BE23" i="6"/>
  <c r="AS14" i="6"/>
  <c r="AS35" i="6"/>
  <c r="AT27" i="6"/>
  <c r="AM18" i="6"/>
  <c r="AT13" i="6"/>
  <c r="AM16" i="6"/>
  <c r="AS31" i="6"/>
  <c r="AS43" i="6"/>
  <c r="AS13" i="6"/>
  <c r="AT21" i="6"/>
  <c r="AT37" i="6"/>
  <c r="BE22" i="6"/>
  <c r="AS40" i="6"/>
  <c r="AM39" i="6"/>
  <c r="BG32" i="6"/>
  <c r="AS27" i="6"/>
  <c r="AS18" i="6"/>
  <c r="AT31" i="6"/>
  <c r="BB20" i="6"/>
  <c r="AT15" i="6"/>
  <c r="BD40" i="6"/>
  <c r="AS10" i="6"/>
  <c r="AS28" i="6"/>
  <c r="AT17" i="6"/>
  <c r="AM13" i="6"/>
  <c r="AT16" i="6"/>
  <c r="AU10" i="6"/>
  <c r="BD28" i="6"/>
  <c r="BA12" i="6"/>
  <c r="AU12" i="6"/>
  <c r="AP17" i="6"/>
  <c r="BA21" i="6"/>
  <c r="BA20" i="6"/>
  <c r="AU15" i="6"/>
  <c r="BA26" i="6"/>
  <c r="BA25" i="6"/>
  <c r="BA9" i="6"/>
  <c r="AP40" i="6"/>
  <c r="AP44" i="6"/>
  <c r="BD11" i="6"/>
  <c r="AU34" i="6"/>
  <c r="AI40" i="6"/>
  <c r="AU44" i="6"/>
  <c r="BD14" i="6"/>
  <c r="AP14" i="6"/>
  <c r="AP36" i="6"/>
  <c r="BA36" i="6"/>
  <c r="AG39" i="6"/>
  <c r="BA28" i="6"/>
  <c r="AR28" i="6"/>
  <c r="BA35" i="6"/>
  <c r="AY24" i="6"/>
  <c r="BA27" i="6"/>
  <c r="BA13" i="6"/>
  <c r="AQ21" i="6"/>
  <c r="AG15" i="6"/>
  <c r="BA19" i="6"/>
  <c r="AG30" i="6"/>
  <c r="BA22" i="6"/>
  <c r="AG34" i="6"/>
  <c r="BN34" i="6"/>
  <c r="AP34" i="6"/>
  <c r="AQ42" i="6"/>
  <c r="AU40" i="6"/>
  <c r="BD44" i="6"/>
  <c r="AR11" i="6"/>
  <c r="AP10" i="6"/>
  <c r="AG28" i="6"/>
  <c r="BD12" i="6"/>
  <c r="AG41" i="6"/>
  <c r="AU32" i="6"/>
  <c r="BA18" i="6"/>
  <c r="AG16" i="6"/>
  <c r="AX31" i="6"/>
  <c r="AU21" i="6"/>
  <c r="BA15" i="6"/>
  <c r="AU25" i="6"/>
  <c r="BA38" i="6"/>
  <c r="BA11" i="6"/>
  <c r="BA39" i="6"/>
  <c r="BA32" i="6"/>
  <c r="AG35" i="6"/>
  <c r="AM20" i="6"/>
  <c r="AP27" i="6"/>
  <c r="AG44" i="6"/>
  <c r="AP39" i="6"/>
  <c r="BA41" i="6"/>
  <c r="AP32" i="6"/>
  <c r="AU24" i="6"/>
  <c r="AG24" i="6"/>
  <c r="AG27" i="6"/>
  <c r="BA31" i="6"/>
  <c r="AG20" i="6"/>
  <c r="AG26" i="6"/>
  <c r="BG42" i="6"/>
  <c r="BG39" i="6"/>
  <c r="AQ43" i="6"/>
  <c r="AQ18" i="6"/>
  <c r="AQ20" i="6"/>
  <c r="BG34" i="6"/>
  <c r="BP42" i="6"/>
  <c r="AZ34" i="6"/>
  <c r="AQ34" i="6"/>
  <c r="AZ10" i="6"/>
  <c r="BG10" i="6"/>
  <c r="AQ36" i="6"/>
  <c r="AQ39" i="6"/>
  <c r="AQ28" i="6"/>
  <c r="AQ41" i="6"/>
  <c r="AQ17" i="6"/>
  <c r="AQ32" i="6"/>
  <c r="AQ37" i="6"/>
  <c r="AQ44" i="6"/>
  <c r="BG36" i="6"/>
  <c r="AQ31" i="6"/>
  <c r="AQ40" i="6"/>
  <c r="AQ14" i="6"/>
  <c r="BG12" i="6"/>
  <c r="BG17" i="6"/>
  <c r="AQ35" i="6"/>
  <c r="AQ13" i="6"/>
  <c r="AQ16" i="6"/>
  <c r="BG40" i="6"/>
  <c r="AW15" i="6"/>
  <c r="AQ10" i="6"/>
  <c r="BG28" i="6"/>
  <c r="AQ12" i="6"/>
  <c r="BG41" i="6"/>
  <c r="AQ24" i="6"/>
  <c r="AZ40" i="6"/>
  <c r="AQ27" i="6"/>
  <c r="AG23" i="6"/>
  <c r="BK14" i="6"/>
  <c r="BG24" i="6"/>
  <c r="AT25" i="6"/>
  <c r="AU30" i="6"/>
  <c r="BJ22" i="6"/>
  <c r="BJ9" i="6"/>
  <c r="BF42" i="6"/>
  <c r="AL40" i="6"/>
  <c r="BH11" i="6"/>
  <c r="AZ36" i="6"/>
  <c r="AZ39" i="6"/>
  <c r="AV17" i="6"/>
  <c r="AV32" i="6"/>
  <c r="BM32" i="6"/>
  <c r="AY43" i="6"/>
  <c r="AN18" i="6"/>
  <c r="AI16" i="6"/>
  <c r="AW19" i="6"/>
  <c r="BK30" i="6"/>
  <c r="AI44" i="6"/>
  <c r="BP28" i="6"/>
  <c r="AN27" i="6"/>
  <c r="AN21" i="6"/>
  <c r="BI15" i="6"/>
  <c r="AQ30" i="6"/>
  <c r="BN10" i="6"/>
  <c r="AL36" i="6"/>
  <c r="AI37" i="6"/>
  <c r="BI25" i="6"/>
  <c r="AJ9" i="6"/>
  <c r="AV29" i="6"/>
  <c r="BD17" i="6"/>
  <c r="BG13" i="6"/>
  <c r="BI38" i="6"/>
  <c r="BJ29" i="6"/>
  <c r="AZ14" i="6"/>
  <c r="AN13" i="6"/>
  <c r="BF11" i="6"/>
  <c r="AI36" i="6"/>
  <c r="AI14" i="6"/>
  <c r="BO40" i="6"/>
  <c r="BB40" i="6"/>
  <c r="BL44" i="6"/>
  <c r="BO11" i="6"/>
  <c r="BO10" i="6"/>
  <c r="BB39" i="6"/>
  <c r="AI28" i="6"/>
  <c r="BL28" i="6"/>
  <c r="BB12" i="6"/>
  <c r="AL32" i="6"/>
  <c r="BO32" i="6"/>
  <c r="AL24" i="6"/>
  <c r="BB43" i="6"/>
  <c r="AV27" i="6"/>
  <c r="AK31" i="6"/>
  <c r="BB21" i="6"/>
  <c r="AP21" i="6"/>
  <c r="AZ20" i="6"/>
  <c r="BO20" i="6"/>
  <c r="AK19" i="6"/>
  <c r="BM23" i="6"/>
  <c r="AW29" i="6"/>
  <c r="BL14" i="6"/>
  <c r="BP36" i="6"/>
  <c r="BL39" i="6"/>
  <c r="BL12" i="6"/>
  <c r="AI12" i="6"/>
  <c r="BO41" i="6"/>
  <c r="BL35" i="6"/>
  <c r="BB35" i="6"/>
  <c r="AZ24" i="6"/>
  <c r="BN43" i="6"/>
  <c r="BG21" i="6"/>
  <c r="AY15" i="6"/>
  <c r="BF26" i="6"/>
  <c r="BL25" i="6"/>
  <c r="AP22" i="6"/>
  <c r="BN9" i="6"/>
  <c r="BO42" i="6"/>
  <c r="BF14" i="6"/>
  <c r="BP14" i="6"/>
  <c r="BB36" i="6"/>
  <c r="BO36" i="6"/>
  <c r="AL28" i="6"/>
  <c r="BB28" i="6"/>
  <c r="BO35" i="6"/>
  <c r="AI27" i="6"/>
  <c r="BN27" i="6"/>
  <c r="BB13" i="6"/>
  <c r="BB16" i="6"/>
  <c r="BB31" i="6"/>
  <c r="BK21" i="6"/>
  <c r="AX37" i="6"/>
  <c r="AN15" i="6"/>
  <c r="AM25" i="6"/>
  <c r="BG25" i="6"/>
  <c r="BN19" i="6"/>
  <c r="AN30" i="6"/>
  <c r="BP22" i="6"/>
  <c r="AY9" i="6"/>
  <c r="BF33" i="6"/>
  <c r="AY38" i="6"/>
  <c r="BB44" i="6"/>
  <c r="BP11" i="6"/>
  <c r="BB14" i="6"/>
  <c r="BO14" i="6"/>
  <c r="BF39" i="6"/>
  <c r="BB41" i="6"/>
  <c r="BO17" i="6"/>
  <c r="BB24" i="6"/>
  <c r="BB27" i="6"/>
  <c r="BK31" i="6"/>
  <c r="BF21" i="6"/>
  <c r="AL20" i="6"/>
  <c r="BM25" i="6"/>
  <c r="AY30" i="6"/>
  <c r="BO9" i="6"/>
  <c r="AK23" i="6"/>
  <c r="AS33" i="6"/>
  <c r="BP40" i="6"/>
  <c r="BF36" i="6"/>
  <c r="AI39" i="6"/>
  <c r="BO39" i="6"/>
  <c r="AJ28" i="6"/>
  <c r="BO12" i="6"/>
  <c r="BP41" i="6"/>
  <c r="BB32" i="6"/>
  <c r="AL35" i="6"/>
  <c r="BP24" i="6"/>
  <c r="BG27" i="6"/>
  <c r="AI18" i="6"/>
  <c r="BG16" i="6"/>
  <c r="AP31" i="6"/>
  <c r="BB15" i="6"/>
  <c r="AY26" i="6"/>
  <c r="AJ25" i="6"/>
  <c r="BB19" i="6"/>
  <c r="AM30" i="6"/>
  <c r="AM38" i="6"/>
  <c r="BL42" i="6"/>
  <c r="BB11" i="6"/>
  <c r="AJ41" i="6"/>
  <c r="BN35" i="6"/>
  <c r="AV18" i="6"/>
  <c r="AJ13" i="6"/>
  <c r="BK16" i="6"/>
  <c r="AV31" i="6"/>
  <c r="AS37" i="6"/>
  <c r="BB26" i="6"/>
  <c r="AM26" i="6"/>
  <c r="BB25" i="6"/>
  <c r="BO25" i="6"/>
  <c r="AM19" i="6"/>
  <c r="AX19" i="6"/>
  <c r="BN30" i="6"/>
  <c r="AS22" i="6"/>
  <c r="BP23" i="6"/>
  <c r="AT33" i="6"/>
  <c r="AU38" i="6"/>
  <c r="BB34" i="6"/>
  <c r="BO34" i="6"/>
  <c r="BB42" i="6"/>
  <c r="BB10" i="6"/>
  <c r="BN36" i="6"/>
  <c r="BO28" i="6"/>
  <c r="BB18" i="6"/>
  <c r="AW26" i="6"/>
  <c r="AS19" i="6"/>
  <c r="AM22" i="6"/>
  <c r="BB9" i="6"/>
  <c r="BJ23" i="6"/>
  <c r="BJ33" i="6"/>
  <c r="BE38" i="6"/>
  <c r="AU29" i="6"/>
  <c r="O12" i="6"/>
  <c r="AH27" i="6"/>
  <c r="BC22" i="6"/>
  <c r="AH23" i="6"/>
  <c r="BH38" i="6"/>
  <c r="BP29" i="6"/>
  <c r="BH32" i="6"/>
  <c r="AO40" i="6"/>
  <c r="AH44" i="6"/>
  <c r="AO12" i="6"/>
  <c r="BC32" i="6"/>
  <c r="BF35" i="6"/>
  <c r="BH24" i="6"/>
  <c r="BC24" i="6"/>
  <c r="BD24" i="6"/>
  <c r="BC43" i="6"/>
  <c r="BF43" i="6"/>
  <c r="AZ27" i="6"/>
  <c r="BC27" i="6"/>
  <c r="AI13" i="6"/>
  <c r="BC13" i="6"/>
  <c r="E37" i="14"/>
  <c r="BN16" i="6"/>
  <c r="BC16" i="6"/>
  <c r="BL31" i="6"/>
  <c r="BO31" i="6"/>
  <c r="BP21" i="6"/>
  <c r="AO21" i="6"/>
  <c r="BO21" i="6"/>
  <c r="AH20" i="6"/>
  <c r="BL20" i="6"/>
  <c r="BP20" i="6"/>
  <c r="AI20" i="6"/>
  <c r="BF37" i="6"/>
  <c r="AR37" i="6"/>
  <c r="BM37" i="6"/>
  <c r="AZ15" i="6"/>
  <c r="AP15" i="6"/>
  <c r="BF15" i="6"/>
  <c r="BH26" i="6"/>
  <c r="AH26" i="6"/>
  <c r="AK25" i="6"/>
  <c r="BF19" i="6"/>
  <c r="BC30" i="6"/>
  <c r="AH30" i="6"/>
  <c r="BH30" i="6"/>
  <c r="AI30" i="6"/>
  <c r="BM30" i="6"/>
  <c r="AH22" i="6"/>
  <c r="AO22" i="6"/>
  <c r="AP9" i="6"/>
  <c r="BG9" i="6"/>
  <c r="AW23" i="6"/>
  <c r="BK23" i="6"/>
  <c r="AN23" i="6"/>
  <c r="BB23" i="6"/>
  <c r="AO33" i="6"/>
  <c r="AW33" i="6"/>
  <c r="AK33" i="6"/>
  <c r="AV38" i="6"/>
  <c r="BL38" i="6"/>
  <c r="AN38" i="6"/>
  <c r="AL38" i="6"/>
  <c r="AL29" i="6"/>
  <c r="BE29" i="6"/>
  <c r="AN29" i="6"/>
  <c r="BN29" i="6"/>
  <c r="AH15" i="6"/>
  <c r="AR14" i="6"/>
  <c r="AO39" i="6"/>
  <c r="BC28" i="6"/>
  <c r="AO28" i="6"/>
  <c r="AH12" i="6"/>
  <c r="AR42" i="6"/>
  <c r="BF40" i="6"/>
  <c r="AR40" i="6"/>
  <c r="BF44" i="6"/>
  <c r="BN44" i="6"/>
  <c r="BP10" i="6"/>
  <c r="AJ10" i="6"/>
  <c r="AI10" i="6"/>
  <c r="AH14" i="6"/>
  <c r="BL36" i="6"/>
  <c r="BM36" i="6"/>
  <c r="BC39" i="6"/>
  <c r="BD39" i="6"/>
  <c r="BF28" i="6"/>
  <c r="BK12" i="6"/>
  <c r="BP12" i="6"/>
  <c r="BC41" i="6"/>
  <c r="AO41" i="6"/>
  <c r="BN17" i="6"/>
  <c r="AH17" i="6"/>
  <c r="AR23" i="14"/>
  <c r="E23" i="14" s="1"/>
  <c r="AQ33" i="14" s="1"/>
  <c r="G28" i="14" s="1"/>
  <c r="AR22" i="14"/>
  <c r="AI32" i="6"/>
  <c r="BK32" i="6"/>
  <c r="AI35" i="6"/>
  <c r="AO35" i="6"/>
  <c r="BL24" i="6"/>
  <c r="BH43" i="6"/>
  <c r="AN43" i="6"/>
  <c r="AO27" i="6"/>
  <c r="BD27" i="6"/>
  <c r="BF18" i="6"/>
  <c r="BP18" i="6"/>
  <c r="AK18" i="6"/>
  <c r="BM18" i="6"/>
  <c r="BH13" i="6"/>
  <c r="BP13" i="6"/>
  <c r="AX13" i="6"/>
  <c r="BP16" i="6"/>
  <c r="BM16" i="6"/>
  <c r="BN31" i="6"/>
  <c r="BH31" i="6"/>
  <c r="AY21" i="6"/>
  <c r="AV21" i="6"/>
  <c r="AJ21" i="6"/>
  <c r="AR18" i="14"/>
  <c r="E18" i="14" s="1"/>
  <c r="AR19" i="14"/>
  <c r="E19" i="14" s="1"/>
  <c r="AS20" i="6"/>
  <c r="BI20" i="6"/>
  <c r="AK20" i="6"/>
  <c r="AK37" i="6"/>
  <c r="AV37" i="6"/>
  <c r="BD37" i="6"/>
  <c r="AP37" i="6"/>
  <c r="AJ15" i="6"/>
  <c r="AQ15" i="6"/>
  <c r="AX15" i="6"/>
  <c r="AR15" i="6"/>
  <c r="BC26" i="6"/>
  <c r="BG26" i="6"/>
  <c r="BO26" i="6"/>
  <c r="AN26" i="6"/>
  <c r="AG25" i="6"/>
  <c r="BD25" i="6"/>
  <c r="AY19" i="6"/>
  <c r="AG19" i="6"/>
  <c r="BH19" i="6"/>
  <c r="AO19" i="6"/>
  <c r="BM19" i="6"/>
  <c r="AT30" i="6"/>
  <c r="BL30" i="6"/>
  <c r="AW30" i="6"/>
  <c r="AV30" i="6"/>
  <c r="BG30" i="6"/>
  <c r="AZ22" i="6"/>
  <c r="BD22" i="6"/>
  <c r="BG22" i="6"/>
  <c r="BI22" i="6"/>
  <c r="BH9" i="6"/>
  <c r="AW9" i="6"/>
  <c r="AS9" i="6"/>
  <c r="AO9" i="6"/>
  <c r="AZ23" i="6"/>
  <c r="AS23" i="6"/>
  <c r="BI23" i="6"/>
  <c r="BC23" i="6"/>
  <c r="BG23" i="6"/>
  <c r="AJ33" i="6"/>
  <c r="AL33" i="6"/>
  <c r="BO33" i="6"/>
  <c r="AR33" i="6"/>
  <c r="AT38" i="6"/>
  <c r="AK38" i="6"/>
  <c r="AP38" i="6"/>
  <c r="BM38" i="6"/>
  <c r="AI29" i="6"/>
  <c r="AR29" i="6"/>
  <c r="BB29" i="6"/>
  <c r="AO29" i="6"/>
  <c r="AH36" i="6"/>
  <c r="BH44" i="6"/>
  <c r="BC44" i="6"/>
  <c r="AH39" i="6"/>
  <c r="BH39" i="6"/>
  <c r="BF12" i="6"/>
  <c r="BF41" i="6"/>
  <c r="AZ41" i="6"/>
  <c r="AZ32" i="6"/>
  <c r="BF24" i="6"/>
  <c r="BL43" i="6"/>
  <c r="AZ43" i="6"/>
  <c r="BK27" i="6"/>
  <c r="AL27" i="6"/>
  <c r="BH27" i="6"/>
  <c r="AZ18" i="6"/>
  <c r="AH18" i="6"/>
  <c r="BN18" i="6"/>
  <c r="AO18" i="6"/>
  <c r="BL13" i="6"/>
  <c r="AR13" i="6"/>
  <c r="AO13" i="6"/>
  <c r="AJ16" i="6"/>
  <c r="AY16" i="6"/>
  <c r="AO16" i="6"/>
  <c r="AH31" i="6"/>
  <c r="AL31" i="6"/>
  <c r="BN21" i="6"/>
  <c r="AO20" i="6"/>
  <c r="AN20" i="6"/>
  <c r="BP37" i="6"/>
  <c r="AZ37" i="6"/>
  <c r="BH15" i="6"/>
  <c r="BM15" i="6"/>
  <c r="AV15" i="6"/>
  <c r="AI26" i="6"/>
  <c r="BP25" i="6"/>
  <c r="AN25" i="6"/>
  <c r="BH25" i="6"/>
  <c r="AO25" i="6"/>
  <c r="BK19" i="6"/>
  <c r="AJ19" i="6"/>
  <c r="AI19" i="6"/>
  <c r="AN19" i="6"/>
  <c r="BF30" i="6"/>
  <c r="AO30" i="6"/>
  <c r="BO22" i="6"/>
  <c r="AY22" i="6"/>
  <c r="AX22" i="6"/>
  <c r="AI22" i="6"/>
  <c r="AZ9" i="6"/>
  <c r="AN9" i="6"/>
  <c r="BP9" i="6"/>
  <c r="BF23" i="6"/>
  <c r="AP23" i="6"/>
  <c r="BP33" i="6"/>
  <c r="BL33" i="6"/>
  <c r="BN33" i="6"/>
  <c r="AY33" i="6"/>
  <c r="BP38" i="6"/>
  <c r="BO38" i="6"/>
  <c r="AJ38" i="6"/>
  <c r="BB38" i="6"/>
  <c r="BG38" i="6"/>
  <c r="BD29" i="6"/>
  <c r="AT29" i="6"/>
  <c r="BG29" i="6"/>
  <c r="BM29" i="6"/>
  <c r="BH28" i="6"/>
  <c r="AH41" i="6"/>
  <c r="AO37" i="6"/>
  <c r="AO34" i="6"/>
  <c r="AH40" i="6"/>
  <c r="AZ44" i="6"/>
  <c r="BK44" i="6"/>
  <c r="AZ11" i="6"/>
  <c r="AH11" i="6"/>
  <c r="BL11" i="6"/>
  <c r="BL10" i="6"/>
  <c r="BC10" i="6"/>
  <c r="AJ14" i="6"/>
  <c r="BM14" i="6"/>
  <c r="BN39" i="6"/>
  <c r="BN28" i="6"/>
  <c r="BM28" i="6"/>
  <c r="AL12" i="6"/>
  <c r="AR12" i="6"/>
  <c r="BM12" i="6"/>
  <c r="BH12" i="6"/>
  <c r="BL41" i="6"/>
  <c r="AZ17" i="6"/>
  <c r="BD35" i="6"/>
  <c r="AH35" i="6"/>
  <c r="AP24" i="6"/>
  <c r="AJ24" i="6"/>
  <c r="BM24" i="6"/>
  <c r="BP43" i="6"/>
  <c r="AK43" i="6"/>
  <c r="AP43" i="6"/>
  <c r="AV43" i="6"/>
  <c r="BL27" i="6"/>
  <c r="AJ27" i="6"/>
  <c r="BK18" i="6"/>
  <c r="AY13" i="6"/>
  <c r="BF13" i="6"/>
  <c r="BM13" i="6"/>
  <c r="BK13" i="6"/>
  <c r="AS16" i="6"/>
  <c r="BD16" i="6"/>
  <c r="BF16" i="6"/>
  <c r="AY31" i="6"/>
  <c r="AR31" i="6"/>
  <c r="AJ31" i="6"/>
  <c r="BG31" i="6"/>
  <c r="AR21" i="6"/>
  <c r="BH21" i="6"/>
  <c r="AI21" i="6"/>
  <c r="AL21" i="6"/>
  <c r="BN20" i="6"/>
  <c r="AP20" i="6"/>
  <c r="BM20" i="6"/>
  <c r="BC37" i="6"/>
  <c r="BK37" i="6"/>
  <c r="BN37" i="6"/>
  <c r="AS15" i="6"/>
  <c r="AI15" i="6"/>
  <c r="BO15" i="6"/>
  <c r="BK26" i="6"/>
  <c r="AV26" i="6"/>
  <c r="BP26" i="6"/>
  <c r="AQ26" i="6"/>
  <c r="AZ25" i="6"/>
  <c r="AV25" i="6"/>
  <c r="AY25" i="6"/>
  <c r="AQ25" i="6"/>
  <c r="AI25" i="6"/>
  <c r="BL19" i="6"/>
  <c r="BC19" i="6"/>
  <c r="AR19" i="6"/>
  <c r="AV19" i="6"/>
  <c r="AR30" i="6"/>
  <c r="AK30" i="6"/>
  <c r="BI30" i="6"/>
  <c r="BO30" i="6"/>
  <c r="AR22" i="6"/>
  <c r="BH22" i="6"/>
  <c r="AQ22" i="6"/>
  <c r="BB22" i="6"/>
  <c r="BF9" i="6"/>
  <c r="BL9" i="6"/>
  <c r="AH9" i="6"/>
  <c r="BK9" i="6"/>
  <c r="AY23" i="6"/>
  <c r="BO23" i="6"/>
  <c r="AT23" i="6"/>
  <c r="AV23" i="6"/>
  <c r="AR17" i="14"/>
  <c r="E17" i="14" s="1"/>
  <c r="AQ27" i="14" s="1"/>
  <c r="E28" i="14" s="1"/>
  <c r="AQ35" i="14" s="1"/>
  <c r="AR16" i="14"/>
  <c r="E16" i="14" s="1"/>
  <c r="AX33" i="6"/>
  <c r="AM33" i="6"/>
  <c r="AP33" i="6"/>
  <c r="BI33" i="6"/>
  <c r="AG38" i="6"/>
  <c r="BD38" i="6"/>
  <c r="AH38" i="6"/>
  <c r="AS38" i="6"/>
  <c r="AO38" i="6"/>
  <c r="BL29" i="6"/>
  <c r="AP29" i="6"/>
  <c r="BI29" i="6"/>
  <c r="AR34" i="6"/>
  <c r="AR10" i="6"/>
  <c r="AO36" i="6"/>
  <c r="AR41" i="6"/>
  <c r="BN41" i="6"/>
  <c r="AJ17" i="6"/>
  <c r="BF17" i="6"/>
  <c r="AJ32" i="6"/>
  <c r="BF32" i="6"/>
  <c r="BP32" i="6"/>
  <c r="AZ35" i="6"/>
  <c r="BK24" i="6"/>
  <c r="BK43" i="6"/>
  <c r="AR43" i="6"/>
  <c r="AO43" i="6"/>
  <c r="BM43" i="6"/>
  <c r="BM27" i="6"/>
  <c r="AR27" i="6"/>
  <c r="BC18" i="6"/>
  <c r="BL18" i="6"/>
  <c r="BH18" i="6"/>
  <c r="AZ13" i="6"/>
  <c r="BN13" i="6"/>
  <c r="AR16" i="6"/>
  <c r="BL16" i="6"/>
  <c r="BM31" i="6"/>
  <c r="AH21" i="6"/>
  <c r="BL21" i="6"/>
  <c r="BD21" i="6"/>
  <c r="BH20" i="6"/>
  <c r="BC20" i="6"/>
  <c r="BL37" i="6"/>
  <c r="AO15" i="6"/>
  <c r="BN15" i="6"/>
  <c r="BD26" i="6"/>
  <c r="AZ26" i="6"/>
  <c r="AK26" i="6"/>
  <c r="BC25" i="6"/>
  <c r="AR25" i="6"/>
  <c r="AP25" i="6"/>
  <c r="AL19" i="6"/>
  <c r="BO19" i="6"/>
  <c r="AJ30" i="6"/>
  <c r="AS30" i="6"/>
  <c r="BF22" i="6"/>
  <c r="BK22" i="6"/>
  <c r="BM22" i="6"/>
  <c r="AK22" i="6"/>
  <c r="BD9" i="6"/>
  <c r="AK9" i="6"/>
  <c r="AI9" i="6"/>
  <c r="AL9" i="6"/>
  <c r="BL23" i="6"/>
  <c r="AL23" i="6"/>
  <c r="AM23" i="6"/>
  <c r="AQ23" i="6"/>
  <c r="AH33" i="6"/>
  <c r="BK33" i="6"/>
  <c r="BG33" i="6"/>
  <c r="BF38" i="6"/>
  <c r="AR38" i="6"/>
  <c r="AI38" i="6"/>
  <c r="AG29" i="6"/>
  <c r="AY29" i="6"/>
  <c r="AK29" i="6"/>
  <c r="AH43" i="6"/>
  <c r="BH37" i="6"/>
  <c r="BH34" i="6"/>
  <c r="AH34" i="6"/>
  <c r="BH14" i="6"/>
  <c r="AR36" i="6"/>
  <c r="AO42" i="6"/>
  <c r="BC11" i="6"/>
  <c r="AO11" i="6"/>
  <c r="BH10" i="6"/>
  <c r="AJ36" i="6"/>
  <c r="BP39" i="6"/>
  <c r="BK28" i="6"/>
  <c r="BN12" i="6"/>
  <c r="BH41" i="6"/>
  <c r="BD41" i="6"/>
  <c r="BC17" i="6"/>
  <c r="BH17" i="6"/>
  <c r="AI17" i="6"/>
  <c r="BM17" i="6"/>
  <c r="AH32" i="6"/>
  <c r="BL32" i="6"/>
  <c r="AR32" i="6"/>
  <c r="BC35" i="6"/>
  <c r="AO24" i="6"/>
  <c r="BO24" i="6"/>
  <c r="AI43" i="6"/>
  <c r="BD43" i="6"/>
  <c r="BG43" i="6"/>
  <c r="BP27" i="6"/>
  <c r="BD18" i="6"/>
  <c r="AL18" i="6"/>
  <c r="BG18" i="6"/>
  <c r="AH13" i="6"/>
  <c r="BO13" i="6"/>
  <c r="AV13" i="6"/>
  <c r="BH16" i="6"/>
  <c r="AV16" i="6"/>
  <c r="AL16" i="6"/>
  <c r="BF31" i="6"/>
  <c r="BP31" i="6"/>
  <c r="AI31" i="6"/>
  <c r="BM21" i="6"/>
  <c r="AK21" i="6"/>
  <c r="AY20" i="6"/>
  <c r="BF20" i="6"/>
  <c r="BG20" i="6"/>
  <c r="AV20" i="6"/>
  <c r="AY37" i="6"/>
  <c r="AL37" i="6"/>
  <c r="BO37" i="6"/>
  <c r="AL15" i="6"/>
  <c r="AK15" i="6"/>
  <c r="BP15" i="6"/>
  <c r="BG15" i="6"/>
  <c r="AR26" i="6"/>
  <c r="BN26" i="6"/>
  <c r="AJ26" i="6"/>
  <c r="BM26" i="6"/>
  <c r="AH25" i="6"/>
  <c r="AS25" i="6"/>
  <c r="BF25" i="6"/>
  <c r="BG19" i="6"/>
  <c r="BP19" i="6"/>
  <c r="AH19" i="6"/>
  <c r="BI19" i="6"/>
  <c r="AR21" i="14"/>
  <c r="E21" i="14" s="1"/>
  <c r="AQ31" i="14" s="1"/>
  <c r="E29" i="14" s="1"/>
  <c r="AQ36" i="14" s="1"/>
  <c r="G36" i="14" s="1"/>
  <c r="AR20" i="14"/>
  <c r="E20" i="14" s="1"/>
  <c r="AP30" i="6"/>
  <c r="AL30" i="6"/>
  <c r="AX30" i="6"/>
  <c r="AV22" i="6"/>
  <c r="BN22" i="6"/>
  <c r="AN22" i="6"/>
  <c r="AX9" i="6"/>
  <c r="AR9" i="6"/>
  <c r="AT9" i="6"/>
  <c r="AV9" i="6"/>
  <c r="BI9" i="6"/>
  <c r="AO23" i="6"/>
  <c r="AX23" i="6"/>
  <c r="AJ23" i="6"/>
  <c r="AR23" i="6"/>
  <c r="BB33" i="6"/>
  <c r="BH33" i="6"/>
  <c r="AN33" i="6"/>
  <c r="BC33" i="6"/>
  <c r="AQ38" i="6"/>
  <c r="BC38" i="6"/>
  <c r="AX38" i="6"/>
  <c r="BK38" i="6"/>
  <c r="AZ29" i="6"/>
  <c r="BH29" i="6"/>
  <c r="BK29" i="6"/>
  <c r="AM29" i="6"/>
  <c r="AO44" i="6"/>
  <c r="AH42" i="6"/>
  <c r="BH42" i="6"/>
  <c r="BH40" i="6"/>
  <c r="BN40" i="6"/>
  <c r="AR44" i="6"/>
  <c r="BN11" i="6"/>
  <c r="BK11" i="6"/>
  <c r="BD10" i="6"/>
  <c r="AO10" i="6"/>
  <c r="BF10" i="6"/>
  <c r="BN14" i="6"/>
  <c r="BC14" i="6"/>
  <c r="AO14" i="6"/>
  <c r="BK36" i="6"/>
  <c r="BD36" i="6"/>
  <c r="BC36" i="6"/>
  <c r="AL39" i="6"/>
  <c r="AR39" i="6"/>
  <c r="AJ39" i="6"/>
  <c r="AH28" i="6"/>
  <c r="AZ12" i="6"/>
  <c r="AL41" i="6"/>
  <c r="AI41" i="6"/>
  <c r="BL17" i="6"/>
  <c r="BP17" i="6"/>
  <c r="AL17" i="6"/>
  <c r="BK17" i="6"/>
  <c r="AO32" i="6"/>
  <c r="AY32" i="6"/>
  <c r="BN32" i="6"/>
  <c r="AJ35" i="6"/>
  <c r="BK35" i="6"/>
  <c r="AR35" i="6"/>
  <c r="BM35" i="6"/>
  <c r="AI24" i="6"/>
  <c r="AR24" i="6"/>
  <c r="AJ43" i="6"/>
  <c r="AL43" i="6"/>
  <c r="BO27" i="6"/>
  <c r="BF27" i="6"/>
  <c r="AJ18" i="6"/>
  <c r="AR18" i="6"/>
  <c r="BO18" i="6"/>
  <c r="BD13" i="6"/>
  <c r="AL13" i="6"/>
  <c r="AP13" i="6"/>
  <c r="AK16" i="6"/>
  <c r="AH16" i="6"/>
  <c r="AZ31" i="6"/>
  <c r="AN31" i="6"/>
  <c r="AO31" i="6"/>
  <c r="BD31" i="6"/>
  <c r="BC21" i="6"/>
  <c r="AZ21" i="6"/>
  <c r="BD20" i="6"/>
  <c r="AJ20" i="6"/>
  <c r="BK20" i="6"/>
  <c r="AJ37" i="6"/>
  <c r="AH37" i="6"/>
  <c r="BG37" i="6"/>
  <c r="BC15" i="6"/>
  <c r="BK15" i="6"/>
  <c r="BL15" i="6"/>
  <c r="BD15" i="6"/>
  <c r="AP26" i="6"/>
  <c r="AS26" i="6"/>
  <c r="BK25" i="6"/>
  <c r="BN25" i="6"/>
  <c r="AX25" i="6"/>
  <c r="AL25" i="6"/>
  <c r="AZ19" i="6"/>
  <c r="BD19" i="6"/>
  <c r="AP19" i="6"/>
  <c r="AZ30" i="6"/>
  <c r="BP30" i="6"/>
  <c r="BD30" i="6"/>
  <c r="BL22" i="6"/>
  <c r="AW22" i="6"/>
  <c r="AJ22" i="6"/>
  <c r="AL22" i="6"/>
  <c r="AM9" i="6"/>
  <c r="AQ9" i="6"/>
  <c r="BC9" i="6"/>
  <c r="BM9" i="6"/>
  <c r="BH23" i="6"/>
  <c r="AI23" i="6"/>
  <c r="BD23" i="6"/>
  <c r="BN23" i="6"/>
  <c r="AV33" i="6"/>
  <c r="AZ33" i="6"/>
  <c r="AQ33" i="6"/>
  <c r="BM33" i="6"/>
  <c r="AW38" i="6"/>
  <c r="AZ38" i="6"/>
  <c r="BN38" i="6"/>
  <c r="AH29" i="6"/>
  <c r="BO29" i="6"/>
  <c r="AS29" i="6"/>
  <c r="AQ29" i="6"/>
  <c r="E36" i="14" l="1"/>
  <c r="AQ41" i="14" s="1"/>
  <c r="E42" i="14" s="1"/>
  <c r="G37" i="14"/>
  <c r="AQ42" i="14" s="1"/>
  <c r="G42" i="14" s="1"/>
  <c r="E46" i="14" s="1"/>
  <c r="AE12" i="6"/>
  <c r="O13" i="6"/>
  <c r="AE13" i="6" l="1"/>
  <c r="O14" i="6"/>
  <c r="AE14" i="6" s="1"/>
  <c r="O15" i="6" l="1"/>
  <c r="AE15" i="6" s="1"/>
  <c r="O16" i="6" l="1"/>
  <c r="AE16" i="6" s="1"/>
  <c r="O17" i="6" l="1"/>
  <c r="AE17" i="6" s="1"/>
  <c r="O18" i="6" l="1"/>
  <c r="AE18" i="6" l="1"/>
  <c r="O19" i="6"/>
  <c r="O20" i="6" l="1"/>
  <c r="AE20" i="6" s="1"/>
  <c r="AE19" i="6"/>
  <c r="O21" i="6" l="1"/>
  <c r="AE21" i="6" s="1"/>
  <c r="O22" i="6" l="1"/>
  <c r="AE22" i="6" s="1"/>
  <c r="O23" i="6" l="1"/>
  <c r="AE23" i="6" s="1"/>
  <c r="O24" i="6" l="1"/>
  <c r="AE24" i="6" s="1"/>
  <c r="O25" i="6" l="1"/>
  <c r="AE25" i="6" s="1"/>
  <c r="O26" i="6" l="1"/>
  <c r="AE26" i="6" s="1"/>
  <c r="O27" i="6" l="1"/>
  <c r="AE27" i="6" s="1"/>
  <c r="O28" i="6" l="1"/>
  <c r="AE28" i="6" s="1"/>
  <c r="O29" i="6" l="1"/>
  <c r="AE29" i="6" s="1"/>
  <c r="O30" i="6" l="1"/>
  <c r="AE30" i="6" s="1"/>
  <c r="O31" i="6" l="1"/>
  <c r="AE31" i="6" s="1"/>
  <c r="O32" i="6" l="1"/>
  <c r="AE32" i="6" s="1"/>
  <c r="O33" i="6" l="1"/>
  <c r="AE33" i="6" s="1"/>
  <c r="O34" i="6" l="1"/>
  <c r="AE34" i="6" s="1"/>
  <c r="O35" i="6" l="1"/>
  <c r="AE35" i="6" l="1"/>
  <c r="O36" i="6"/>
  <c r="AE36" i="6" s="1"/>
  <c r="O37" i="6" l="1"/>
  <c r="AE37" i="6" s="1"/>
  <c r="O38" i="6" l="1"/>
  <c r="AE38" i="6" s="1"/>
  <c r="O39" i="6" l="1"/>
  <c r="AE39" i="6" l="1"/>
  <c r="O40" i="6"/>
  <c r="AE40" i="6" s="1"/>
  <c r="O41" i="6" l="1"/>
  <c r="AE41" i="6" s="1"/>
  <c r="O42" i="6" l="1"/>
  <c r="O43" i="6" l="1"/>
  <c r="O44" i="6" s="1"/>
  <c r="AE42" i="6"/>
  <c r="T4" i="14" l="1" a="1"/>
  <c r="AF32" i="14" s="1"/>
  <c r="AE44" i="6"/>
  <c r="O117" i="6" a="1"/>
  <c r="O78" i="6" a="1"/>
  <c r="AE43" i="6"/>
  <c r="Y30" i="14" l="1"/>
  <c r="AB29" i="14"/>
  <c r="T20" i="14"/>
  <c r="AB36" i="14"/>
  <c r="AC16" i="14"/>
  <c r="V13" i="14"/>
  <c r="X6" i="14"/>
  <c r="AA12" i="14"/>
  <c r="W28" i="14"/>
  <c r="AB4" i="14"/>
  <c r="AC5" i="14"/>
  <c r="T39" i="14"/>
  <c r="AB34" i="14"/>
  <c r="AC28" i="14"/>
  <c r="W13" i="14"/>
  <c r="Z30" i="14"/>
  <c r="AC38" i="14"/>
  <c r="V14" i="14"/>
  <c r="X5" i="14"/>
  <c r="AB12" i="14"/>
  <c r="W10" i="14"/>
  <c r="AF7" i="14"/>
  <c r="W29" i="14"/>
  <c r="T34" i="14"/>
  <c r="AB15" i="14"/>
  <c r="V28" i="14"/>
  <c r="V15" i="14"/>
  <c r="AA16" i="14"/>
  <c r="AD26" i="14"/>
  <c r="AA10" i="14"/>
  <c r="AD9" i="14"/>
  <c r="Z12" i="14"/>
  <c r="W5" i="14"/>
  <c r="AB38" i="14"/>
  <c r="Z15" i="14"/>
  <c r="V39" i="14"/>
  <c r="T30" i="14"/>
  <c r="Z25" i="14"/>
  <c r="U33" i="14"/>
  <c r="X21" i="14"/>
  <c r="Z23" i="14"/>
  <c r="T28" i="14"/>
  <c r="X13" i="14"/>
  <c r="V19" i="14"/>
  <c r="Y7" i="14"/>
  <c r="V37" i="14"/>
  <c r="AE16" i="14"/>
  <c r="Y16" i="14"/>
  <c r="AB17" i="14"/>
  <c r="W34" i="14"/>
  <c r="AC14" i="14"/>
  <c r="AA38" i="14"/>
  <c r="AE31" i="14"/>
  <c r="AE14" i="14"/>
  <c r="T9" i="14"/>
  <c r="AD18" i="14"/>
  <c r="Y8" i="14"/>
  <c r="AA21" i="14"/>
  <c r="AC19" i="14"/>
  <c r="AF8" i="14"/>
  <c r="Z31" i="14"/>
  <c r="V23" i="14"/>
  <c r="U27" i="14"/>
  <c r="X15" i="14"/>
  <c r="V32" i="14"/>
  <c r="V10" i="14"/>
  <c r="V7" i="14"/>
  <c r="U37" i="14"/>
  <c r="T22" i="14"/>
  <c r="AC24" i="14"/>
  <c r="AD31" i="14"/>
  <c r="V20" i="14"/>
  <c r="Z6" i="14"/>
  <c r="AA37" i="14"/>
  <c r="AA39" i="14"/>
  <c r="X20" i="14"/>
  <c r="W38" i="14"/>
  <c r="AA5" i="14"/>
  <c r="AC39" i="14"/>
  <c r="T17" i="14"/>
  <c r="X12" i="14"/>
  <c r="U35" i="14"/>
  <c r="T32" i="14"/>
  <c r="AF14" i="14"/>
  <c r="W31" i="14"/>
  <c r="Z33" i="14"/>
  <c r="AB7" i="14"/>
  <c r="T14" i="14"/>
  <c r="AC27" i="14"/>
  <c r="X25" i="14"/>
  <c r="U39" i="14"/>
  <c r="AD21" i="14"/>
  <c r="AA23" i="14"/>
  <c r="U22" i="14"/>
  <c r="AF24" i="14"/>
  <c r="AA9" i="14"/>
  <c r="AE15" i="14"/>
  <c r="Z4" i="14"/>
  <c r="Y34" i="14"/>
  <c r="T7" i="14"/>
  <c r="Z35" i="14"/>
  <c r="W20" i="14"/>
  <c r="U10" i="14"/>
  <c r="AB39" i="14"/>
  <c r="AB22" i="14"/>
  <c r="AB27" i="14"/>
  <c r="AA33" i="14"/>
  <c r="AB24" i="14"/>
  <c r="AD25" i="14"/>
  <c r="Y33" i="14"/>
  <c r="AB21" i="14"/>
  <c r="AB13" i="14"/>
  <c r="AC32" i="14"/>
  <c r="W19" i="14"/>
  <c r="X36" i="14"/>
  <c r="U7" i="14"/>
  <c r="AF39" i="14"/>
  <c r="X14" i="14"/>
  <c r="Y14" i="14"/>
  <c r="W27" i="14"/>
  <c r="Y31" i="14"/>
  <c r="V29" i="14"/>
  <c r="W22" i="14"/>
  <c r="Z32" i="14"/>
  <c r="Y26" i="14"/>
  <c r="Z36" i="14"/>
  <c r="AD14" i="14"/>
  <c r="W24" i="14"/>
  <c r="AE38" i="14"/>
  <c r="X8" i="14"/>
  <c r="Z13" i="14"/>
  <c r="AC15" i="14"/>
  <c r="X35" i="14"/>
  <c r="AD35" i="14"/>
  <c r="AE24" i="14"/>
  <c r="V30" i="14"/>
  <c r="Y21" i="14"/>
  <c r="Y35" i="14"/>
  <c r="X26" i="14"/>
  <c r="X37" i="14"/>
  <c r="W23" i="14"/>
  <c r="AF11" i="14"/>
  <c r="U32" i="14"/>
  <c r="AE5" i="14"/>
  <c r="AE8" i="14"/>
  <c r="AA36" i="14"/>
  <c r="T16" i="14"/>
  <c r="AC9" i="14"/>
  <c r="T24" i="14"/>
  <c r="V35" i="14"/>
  <c r="AC25" i="14"/>
  <c r="AF21" i="14"/>
  <c r="AE9" i="14"/>
  <c r="AA13" i="14"/>
  <c r="U31" i="14"/>
  <c r="AA30" i="14"/>
  <c r="U9" i="14"/>
  <c r="V11" i="14"/>
  <c r="U8" i="14"/>
  <c r="AE7" i="14"/>
  <c r="AA29" i="14"/>
  <c r="AB37" i="14"/>
  <c r="Y32" i="14"/>
  <c r="Y28" i="14"/>
  <c r="X16" i="14"/>
  <c r="V17" i="14"/>
  <c r="V36" i="14"/>
  <c r="AE30" i="14"/>
  <c r="AA34" i="14"/>
  <c r="T27" i="14"/>
  <c r="AD6" i="14"/>
  <c r="AC10" i="14"/>
  <c r="AE11" i="14"/>
  <c r="T6" i="14"/>
  <c r="X17" i="14"/>
  <c r="U23" i="14"/>
  <c r="AC12" i="14"/>
  <c r="AB5" i="14"/>
  <c r="AD5" i="14"/>
  <c r="T12" i="14"/>
  <c r="V33" i="14"/>
  <c r="AC8" i="14"/>
  <c r="X24" i="14"/>
  <c r="Z11" i="14"/>
  <c r="Y4" i="14"/>
  <c r="U18" i="14"/>
  <c r="AE13" i="14"/>
  <c r="AF35" i="14"/>
  <c r="Y12" i="14"/>
  <c r="AA26" i="14"/>
  <c r="T36" i="14"/>
  <c r="X10" i="14"/>
  <c r="AE6" i="14"/>
  <c r="V5" i="14"/>
  <c r="V25" i="14"/>
  <c r="AD27" i="14"/>
  <c r="AB8" i="14"/>
  <c r="W25" i="14"/>
  <c r="AF9" i="14"/>
  <c r="W30" i="14"/>
  <c r="W11" i="14"/>
  <c r="T15" i="14"/>
  <c r="Y10" i="14"/>
  <c r="AC35" i="14"/>
  <c r="X33" i="14"/>
  <c r="AB26" i="14"/>
  <c r="U34" i="14"/>
  <c r="T23" i="14"/>
  <c r="V21" i="14"/>
  <c r="Y25" i="14"/>
  <c r="X19" i="14"/>
  <c r="AE20" i="14"/>
  <c r="Y19" i="14"/>
  <c r="AE39" i="14"/>
  <c r="AF29" i="14"/>
  <c r="AD10" i="14"/>
  <c r="V12" i="14"/>
  <c r="AF31" i="14"/>
  <c r="AC13" i="14"/>
  <c r="Z38" i="14"/>
  <c r="AB18" i="14"/>
  <c r="Y17" i="14"/>
  <c r="W4" i="14"/>
  <c r="W37" i="14"/>
  <c r="Z26" i="14"/>
  <c r="AF5" i="14"/>
  <c r="U19" i="14"/>
  <c r="AD4" i="14"/>
  <c r="Z16" i="14"/>
  <c r="X34" i="14"/>
  <c r="V4" i="14"/>
  <c r="Y29" i="14"/>
  <c r="U5" i="14"/>
  <c r="Y18" i="14"/>
  <c r="V26" i="14"/>
  <c r="X7" i="14"/>
  <c r="AD24" i="14"/>
  <c r="AD30" i="14"/>
  <c r="AE34" i="14"/>
  <c r="V9" i="14"/>
  <c r="T26" i="14"/>
  <c r="Z17" i="14"/>
  <c r="V34" i="14"/>
  <c r="AA32" i="14"/>
  <c r="V18" i="14"/>
  <c r="AB14" i="14"/>
  <c r="AE26" i="14"/>
  <c r="AD38" i="14"/>
  <c r="V8" i="14"/>
  <c r="AF23" i="14"/>
  <c r="AA6" i="14"/>
  <c r="V22" i="14"/>
  <c r="U29" i="14"/>
  <c r="Z20" i="14"/>
  <c r="Y38" i="14"/>
  <c r="AD36" i="14"/>
  <c r="X32" i="14"/>
  <c r="U16" i="14"/>
  <c r="X29" i="14"/>
  <c r="AD39" i="14"/>
  <c r="Z21" i="14"/>
  <c r="U30" i="14"/>
  <c r="AA28" i="14"/>
  <c r="Z14" i="14"/>
  <c r="AC33" i="14"/>
  <c r="U24" i="14"/>
  <c r="AD23" i="14"/>
  <c r="AC6" i="14"/>
  <c r="T35" i="14"/>
  <c r="W36" i="14"/>
  <c r="AC17" i="14"/>
  <c r="W32" i="14"/>
  <c r="T31" i="14"/>
  <c r="AF12" i="14"/>
  <c r="AF33" i="14"/>
  <c r="AF37" i="14"/>
  <c r="AF13" i="14"/>
  <c r="AA17" i="14"/>
  <c r="W14" i="14"/>
  <c r="AC20" i="14"/>
  <c r="AB35" i="14"/>
  <c r="AE22" i="14"/>
  <c r="X9" i="14"/>
  <c r="AD15" i="14"/>
  <c r="Z7" i="14"/>
  <c r="AE35" i="14"/>
  <c r="U15" i="14"/>
  <c r="AA25" i="14"/>
  <c r="AE28" i="14"/>
  <c r="AD12" i="14"/>
  <c r="T13" i="14"/>
  <c r="T4" i="14"/>
  <c r="X38" i="14"/>
  <c r="T5" i="14"/>
  <c r="U25" i="14"/>
  <c r="AF16" i="14"/>
  <c r="Z29" i="14"/>
  <c r="X18" i="14"/>
  <c r="AB11" i="14"/>
  <c r="AB16" i="14"/>
  <c r="AA19" i="14"/>
  <c r="AD34" i="14"/>
  <c r="V31" i="14"/>
  <c r="AA24" i="14"/>
  <c r="AF19" i="14"/>
  <c r="AD19" i="14"/>
  <c r="W17" i="14"/>
  <c r="AE12" i="14"/>
  <c r="V6" i="14"/>
  <c r="U6" i="14"/>
  <c r="U17" i="14"/>
  <c r="AE27" i="14"/>
  <c r="W26" i="14"/>
  <c r="AB10" i="14"/>
  <c r="AA7" i="14"/>
  <c r="AE4" i="14"/>
  <c r="AF22" i="14"/>
  <c r="AA22" i="14"/>
  <c r="X22" i="14"/>
  <c r="AC26" i="14"/>
  <c r="Z19" i="14"/>
  <c r="X28" i="14"/>
  <c r="T10" i="14"/>
  <c r="Z18" i="14"/>
  <c r="W12" i="14"/>
  <c r="U38" i="14"/>
  <c r="Z28" i="14"/>
  <c r="AE19" i="14"/>
  <c r="U11" i="14"/>
  <c r="AF18" i="14"/>
  <c r="Y9" i="14"/>
  <c r="AF25" i="14"/>
  <c r="T33" i="14"/>
  <c r="AB20" i="14"/>
  <c r="W8" i="14"/>
  <c r="AA31" i="14"/>
  <c r="AE21" i="14"/>
  <c r="W35" i="14"/>
  <c r="Y24" i="14"/>
  <c r="AB31" i="14"/>
  <c r="Z22" i="14"/>
  <c r="Y15" i="14"/>
  <c r="AD13" i="14"/>
  <c r="U14" i="14"/>
  <c r="AB19" i="14"/>
  <c r="AA14" i="14"/>
  <c r="AC4" i="14"/>
  <c r="AD22" i="14"/>
  <c r="AA35" i="14"/>
  <c r="X39" i="14"/>
  <c r="U36" i="14"/>
  <c r="AA4" i="14"/>
  <c r="Y13" i="14"/>
  <c r="T8" i="14"/>
  <c r="Y6" i="14"/>
  <c r="AC21" i="14"/>
  <c r="Z5" i="14"/>
  <c r="Z27" i="14"/>
  <c r="AD33" i="14"/>
  <c r="AC23" i="14"/>
  <c r="AF28" i="14"/>
  <c r="AF34" i="14"/>
  <c r="Y20" i="14"/>
  <c r="AA27" i="14"/>
  <c r="AD11" i="14"/>
  <c r="X27" i="14"/>
  <c r="AB25" i="14"/>
  <c r="U12" i="14"/>
  <c r="Y22" i="14"/>
  <c r="W16" i="14"/>
  <c r="AB9" i="14"/>
  <c r="W33" i="14"/>
  <c r="AC36" i="14"/>
  <c r="AA8" i="14"/>
  <c r="Y5" i="14"/>
  <c r="Z10" i="14"/>
  <c r="AA18" i="14"/>
  <c r="AE23" i="14"/>
  <c r="Z24" i="14"/>
  <c r="AB30" i="14"/>
  <c r="X30" i="14"/>
  <c r="AA20" i="14"/>
  <c r="AB28" i="14"/>
  <c r="AC31" i="14"/>
  <c r="AB32" i="14"/>
  <c r="AD28" i="14"/>
  <c r="W7" i="14"/>
  <c r="T19" i="14"/>
  <c r="W9" i="14"/>
  <c r="U26" i="14"/>
  <c r="Z9" i="14"/>
  <c r="X23" i="14"/>
  <c r="AE18" i="14"/>
  <c r="T29" i="14"/>
  <c r="AF20" i="14"/>
  <c r="T37" i="14"/>
  <c r="Z8" i="14"/>
  <c r="AD20" i="14"/>
  <c r="X4" i="14"/>
  <c r="AE10" i="14"/>
  <c r="AA11" i="14"/>
  <c r="T18" i="14"/>
  <c r="AF38" i="14"/>
  <c r="AF4" i="14"/>
  <c r="AF17" i="14"/>
  <c r="AE29" i="14"/>
  <c r="W21" i="14"/>
  <c r="AE25" i="14"/>
  <c r="AC29" i="14"/>
  <c r="Y39" i="14"/>
  <c r="AF30" i="14"/>
  <c r="AC37" i="14"/>
  <c r="AD7" i="14"/>
  <c r="AE32" i="14"/>
  <c r="W15" i="14"/>
  <c r="AF15" i="14"/>
  <c r="AC30" i="14"/>
  <c r="Z34" i="14"/>
  <c r="AD8" i="14"/>
  <c r="AC34" i="14"/>
  <c r="X11" i="14"/>
  <c r="T38" i="14"/>
  <c r="AE37" i="14"/>
  <c r="AB6" i="14"/>
  <c r="T21" i="14"/>
  <c r="V24" i="14"/>
  <c r="X31" i="14"/>
  <c r="U21" i="14"/>
  <c r="U4" i="14"/>
  <c r="AD29" i="14"/>
  <c r="AA15" i="14"/>
  <c r="V38" i="14"/>
  <c r="AC22" i="14"/>
  <c r="AB33" i="14"/>
  <c r="AD32" i="14"/>
  <c r="T25" i="14"/>
  <c r="AD17" i="14"/>
  <c r="AE17" i="14"/>
  <c r="Y36" i="14"/>
  <c r="AF6" i="14"/>
  <c r="AF10" i="14"/>
  <c r="AB23" i="14"/>
  <c r="V27" i="14"/>
  <c r="AC18" i="14"/>
  <c r="AF27" i="14"/>
  <c r="AF26" i="14"/>
  <c r="W39" i="14"/>
  <c r="AC7" i="14"/>
  <c r="AD16" i="14"/>
  <c r="AE33" i="14"/>
  <c r="V16" i="14"/>
  <c r="Z37" i="14"/>
  <c r="AD37" i="14"/>
  <c r="Y11" i="14"/>
  <c r="U13" i="14"/>
  <c r="Y23" i="14"/>
  <c r="Y37" i="14"/>
  <c r="Y27" i="14"/>
  <c r="AC11" i="14"/>
  <c r="W6" i="14"/>
  <c r="AE36" i="14"/>
  <c r="T11" i="14"/>
  <c r="Z39" i="14"/>
  <c r="U28" i="14"/>
  <c r="W18" i="14"/>
  <c r="U20" i="14"/>
  <c r="AF36" i="14"/>
  <c r="U113" i="6"/>
  <c r="R102" i="6"/>
  <c r="AB103" i="6"/>
  <c r="S109" i="6"/>
  <c r="O78" i="6"/>
  <c r="X93" i="6"/>
  <c r="U97" i="6"/>
  <c r="V92" i="6"/>
  <c r="Z103" i="6"/>
  <c r="Y105" i="6"/>
  <c r="T108" i="6"/>
  <c r="X105" i="6"/>
  <c r="Z100" i="6"/>
  <c r="Y98" i="6"/>
  <c r="Q87" i="6"/>
  <c r="X94" i="6"/>
  <c r="Y96" i="6"/>
  <c r="P80" i="6"/>
  <c r="Q79" i="6"/>
  <c r="AA91" i="6"/>
  <c r="T106" i="6"/>
  <c r="P95" i="6"/>
  <c r="X88" i="6"/>
  <c r="Q80" i="6"/>
  <c r="AA95" i="6"/>
  <c r="S95" i="6"/>
  <c r="Z89" i="6"/>
  <c r="AA83" i="6"/>
  <c r="V112" i="6"/>
  <c r="W82" i="6"/>
  <c r="W87" i="6"/>
  <c r="W92" i="6"/>
  <c r="Q99" i="6"/>
  <c r="W93" i="6"/>
  <c r="P113" i="6"/>
  <c r="AA104" i="6"/>
  <c r="V82" i="6"/>
  <c r="T101" i="6"/>
  <c r="W99" i="6"/>
  <c r="O83" i="6"/>
  <c r="U103" i="6"/>
  <c r="S99" i="6"/>
  <c r="P104" i="6"/>
  <c r="W105" i="6"/>
  <c r="Y106" i="6"/>
  <c r="R92" i="6"/>
  <c r="X96" i="6"/>
  <c r="W111" i="6"/>
  <c r="R99" i="6"/>
  <c r="Q90" i="6"/>
  <c r="Z110" i="6"/>
  <c r="V110" i="6"/>
  <c r="W102" i="6"/>
  <c r="V108" i="6"/>
  <c r="S111" i="6"/>
  <c r="V101" i="6"/>
  <c r="X79" i="6"/>
  <c r="T87" i="6"/>
  <c r="P100" i="6"/>
  <c r="Z112" i="6"/>
  <c r="S105" i="6"/>
  <c r="O97" i="6"/>
  <c r="X87" i="6"/>
  <c r="V88" i="6"/>
  <c r="P110" i="6"/>
  <c r="T113" i="6"/>
  <c r="Z88" i="6"/>
  <c r="W81" i="6"/>
  <c r="AA78" i="6"/>
  <c r="O112" i="6"/>
  <c r="P88" i="6"/>
  <c r="AB83" i="6"/>
  <c r="AB109" i="6"/>
  <c r="S100" i="6"/>
  <c r="T84" i="6"/>
  <c r="T80" i="6"/>
  <c r="AB106" i="6"/>
  <c r="X111" i="6"/>
  <c r="V103" i="6"/>
  <c r="S78" i="6"/>
  <c r="P107" i="6"/>
  <c r="Q101" i="6"/>
  <c r="AA108" i="6"/>
  <c r="T97" i="6"/>
  <c r="V95" i="6"/>
  <c r="Z81" i="6"/>
  <c r="AA82" i="6"/>
  <c r="Y95" i="6"/>
  <c r="O107" i="6"/>
  <c r="Z79" i="6"/>
  <c r="O81" i="6"/>
  <c r="P106" i="6"/>
  <c r="AB93" i="6"/>
  <c r="V86" i="6"/>
  <c r="R94" i="6"/>
  <c r="Q91" i="6"/>
  <c r="T88" i="6"/>
  <c r="W96" i="6"/>
  <c r="R105" i="6"/>
  <c r="U98" i="6"/>
  <c r="R108" i="6"/>
  <c r="AA112" i="6"/>
  <c r="T79" i="6"/>
  <c r="X80" i="6"/>
  <c r="Z94" i="6"/>
  <c r="O93" i="6"/>
  <c r="T86" i="6"/>
  <c r="O87" i="6"/>
  <c r="AA86" i="6"/>
  <c r="Q113" i="6"/>
  <c r="W98" i="6"/>
  <c r="P83" i="6"/>
  <c r="AA109" i="6"/>
  <c r="P102" i="6"/>
  <c r="AB86" i="6"/>
  <c r="T81" i="6"/>
  <c r="P86" i="6"/>
  <c r="R111" i="6"/>
  <c r="AB105" i="6"/>
  <c r="W110" i="6"/>
  <c r="AA107" i="6"/>
  <c r="AB88" i="6"/>
  <c r="T82" i="6"/>
  <c r="Z113" i="6"/>
  <c r="W112" i="6"/>
  <c r="X84" i="6"/>
  <c r="V81" i="6"/>
  <c r="V97" i="6"/>
  <c r="AA85" i="6"/>
  <c r="U95" i="6"/>
  <c r="P112" i="6"/>
  <c r="R80" i="6"/>
  <c r="Y103" i="6"/>
  <c r="X106" i="6"/>
  <c r="Y85" i="6"/>
  <c r="V99" i="6"/>
  <c r="AA89" i="6"/>
  <c r="Y80" i="6"/>
  <c r="Q83" i="6"/>
  <c r="AB95" i="6"/>
  <c r="AB91" i="6"/>
  <c r="U109" i="6"/>
  <c r="X85" i="6"/>
  <c r="X102" i="6"/>
  <c r="Y82" i="6"/>
  <c r="AA101" i="6"/>
  <c r="AA110" i="6"/>
  <c r="AB79" i="6"/>
  <c r="AA100" i="6"/>
  <c r="O94" i="6"/>
  <c r="Q107" i="6"/>
  <c r="AA99" i="6"/>
  <c r="U79" i="6"/>
  <c r="S96" i="6"/>
  <c r="Q93" i="6"/>
  <c r="X103" i="6"/>
  <c r="Q82" i="6"/>
  <c r="S80" i="6"/>
  <c r="O101" i="6"/>
  <c r="Q109" i="6"/>
  <c r="S94" i="6"/>
  <c r="Z109" i="6"/>
  <c r="W86" i="6"/>
  <c r="Z111" i="6"/>
  <c r="W85" i="6"/>
  <c r="T99" i="6"/>
  <c r="AB82" i="6"/>
  <c r="Y109" i="6"/>
  <c r="Y79" i="6"/>
  <c r="U85" i="6"/>
  <c r="Z92" i="6"/>
  <c r="P87" i="6"/>
  <c r="O110" i="6"/>
  <c r="Z95" i="6"/>
  <c r="Y108" i="6"/>
  <c r="V78" i="6"/>
  <c r="W90" i="6"/>
  <c r="Z83" i="6"/>
  <c r="U99" i="6"/>
  <c r="R84" i="6"/>
  <c r="U89" i="6"/>
  <c r="Y91" i="6"/>
  <c r="O109" i="6"/>
  <c r="S90" i="6"/>
  <c r="AA111" i="6"/>
  <c r="R112" i="6"/>
  <c r="O88" i="6"/>
  <c r="Z96" i="6"/>
  <c r="Y94" i="6"/>
  <c r="W84" i="6"/>
  <c r="V106" i="6"/>
  <c r="Y112" i="6"/>
  <c r="P90" i="6"/>
  <c r="Q105" i="6"/>
  <c r="Y87" i="6"/>
  <c r="P96" i="6"/>
  <c r="Q96" i="6"/>
  <c r="Z80" i="6"/>
  <c r="P111" i="6"/>
  <c r="AB111" i="6"/>
  <c r="P78" i="6"/>
  <c r="R78" i="6"/>
  <c r="Q106" i="6"/>
  <c r="Q95" i="6"/>
  <c r="O102" i="6"/>
  <c r="X92" i="6"/>
  <c r="U81" i="6"/>
  <c r="AA81" i="6"/>
  <c r="S87" i="6"/>
  <c r="W94" i="6"/>
  <c r="AB101" i="6"/>
  <c r="V89" i="6"/>
  <c r="U112" i="6"/>
  <c r="Z93" i="6"/>
  <c r="U87" i="6"/>
  <c r="Q103" i="6"/>
  <c r="V83" i="6"/>
  <c r="Q98" i="6"/>
  <c r="Y97" i="6"/>
  <c r="P109" i="6"/>
  <c r="Z90" i="6"/>
  <c r="AB108" i="6"/>
  <c r="Y90" i="6"/>
  <c r="O84" i="6"/>
  <c r="Z91" i="6"/>
  <c r="O98" i="6"/>
  <c r="Q110" i="6"/>
  <c r="O111" i="6"/>
  <c r="W79" i="6"/>
  <c r="Q111" i="6"/>
  <c r="U100" i="6"/>
  <c r="Y104" i="6"/>
  <c r="AA94" i="6"/>
  <c r="R85" i="6"/>
  <c r="X100" i="6"/>
  <c r="AB87" i="6"/>
  <c r="P92" i="6"/>
  <c r="Q94" i="6"/>
  <c r="U83" i="6"/>
  <c r="X83" i="6"/>
  <c r="V80" i="6"/>
  <c r="X90" i="6"/>
  <c r="P89" i="6"/>
  <c r="R104" i="6"/>
  <c r="U104" i="6"/>
  <c r="V96" i="6"/>
  <c r="Z106" i="6"/>
  <c r="AA97" i="6"/>
  <c r="O103" i="6"/>
  <c r="U107" i="6"/>
  <c r="T103" i="6"/>
  <c r="AA92" i="6"/>
  <c r="T83" i="6"/>
  <c r="P108" i="6"/>
  <c r="Q78" i="6"/>
  <c r="U111" i="6"/>
  <c r="R89" i="6"/>
  <c r="AA90" i="6"/>
  <c r="AB78" i="6"/>
  <c r="AA84" i="6"/>
  <c r="R93" i="6"/>
  <c r="Q84" i="6"/>
  <c r="AB85" i="6"/>
  <c r="Z98" i="6"/>
  <c r="U105" i="6"/>
  <c r="Z87" i="6"/>
  <c r="AB90" i="6"/>
  <c r="T92" i="6"/>
  <c r="R81" i="6"/>
  <c r="O96" i="6"/>
  <c r="AB98" i="6"/>
  <c r="Q85" i="6"/>
  <c r="U80" i="6"/>
  <c r="X113" i="6"/>
  <c r="P105" i="6"/>
  <c r="U93" i="6"/>
  <c r="O86" i="6"/>
  <c r="V85" i="6"/>
  <c r="S97" i="6"/>
  <c r="T78" i="6"/>
  <c r="R109" i="6"/>
  <c r="T90" i="6"/>
  <c r="O91" i="6"/>
  <c r="X86" i="6"/>
  <c r="O82" i="6"/>
  <c r="R88" i="6"/>
  <c r="U106" i="6"/>
  <c r="P93" i="6"/>
  <c r="V113" i="6"/>
  <c r="X97" i="6"/>
  <c r="V90" i="6"/>
  <c r="Y101" i="6"/>
  <c r="P97" i="6"/>
  <c r="S102" i="6"/>
  <c r="Q88" i="6"/>
  <c r="S107" i="6"/>
  <c r="P103" i="6"/>
  <c r="Q89" i="6"/>
  <c r="U86" i="6"/>
  <c r="Q100" i="6"/>
  <c r="S98" i="6"/>
  <c r="X108" i="6"/>
  <c r="S86" i="6"/>
  <c r="Y102" i="6"/>
  <c r="P91" i="6"/>
  <c r="S83" i="6"/>
  <c r="O106" i="6"/>
  <c r="U96" i="6"/>
  <c r="X98" i="6"/>
  <c r="U90" i="6"/>
  <c r="W101" i="6"/>
  <c r="O105" i="6"/>
  <c r="W103" i="6"/>
  <c r="W113" i="6"/>
  <c r="AB80" i="6"/>
  <c r="S110" i="6"/>
  <c r="Y84" i="6"/>
  <c r="O79" i="6"/>
  <c r="AB81" i="6"/>
  <c r="V104" i="6"/>
  <c r="T85" i="6"/>
  <c r="W89" i="6"/>
  <c r="S113" i="6"/>
  <c r="AA88" i="6"/>
  <c r="Y93" i="6"/>
  <c r="Y88" i="6"/>
  <c r="Y83" i="6"/>
  <c r="O99" i="6"/>
  <c r="X82" i="6"/>
  <c r="R97" i="6"/>
  <c r="T107" i="6"/>
  <c r="T102" i="6"/>
  <c r="Y110" i="6"/>
  <c r="V105" i="6"/>
  <c r="O90" i="6"/>
  <c r="AA106" i="6"/>
  <c r="S85" i="6"/>
  <c r="AA80" i="6"/>
  <c r="T109" i="6"/>
  <c r="R110" i="6"/>
  <c r="Z104" i="6"/>
  <c r="Y113" i="6"/>
  <c r="AB84" i="6"/>
  <c r="X101" i="6"/>
  <c r="P85" i="6"/>
  <c r="X99" i="6"/>
  <c r="T104" i="6"/>
  <c r="Z86" i="6"/>
  <c r="U92" i="6"/>
  <c r="U78" i="6"/>
  <c r="R83" i="6"/>
  <c r="U108" i="6"/>
  <c r="W106" i="6"/>
  <c r="R86" i="6"/>
  <c r="AB110" i="6"/>
  <c r="S106" i="6"/>
  <c r="AA103" i="6"/>
  <c r="S104" i="6"/>
  <c r="R103" i="6"/>
  <c r="X81" i="6"/>
  <c r="S93" i="6"/>
  <c r="T98" i="6"/>
  <c r="X91" i="6"/>
  <c r="Z108" i="6"/>
  <c r="V79" i="6"/>
  <c r="P79" i="6"/>
  <c r="Z99" i="6"/>
  <c r="W100" i="6"/>
  <c r="AB89" i="6"/>
  <c r="R82" i="6"/>
  <c r="O108" i="6"/>
  <c r="Z85" i="6"/>
  <c r="Z97" i="6"/>
  <c r="V107" i="6"/>
  <c r="Q86" i="6"/>
  <c r="AA98" i="6"/>
  <c r="AB97" i="6"/>
  <c r="O80" i="6"/>
  <c r="W80" i="6"/>
  <c r="S82" i="6"/>
  <c r="P98" i="6"/>
  <c r="O89" i="6"/>
  <c r="X110" i="6"/>
  <c r="V93" i="6"/>
  <c r="T89" i="6"/>
  <c r="Z101" i="6"/>
  <c r="AB94" i="6"/>
  <c r="Z82" i="6"/>
  <c r="U91" i="6"/>
  <c r="U110" i="6"/>
  <c r="AB92" i="6"/>
  <c r="AB100" i="6"/>
  <c r="V84" i="6"/>
  <c r="R100" i="6"/>
  <c r="R107" i="6"/>
  <c r="P94" i="6"/>
  <c r="V98" i="6"/>
  <c r="Z107" i="6"/>
  <c r="R101" i="6"/>
  <c r="S103" i="6"/>
  <c r="O92" i="6"/>
  <c r="V100" i="6"/>
  <c r="V87" i="6"/>
  <c r="R87" i="6"/>
  <c r="O85" i="6"/>
  <c r="W97" i="6"/>
  <c r="Q81" i="6"/>
  <c r="S112" i="6"/>
  <c r="R106" i="6"/>
  <c r="S92" i="6"/>
  <c r="R91" i="6"/>
  <c r="V102" i="6"/>
  <c r="Z84" i="6"/>
  <c r="Z78" i="6"/>
  <c r="W104" i="6"/>
  <c r="S108" i="6"/>
  <c r="V91" i="6"/>
  <c r="T95" i="6"/>
  <c r="W78" i="6"/>
  <c r="X95" i="6"/>
  <c r="AB99" i="6"/>
  <c r="Y78" i="6"/>
  <c r="Q108" i="6"/>
  <c r="W108" i="6"/>
  <c r="AB113" i="6"/>
  <c r="R79" i="6"/>
  <c r="P81" i="6"/>
  <c r="W95" i="6"/>
  <c r="V111" i="6"/>
  <c r="Y99" i="6"/>
  <c r="Q97" i="6"/>
  <c r="O113" i="6"/>
  <c r="AA87" i="6"/>
  <c r="AA79" i="6"/>
  <c r="V109" i="6"/>
  <c r="U94" i="6"/>
  <c r="Y89" i="6"/>
  <c r="S89" i="6"/>
  <c r="R95" i="6"/>
  <c r="AA113" i="6"/>
  <c r="W91" i="6"/>
  <c r="AA93" i="6"/>
  <c r="R98" i="6"/>
  <c r="Y100" i="6"/>
  <c r="X109" i="6"/>
  <c r="X107" i="6"/>
  <c r="Y111" i="6"/>
  <c r="P82" i="6"/>
  <c r="W88" i="6"/>
  <c r="T105" i="6"/>
  <c r="AB102" i="6"/>
  <c r="Q112" i="6"/>
  <c r="AB96" i="6"/>
  <c r="U101" i="6"/>
  <c r="R113" i="6"/>
  <c r="Y86" i="6"/>
  <c r="T112" i="6"/>
  <c r="Y107" i="6"/>
  <c r="P101" i="6"/>
  <c r="S91" i="6"/>
  <c r="Q104" i="6"/>
  <c r="W109" i="6"/>
  <c r="Y81" i="6"/>
  <c r="S79" i="6"/>
  <c r="U88" i="6"/>
  <c r="AA105" i="6"/>
  <c r="V94" i="6"/>
  <c r="X89" i="6"/>
  <c r="Q102" i="6"/>
  <c r="T110" i="6"/>
  <c r="T91" i="6"/>
  <c r="S101" i="6"/>
  <c r="P84" i="6"/>
  <c r="X78" i="6"/>
  <c r="W107" i="6"/>
  <c r="S84" i="6"/>
  <c r="T93" i="6"/>
  <c r="O100" i="6"/>
  <c r="AA102" i="6"/>
  <c r="AA96" i="6"/>
  <c r="S88" i="6"/>
  <c r="X112" i="6"/>
  <c r="Z102" i="6"/>
  <c r="R96" i="6"/>
  <c r="Y92" i="6"/>
  <c r="AB107" i="6"/>
  <c r="S81" i="6"/>
  <c r="T94" i="6"/>
  <c r="O104" i="6"/>
  <c r="W83" i="6"/>
  <c r="AB104" i="6"/>
  <c r="Z105" i="6"/>
  <c r="P99" i="6"/>
  <c r="U102" i="6"/>
  <c r="T100" i="6"/>
  <c r="T111" i="6"/>
  <c r="U82" i="6"/>
  <c r="X104" i="6"/>
  <c r="Q92" i="6"/>
  <c r="U84" i="6"/>
  <c r="R90" i="6"/>
  <c r="O95" i="6"/>
  <c r="AB112" i="6"/>
  <c r="T96" i="6"/>
  <c r="O133" i="6"/>
  <c r="T149" i="6"/>
  <c r="Y148" i="6"/>
  <c r="O122" i="6"/>
  <c r="U150" i="6"/>
  <c r="Q143" i="6"/>
  <c r="Y143" i="6"/>
  <c r="AB129" i="6"/>
  <c r="W122" i="6"/>
  <c r="AA118" i="6"/>
  <c r="Y123" i="6"/>
  <c r="X140" i="6"/>
  <c r="Q150" i="6"/>
  <c r="Y129" i="6"/>
  <c r="W135" i="6"/>
  <c r="AA127" i="6"/>
  <c r="X129" i="6"/>
  <c r="S120" i="6"/>
  <c r="AB139" i="6"/>
  <c r="X141" i="6"/>
  <c r="W118" i="6"/>
  <c r="W145" i="6"/>
  <c r="V131" i="6"/>
  <c r="O146" i="6"/>
  <c r="AA147" i="6"/>
  <c r="S122" i="6"/>
  <c r="W133" i="6"/>
  <c r="R138" i="6"/>
  <c r="O139" i="6"/>
  <c r="AA123" i="6"/>
  <c r="V143" i="6"/>
  <c r="V152" i="6"/>
  <c r="AB133" i="6"/>
  <c r="T133" i="6"/>
  <c r="Q133" i="6"/>
  <c r="S146" i="6"/>
  <c r="Q118" i="6"/>
  <c r="AA117" i="6"/>
  <c r="O137" i="6"/>
  <c r="T122" i="6"/>
  <c r="V138" i="6"/>
  <c r="T119" i="6"/>
  <c r="W139" i="6"/>
  <c r="U127" i="6"/>
  <c r="AB138" i="6"/>
  <c r="O136" i="6"/>
  <c r="AB144" i="6"/>
  <c r="X117" i="6"/>
  <c r="X128" i="6"/>
  <c r="AA140" i="6"/>
  <c r="X136" i="6"/>
  <c r="R145" i="6"/>
  <c r="AB123" i="6"/>
  <c r="AB122" i="6"/>
  <c r="AA131" i="6"/>
  <c r="W150" i="6"/>
  <c r="Q147" i="6"/>
  <c r="P118" i="6"/>
  <c r="Y149" i="6"/>
  <c r="Y125" i="6"/>
  <c r="R130" i="6"/>
  <c r="Q126" i="6"/>
  <c r="V149" i="6"/>
  <c r="Y140" i="6"/>
  <c r="P144" i="6"/>
  <c r="Y118" i="6"/>
  <c r="AB141" i="6"/>
  <c r="V148" i="6"/>
  <c r="S149" i="6"/>
  <c r="U121" i="6"/>
  <c r="O134" i="6"/>
  <c r="U119" i="6"/>
  <c r="W134" i="6"/>
  <c r="W117" i="6"/>
  <c r="AB131" i="6"/>
  <c r="Q129" i="6"/>
  <c r="T127" i="6"/>
  <c r="R148" i="6"/>
  <c r="X145" i="6"/>
  <c r="R140" i="6"/>
  <c r="Q149" i="6"/>
  <c r="Z128" i="6"/>
  <c r="Z120" i="6"/>
  <c r="W136" i="6"/>
  <c r="V135" i="6"/>
  <c r="AA122" i="6"/>
  <c r="AB150" i="6"/>
  <c r="Y126" i="6"/>
  <c r="AB148" i="6"/>
  <c r="T118" i="6"/>
  <c r="Y131" i="6"/>
  <c r="X146" i="6"/>
  <c r="AB149" i="6"/>
  <c r="Y132" i="6"/>
  <c r="P146" i="6"/>
  <c r="AA146" i="6"/>
  <c r="Q132" i="6"/>
  <c r="V118" i="6"/>
  <c r="Z150" i="6"/>
  <c r="U132" i="6"/>
  <c r="P119" i="6"/>
  <c r="AB140" i="6"/>
  <c r="AB146" i="6"/>
  <c r="X135" i="6"/>
  <c r="Z136" i="6"/>
  <c r="T117" i="6"/>
  <c r="S119" i="6"/>
  <c r="X130" i="6"/>
  <c r="O150" i="6"/>
  <c r="V150" i="6"/>
  <c r="Z149" i="6"/>
  <c r="P135" i="6"/>
  <c r="Z131" i="6"/>
  <c r="Y135" i="6"/>
  <c r="R120" i="6"/>
  <c r="X143" i="6"/>
  <c r="Z139" i="6"/>
  <c r="X133" i="6"/>
  <c r="U146" i="6"/>
  <c r="U130" i="6"/>
  <c r="AA142" i="6"/>
  <c r="X150" i="6"/>
  <c r="S145" i="6"/>
  <c r="AB147" i="6"/>
  <c r="X151" i="6"/>
  <c r="X127" i="6"/>
  <c r="O143" i="6"/>
  <c r="AB132" i="6"/>
  <c r="Y145" i="6"/>
  <c r="O125" i="6"/>
  <c r="W128" i="6"/>
  <c r="P124" i="6"/>
  <c r="V120" i="6"/>
  <c r="Q119" i="6"/>
  <c r="W124" i="6"/>
  <c r="S129" i="6"/>
  <c r="AB128" i="6"/>
  <c r="U123" i="6"/>
  <c r="Z141" i="6"/>
  <c r="O119" i="6"/>
  <c r="U138" i="6"/>
  <c r="Z127" i="6"/>
  <c r="U144" i="6"/>
  <c r="AA138" i="6"/>
  <c r="S147" i="6"/>
  <c r="Q131" i="6"/>
  <c r="AA149" i="6"/>
  <c r="X138" i="6"/>
  <c r="S133" i="6"/>
  <c r="Z118" i="6"/>
  <c r="Y119" i="6"/>
  <c r="S125" i="6"/>
  <c r="Y134" i="6"/>
  <c r="S131" i="6"/>
  <c r="P152" i="6"/>
  <c r="X132" i="6"/>
  <c r="S136" i="6"/>
  <c r="AA139" i="6"/>
  <c r="Q121" i="6"/>
  <c r="Z123" i="6"/>
  <c r="AB152" i="6"/>
  <c r="X142" i="6"/>
  <c r="T143" i="6"/>
  <c r="R128" i="6"/>
  <c r="S126" i="6"/>
  <c r="P149" i="6"/>
  <c r="S128" i="6"/>
  <c r="R131" i="6"/>
  <c r="AA134" i="6"/>
  <c r="W147" i="6"/>
  <c r="AA129" i="6"/>
  <c r="U149" i="6"/>
  <c r="Y122" i="6"/>
  <c r="V124" i="6"/>
  <c r="P141" i="6"/>
  <c r="W151" i="6"/>
  <c r="R142" i="6"/>
  <c r="S137" i="6"/>
  <c r="Q117" i="6"/>
  <c r="T128" i="6"/>
  <c r="O132" i="6"/>
  <c r="U145" i="6"/>
  <c r="Z137" i="6"/>
  <c r="W143" i="6"/>
  <c r="O144" i="6"/>
  <c r="S138" i="6"/>
  <c r="AB134" i="6"/>
  <c r="Z119" i="6"/>
  <c r="P142" i="6"/>
  <c r="W119" i="6"/>
  <c r="AA136" i="6"/>
  <c r="R127" i="6"/>
  <c r="Y133" i="6"/>
  <c r="U131" i="6"/>
  <c r="Y152" i="6"/>
  <c r="W141" i="6"/>
  <c r="V127" i="6"/>
  <c r="O148" i="6"/>
  <c r="T126" i="6"/>
  <c r="U140" i="6"/>
  <c r="O152" i="6"/>
  <c r="Z124" i="6"/>
  <c r="P143" i="6"/>
  <c r="R135" i="6"/>
  <c r="Y150" i="6"/>
  <c r="Z129" i="6"/>
  <c r="Z130" i="6"/>
  <c r="Q123" i="6"/>
  <c r="T136" i="6"/>
  <c r="Y130" i="6"/>
  <c r="Q137" i="6"/>
  <c r="S117" i="6"/>
  <c r="W123" i="6"/>
  <c r="W148" i="6"/>
  <c r="AA121" i="6"/>
  <c r="S121" i="6"/>
  <c r="U122" i="6"/>
  <c r="O131" i="6"/>
  <c r="Z142" i="6"/>
  <c r="O123" i="6"/>
  <c r="Y128" i="6"/>
  <c r="R149" i="6"/>
  <c r="O120" i="6"/>
  <c r="P126" i="6"/>
  <c r="W121" i="6"/>
  <c r="S123" i="6"/>
  <c r="V128" i="6"/>
  <c r="T145" i="6"/>
  <c r="R134" i="6"/>
  <c r="R139" i="6"/>
  <c r="S152" i="6"/>
  <c r="Q142" i="6"/>
  <c r="AA137" i="6"/>
  <c r="O129" i="6"/>
  <c r="AB124" i="6"/>
  <c r="X131" i="6"/>
  <c r="X118" i="6"/>
  <c r="Z132" i="6"/>
  <c r="AB119" i="6"/>
  <c r="W142" i="6"/>
  <c r="S143" i="6"/>
  <c r="Z140" i="6"/>
  <c r="P120" i="6"/>
  <c r="V130" i="6"/>
  <c r="AB135" i="6"/>
  <c r="R117" i="6"/>
  <c r="U133" i="6"/>
  <c r="R121" i="6"/>
  <c r="T121" i="6"/>
  <c r="O121" i="6"/>
  <c r="P130" i="6"/>
  <c r="AA119" i="6"/>
  <c r="W126" i="6"/>
  <c r="R132" i="6"/>
  <c r="V123" i="6"/>
  <c r="U128" i="6"/>
  <c r="P125" i="6"/>
  <c r="T124" i="6"/>
  <c r="S139" i="6"/>
  <c r="V140" i="6"/>
  <c r="P128" i="6"/>
  <c r="Y142" i="6"/>
  <c r="AA150" i="6"/>
  <c r="O149" i="6"/>
  <c r="P123" i="6"/>
  <c r="Q122" i="6"/>
  <c r="Q139" i="6"/>
  <c r="V145" i="6"/>
  <c r="AA143" i="6"/>
  <c r="T140" i="6"/>
  <c r="W146" i="6"/>
  <c r="Z121" i="6"/>
  <c r="S148" i="6"/>
  <c r="R124" i="6"/>
  <c r="W140" i="6"/>
  <c r="O145" i="6"/>
  <c r="AB127" i="6"/>
  <c r="P148" i="6"/>
  <c r="V133" i="6"/>
  <c r="V134" i="6"/>
  <c r="V136" i="6"/>
  <c r="U125" i="6"/>
  <c r="V151" i="6"/>
  <c r="U142" i="6"/>
  <c r="P147" i="6"/>
  <c r="AA141" i="6"/>
  <c r="AB126" i="6"/>
  <c r="R136" i="6"/>
  <c r="X148" i="6"/>
  <c r="W125" i="6"/>
  <c r="P133" i="6"/>
  <c r="T147" i="6"/>
  <c r="AA133" i="6"/>
  <c r="U141" i="6"/>
  <c r="Z144" i="6"/>
  <c r="V139" i="6"/>
  <c r="Y144" i="6"/>
  <c r="AB125" i="6"/>
  <c r="AA144" i="6"/>
  <c r="O135" i="6"/>
  <c r="X123" i="6"/>
  <c r="T142" i="6"/>
  <c r="AA124" i="6"/>
  <c r="V144" i="6"/>
  <c r="O147" i="6"/>
  <c r="Z151" i="6"/>
  <c r="X125" i="6"/>
  <c r="S135" i="6"/>
  <c r="R147" i="6"/>
  <c r="Z143" i="6"/>
  <c r="Q151" i="6"/>
  <c r="Z135" i="6"/>
  <c r="R151" i="6"/>
  <c r="P136" i="6"/>
  <c r="S140" i="6"/>
  <c r="T130" i="6"/>
  <c r="P139" i="6"/>
  <c r="O128" i="6"/>
  <c r="O142" i="6"/>
  <c r="AB136" i="6"/>
  <c r="S130" i="6"/>
  <c r="T146" i="6"/>
  <c r="S150" i="6"/>
  <c r="Q141" i="6"/>
  <c r="S134" i="6"/>
  <c r="P145" i="6"/>
  <c r="V121" i="6"/>
  <c r="Z134" i="6"/>
  <c r="T123" i="6"/>
  <c r="P132" i="6"/>
  <c r="V129" i="6"/>
  <c r="Z146" i="6"/>
  <c r="P127" i="6"/>
  <c r="W130" i="6"/>
  <c r="U134" i="6"/>
  <c r="R144" i="6"/>
  <c r="W132" i="6"/>
  <c r="AA135" i="6"/>
  <c r="U151" i="6"/>
  <c r="O140" i="6"/>
  <c r="U148" i="6"/>
  <c r="Q152" i="6"/>
  <c r="Z147" i="6"/>
  <c r="Y146" i="6"/>
  <c r="T151" i="6"/>
  <c r="R122" i="6"/>
  <c r="T138" i="6"/>
  <c r="Q120" i="6"/>
  <c r="T131" i="6"/>
  <c r="Y147" i="6"/>
  <c r="R123" i="6"/>
  <c r="U136" i="6"/>
  <c r="P121" i="6"/>
  <c r="S151" i="6"/>
  <c r="U117" i="6"/>
  <c r="T125" i="6"/>
  <c r="T135" i="6"/>
  <c r="AA132" i="6"/>
  <c r="Q134" i="6"/>
  <c r="S141" i="6"/>
  <c r="P129" i="6"/>
  <c r="W138" i="6"/>
  <c r="V126" i="6"/>
  <c r="R133" i="6"/>
  <c r="R129" i="6"/>
  <c r="V142" i="6"/>
  <c r="X124" i="6"/>
  <c r="U124" i="6"/>
  <c r="AB143" i="6"/>
  <c r="P131" i="6"/>
  <c r="T148" i="6"/>
  <c r="X121" i="6"/>
  <c r="Q127" i="6"/>
  <c r="AA130" i="6"/>
  <c r="S127" i="6"/>
  <c r="AA120" i="6"/>
  <c r="P137" i="6"/>
  <c r="W120" i="6"/>
  <c r="W127" i="6"/>
  <c r="S132" i="6"/>
  <c r="R150" i="6"/>
  <c r="Y127" i="6"/>
  <c r="V146" i="6"/>
  <c r="O130" i="6"/>
  <c r="AA152" i="6"/>
  <c r="AA128" i="6"/>
  <c r="W137" i="6"/>
  <c r="Q146" i="6"/>
  <c r="Z117" i="6"/>
  <c r="O127" i="6"/>
  <c r="W129" i="6"/>
  <c r="V125" i="6"/>
  <c r="Y136" i="6"/>
  <c r="Y124" i="6"/>
  <c r="Q125" i="6"/>
  <c r="T134" i="6"/>
  <c r="AA151" i="6"/>
  <c r="AB130" i="6"/>
  <c r="Q138" i="6"/>
  <c r="AB120" i="6"/>
  <c r="U139" i="6"/>
  <c r="Q145" i="6"/>
  <c r="O126" i="6"/>
  <c r="T132" i="6"/>
  <c r="V117" i="6"/>
  <c r="R118" i="6"/>
  <c r="Q144" i="6"/>
  <c r="Q135" i="6"/>
  <c r="AB117" i="6"/>
  <c r="V122" i="6"/>
  <c r="U137" i="6"/>
  <c r="X152" i="6"/>
  <c r="T129" i="6"/>
  <c r="R125" i="6"/>
  <c r="Q136" i="6"/>
  <c r="W152" i="6"/>
  <c r="Z138" i="6"/>
  <c r="O151" i="6"/>
  <c r="AB151" i="6"/>
  <c r="U135" i="6"/>
  <c r="Q128" i="6"/>
  <c r="V132" i="6"/>
  <c r="Y121" i="6"/>
  <c r="X137" i="6"/>
  <c r="V119" i="6"/>
  <c r="O117" i="6"/>
  <c r="T137" i="6"/>
  <c r="Y117" i="6"/>
  <c r="Y151" i="6"/>
  <c r="AB145" i="6"/>
  <c r="V147" i="6"/>
  <c r="T144" i="6"/>
  <c r="AB142" i="6"/>
  <c r="V141" i="6"/>
  <c r="T120" i="6"/>
  <c r="O118" i="6"/>
  <c r="R119" i="6"/>
  <c r="W144" i="6"/>
  <c r="Y139" i="6"/>
  <c r="AB137" i="6"/>
  <c r="W131" i="6"/>
  <c r="P138" i="6"/>
  <c r="AA148" i="6"/>
  <c r="U152" i="6"/>
  <c r="Y141" i="6"/>
  <c r="U143" i="6"/>
  <c r="P150" i="6"/>
  <c r="X139" i="6"/>
  <c r="R146" i="6"/>
  <c r="W149" i="6"/>
  <c r="R137" i="6"/>
  <c r="AA125" i="6"/>
  <c r="T152" i="6"/>
  <c r="X122" i="6"/>
  <c r="Q124" i="6"/>
  <c r="P122" i="6"/>
  <c r="X134" i="6"/>
  <c r="AB118" i="6"/>
  <c r="AB121" i="6"/>
  <c r="Q148" i="6"/>
  <c r="X126" i="6"/>
  <c r="T139" i="6"/>
  <c r="X147" i="6"/>
  <c r="Z122" i="6"/>
  <c r="Q130" i="6"/>
  <c r="O138" i="6"/>
  <c r="U129" i="6"/>
  <c r="R152" i="6"/>
  <c r="S142" i="6"/>
  <c r="O141" i="6"/>
  <c r="O124" i="6"/>
  <c r="U118" i="6"/>
  <c r="X119" i="6"/>
  <c r="Y120" i="6"/>
  <c r="R126" i="6"/>
  <c r="Z133" i="6"/>
  <c r="Z148" i="6"/>
  <c r="P134" i="6"/>
  <c r="U147" i="6"/>
  <c r="X120" i="6"/>
  <c r="S118" i="6"/>
  <c r="X144" i="6"/>
  <c r="Z145" i="6"/>
  <c r="AA126" i="6"/>
  <c r="P151" i="6"/>
  <c r="Q140" i="6"/>
  <c r="R143" i="6"/>
  <c r="Z152" i="6"/>
  <c r="Z126" i="6"/>
  <c r="T150" i="6"/>
  <c r="U126" i="6"/>
  <c r="AA145" i="6"/>
  <c r="S124" i="6"/>
  <c r="R141" i="6"/>
  <c r="S144" i="6"/>
  <c r="X149" i="6"/>
  <c r="T141" i="6"/>
  <c r="Y138" i="6"/>
  <c r="P117" i="6"/>
  <c r="V137" i="6"/>
  <c r="Z125" i="6"/>
  <c r="P140" i="6"/>
  <c r="U120" i="6"/>
  <c r="Y137" i="6"/>
</calcChain>
</file>

<file path=xl/sharedStrings.xml><?xml version="1.0" encoding="utf-8"?>
<sst xmlns="http://schemas.openxmlformats.org/spreadsheetml/2006/main" count="777" uniqueCount="329">
  <si>
    <t>Nr.</t>
  </si>
  <si>
    <t>Spielpaarung</t>
  </si>
  <si>
    <t>Ergebnis</t>
  </si>
  <si>
    <t>Tore</t>
  </si>
  <si>
    <t>-</t>
  </si>
  <si>
    <t>1.</t>
  </si>
  <si>
    <t>2.</t>
  </si>
  <si>
    <t>3.</t>
  </si>
  <si>
    <t>4.</t>
  </si>
  <si>
    <t>5.</t>
  </si>
  <si>
    <t>6.</t>
  </si>
  <si>
    <t>Tabelle</t>
  </si>
  <si>
    <t>valid</t>
  </si>
  <si>
    <t>7.</t>
  </si>
  <si>
    <t>8.</t>
  </si>
  <si>
    <t>9.</t>
  </si>
  <si>
    <t>Teilnehmer und Ablaufplan</t>
  </si>
  <si>
    <t>Teilnehmer</t>
  </si>
  <si>
    <t>Teilnehmer bzw. Mannschaft</t>
  </si>
  <si>
    <t>Ergebnisse</t>
  </si>
  <si>
    <t>Ablaufplan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</si>
  <si>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</si>
  <si>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</si>
  <si>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</si>
  <si>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</si>
  <si>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</si>
  <si>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</si>
  <si>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</si>
  <si>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</si>
  <si>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</si>
  <si>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</si>
  <si>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</si>
  <si>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</si>
  <si>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</si>
  <si>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</si>
  <si>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</si>
  <si>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</si>
  <si>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</si>
  <si>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</si>
  <si>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</si>
  <si>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</si>
  <si>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</si>
  <si>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</si>
  <si>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</si>
  <si>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Spiel-Nr.</t>
  </si>
  <si>
    <t>Paarungen</t>
  </si>
  <si>
    <t>Doppelte Spielpaarungen und Spiele gegen sich selbst
führen in der Gesamttabelle zu falschen Werten!</t>
  </si>
  <si>
    <t>Bonus</t>
  </si>
  <si>
    <t>Team</t>
  </si>
  <si>
    <t>Pld</t>
  </si>
  <si>
    <t>W</t>
  </si>
  <si>
    <t>D</t>
  </si>
  <si>
    <t>L</t>
  </si>
  <si>
    <t>GF</t>
  </si>
  <si>
    <t>GA</t>
  </si>
  <si>
    <t>GD</t>
  </si>
  <si>
    <t>Pts</t>
  </si>
  <si>
    <t>Pts+ GD+ GF</t>
  </si>
  <si>
    <t>Choose language</t>
  </si>
  <si>
    <t>my language</t>
  </si>
  <si>
    <t>english</t>
  </si>
  <si>
    <t>Captions</t>
  </si>
  <si>
    <t xml:space="preserve"> - </t>
  </si>
  <si>
    <t xml:space="preserve"> : </t>
  </si>
  <si>
    <t>No.</t>
  </si>
  <si>
    <t>Results</t>
  </si>
  <si>
    <t>Result</t>
  </si>
  <si>
    <t>U</t>
  </si>
  <si>
    <t>Pkt</t>
  </si>
  <si>
    <t>TABELLE UNGÜLTIG</t>
  </si>
  <si>
    <t>INVALID TABLE</t>
  </si>
  <si>
    <t>Participants and schedule</t>
  </si>
  <si>
    <t>Participants</t>
  </si>
  <si>
    <t>Schedule</t>
  </si>
  <si>
    <t>Game no.</t>
  </si>
  <si>
    <t>Pairings</t>
  </si>
  <si>
    <t>Überschriften</t>
  </si>
  <si>
    <t>Messages</t>
  </si>
  <si>
    <t>Meldungen</t>
  </si>
  <si>
    <t>Sprache wählen</t>
  </si>
  <si>
    <t>Dein Datum</t>
  </si>
  <si>
    <t>Your date</t>
  </si>
  <si>
    <t>Deine Überschriften</t>
  </si>
  <si>
    <t>Your captions</t>
  </si>
  <si>
    <t>deutsch</t>
  </si>
  <si>
    <t>Hier klicken und Sprache wählen</t>
  </si>
  <si>
    <t>Click here and choose language</t>
  </si>
  <si>
    <t>erz. Tore</t>
  </si>
  <si>
    <t>Double match pairings and matches against oneself
lead to incorrect values in the overall table!</t>
  </si>
  <si>
    <t>first leg</t>
  </si>
  <si>
    <t>Rückspiele</t>
  </si>
  <si>
    <t>Second legs</t>
  </si>
  <si>
    <t>pairing first</t>
  </si>
  <si>
    <t>Spiel gegen</t>
  </si>
  <si>
    <t>Match against</t>
  </si>
  <si>
    <t>Note</t>
  </si>
  <si>
    <t>Anmerkung</t>
  </si>
  <si>
    <t>final</t>
  </si>
  <si>
    <t>Factors</t>
  </si>
  <si>
    <t>Gdzero</t>
  </si>
  <si>
    <t>return match</t>
  </si>
  <si>
    <t>Zeit</t>
  </si>
  <si>
    <t>Time</t>
  </si>
  <si>
    <t>Datum</t>
  </si>
  <si>
    <t>Date</t>
  </si>
  <si>
    <t>Länge der Abkürzungen:</t>
  </si>
  <si>
    <t>Length of abbreviations:</t>
  </si>
  <si>
    <t>Sorted</t>
  </si>
  <si>
    <t>number of
teams</t>
  </si>
  <si>
    <t>number of matches played</t>
  </si>
  <si>
    <t>Table</t>
  </si>
  <si>
    <t>Participant or Team</t>
  </si>
  <si>
    <t>Doppelte Namen</t>
  </si>
  <si>
    <t>Duplicate names</t>
  </si>
  <si>
    <t>Pl</t>
  </si>
  <si>
    <t>GF  -  GA</t>
  </si>
  <si>
    <t>TD</t>
  </si>
  <si>
    <t>Sp</t>
  </si>
  <si>
    <t>Abkürzung</t>
  </si>
  <si>
    <t>Abbreviation</t>
  </si>
  <si>
    <t>number of matches per match day</t>
  </si>
  <si>
    <t>Spieltag</t>
  </si>
  <si>
    <t>double</t>
  </si>
  <si>
    <t>doppelt</t>
  </si>
  <si>
    <t>Matchweek</t>
  </si>
  <si>
    <t>Tie break</t>
  </si>
  <si>
    <t>Tie-Break</t>
  </si>
  <si>
    <t>Erläuterung</t>
  </si>
  <si>
    <t>Explanation</t>
  </si>
  <si>
    <t>Matchups</t>
  </si>
  <si>
    <t>Spielpaarungen</t>
  </si>
  <si>
    <t>Settings</t>
  </si>
  <si>
    <t>Einstellungen</t>
  </si>
  <si>
    <t>Anzahl der Punkte für einen Sieg:</t>
  </si>
  <si>
    <t>Number of points for a win:</t>
  </si>
  <si>
    <t>Spieltage</t>
  </si>
  <si>
    <t>Name</t>
  </si>
  <si>
    <t>von</t>
  </si>
  <si>
    <t>bis</t>
  </si>
  <si>
    <t>G</t>
  </si>
  <si>
    <t>V</t>
  </si>
  <si>
    <t>Einzelne Teams im Vergleich für einen bestimmten Zeitraum</t>
  </si>
  <si>
    <t>Individual teams compared for a specific time period</t>
  </si>
  <si>
    <t>Matchweeks</t>
  </si>
  <si>
    <t>from</t>
  </si>
  <si>
    <t>to</t>
  </si>
  <si>
    <t>Matchup</t>
  </si>
  <si>
    <t>Strafpunkte</t>
  </si>
  <si>
    <t>Penalty points</t>
  </si>
  <si>
    <t>penalty points</t>
  </si>
  <si>
    <t>Penalty</t>
  </si>
  <si>
    <t>PenPts</t>
  </si>
  <si>
    <t>Strafp.</t>
  </si>
  <si>
    <t>33.</t>
  </si>
  <si>
    <t>34.</t>
  </si>
  <si>
    <t>35.</t>
  </si>
  <si>
    <t>36.</t>
  </si>
  <si>
    <t>Auswärtsspiele</t>
  </si>
  <si>
    <t>AGew</t>
  </si>
  <si>
    <t>ATore</t>
  </si>
  <si>
    <t>WIN</t>
  </si>
  <si>
    <t>WIN_AW</t>
  </si>
  <si>
    <t>GF_AW</t>
  </si>
  <si>
    <t>Away games</t>
  </si>
  <si>
    <t>Bei Punktgleichheit entscheiden folgende Kriterien:</t>
  </si>
  <si>
    <t>Bessere Tordifferenz</t>
  </si>
  <si>
    <t>Höhere Anzahl erzielter Tore</t>
  </si>
  <si>
    <t>Höhere Anzahl erzielter Auswärtstore</t>
  </si>
  <si>
    <t>Höhere Anzahl von Siegen</t>
  </si>
  <si>
    <t>Höhere Anzahl von Auswärtssiegen</t>
  </si>
  <si>
    <t>Höhere Anzahl von Punkten, die die acht Gegner des betreffenden Klubs erspielt haben</t>
  </si>
  <si>
    <t>Bessere gemeinsame Tordifferenz der acht Gegner</t>
  </si>
  <si>
    <t>Höhere Anzahl erzielter Tore der acht Gegner</t>
  </si>
  <si>
    <t>Fairplay-Wertung</t>
  </si>
  <si>
    <t>UEFA-Koeffizient</t>
  </si>
  <si>
    <t>Am Ende der Ligaphase werden bei Gleichstand zusätzlich folgende Kriterien herangezogen:</t>
  </si>
  <si>
    <t>Diese fünf Kriterien werden in der Tabelle oben berücksichtigt.</t>
  </si>
  <si>
    <t>Sollte dieser Fall eintreten, kann auf dem Tabellenblatt 'Tie_Break' ein Bonuspunkt für das bessere Team eingetragen werden.</t>
  </si>
  <si>
    <t>In case of a tie, the following criteria apply:</t>
  </si>
  <si>
    <t>Better goal difference</t>
  </si>
  <si>
    <t>Higher number of goals scored</t>
  </si>
  <si>
    <t>Higher number of away goals scored</t>
  </si>
  <si>
    <t>Higher number of wins</t>
  </si>
  <si>
    <t>Higher number of away wins</t>
  </si>
  <si>
    <t>These five criteria are taken into account in the table above.</t>
  </si>
  <si>
    <t>At the end of the league phase, in the event of a tie, the following criteria will also be used:</t>
  </si>
  <si>
    <t>Higher number of points earned by the eight opponents of the club in question</t>
  </si>
  <si>
    <t>Better combined goal difference of the eight opponents</t>
  </si>
  <si>
    <t>Higher number of goals scored by the eight opponents</t>
  </si>
  <si>
    <t>Fair play rating</t>
  </si>
  <si>
    <t>UEFA coefficient</t>
  </si>
  <si>
    <t>AGls</t>
  </si>
  <si>
    <t>AWin</t>
  </si>
  <si>
    <t>Should this happen, a bonus point can be entered for the better team on the 'Tie_Break' sheet.</t>
  </si>
  <si>
    <t>Zum Vergleich:</t>
  </si>
  <si>
    <t>For comparison:</t>
  </si>
  <si>
    <t>Play-Offs</t>
  </si>
  <si>
    <t>Hinspiel</t>
  </si>
  <si>
    <t>Rückspiel</t>
  </si>
  <si>
    <t>First leg</t>
  </si>
  <si>
    <t>Second leg</t>
  </si>
  <si>
    <t>LR 9</t>
  </si>
  <si>
    <t>LR 23</t>
  </si>
  <si>
    <t>LR 2</t>
  </si>
  <si>
    <t>LR 10</t>
  </si>
  <si>
    <t>LR 24</t>
  </si>
  <si>
    <t>LR 17</t>
  </si>
  <si>
    <t>Achtelfinale</t>
  </si>
  <si>
    <t>LR 1</t>
  </si>
  <si>
    <t>PO 1</t>
  </si>
  <si>
    <t>PO 2</t>
  </si>
  <si>
    <t>PO 3</t>
  </si>
  <si>
    <t>PO 4</t>
  </si>
  <si>
    <t>PO 5</t>
  </si>
  <si>
    <t>PO 6</t>
  </si>
  <si>
    <t>PO 7</t>
  </si>
  <si>
    <t>PO 8</t>
  </si>
  <si>
    <t>AF 1</t>
  </si>
  <si>
    <t>AF 2</t>
  </si>
  <si>
    <t>AF 3</t>
  </si>
  <si>
    <t>AF 4</t>
  </si>
  <si>
    <t>AF 5</t>
  </si>
  <si>
    <t>AF 6</t>
  </si>
  <si>
    <t>AF 7</t>
  </si>
  <si>
    <t>AF 8</t>
  </si>
  <si>
    <t>LR 3</t>
  </si>
  <si>
    <t>LR 4</t>
  </si>
  <si>
    <t>LR 5</t>
  </si>
  <si>
    <t>LR 6</t>
  </si>
  <si>
    <t>LR 7</t>
  </si>
  <si>
    <t>LR 8</t>
  </si>
  <si>
    <t>LR 21</t>
  </si>
  <si>
    <t>LR 22</t>
  </si>
  <si>
    <t>LR 19</t>
  </si>
  <si>
    <t>LR 20</t>
  </si>
  <si>
    <t>LR 18</t>
  </si>
  <si>
    <t>LR 11</t>
  </si>
  <si>
    <t>LR 12</t>
  </si>
  <si>
    <t>LR 13</t>
  </si>
  <si>
    <t>LR 14</t>
  </si>
  <si>
    <t>LR 15</t>
  </si>
  <si>
    <t>LR 16</t>
  </si>
  <si>
    <t>Viertelfinale</t>
  </si>
  <si>
    <t>VF 1</t>
  </si>
  <si>
    <t>VF 2</t>
  </si>
  <si>
    <t>VF 3</t>
  </si>
  <si>
    <t>VF 4</t>
  </si>
  <si>
    <t>WIN AF 1</t>
  </si>
  <si>
    <t>WIN AF 3</t>
  </si>
  <si>
    <t>WIN AF 5</t>
  </si>
  <si>
    <t>WIN AF 7</t>
  </si>
  <si>
    <t>WIN AF 2</t>
  </si>
  <si>
    <t>WIN AF 4</t>
  </si>
  <si>
    <t>WIN AF 6</t>
  </si>
  <si>
    <t>WIN AF 8</t>
  </si>
  <si>
    <t>Halbfinale</t>
  </si>
  <si>
    <t>HF 1</t>
  </si>
  <si>
    <t>HF 2</t>
  </si>
  <si>
    <t>WIN VF 1</t>
  </si>
  <si>
    <t>WIN VF 2</t>
  </si>
  <si>
    <t>WIN VF 3</t>
  </si>
  <si>
    <t>WIN VF 4</t>
  </si>
  <si>
    <t>Finale</t>
  </si>
  <si>
    <t>Round of 16</t>
  </si>
  <si>
    <t>Quarterfinals</t>
  </si>
  <si>
    <t>Semi-final</t>
  </si>
  <si>
    <t>Final</t>
  </si>
  <si>
    <t>Playoffs</t>
  </si>
  <si>
    <t>WIN HF 1</t>
  </si>
  <si>
    <t>WIN HF 2</t>
  </si>
  <si>
    <t>Diese Teams haben beim Rückspiel Heimrecht.</t>
  </si>
  <si>
    <t>These teams have home advantage in the return match.</t>
  </si>
  <si>
    <t>ê</t>
  </si>
  <si>
    <t>Elfmeter-schießen</t>
  </si>
  <si>
    <t>Penalty shootout</t>
  </si>
  <si>
    <t>Liga-Tabelle</t>
  </si>
  <si>
    <t>League table</t>
  </si>
  <si>
    <t>Liga-Rang</t>
  </si>
  <si>
    <t>League rank</t>
  </si>
  <si>
    <t>in der Ligaphase</t>
  </si>
  <si>
    <t>in the league phase</t>
  </si>
  <si>
    <t>Conference League 2025/26</t>
  </si>
  <si>
    <t>Champion 2026:</t>
  </si>
  <si>
    <t>Dynamo Kiew</t>
  </si>
  <si>
    <t>Crystal Palace</t>
  </si>
  <si>
    <t>Lech Posen</t>
  </si>
  <si>
    <t>Rapid Wien</t>
  </si>
  <si>
    <t>Shkendija Tetovo</t>
  </si>
  <si>
    <t>Zrinjski Mostar</t>
  </si>
  <si>
    <t>Lincoln Red Imps Fc</t>
  </si>
  <si>
    <t>Jagiellonia Bialystok</t>
  </si>
  <si>
    <t>Hamrun Spartans</t>
  </si>
  <si>
    <t>Omonia Nikosia</t>
  </si>
  <si>
    <t>1. FSV Mainz 05</t>
  </si>
  <si>
    <t>Kuopion PS</t>
  </si>
  <si>
    <t>KF Drita Gjilan</t>
  </si>
  <si>
    <t>FC Noah</t>
  </si>
  <si>
    <t>HNK Rijeka</t>
  </si>
  <si>
    <t>FC Lausanne-Sport</t>
  </si>
  <si>
    <t>UMF Breidablik</t>
  </si>
  <si>
    <t>Slovan Bratislava</t>
  </si>
  <si>
    <t>Racing Straßburg</t>
  </si>
  <si>
    <t>AC Florenz</t>
  </si>
  <si>
    <t>Sigma Olmütz</t>
  </si>
  <si>
    <t>Legia Warschau</t>
  </si>
  <si>
    <t>Samsunspor</t>
  </si>
  <si>
    <t>Sparta Prag</t>
  </si>
  <si>
    <t>Shamrock Rovers</t>
  </si>
  <si>
    <t>NK Celje</t>
  </si>
  <si>
    <t>AEK Athen</t>
  </si>
  <si>
    <t>FC Aberdeen</t>
  </si>
  <si>
    <t>Schachtar Donezk</t>
  </si>
  <si>
    <t>Rakow Tschenstochau</t>
  </si>
  <si>
    <t>Universitatea Craiova</t>
  </si>
  <si>
    <t>AEK Larnaka</t>
  </si>
  <si>
    <t>AZ Alkmaar</t>
  </si>
  <si>
    <t>FC Shelbourne</t>
  </si>
  <si>
    <t>BK Häcken</t>
  </si>
  <si>
    <t>Rayo Vallecano</t>
  </si>
  <si>
    <t>Version  1.4</t>
  </si>
  <si>
    <t>https://www.uefa.com/uefaconferenceleague/standings/</t>
  </si>
  <si>
    <t>WIN PO 1</t>
  </si>
  <si>
    <t>WIN PO 2</t>
  </si>
  <si>
    <t>WIN PO 3</t>
  </si>
  <si>
    <t>WIN PO 4</t>
  </si>
  <si>
    <t>WIN PO 5</t>
  </si>
  <si>
    <t>WIN PO 6</t>
  </si>
  <si>
    <t>WIN PO 7</t>
  </si>
  <si>
    <t>WIN PO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</si>
</sst>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&quot;.&quot;"/>
    <numFmt numFmtId="165" formatCode=";;;"/>
    <numFmt numFmtId="166" formatCode="h:mm;@"/>
    <numFmt numFmtId="167" formatCode="\+0_ ;[Red]\-0\ "/>
    <numFmt numFmtId="168" formatCode="#,##0.000"/>
    <numFmt numFmtId="169" formatCode="ddd\,\ dd/mm/yyyy"/>
  </numFmts>
  <fonts count="69" x14ac:knownFonts="1">
    <font>
      <sz val="10"/>
      <name val="Arial"/>
    </font>
    <font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sz val="10"/>
      <name val="Calibri"/>
      <family val="2"/>
    </font>
    <font>
      <sz val="14"/>
      <name val="Calibri"/>
      <family val="2"/>
    </font>
    <font>
      <sz val="28"/>
      <name val="Calibri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b/>
      <sz val="11"/>
      <color rgb="FFFA7D00"/>
      <name val="Calibri"/>
      <family val="2"/>
      <scheme val="minor"/>
    </font>
    <font>
      <b/>
      <sz val="9"/>
      <color rgb="FFC00000"/>
      <name val="Arial"/>
      <family val="2"/>
    </font>
    <font>
      <b/>
      <sz val="9"/>
      <color rgb="FF0070C0"/>
      <name val="Arial"/>
      <family val="2"/>
    </font>
    <font>
      <b/>
      <sz val="8"/>
      <color indexed="8"/>
      <name val="Arial"/>
      <family val="2"/>
    </font>
    <font>
      <sz val="12"/>
      <name val="Calibri"/>
      <family val="2"/>
    </font>
    <font>
      <b/>
      <sz val="12"/>
      <name val="Calibri"/>
      <family val="2"/>
    </font>
    <font>
      <b/>
      <sz val="14"/>
      <color rgb="FF0070C0"/>
      <name val="Calibri"/>
      <family val="2"/>
    </font>
    <font>
      <b/>
      <sz val="14"/>
      <name val="Calibri"/>
      <family val="2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sz val="14"/>
      <name val="Calibri"/>
      <family val="2"/>
      <scheme val="minor"/>
    </font>
    <font>
      <sz val="12"/>
      <name val="Calibri"/>
      <family val="2"/>
      <scheme val="minor"/>
    </font>
    <font>
      <sz val="13"/>
      <name val="Calibri"/>
      <family val="2"/>
      <scheme val="minor"/>
    </font>
    <font>
      <sz val="12"/>
      <color theme="1" tint="0.249977111117893"/>
      <name val="Calibri"/>
      <family val="2"/>
      <scheme val="minor"/>
    </font>
    <font>
      <b/>
      <sz val="26"/>
      <name val="Calibri"/>
      <family val="2"/>
      <scheme val="minor"/>
    </font>
    <font>
      <sz val="18"/>
      <name val="Calibri"/>
      <family val="2"/>
    </font>
    <font>
      <sz val="10"/>
      <color theme="2" tint="-0.249977111117893"/>
      <name val="Calibri"/>
      <family val="2"/>
      <scheme val="minor"/>
    </font>
    <font>
      <sz val="11"/>
      <color rgb="FFDA0000"/>
      <name val="Calibri"/>
      <family val="2"/>
      <scheme val="minor"/>
    </font>
    <font>
      <b/>
      <sz val="12"/>
      <name val="Calibri"/>
      <family val="2"/>
      <scheme val="minor"/>
    </font>
    <font>
      <sz val="20"/>
      <color rgb="FF00B050"/>
      <name val="Calibri"/>
      <family val="2"/>
      <scheme val="minor"/>
    </font>
    <font>
      <b/>
      <sz val="20"/>
      <color rgb="FFDA0000"/>
      <name val="Calibri"/>
      <family val="2"/>
    </font>
    <font>
      <sz val="11"/>
      <color rgb="FF8C1737"/>
      <name val="Calibri"/>
      <family val="2"/>
      <scheme val="minor"/>
    </font>
    <font>
      <sz val="22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color theme="2" tint="-0.249977111117893"/>
      <name val="Calibri"/>
      <family val="2"/>
    </font>
    <font>
      <b/>
      <sz val="10"/>
      <name val="Arial"/>
      <family val="2"/>
    </font>
    <font>
      <b/>
      <sz val="26"/>
      <name val="Calibri"/>
      <family val="2"/>
    </font>
    <font>
      <sz val="20"/>
      <color theme="0" tint="-0.14999847407452621"/>
      <name val="Calibri"/>
      <family val="2"/>
    </font>
    <font>
      <sz val="8"/>
      <color indexed="8"/>
      <name val="Arial"/>
      <family val="2"/>
    </font>
    <font>
      <sz val="11"/>
      <color rgb="FF0070C0"/>
      <name val="Calibri"/>
      <family val="2"/>
    </font>
    <font>
      <sz val="11"/>
      <color rgb="FF0070C0"/>
      <name val="Calibri"/>
      <family val="2"/>
      <scheme val="minor"/>
    </font>
    <font>
      <b/>
      <sz val="16"/>
      <color rgb="FF0070C0"/>
      <name val="Calibri"/>
      <family val="2"/>
      <scheme val="minor"/>
    </font>
    <font>
      <sz val="8"/>
      <color theme="5"/>
      <name val="Arial"/>
      <family val="2"/>
    </font>
    <font>
      <b/>
      <sz val="11"/>
      <color rgb="FFDA0000"/>
      <name val="Calibri"/>
      <family val="2"/>
      <scheme val="minor"/>
    </font>
    <font>
      <sz val="8"/>
      <name val="Arial"/>
      <family val="2"/>
    </font>
    <font>
      <sz val="11"/>
      <name val="Calibri"/>
      <family val="2"/>
      <scheme val="minor"/>
    </font>
    <font>
      <sz val="11"/>
      <name val="Calibri"/>
      <family val="2"/>
    </font>
    <font>
      <sz val="20"/>
      <color rgb="FFDA0000"/>
      <name val="Calibri"/>
      <family val="2"/>
    </font>
    <font>
      <sz val="8"/>
      <color indexed="8"/>
      <name val="Calibri"/>
      <family val="2"/>
      <scheme val="minor"/>
    </font>
    <font>
      <sz val="20"/>
      <color rgb="FF00B050"/>
      <name val="Calibri"/>
      <family val="2"/>
    </font>
    <font>
      <sz val="10"/>
      <color theme="0" tint="-0.34998626667073579"/>
      <name val="Calibri"/>
      <family val="2"/>
      <scheme val="minor"/>
    </font>
    <font>
      <b/>
      <sz val="11"/>
      <name val="Calibri"/>
      <family val="2"/>
    </font>
    <font>
      <b/>
      <sz val="10"/>
      <color rgb="FFDA0000"/>
      <name val="Calibri"/>
      <family val="2"/>
      <scheme val="minor"/>
    </font>
    <font>
      <b/>
      <sz val="18"/>
      <color rgb="FFDA0000"/>
      <name val="Calibri"/>
      <family val="2"/>
    </font>
    <font>
      <sz val="20"/>
      <name val="Calibri"/>
      <family val="2"/>
    </font>
    <font>
      <sz val="11"/>
      <color theme="0" tint="-0.14999847407452621"/>
      <name val="Calibri"/>
      <family val="2"/>
    </font>
    <font>
      <u/>
      <sz val="10"/>
      <color theme="10"/>
      <name val="Arial"/>
    </font>
    <font>
      <u/>
      <sz val="11"/>
      <color theme="10"/>
      <name val="Calibri"/>
      <family val="2"/>
      <scheme val="minor"/>
    </font>
    <font>
      <b/>
      <sz val="18"/>
      <color rgb="FF0070C0"/>
      <name val="Calibri"/>
      <family val="2"/>
      <scheme val="minor"/>
    </font>
    <font>
      <b/>
      <sz val="26"/>
      <color rgb="FFF04C02"/>
      <name val="Calibri"/>
      <family val="2"/>
      <scheme val="minor"/>
    </font>
    <font>
      <b/>
      <sz val="16"/>
      <color rgb="FF517D21"/>
      <name val="Calibri"/>
      <family val="2"/>
      <scheme val="minor"/>
    </font>
    <font>
      <sz val="10"/>
      <name val="Wingdings"/>
      <charset val="2"/>
    </font>
    <font>
      <sz val="10"/>
      <color theme="5" tint="-0.249977111117893"/>
      <name val="Calibri"/>
      <family val="2"/>
      <scheme val="minor"/>
    </font>
    <font>
      <sz val="10"/>
      <color theme="5" tint="-0.249977111117893"/>
      <name val="Wingdings"/>
      <charset val="2"/>
    </font>
    <font>
      <b/>
      <sz val="12"/>
      <color rgb="FF0070C0"/>
      <name val="Calibri"/>
      <family val="2"/>
      <scheme val="minor"/>
    </font>
    <font>
      <sz val="9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rgb="FFF2F2F2"/>
      </patternFill>
    </fill>
    <fill>
      <patternFill patternType="solid">
        <fgColor theme="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8F8F8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E5FBD9"/>
        <bgColor indexed="64"/>
      </patternFill>
    </fill>
    <fill>
      <patternFill patternType="solid">
        <fgColor rgb="FFFFF5D5"/>
        <bgColor indexed="64"/>
      </patternFill>
    </fill>
    <fill>
      <patternFill patternType="solid">
        <fgColor rgb="FFFDECE3"/>
        <bgColor indexed="64"/>
      </patternFill>
    </fill>
    <fill>
      <patternFill patternType="solid">
        <fgColor rgb="FFB8E08C"/>
        <bgColor indexed="64"/>
      </patternFill>
    </fill>
    <fill>
      <patternFill patternType="solid">
        <fgColor rgb="FFFFE0B3"/>
        <bgColor indexed="64"/>
      </patternFill>
    </fill>
    <fill>
      <patternFill patternType="solid">
        <fgColor rgb="FFFFFFE0"/>
        <bgColor indexed="64"/>
      </patternFill>
    </fill>
  </fills>
  <borders count="21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ck">
        <color rgb="FF9ACA02"/>
      </left>
      <right style="thick">
        <color rgb="FF9ACA02"/>
      </right>
      <top style="thick">
        <color rgb="FF9ACA02"/>
      </top>
      <bottom/>
      <diagonal/>
    </border>
    <border>
      <left style="thick">
        <color rgb="FF9ACA02"/>
      </left>
      <right style="thick">
        <color rgb="FF9ACA02"/>
      </right>
      <top/>
      <bottom/>
      <diagonal/>
    </border>
    <border>
      <left style="thick">
        <color rgb="FF9ACA02"/>
      </left>
      <right style="thick">
        <color rgb="FF9ACA02"/>
      </right>
      <top/>
      <bottom style="thick">
        <color rgb="FF9ACA02"/>
      </bottom>
      <diagonal/>
    </border>
    <border>
      <left style="thick">
        <color theme="0" tint="-0.499984740745262"/>
      </left>
      <right/>
      <top style="thick">
        <color theme="0" tint="-0.499984740745262"/>
      </top>
      <bottom/>
      <diagonal/>
    </border>
    <border>
      <left/>
      <right/>
      <top style="thick">
        <color theme="0" tint="-0.499984740745262"/>
      </top>
      <bottom/>
      <diagonal/>
    </border>
    <border>
      <left/>
      <right style="thick">
        <color theme="0" tint="-0.499984740745262"/>
      </right>
      <top style="thick">
        <color theme="0" tint="-0.499984740745262"/>
      </top>
      <bottom/>
      <diagonal/>
    </border>
    <border>
      <left style="thick">
        <color theme="0" tint="-0.499984740745262"/>
      </left>
      <right/>
      <top/>
      <bottom/>
      <diagonal/>
    </border>
    <border>
      <left/>
      <right style="thick">
        <color theme="0" tint="-0.499984740745262"/>
      </right>
      <top/>
      <bottom/>
      <diagonal/>
    </border>
    <border>
      <left style="thin">
        <color rgb="FFA50021"/>
      </left>
      <right style="thin">
        <color rgb="FFA50021"/>
      </right>
      <top style="thick">
        <color theme="2" tint="-0.499984740745262"/>
      </top>
      <bottom style="thin">
        <color theme="2" tint="-0.499984740745262"/>
      </bottom>
      <diagonal/>
    </border>
    <border>
      <left style="thin">
        <color rgb="FFA50021"/>
      </left>
      <right style="thick">
        <color theme="2" tint="-0.499984740745262"/>
      </right>
      <top style="thick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thick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rgb="FFA50021"/>
      </left>
      <right/>
      <top style="thick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rgb="FFA50021"/>
      </right>
      <top style="thick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thin">
        <color rgb="FFA50021"/>
      </right>
      <top style="thick">
        <color theme="2" tint="-0.499984740745262"/>
      </top>
      <bottom style="thin">
        <color theme="2" tint="-0.499984740745262"/>
      </bottom>
      <diagonal/>
    </border>
    <border>
      <left style="thick">
        <color theme="2" tint="-0.499984740745262"/>
      </left>
      <right style="thin">
        <color theme="2" tint="-0.499984740745262"/>
      </right>
      <top style="thick">
        <color theme="2" tint="-0.499984740745262"/>
      </top>
      <bottom style="thin">
        <color theme="2" tint="-0.499984740745262"/>
      </bottom>
      <diagonal/>
    </border>
    <border>
      <left style="thick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ck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ck">
        <color theme="2" tint="-0.499984740745262"/>
      </bottom>
      <diagonal/>
    </border>
    <border>
      <left style="thick">
        <color theme="2" tint="-0.499984740745262"/>
      </left>
      <right/>
      <top style="thick">
        <color theme="2" tint="-0.499984740745262"/>
      </top>
      <bottom/>
      <diagonal/>
    </border>
    <border>
      <left/>
      <right/>
      <top style="thick">
        <color theme="2" tint="-0.499984740745262"/>
      </top>
      <bottom/>
      <diagonal/>
    </border>
    <border>
      <left/>
      <right style="thick">
        <color theme="2" tint="-0.499984740745262"/>
      </right>
      <top style="thick">
        <color theme="2" tint="-0.499984740745262"/>
      </top>
      <bottom/>
      <diagonal/>
    </border>
    <border>
      <left style="thick">
        <color theme="2" tint="-0.499984740745262"/>
      </left>
      <right/>
      <top/>
      <bottom/>
      <diagonal/>
    </border>
    <border>
      <left/>
      <right style="thick">
        <color theme="2" tint="-0.499984740745262"/>
      </right>
      <top/>
      <bottom/>
      <diagonal/>
    </border>
    <border>
      <left style="thick">
        <color theme="2" tint="-0.499984740745262"/>
      </left>
      <right/>
      <top/>
      <bottom style="thick">
        <color theme="2" tint="-0.499984740745262"/>
      </bottom>
      <diagonal/>
    </border>
    <border>
      <left/>
      <right style="thick">
        <color theme="2" tint="-0.499984740745262"/>
      </right>
      <top/>
      <bottom style="thick">
        <color theme="2" tint="-0.499984740745262"/>
      </bottom>
      <diagonal/>
    </border>
    <border>
      <left style="thick">
        <color theme="2" tint="-0.499984740745262"/>
      </left>
      <right style="thin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  <border>
      <left style="thin">
        <color theme="2" tint="-0.24994659260841701"/>
      </left>
      <right style="thin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  <border>
      <left style="thin">
        <color theme="2" tint="-0.24994659260841701"/>
      </left>
      <right style="thick">
        <color theme="2" tint="-0.499984740745262"/>
      </right>
      <top style="thin">
        <color theme="2" tint="-0.24994659260841701"/>
      </top>
      <bottom style="thin">
        <color theme="2" tint="-0.24994659260841701"/>
      </bottom>
      <diagonal/>
    </border>
    <border>
      <left style="thick">
        <color theme="2" tint="-0.499984740745262"/>
      </left>
      <right style="thin">
        <color theme="2" tint="-0.24994659260841701"/>
      </right>
      <top style="thin">
        <color theme="2" tint="-0.24994659260841701"/>
      </top>
      <bottom style="thick">
        <color theme="2" tint="-0.499984740745262"/>
      </bottom>
      <diagonal/>
    </border>
    <border>
      <left style="thin">
        <color theme="2" tint="-0.24994659260841701"/>
      </left>
      <right style="thin">
        <color theme="2" tint="-0.24994659260841701"/>
      </right>
      <top style="thin">
        <color theme="2" tint="-0.24994659260841701"/>
      </top>
      <bottom style="thick">
        <color theme="2" tint="-0.499984740745262"/>
      </bottom>
      <diagonal/>
    </border>
    <border>
      <left style="thin">
        <color theme="2" tint="-0.24994659260841701"/>
      </left>
      <right style="thick">
        <color theme="2" tint="-0.499984740745262"/>
      </right>
      <top style="thin">
        <color theme="2" tint="-0.24994659260841701"/>
      </top>
      <bottom style="thick">
        <color theme="2" tint="-0.499984740745262"/>
      </bottom>
      <diagonal/>
    </border>
    <border>
      <left/>
      <right style="thin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  <border>
      <left style="thin">
        <color theme="2" tint="-0.24994659260841701"/>
      </left>
      <right/>
      <top style="thin">
        <color theme="2" tint="-0.24994659260841701"/>
      </top>
      <bottom style="thin">
        <color theme="2" tint="-0.24994659260841701"/>
      </bottom>
      <diagonal/>
    </border>
    <border>
      <left/>
      <right style="thin">
        <color theme="2" tint="-0.24994659260841701"/>
      </right>
      <top style="thin">
        <color theme="2" tint="-0.24994659260841701"/>
      </top>
      <bottom style="thick">
        <color theme="2" tint="-0.499984740745262"/>
      </bottom>
      <diagonal/>
    </border>
    <border>
      <left style="thin">
        <color theme="2" tint="-0.24994659260841701"/>
      </left>
      <right/>
      <top style="thin">
        <color theme="2" tint="-0.24994659260841701"/>
      </top>
      <bottom style="thick">
        <color theme="2" tint="-0.499984740745262"/>
      </bottom>
      <diagonal/>
    </border>
    <border>
      <left/>
      <right/>
      <top style="thin">
        <color theme="2" tint="-0.24994659260841701"/>
      </top>
      <bottom style="thin">
        <color theme="2" tint="-0.24994659260841701"/>
      </bottom>
      <diagonal/>
    </border>
    <border>
      <left/>
      <right/>
      <top style="thin">
        <color theme="2" tint="-0.24994659260841701"/>
      </top>
      <bottom style="thick">
        <color theme="2" tint="-0.499984740745262"/>
      </bottom>
      <diagonal/>
    </border>
    <border>
      <left style="thick">
        <color theme="2" tint="-0.499984740745262"/>
      </left>
      <right style="thin">
        <color theme="2" tint="-0.24994659260841701"/>
      </right>
      <top/>
      <bottom style="thin">
        <color theme="2" tint="-0.24994659260841701"/>
      </bottom>
      <diagonal/>
    </border>
    <border>
      <left/>
      <right style="thick">
        <color theme="2" tint="-0.499984740745262"/>
      </right>
      <top style="thin">
        <color theme="2" tint="-0.24994659260841701"/>
      </top>
      <bottom style="thin">
        <color theme="2" tint="-0.24994659260841701"/>
      </bottom>
      <diagonal/>
    </border>
    <border>
      <left/>
      <right/>
      <top/>
      <bottom style="thick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ck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ck">
        <color theme="2" tint="-0.499984740745262"/>
      </right>
      <top style="thick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ck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ck">
        <color theme="2" tint="-0.499984740745262"/>
      </left>
      <right style="thin">
        <color theme="2" tint="-0.499984740745262"/>
      </right>
      <top/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/>
      <bottom style="thin">
        <color theme="2" tint="-0.499984740745262"/>
      </bottom>
      <diagonal/>
    </border>
    <border>
      <left style="thin">
        <color theme="2" tint="-0.499984740745262"/>
      </left>
      <right style="thick">
        <color theme="2" tint="-0.499984740745262"/>
      </right>
      <top/>
      <bottom style="thin">
        <color theme="2" tint="-0.499984740745262"/>
      </bottom>
      <diagonal/>
    </border>
    <border>
      <left style="thick">
        <color theme="0" tint="-0.499984740745262"/>
      </left>
      <right style="thick">
        <color theme="0" tint="-0.499984740745262"/>
      </right>
      <top style="thick">
        <color theme="0" tint="-0.499984740745262"/>
      </top>
      <bottom/>
      <diagonal/>
    </border>
    <border>
      <left style="thick">
        <color theme="0" tint="-0.499984740745262"/>
      </left>
      <right style="thick">
        <color theme="0" tint="-0.499984740745262"/>
      </right>
      <top/>
      <bottom/>
      <diagonal/>
    </border>
    <border>
      <left style="thin">
        <color theme="2" tint="-0.499984740745262"/>
      </left>
      <right/>
      <top style="thin">
        <color theme="2" tint="-0.499984740745262"/>
      </top>
      <bottom/>
      <diagonal/>
    </border>
    <border>
      <left/>
      <right/>
      <top style="thin">
        <color theme="2" tint="-0.499984740745262"/>
      </top>
      <bottom/>
      <diagonal/>
    </border>
    <border>
      <left/>
      <right/>
      <top/>
      <bottom style="thick">
        <color theme="4"/>
      </bottom>
      <diagonal/>
    </border>
    <border>
      <left style="medium">
        <color theme="4"/>
      </left>
      <right style="medium">
        <color theme="4"/>
      </right>
      <top style="medium">
        <color theme="4"/>
      </top>
      <bottom style="medium">
        <color theme="4"/>
      </bottom>
      <diagonal/>
    </border>
    <border>
      <left/>
      <right style="thick">
        <color theme="4"/>
      </right>
      <top/>
      <bottom/>
      <diagonal/>
    </border>
    <border>
      <left style="thick">
        <color theme="4"/>
      </left>
      <right/>
      <top style="thick">
        <color theme="4"/>
      </top>
      <bottom/>
      <diagonal/>
    </border>
    <border>
      <left/>
      <right/>
      <top style="thick">
        <color theme="4"/>
      </top>
      <bottom/>
      <diagonal/>
    </border>
    <border>
      <left style="medium">
        <color theme="0" tint="-0.14996795556505021"/>
      </left>
      <right style="thick">
        <color theme="4"/>
      </right>
      <top style="thick">
        <color theme="4"/>
      </top>
      <bottom/>
      <diagonal/>
    </border>
    <border>
      <left style="thick">
        <color theme="4"/>
      </left>
      <right/>
      <top/>
      <bottom/>
      <diagonal/>
    </border>
    <border>
      <left style="medium">
        <color theme="0" tint="-0.14996795556505021"/>
      </left>
      <right style="thick">
        <color theme="4"/>
      </right>
      <top/>
      <bottom/>
      <diagonal/>
    </border>
    <border>
      <left style="thick">
        <color theme="4"/>
      </left>
      <right/>
      <top style="thin">
        <color theme="0" tint="-0.14996795556505021"/>
      </top>
      <bottom/>
      <diagonal/>
    </border>
    <border>
      <left style="medium">
        <color theme="0" tint="-0.14993743705557422"/>
      </left>
      <right style="medium">
        <color theme="0" tint="-0.14993743705557422"/>
      </right>
      <top style="thin">
        <color theme="0" tint="-0.14996795556505021"/>
      </top>
      <bottom/>
      <diagonal/>
    </border>
    <border>
      <left style="medium">
        <color theme="0" tint="-0.14993743705557422"/>
      </left>
      <right style="medium">
        <color theme="0" tint="-0.14993743705557422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theme="0" tint="-0.14996795556505021"/>
      </left>
      <right style="thick">
        <color theme="4"/>
      </right>
      <top style="thin">
        <color theme="0" tint="-0.14996795556505021"/>
      </top>
      <bottom style="thin">
        <color theme="0" tint="-0.14996795556505021"/>
      </bottom>
      <diagonal/>
    </border>
    <border>
      <left style="thick">
        <color theme="4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theme="0" tint="-0.14996795556505021"/>
      </left>
      <right style="thick">
        <color theme="4"/>
      </right>
      <top style="thin">
        <color theme="0" tint="-0.14996795556505021"/>
      </top>
      <bottom/>
      <diagonal/>
    </border>
    <border>
      <left style="thick">
        <color theme="4"/>
      </left>
      <right/>
      <top style="thin">
        <color theme="0" tint="-0.14996795556505021"/>
      </top>
      <bottom style="thick">
        <color theme="4"/>
      </bottom>
      <diagonal/>
    </border>
    <border>
      <left style="medium">
        <color theme="0" tint="-0.14996795556505021"/>
      </left>
      <right style="thick">
        <color theme="4"/>
      </right>
      <top style="thin">
        <color theme="0" tint="-0.14996795556505021"/>
      </top>
      <bottom style="thick">
        <color theme="4"/>
      </bottom>
      <diagonal/>
    </border>
    <border>
      <left/>
      <right style="thick">
        <color theme="4"/>
      </right>
      <top style="thick">
        <color theme="4"/>
      </top>
      <bottom/>
      <diagonal/>
    </border>
    <border>
      <left style="medium">
        <color theme="0" tint="-0.14993743705557422"/>
      </left>
      <right style="medium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theme="0" tint="-0.14996795556505021"/>
      </left>
      <right style="thick">
        <color theme="4"/>
      </right>
      <top style="thin">
        <color theme="0" tint="-0.14996795556505021"/>
      </top>
      <bottom style="thin">
        <color theme="0" tint="-0.14993743705557422"/>
      </bottom>
      <diagonal/>
    </border>
    <border>
      <left style="medium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 style="medium">
        <color theme="0" tint="-0.14996795556505021"/>
      </right>
      <top style="thin">
        <color theme="0" tint="-0.14996795556505021"/>
      </top>
      <bottom style="thick">
        <color theme="4"/>
      </bottom>
      <diagonal/>
    </border>
    <border>
      <left style="medium">
        <color theme="2" tint="-0.499984740745262"/>
      </left>
      <right/>
      <top/>
      <bottom/>
      <diagonal/>
    </border>
    <border>
      <left/>
      <right style="medium">
        <color theme="2" tint="-0.499984740745262"/>
      </right>
      <top/>
      <bottom/>
      <diagonal/>
    </border>
    <border>
      <left style="thin">
        <color theme="2" tint="-0.24994659260841701"/>
      </left>
      <right style="thin">
        <color theme="2" tint="-0.24994659260841701"/>
      </right>
      <top style="thick">
        <color theme="2" tint="-0.499984740745262"/>
      </top>
      <bottom style="thin">
        <color theme="2" tint="-0.499984740745262"/>
      </bottom>
      <diagonal/>
    </border>
    <border>
      <left style="thin">
        <color theme="2" tint="-0.24994659260841701"/>
      </left>
      <right style="thick">
        <color theme="2" tint="-0.499984740745262"/>
      </right>
      <top style="thick">
        <color theme="2" tint="-0.499984740745262"/>
      </top>
      <bottom style="thin">
        <color theme="2" tint="-0.499984740745262"/>
      </bottom>
      <diagonal/>
    </border>
    <border>
      <left style="thin">
        <color theme="2" tint="-0.24994659260841701"/>
      </left>
      <right style="thin">
        <color theme="2" tint="-0.24994659260841701"/>
      </right>
      <top style="medium">
        <color theme="2" tint="-0.499984740745262"/>
      </top>
      <bottom style="thin">
        <color theme="2" tint="-0.24994659260841701"/>
      </bottom>
      <diagonal/>
    </border>
    <border>
      <left style="medium">
        <color theme="0" tint="-0.14993743705557422"/>
      </left>
      <right/>
      <top style="thin">
        <color theme="0" tint="-0.14996795556505021"/>
      </top>
      <bottom/>
      <diagonal/>
    </border>
    <border>
      <left style="thin">
        <color theme="2" tint="-0.24994659260841701"/>
      </left>
      <right/>
      <top/>
      <bottom style="thin">
        <color theme="2" tint="-0.24994659260841701"/>
      </bottom>
      <diagonal/>
    </border>
    <border>
      <left/>
      <right/>
      <top/>
      <bottom style="thin">
        <color theme="2" tint="-0.24994659260841701"/>
      </bottom>
      <diagonal/>
    </border>
    <border>
      <left/>
      <right style="thin">
        <color theme="2" tint="-0.24994659260841701"/>
      </right>
      <top/>
      <bottom style="thin">
        <color theme="2" tint="-0.24994659260841701"/>
      </bottom>
      <diagonal/>
    </border>
    <border>
      <left/>
      <right style="thick">
        <color theme="2" tint="-0.499984740745262"/>
      </right>
      <top/>
      <bottom style="thin">
        <color theme="2" tint="-0.24994659260841701"/>
      </bottom>
      <diagonal/>
    </border>
    <border>
      <left style="thick">
        <color theme="2" tint="-0.499984740745262"/>
      </left>
      <right style="thin">
        <color theme="2" tint="-0.24994659260841701"/>
      </right>
      <top style="thick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/>
      <top style="medium">
        <color theme="2" tint="-0.499984740745262"/>
      </top>
      <bottom/>
      <diagonal/>
    </border>
    <border>
      <left/>
      <right style="medium">
        <color theme="2" tint="-0.499984740745262"/>
      </right>
      <top style="medium">
        <color theme="2" tint="-0.499984740745262"/>
      </top>
      <bottom/>
      <diagonal/>
    </border>
    <border>
      <left style="medium">
        <color theme="2" tint="-0.499984740745262"/>
      </left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 style="medium">
        <color theme="2" tint="-0.499984740745262"/>
      </right>
      <top style="medium">
        <color theme="2" tint="-0.499984740745262"/>
      </top>
      <bottom style="medium">
        <color theme="2" tint="-0.499984740745262"/>
      </bottom>
      <diagonal/>
    </border>
    <border>
      <left style="medium">
        <color theme="0" tint="-0.14996795556505021"/>
      </left>
      <right style="medium">
        <color theme="0" tint="-0.14996795556505021"/>
      </right>
      <top style="thick">
        <color theme="4"/>
      </top>
      <bottom/>
      <diagonal/>
    </border>
    <border>
      <left style="medium">
        <color theme="0" tint="-0.14996795556505021"/>
      </left>
      <right style="medium">
        <color theme="0" tint="-0.14996795556505021"/>
      </right>
      <top/>
      <bottom style="thick">
        <color theme="4"/>
      </bottom>
      <diagonal/>
    </border>
    <border>
      <left style="medium">
        <color theme="2" tint="-0.499984740745262"/>
      </left>
      <right style="thin">
        <color theme="2" tint="-0.24994659260841701"/>
      </right>
      <top style="medium">
        <color theme="2" tint="-0.499984740745262"/>
      </top>
      <bottom style="thin">
        <color theme="2" tint="-0.24994659260841701"/>
      </bottom>
      <diagonal/>
    </border>
    <border>
      <left style="medium">
        <color theme="2" tint="-0.499984740745262"/>
      </left>
      <right style="thin">
        <color theme="2" tint="-0.24994659260841701"/>
      </right>
      <top style="thin">
        <color theme="2" tint="-0.24994659260841701"/>
      </top>
      <bottom style="thick">
        <color theme="2" tint="-0.499984740745262"/>
      </bottom>
      <diagonal/>
    </border>
    <border>
      <left/>
      <right/>
      <top/>
      <bottom style="medium">
        <color theme="2" tint="-0.499984740745262"/>
      </bottom>
      <diagonal/>
    </border>
    <border>
      <left style="thick">
        <color theme="2" tint="-0.499984740745262"/>
      </left>
      <right style="thin">
        <color theme="2" tint="-0.24994659260841701"/>
      </right>
      <top style="thick">
        <color theme="2" tint="-0.499984740745262"/>
      </top>
      <bottom style="thin">
        <color theme="2" tint="-0.24994659260841701"/>
      </bottom>
      <diagonal/>
    </border>
    <border>
      <left style="thin">
        <color theme="2" tint="-0.24994659260841701"/>
      </left>
      <right style="thin">
        <color theme="2" tint="-0.24994659260841701"/>
      </right>
      <top style="thick">
        <color theme="2" tint="-0.499984740745262"/>
      </top>
      <bottom style="thin">
        <color theme="2" tint="-0.24994659260841701"/>
      </bottom>
      <diagonal/>
    </border>
    <border>
      <left style="thin">
        <color theme="2" tint="-0.24994659260841701"/>
      </left>
      <right style="thick">
        <color theme="2" tint="-0.499984740745262"/>
      </right>
      <top style="thick">
        <color theme="2" tint="-0.499984740745262"/>
      </top>
      <bottom style="thin">
        <color theme="2" tint="-0.24994659260841701"/>
      </bottom>
      <diagonal/>
    </border>
    <border>
      <left style="thin">
        <color theme="2" tint="-0.24994659260841701"/>
      </left>
      <right style="medium">
        <color theme="2" tint="-0.499984740745262"/>
      </right>
      <top style="medium">
        <color theme="2" tint="-0.499984740745262"/>
      </top>
      <bottom style="thin">
        <color theme="2" tint="-0.24994659260841701"/>
      </bottom>
      <diagonal/>
    </border>
    <border>
      <left style="thin">
        <color theme="2" tint="-0.24994659260841701"/>
      </left>
      <right style="medium">
        <color theme="2" tint="-0.499984740745262"/>
      </right>
      <top style="thin">
        <color theme="2" tint="-0.24994659260841701"/>
      </top>
      <bottom style="thick">
        <color theme="2" tint="-0.499984740745262"/>
      </bottom>
      <diagonal/>
    </border>
    <border>
      <left style="medium">
        <color theme="2" tint="-0.499984740745262"/>
      </left>
      <right/>
      <top style="medium">
        <color theme="2" tint="-0.499984740745262"/>
      </top>
      <bottom style="thin">
        <color theme="2" tint="-0.24994659260841701"/>
      </bottom>
      <diagonal/>
    </border>
    <border>
      <left/>
      <right style="thick">
        <color theme="2" tint="-0.499984740745262"/>
      </right>
      <top style="medium">
        <color theme="2" tint="-0.499984740745262"/>
      </top>
      <bottom style="thin">
        <color theme="2" tint="-0.24994659260841701"/>
      </bottom>
      <diagonal/>
    </border>
    <border>
      <left style="medium">
        <color theme="2" tint="-0.499984740745262"/>
      </left>
      <right/>
      <top style="thin">
        <color theme="2" tint="-0.24994659260841701"/>
      </top>
      <bottom style="thin">
        <color theme="2" tint="-0.24994659260841701"/>
      </bottom>
      <diagonal/>
    </border>
    <border>
      <left style="medium">
        <color theme="2" tint="-0.499984740745262"/>
      </left>
      <right/>
      <top style="thin">
        <color theme="2" tint="-0.24994659260841701"/>
      </top>
      <bottom style="medium">
        <color theme="2" tint="-0.499984740745262"/>
      </bottom>
      <diagonal/>
    </border>
    <border>
      <left/>
      <right style="thick">
        <color theme="2" tint="-0.499984740745262"/>
      </right>
      <top style="thin">
        <color theme="2" tint="-0.24994659260841701"/>
      </top>
      <bottom style="medium">
        <color theme="2" tint="-0.499984740745262"/>
      </bottom>
      <diagonal/>
    </border>
    <border>
      <left style="thick">
        <color theme="2" tint="-0.499984740745262"/>
      </left>
      <right/>
      <top style="thin">
        <color theme="2" tint="-0.24994659260841701"/>
      </top>
      <bottom style="thin">
        <color theme="2" tint="-0.24994659260841701"/>
      </bottom>
      <diagonal/>
    </border>
    <border>
      <left style="thick">
        <color theme="2" tint="-0.499984740745262"/>
      </left>
      <right/>
      <top style="thin">
        <color theme="2" tint="-0.24994659260841701"/>
      </top>
      <bottom style="thick">
        <color theme="2" tint="-0.499984740745262"/>
      </bottom>
      <diagonal/>
    </border>
    <border>
      <left/>
      <right style="thick">
        <color theme="2" tint="-0.499984740745262"/>
      </right>
      <top style="thin">
        <color theme="2" tint="-0.24994659260841701"/>
      </top>
      <bottom style="thick">
        <color theme="2" tint="-0.499984740745262"/>
      </bottom>
      <diagonal/>
    </border>
    <border>
      <left style="thick">
        <color theme="2" tint="-0.499984740745262"/>
      </left>
      <right style="thin">
        <color theme="2" tint="-0.24994659260841701"/>
      </right>
      <top style="thin">
        <color theme="2" tint="-0.499984740745262"/>
      </top>
      <bottom style="thin">
        <color theme="2" tint="-0.24994659260841701"/>
      </bottom>
      <diagonal/>
    </border>
    <border>
      <left style="thin">
        <color theme="2" tint="-0.24994659260841701"/>
      </left>
      <right style="thick">
        <color theme="2" tint="-0.499984740745262"/>
      </right>
      <top style="thin">
        <color theme="2" tint="-0.499984740745262"/>
      </top>
      <bottom style="thin">
        <color theme="2" tint="-0.24994659260841701"/>
      </bottom>
      <diagonal/>
    </border>
    <border>
      <left style="thin">
        <color theme="2" tint="-0.499984740745262"/>
      </left>
      <right style="thin">
        <color theme="2" tint="-0.499984740745262"/>
      </right>
      <top/>
      <bottom style="thick">
        <color theme="2" tint="-0.499984740745262"/>
      </bottom>
      <diagonal/>
    </border>
    <border>
      <left style="thin">
        <color theme="2" tint="-0.499984740745262"/>
      </left>
      <right style="thick">
        <color theme="2" tint="-0.499984740745262"/>
      </right>
      <top style="thin">
        <color theme="2" tint="-0.499984740745262"/>
      </top>
      <bottom style="thick">
        <color theme="2" tint="-0.499984740745262"/>
      </bottom>
      <diagonal/>
    </border>
    <border>
      <left style="thin">
        <color theme="2" tint="-0.24994659260841701"/>
      </left>
      <right/>
      <top style="thin">
        <color theme="2" tint="-0.24994659260841701"/>
      </top>
      <bottom/>
      <diagonal/>
    </border>
    <border>
      <left/>
      <right/>
      <top style="thin">
        <color theme="2" tint="-0.24994659260841701"/>
      </top>
      <bottom/>
      <diagonal/>
    </border>
    <border>
      <left/>
      <right style="thin">
        <color theme="2" tint="-0.24994659260841701"/>
      </right>
      <top style="thin">
        <color theme="2" tint="-0.24994659260841701"/>
      </top>
      <bottom/>
      <diagonal/>
    </border>
    <border>
      <left style="thin">
        <color theme="2" tint="-0.24994659260841701"/>
      </left>
      <right style="thick">
        <color theme="2" tint="-0.499984740745262"/>
      </right>
      <top/>
      <bottom style="thin">
        <color theme="2" tint="-0.24994659260841701"/>
      </bottom>
      <diagonal/>
    </border>
    <border>
      <left style="thin">
        <color theme="2" tint="-0.24994659260841701"/>
      </left>
      <right/>
      <top style="thick">
        <color theme="2" tint="-0.499984740745262"/>
      </top>
      <bottom style="thin">
        <color theme="2" tint="-0.499984740745262"/>
      </bottom>
      <diagonal/>
    </border>
    <border>
      <left style="thin">
        <color theme="2" tint="-0.24994659260841701"/>
      </left>
      <right/>
      <top style="thin">
        <color theme="2" tint="-0.499984740745262"/>
      </top>
      <bottom style="thin">
        <color theme="2" tint="-0.24994659260841701"/>
      </bottom>
      <diagonal/>
    </border>
    <border>
      <left style="medium">
        <color theme="2" tint="-0.499984740745262"/>
      </left>
      <right style="thick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ck">
        <color theme="2" tint="-0.499984740745262"/>
      </right>
      <top/>
      <bottom/>
      <diagonal/>
    </border>
    <border>
      <left style="thick">
        <color theme="2" tint="-0.499984740745262"/>
      </left>
      <right/>
      <top/>
      <bottom style="thin">
        <color theme="2" tint="-0.24994659260841701"/>
      </bottom>
      <diagonal/>
    </border>
    <border>
      <left style="thin">
        <color theme="2" tint="-0.24994659260841701"/>
      </left>
      <right style="thin">
        <color theme="2" tint="-0.24994659260841701"/>
      </right>
      <top/>
      <bottom style="thin">
        <color theme="2" tint="-0.24994659260841701"/>
      </bottom>
      <diagonal/>
    </border>
    <border>
      <left style="thick">
        <color theme="2" tint="-0.499984740745262"/>
      </left>
      <right/>
      <top style="thick">
        <color theme="2" tint="-0.499984740745262"/>
      </top>
      <bottom style="thin">
        <color theme="2" tint="-0.499984740745262"/>
      </bottom>
      <diagonal/>
    </border>
    <border>
      <left/>
      <right style="thick">
        <color theme="2" tint="-0.499984740745262"/>
      </right>
      <top style="thick">
        <color theme="2" tint="-0.499984740745262"/>
      </top>
      <bottom style="thin">
        <color theme="2" tint="-0.499984740745262"/>
      </bottom>
      <diagonal/>
    </border>
    <border>
      <left/>
      <right/>
      <top style="thick">
        <color theme="2" tint="-0.499984740745262"/>
      </top>
      <bottom style="thin">
        <color theme="2" tint="-0.499984740745262"/>
      </bottom>
      <diagonal/>
    </border>
    <border>
      <left/>
      <right style="thin">
        <color theme="2" tint="-0.24994659260841701"/>
      </right>
      <top style="thick">
        <color theme="2" tint="-0.499984740745262"/>
      </top>
      <bottom style="thin">
        <color theme="2" tint="-0.499984740745262"/>
      </bottom>
      <diagonal/>
    </border>
    <border>
      <left style="thick">
        <color theme="2" tint="-0.499984740745262"/>
      </left>
      <right style="medium">
        <color theme="2" tint="-0.499984740745262"/>
      </right>
      <top style="thin">
        <color theme="2" tint="-0.24994659260841701"/>
      </top>
      <bottom style="thin">
        <color theme="2" tint="-0.24994659260841701"/>
      </bottom>
      <diagonal/>
    </border>
    <border>
      <left style="thick">
        <color theme="2" tint="-0.499984740745262"/>
      </left>
      <right style="medium">
        <color theme="2" tint="-0.499984740745262"/>
      </right>
      <top style="thin">
        <color theme="2" tint="-0.24994659260841701"/>
      </top>
      <bottom style="medium">
        <color theme="2" tint="-0.499984740745262"/>
      </bottom>
      <diagonal/>
    </border>
    <border>
      <left style="thick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ck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24994659260841701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ck">
        <color theme="2" tint="-0.499984740745262"/>
      </left>
      <right/>
      <top style="medium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ck">
        <color theme="2" tint="-0.499984740745262"/>
      </left>
      <right/>
      <top style="medium">
        <color theme="2" tint="-0.499984740745262"/>
      </top>
      <bottom/>
      <diagonal/>
    </border>
    <border>
      <left style="thick">
        <color theme="2" tint="-0.499984740745262"/>
      </left>
      <right style="thin">
        <color theme="2" tint="-0.499984740745262"/>
      </right>
      <top style="thin">
        <color theme="2" tint="-0.499984740745262"/>
      </top>
      <bottom/>
      <diagonal/>
    </border>
    <border>
      <left style="thin">
        <color theme="2" tint="-0.499984740745262"/>
      </left>
      <right style="thick">
        <color theme="2" tint="-0.499984740745262"/>
      </right>
      <top style="thin">
        <color theme="2" tint="-0.499984740745262"/>
      </top>
      <bottom/>
      <diagonal/>
    </border>
    <border>
      <left/>
      <right/>
      <top style="thin">
        <color theme="2" tint="-0.499984740745262"/>
      </top>
      <bottom style="thin">
        <color theme="2" tint="-0.24994659260841701"/>
      </bottom>
      <diagonal/>
    </border>
    <border>
      <left/>
      <right style="thin">
        <color theme="2" tint="-0.24994659260841701"/>
      </right>
      <top style="thin">
        <color theme="2" tint="-0.499984740745262"/>
      </top>
      <bottom style="thin">
        <color theme="2" tint="-0.24994659260841701"/>
      </bottom>
      <diagonal/>
    </border>
    <border>
      <left style="thick">
        <color theme="2" tint="-0.499984740745262"/>
      </left>
      <right style="thin">
        <color theme="2" tint="-0.24994659260841701"/>
      </right>
      <top style="thin">
        <color theme="2" tint="-0.24994659260841701"/>
      </top>
      <bottom/>
      <diagonal/>
    </border>
    <border>
      <left style="thin">
        <color theme="2" tint="-0.24994659260841701"/>
      </left>
      <right/>
      <top/>
      <bottom/>
      <diagonal/>
    </border>
    <border>
      <left/>
      <right/>
      <top style="medium">
        <color theme="2" tint="-0.499984740745262"/>
      </top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/>
      <diagonal/>
    </border>
    <border>
      <left/>
      <right style="thick">
        <color theme="2" tint="-0.499984740745262"/>
      </right>
      <top style="thin">
        <color theme="2" tint="-0.499984740745262"/>
      </top>
      <bottom/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/>
      <diagonal/>
    </border>
    <border>
      <left style="medium">
        <color theme="2" tint="-0.499984740745262"/>
      </left>
      <right style="thick">
        <color theme="2" tint="-0.499984740745262"/>
      </right>
      <top style="thin">
        <color theme="2" tint="-0.499984740745262"/>
      </top>
      <bottom/>
      <diagonal/>
    </border>
    <border>
      <left style="medium">
        <color theme="2" tint="-0.499984740745262"/>
      </left>
      <right style="thick">
        <color theme="2" tint="-0.499984740745262"/>
      </right>
      <top style="medium">
        <color theme="8"/>
      </top>
      <bottom/>
      <diagonal/>
    </border>
    <border>
      <left style="thick">
        <color theme="2" tint="-0.499984740745262"/>
      </left>
      <right style="thin">
        <color theme="2" tint="-0.24994659260841701"/>
      </right>
      <top style="medium">
        <color theme="8"/>
      </top>
      <bottom style="thin">
        <color theme="2" tint="-0.24994659260841701"/>
      </bottom>
      <diagonal/>
    </border>
    <border>
      <left style="thin">
        <color theme="2" tint="-0.24994659260841701"/>
      </left>
      <right/>
      <top style="medium">
        <color theme="8"/>
      </top>
      <bottom style="thin">
        <color theme="2" tint="-0.24994659260841701"/>
      </bottom>
      <diagonal/>
    </border>
    <border>
      <left/>
      <right/>
      <top style="medium">
        <color theme="8"/>
      </top>
      <bottom style="thin">
        <color theme="2" tint="-0.24994659260841701"/>
      </bottom>
      <diagonal/>
    </border>
    <border>
      <left/>
      <right style="thin">
        <color theme="2" tint="-0.24994659260841701"/>
      </right>
      <top style="medium">
        <color theme="8"/>
      </top>
      <bottom style="thin">
        <color theme="2" tint="-0.24994659260841701"/>
      </bottom>
      <diagonal/>
    </border>
    <border>
      <left/>
      <right style="thick">
        <color theme="2" tint="-0.499984740745262"/>
      </right>
      <top style="medium">
        <color theme="8"/>
      </top>
      <bottom style="thin">
        <color theme="2" tint="-0.24994659260841701"/>
      </bottom>
      <diagonal/>
    </border>
    <border>
      <left style="thin">
        <color theme="2" tint="-0.24994659260841701"/>
      </left>
      <right style="thick">
        <color theme="2" tint="-0.499984740745262"/>
      </right>
      <top style="medium">
        <color theme="8"/>
      </top>
      <bottom style="thin">
        <color theme="2" tint="-0.24994659260841701"/>
      </bottom>
      <diagonal/>
    </border>
    <border>
      <left style="thick">
        <color theme="2" tint="-0.499984740745262"/>
      </left>
      <right style="thin">
        <color theme="2" tint="-0.499984740745262"/>
      </right>
      <top style="medium">
        <color theme="8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8"/>
      </top>
      <bottom style="thin">
        <color theme="2" tint="-0.499984740745262"/>
      </bottom>
      <diagonal/>
    </border>
    <border>
      <left/>
      <right/>
      <top style="medium">
        <color theme="8"/>
      </top>
      <bottom style="thin">
        <color theme="2" tint="-0.499984740745262"/>
      </bottom>
      <diagonal/>
    </border>
    <border>
      <left style="thin">
        <color theme="2" tint="-0.499984740745262"/>
      </left>
      <right/>
      <top style="medium">
        <color theme="8"/>
      </top>
      <bottom style="thin">
        <color theme="2" tint="-0.499984740745262"/>
      </bottom>
      <diagonal/>
    </border>
    <border>
      <left/>
      <right style="thick">
        <color theme="2" tint="-0.499984740745262"/>
      </right>
      <top style="medium">
        <color theme="8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8"/>
      </top>
      <bottom style="thin">
        <color theme="2" tint="-0.499984740745262"/>
      </bottom>
      <diagonal/>
    </border>
    <border>
      <left/>
      <right style="thin">
        <color theme="2" tint="-0.24994659260841701"/>
      </right>
      <top style="medium">
        <color theme="2" tint="-0.499984740745262"/>
      </top>
      <bottom style="thin">
        <color theme="2" tint="-0.24994659260841701"/>
      </bottom>
      <diagonal/>
    </border>
    <border>
      <left/>
      <right style="thin">
        <color theme="2" tint="-0.24994659260841701"/>
      </right>
      <top style="thick">
        <color theme="2" tint="-0.499984740745262"/>
      </top>
      <bottom style="thin">
        <color theme="2" tint="-0.24994659260841701"/>
      </bottom>
      <diagonal/>
    </border>
    <border>
      <left style="thin">
        <color theme="2" tint="-0.24994659260841701"/>
      </left>
      <right/>
      <top style="medium">
        <color theme="2" tint="-0.499984740745262"/>
      </top>
      <bottom style="thin">
        <color theme="2" tint="-0.24994659260841701"/>
      </bottom>
      <diagonal/>
    </border>
    <border>
      <left style="thin">
        <color theme="2" tint="-0.24994659260841701"/>
      </left>
      <right/>
      <top style="thick">
        <color theme="2" tint="-0.499984740745262"/>
      </top>
      <bottom style="thin">
        <color theme="2" tint="-0.24994659260841701"/>
      </bottom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/>
      <top style="thin">
        <color theme="2" tint="-0.499984740745262"/>
      </top>
      <bottom style="thick">
        <color theme="2" tint="-0.499984740745262"/>
      </bottom>
      <diagonal/>
    </border>
    <border>
      <left/>
      <right style="thin">
        <color theme="2" tint="-0.499984740745262"/>
      </right>
      <top style="thin">
        <color theme="2" tint="-0.499984740745262"/>
      </top>
      <bottom style="thick">
        <color theme="2" tint="-0.499984740745262"/>
      </bottom>
      <diagonal/>
    </border>
    <border>
      <left style="medium">
        <color theme="0" tint="-0.14993743705557422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thick">
        <color theme="7"/>
      </left>
      <right/>
      <top style="thick">
        <color theme="7"/>
      </top>
      <bottom/>
      <diagonal/>
    </border>
    <border>
      <left/>
      <right/>
      <top style="thick">
        <color theme="7"/>
      </top>
      <bottom/>
      <diagonal/>
    </border>
    <border>
      <left/>
      <right style="thick">
        <color theme="7"/>
      </right>
      <top style="thick">
        <color theme="7"/>
      </top>
      <bottom/>
      <diagonal/>
    </border>
    <border>
      <left style="thick">
        <color theme="7"/>
      </left>
      <right/>
      <top/>
      <bottom/>
      <diagonal/>
    </border>
    <border>
      <left/>
      <right style="thick">
        <color theme="7"/>
      </right>
      <top/>
      <bottom/>
      <diagonal/>
    </border>
    <border>
      <left style="thick">
        <color theme="7"/>
      </left>
      <right/>
      <top/>
      <bottom style="thick">
        <color theme="7"/>
      </bottom>
      <diagonal/>
    </border>
    <border>
      <left/>
      <right/>
      <top/>
      <bottom style="thick">
        <color theme="7"/>
      </bottom>
      <diagonal/>
    </border>
    <border>
      <left/>
      <right style="thick">
        <color theme="7"/>
      </right>
      <top/>
      <bottom style="thick">
        <color theme="7"/>
      </bottom>
      <diagonal/>
    </border>
    <border>
      <left style="thin">
        <color theme="2" tint="-0.24994659260841701"/>
      </left>
      <right style="thin">
        <color theme="2" tint="-0.24994659260841701"/>
      </right>
      <top style="thick">
        <color theme="2" tint="-0.499984740745262"/>
      </top>
      <bottom style="thick">
        <color theme="2" tint="-0.499984740745262"/>
      </bottom>
      <diagonal/>
    </border>
    <border>
      <left/>
      <right/>
      <top style="thick">
        <color theme="2" tint="-0.499984740745262"/>
      </top>
      <bottom style="thin">
        <color theme="2" tint="-0.24994659260841701"/>
      </bottom>
      <diagonal/>
    </border>
    <border>
      <left/>
      <right style="thick">
        <color theme="2" tint="-0.499984740745262"/>
      </right>
      <top style="thick">
        <color theme="2" tint="-0.499984740745262"/>
      </top>
      <bottom style="thin">
        <color theme="2" tint="-0.24994659260841701"/>
      </bottom>
      <diagonal/>
    </border>
    <border>
      <left/>
      <right style="thin">
        <color theme="2" tint="-0.499984740745262"/>
      </right>
      <top style="thin">
        <color theme="2" tint="-0.499984740745262"/>
      </top>
      <bottom/>
      <diagonal/>
    </border>
    <border>
      <left style="thick">
        <color theme="2" tint="-0.499984740745262"/>
      </left>
      <right style="thin">
        <color theme="2" tint="-0.24994659260841701"/>
      </right>
      <top style="thick">
        <color theme="2" tint="-0.499984740745262"/>
      </top>
      <bottom style="thick">
        <color theme="2" tint="-0.499984740745262"/>
      </bottom>
      <diagonal/>
    </border>
    <border>
      <left style="thin">
        <color theme="2" tint="-0.24994659260841701"/>
      </left>
      <right/>
      <top style="thick">
        <color theme="2" tint="-0.499984740745262"/>
      </top>
      <bottom style="thick">
        <color theme="2" tint="-0.499984740745262"/>
      </bottom>
      <diagonal/>
    </border>
    <border>
      <left/>
      <right/>
      <top style="thick">
        <color theme="2" tint="-0.499984740745262"/>
      </top>
      <bottom style="thick">
        <color theme="2" tint="-0.499984740745262"/>
      </bottom>
      <diagonal/>
    </border>
    <border>
      <left/>
      <right style="thin">
        <color theme="2" tint="-0.24994659260841701"/>
      </right>
      <top style="thick">
        <color theme="2" tint="-0.499984740745262"/>
      </top>
      <bottom style="thick">
        <color theme="2" tint="-0.499984740745262"/>
      </bottom>
      <diagonal/>
    </border>
    <border>
      <left/>
      <right style="thick">
        <color theme="2" tint="-0.499984740745262"/>
      </right>
      <top style="thick">
        <color theme="2" tint="-0.499984740745262"/>
      </top>
      <bottom style="thick">
        <color theme="2" tint="-0.499984740745262"/>
      </bottom>
      <diagonal/>
    </border>
    <border>
      <left style="thin">
        <color theme="2" tint="-0.499984740745262"/>
      </left>
      <right/>
      <top/>
      <bottom style="thick">
        <color theme="2" tint="-0.499984740745262"/>
      </bottom>
      <diagonal/>
    </border>
    <border>
      <left/>
      <right style="thin">
        <color theme="2" tint="-0.499984740745262"/>
      </right>
      <top/>
      <bottom style="thick">
        <color theme="2" tint="-0.499984740745262"/>
      </bottom>
      <diagonal/>
    </border>
    <border>
      <left style="thin">
        <color theme="2" tint="-0.499984740745262"/>
      </left>
      <right style="thick">
        <color theme="2" tint="-0.499984740745262"/>
      </right>
      <top style="thin">
        <color theme="2" tint="-0.499984740745262"/>
      </top>
      <bottom style="thin">
        <color theme="2" tint="-0.24994659260841701"/>
      </bottom>
      <diagonal/>
    </border>
    <border>
      <left style="thin">
        <color theme="2" tint="-0.499984740745262"/>
      </left>
      <right style="thick">
        <color theme="2" tint="-0.499984740745262"/>
      </right>
      <top style="thin">
        <color theme="2" tint="-0.24994659260841701"/>
      </top>
      <bottom style="thin">
        <color theme="2" tint="-0.24994659260841701"/>
      </bottom>
      <diagonal/>
    </border>
    <border>
      <left style="thin">
        <color theme="2" tint="-0.499984740745262"/>
      </left>
      <right style="thick">
        <color theme="2" tint="-0.499984740745262"/>
      </right>
      <top style="thin">
        <color theme="2" tint="-0.24994659260841701"/>
      </top>
      <bottom style="thin">
        <color theme="2" tint="-0.499984740745262"/>
      </bottom>
      <diagonal/>
    </border>
    <border>
      <left style="thick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indexed="64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indexed="64"/>
      </bottom>
      <diagonal/>
    </border>
    <border>
      <left/>
      <right/>
      <top style="thin">
        <color theme="2" tint="-0.499984740745262"/>
      </top>
      <bottom style="thin">
        <color indexed="64"/>
      </bottom>
      <diagonal/>
    </border>
    <border>
      <left style="thin">
        <color theme="2" tint="-0.499984740745262"/>
      </left>
      <right/>
      <top style="thin">
        <color theme="2" tint="-0.499984740745262"/>
      </top>
      <bottom style="thin">
        <color indexed="64"/>
      </bottom>
      <diagonal/>
    </border>
    <border>
      <left/>
      <right style="thick">
        <color theme="2" tint="-0.499984740745262"/>
      </right>
      <top style="thin">
        <color theme="2" tint="-0.499984740745262"/>
      </top>
      <bottom style="thin">
        <color indexed="64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indexed="64"/>
      </bottom>
      <diagonal/>
    </border>
    <border>
      <left style="medium">
        <color theme="2" tint="-0.499984740745262"/>
      </left>
      <right style="thick">
        <color theme="2" tint="-0.499984740745262"/>
      </right>
      <top/>
      <bottom style="thin">
        <color indexed="64"/>
      </bottom>
      <diagonal/>
    </border>
    <border>
      <left style="thick">
        <color theme="2" tint="-0.499984740745262"/>
      </left>
      <right style="thin">
        <color theme="2" tint="-0.24994659260841701"/>
      </right>
      <top style="thin">
        <color theme="2" tint="-0.24994659260841701"/>
      </top>
      <bottom style="thin">
        <color indexed="64"/>
      </bottom>
      <diagonal/>
    </border>
    <border>
      <left style="thin">
        <color theme="2" tint="-0.24994659260841701"/>
      </left>
      <right/>
      <top style="thin">
        <color theme="2" tint="-0.24994659260841701"/>
      </top>
      <bottom style="thin">
        <color indexed="64"/>
      </bottom>
      <diagonal/>
    </border>
    <border>
      <left/>
      <right/>
      <top style="thin">
        <color theme="2" tint="-0.24994659260841701"/>
      </top>
      <bottom style="thin">
        <color indexed="64"/>
      </bottom>
      <diagonal/>
    </border>
    <border>
      <left/>
      <right style="thin">
        <color theme="2" tint="-0.24994659260841701"/>
      </right>
      <top style="thin">
        <color theme="2" tint="-0.24994659260841701"/>
      </top>
      <bottom style="thin">
        <color indexed="64"/>
      </bottom>
      <diagonal/>
    </border>
    <border>
      <left style="thin">
        <color theme="2" tint="-0.24994659260841701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ck">
        <color theme="2" tint="-0.499984740745262"/>
      </right>
      <top/>
      <bottom style="thin">
        <color indexed="64"/>
      </bottom>
      <diagonal/>
    </border>
    <border>
      <left style="thick">
        <color theme="2" tint="-0.499984740745262"/>
      </left>
      <right/>
      <top/>
      <bottom style="thin">
        <color indexed="64"/>
      </bottom>
      <diagonal/>
    </border>
    <border>
      <left style="thick">
        <color theme="2" tint="-0.499984740745262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ck">
        <color theme="2" tint="-0.499984740745262"/>
      </right>
      <top style="thin">
        <color indexed="64"/>
      </top>
      <bottom/>
      <diagonal/>
    </border>
    <border>
      <left style="thick">
        <color theme="0" tint="-0.499984740745262"/>
      </left>
      <right style="thick">
        <color theme="0" tint="-0.499984740745262"/>
      </right>
      <top/>
      <bottom style="thin">
        <color indexed="64"/>
      </bottom>
      <diagonal/>
    </border>
    <border>
      <left style="thick">
        <color theme="0" tint="-0.499984740745262"/>
      </left>
      <right/>
      <top/>
      <bottom style="thin">
        <color indexed="64"/>
      </bottom>
      <diagonal/>
    </border>
    <border>
      <left/>
      <right style="thick">
        <color theme="0" tint="-0.499984740745262"/>
      </right>
      <top/>
      <bottom style="thin">
        <color indexed="64"/>
      </bottom>
      <diagonal/>
    </border>
    <border>
      <left/>
      <right style="medium">
        <color theme="2" tint="-0.499984740745262"/>
      </right>
      <top/>
      <bottom style="thin">
        <color indexed="64"/>
      </bottom>
      <diagonal/>
    </border>
    <border>
      <left style="thick">
        <color theme="2" tint="-0.499984740745262"/>
      </left>
      <right style="thin">
        <color theme="2" tint="-0.24994659260841701"/>
      </right>
      <top style="thin">
        <color theme="2" tint="-0.24994659260841701"/>
      </top>
      <bottom style="medium">
        <color auto="1"/>
      </bottom>
      <diagonal/>
    </border>
    <border>
      <left style="thin">
        <color theme="2" tint="-0.24994659260841701"/>
      </left>
      <right style="thick">
        <color theme="2" tint="-0.499984740745262"/>
      </right>
      <top style="thin">
        <color theme="2" tint="-0.24994659260841701"/>
      </top>
      <bottom style="medium">
        <color auto="1"/>
      </bottom>
      <diagonal/>
    </border>
  </borders>
  <cellStyleXfs count="4">
    <xf numFmtId="0" fontId="0" fillId="0" borderId="0"/>
    <xf numFmtId="0" fontId="4" fillId="2" borderId="0"/>
    <xf numFmtId="0" fontId="10" fillId="3" borderId="1" applyNumberFormat="0" applyAlignment="0" applyProtection="0"/>
    <xf numFmtId="0" fontId="59" fillId="0" borderId="0" applyNumberFormat="0" applyFill="0" applyBorder="0" applyAlignment="0" applyProtection="0"/>
  </cellStyleXfs>
  <cellXfs count="581">
    <xf numFmtId="0" fontId="0" fillId="0" borderId="0" xfId="0"/>
    <xf numFmtId="0" fontId="8" fillId="0" borderId="0" xfId="0" applyNumberFormat="1" applyFont="1" applyFill="1" applyAlignment="1" applyProtection="1">
      <alignment horizontal="center" vertical="center"/>
      <protection hidden="1"/>
    </xf>
    <xf numFmtId="0" fontId="8" fillId="0" borderId="0" xfId="0" applyNumberFormat="1" applyFont="1" applyFill="1" applyAlignment="1" applyProtection="1">
      <alignment vertical="center"/>
      <protection hidden="1"/>
    </xf>
    <xf numFmtId="0" fontId="8" fillId="0" borderId="0" xfId="0" applyNumberFormat="1" applyFont="1" applyFill="1" applyBorder="1" applyAlignment="1" applyProtection="1">
      <alignment horizontal="center" vertical="center"/>
      <protection hidden="1"/>
    </xf>
    <xf numFmtId="0" fontId="8" fillId="0" borderId="0" xfId="0" applyNumberFormat="1" applyFont="1" applyFill="1" applyBorder="1" applyAlignment="1" applyProtection="1">
      <alignment vertical="center"/>
      <protection hidden="1"/>
    </xf>
    <xf numFmtId="0" fontId="8" fillId="0" borderId="0" xfId="0" applyNumberFormat="1" applyFont="1"/>
    <xf numFmtId="0" fontId="10" fillId="3" borderId="1" xfId="2" applyNumberFormat="1" applyAlignment="1" applyProtection="1">
      <alignment horizontal="center" vertical="center" readingOrder="1"/>
    </xf>
    <xf numFmtId="0" fontId="8" fillId="0" borderId="0" xfId="0" applyNumberFormat="1" applyFont="1" applyFill="1" applyBorder="1" applyAlignment="1" applyProtection="1">
      <alignment horizontal="center" vertical="center"/>
      <protection hidden="1"/>
    </xf>
    <xf numFmtId="0" fontId="11" fillId="0" borderId="2" xfId="0" applyNumberFormat="1" applyFont="1" applyFill="1" applyBorder="1" applyAlignment="1" applyProtection="1">
      <alignment horizontal="center" vertical="center"/>
      <protection hidden="1"/>
    </xf>
    <xf numFmtId="0" fontId="11" fillId="0" borderId="3" xfId="0" applyNumberFormat="1" applyFont="1" applyFill="1" applyBorder="1" applyAlignment="1" applyProtection="1">
      <alignment horizontal="center" vertical="center"/>
      <protection hidden="1"/>
    </xf>
    <xf numFmtId="0" fontId="11" fillId="0" borderId="4" xfId="0" applyNumberFormat="1" applyFont="1" applyFill="1" applyBorder="1" applyAlignment="1" applyProtection="1">
      <alignment horizontal="center" vertical="center"/>
      <protection hidden="1"/>
    </xf>
    <xf numFmtId="0" fontId="13" fillId="0" borderId="0" xfId="0" applyNumberFormat="1" applyFont="1" applyFill="1" applyBorder="1" applyAlignment="1" applyProtection="1">
      <alignment horizontal="center" vertical="center"/>
      <protection hidden="1"/>
    </xf>
    <xf numFmtId="0" fontId="9" fillId="0" borderId="0" xfId="0" applyNumberFormat="1" applyFont="1" applyFill="1" applyAlignment="1" applyProtection="1">
      <alignment horizontal="center" vertical="center"/>
      <protection hidden="1"/>
    </xf>
    <xf numFmtId="0" fontId="8" fillId="0" borderId="5" xfId="0" applyNumberFormat="1" applyFont="1" applyFill="1" applyBorder="1" applyAlignment="1" applyProtection="1">
      <alignment vertical="center"/>
      <protection hidden="1"/>
    </xf>
    <xf numFmtId="0" fontId="8" fillId="0" borderId="6" xfId="0" applyNumberFormat="1" applyFont="1" applyFill="1" applyBorder="1" applyAlignment="1" applyProtection="1">
      <alignment horizontal="center" vertical="center"/>
      <protection hidden="1"/>
    </xf>
    <xf numFmtId="0" fontId="8" fillId="0" borderId="7" xfId="0" applyNumberFormat="1" applyFont="1" applyFill="1" applyBorder="1" applyAlignment="1" applyProtection="1">
      <alignment horizontal="center" vertical="center"/>
      <protection hidden="1"/>
    </xf>
    <xf numFmtId="0" fontId="8" fillId="0" borderId="8" xfId="0" applyNumberFormat="1" applyFont="1" applyFill="1" applyBorder="1" applyAlignment="1" applyProtection="1">
      <alignment vertical="center"/>
      <protection hidden="1"/>
    </xf>
    <xf numFmtId="0" fontId="8" fillId="0" borderId="9" xfId="0" applyNumberFormat="1" applyFont="1" applyFill="1" applyBorder="1" applyAlignment="1" applyProtection="1">
      <alignment horizontal="center" vertical="center"/>
      <protection hidden="1"/>
    </xf>
    <xf numFmtId="0" fontId="5" fillId="0" borderId="0" xfId="0" applyFont="1"/>
    <xf numFmtId="0" fontId="16" fillId="0" borderId="0" xfId="0" applyFont="1"/>
    <xf numFmtId="0" fontId="8" fillId="0" borderId="21" xfId="0" applyNumberFormat="1" applyFont="1" applyFill="1" applyBorder="1" applyAlignment="1" applyProtection="1">
      <alignment horizontal="right" vertical="center" indent="1"/>
      <protection hidden="1"/>
    </xf>
    <xf numFmtId="0" fontId="8" fillId="0" borderId="24" xfId="0" applyNumberFormat="1" applyFont="1" applyFill="1" applyBorder="1" applyAlignment="1" applyProtection="1">
      <alignment horizontal="right" vertical="center" indent="1"/>
      <protection hidden="1"/>
    </xf>
    <xf numFmtId="0" fontId="18" fillId="0" borderId="0" xfId="0" applyFont="1"/>
    <xf numFmtId="0" fontId="5" fillId="0" borderId="0" xfId="0" applyFont="1" applyProtection="1"/>
    <xf numFmtId="0" fontId="8" fillId="0" borderId="23" xfId="0" applyNumberFormat="1" applyFont="1" applyFill="1" applyBorder="1" applyAlignment="1" applyProtection="1">
      <alignment horizontal="left" vertical="center"/>
      <protection hidden="1"/>
    </xf>
    <xf numFmtId="0" fontId="8" fillId="0" borderId="25" xfId="0" applyNumberFormat="1" applyFont="1" applyFill="1" applyBorder="1" applyAlignment="1" applyProtection="1">
      <alignment horizontal="left" vertical="center"/>
      <protection hidden="1"/>
    </xf>
    <xf numFmtId="0" fontId="21" fillId="0" borderId="19" xfId="0" applyFont="1" applyBorder="1" applyAlignment="1">
      <alignment horizontal="center" vertical="center"/>
    </xf>
    <xf numFmtId="0" fontId="28" fillId="7" borderId="18" xfId="0" applyFont="1" applyFill="1" applyBorder="1" applyAlignment="1">
      <alignment horizontal="center" vertical="center"/>
    </xf>
    <xf numFmtId="0" fontId="28" fillId="7" borderId="44" xfId="0" applyFont="1" applyFill="1" applyBorder="1" applyAlignment="1">
      <alignment horizontal="center" vertical="center"/>
    </xf>
    <xf numFmtId="0" fontId="21" fillId="0" borderId="46" xfId="0" applyFont="1" applyBorder="1" applyAlignment="1">
      <alignment horizontal="center" vertical="center"/>
    </xf>
    <xf numFmtId="0" fontId="20" fillId="6" borderId="48" xfId="0" applyFont="1" applyFill="1" applyBorder="1" applyAlignment="1" applyProtection="1">
      <alignment horizontal="center" vertical="center"/>
      <protection locked="0"/>
    </xf>
    <xf numFmtId="0" fontId="20" fillId="6" borderId="45" xfId="0" applyFont="1" applyFill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vertical="top"/>
    </xf>
    <xf numFmtId="0" fontId="28" fillId="7" borderId="43" xfId="0" applyFont="1" applyFill="1" applyBorder="1" applyAlignment="1">
      <alignment horizontal="left" vertical="center" indent="1"/>
    </xf>
    <xf numFmtId="0" fontId="20" fillId="0" borderId="47" xfId="0" applyFont="1" applyBorder="1" applyAlignment="1">
      <alignment horizontal="left" vertical="center" indent="1"/>
    </xf>
    <xf numFmtId="0" fontId="18" fillId="0" borderId="0" xfId="0" applyNumberFormat="1" applyFont="1" applyAlignment="1">
      <alignment horizontal="center"/>
    </xf>
    <xf numFmtId="0" fontId="13" fillId="0" borderId="0" xfId="0" applyNumberFormat="1" applyFont="1" applyFill="1" applyAlignment="1" applyProtection="1">
      <alignment horizontal="center" vertical="center"/>
      <protection hidden="1"/>
    </xf>
    <xf numFmtId="0" fontId="0" fillId="0" borderId="0" xfId="0" applyProtection="1"/>
    <xf numFmtId="0" fontId="33" fillId="0" borderId="0" xfId="0" applyFont="1" applyAlignment="1">
      <alignment horizontal="center" vertical="center" wrapText="1"/>
    </xf>
    <xf numFmtId="0" fontId="2" fillId="0" borderId="0" xfId="0" applyFont="1" applyFill="1" applyBorder="1" applyAlignment="1" applyProtection="1">
      <alignment horizontal="center" vertical="center"/>
    </xf>
    <xf numFmtId="0" fontId="0" fillId="0" borderId="0" xfId="0" applyProtection="1"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0" xfId="0" applyFill="1" applyBorder="1" applyAlignment="1" applyProtection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left" vertical="center" indent="1"/>
    </xf>
    <xf numFmtId="0" fontId="0" fillId="9" borderId="63" xfId="0" applyFill="1" applyBorder="1" applyAlignment="1" applyProtection="1">
      <alignment horizontal="left" indent="1"/>
      <protection locked="0"/>
    </xf>
    <xf numFmtId="0" fontId="0" fillId="10" borderId="64" xfId="0" applyFill="1" applyBorder="1" applyAlignment="1" applyProtection="1">
      <alignment horizontal="left" indent="1"/>
      <protection locked="0"/>
    </xf>
    <xf numFmtId="0" fontId="0" fillId="11" borderId="65" xfId="0" applyFill="1" applyBorder="1" applyAlignment="1" applyProtection="1">
      <alignment horizontal="left" indent="1"/>
      <protection locked="0"/>
    </xf>
    <xf numFmtId="0" fontId="35" fillId="0" borderId="56" xfId="0" applyFont="1" applyFill="1" applyBorder="1" applyAlignment="1">
      <alignment horizontal="left" indent="1"/>
    </xf>
    <xf numFmtId="0" fontId="0" fillId="0" borderId="57" xfId="0" applyBorder="1" applyAlignment="1">
      <alignment horizontal="left" indent="1"/>
    </xf>
    <xf numFmtId="0" fontId="0" fillId="0" borderId="69" xfId="0" applyBorder="1" applyAlignment="1">
      <alignment horizontal="left" indent="1"/>
    </xf>
    <xf numFmtId="0" fontId="35" fillId="0" borderId="59" xfId="0" applyFont="1" applyFill="1" applyBorder="1" applyAlignment="1">
      <alignment horizontal="left" indent="1"/>
    </xf>
    <xf numFmtId="0" fontId="0" fillId="0" borderId="0" xfId="0" applyBorder="1" applyAlignment="1">
      <alignment horizontal="left" indent="1"/>
    </xf>
    <xf numFmtId="0" fontId="0" fillId="0" borderId="55" xfId="0" applyBorder="1" applyAlignment="1">
      <alignment horizontal="left" indent="1"/>
    </xf>
    <xf numFmtId="0" fontId="32" fillId="0" borderId="0" xfId="0" applyFont="1" applyFill="1" applyBorder="1"/>
    <xf numFmtId="0" fontId="36" fillId="0" borderId="0" xfId="0" applyFont="1" applyFill="1" applyBorder="1"/>
    <xf numFmtId="0" fontId="0" fillId="10" borderId="66" xfId="0" applyFill="1" applyBorder="1" applyAlignment="1" applyProtection="1">
      <alignment horizontal="left" vertical="top" wrapText="1" indent="1"/>
      <protection locked="0"/>
    </xf>
    <xf numFmtId="0" fontId="0" fillId="0" borderId="0" xfId="0" applyFill="1" applyAlignment="1">
      <alignment vertical="center"/>
    </xf>
    <xf numFmtId="0" fontId="0" fillId="11" borderId="65" xfId="0" applyFill="1" applyBorder="1" applyAlignment="1" applyProtection="1">
      <alignment horizontal="left" vertical="top" wrapText="1" indent="1"/>
      <protection locked="0"/>
    </xf>
    <xf numFmtId="0" fontId="0" fillId="9" borderId="63" xfId="0" applyFill="1" applyBorder="1" applyAlignment="1" applyProtection="1">
      <alignment horizontal="left" vertical="top" wrapText="1" indent="1"/>
      <protection locked="0"/>
    </xf>
    <xf numFmtId="0" fontId="0" fillId="10" borderId="64" xfId="0" applyFill="1" applyBorder="1" applyAlignment="1" applyProtection="1">
      <alignment horizontal="left" vertical="top" wrapText="1" indent="1"/>
      <protection locked="0"/>
    </xf>
    <xf numFmtId="0" fontId="0" fillId="10" borderId="71" xfId="0" applyFill="1" applyBorder="1" applyAlignment="1" applyProtection="1">
      <alignment horizontal="left" vertical="top" wrapText="1" indent="1"/>
      <protection locked="0"/>
    </xf>
    <xf numFmtId="0" fontId="0" fillId="10" borderId="60" xfId="0" applyFill="1" applyBorder="1" applyAlignment="1" applyProtection="1">
      <alignment horizontal="left" vertical="top" indent="1"/>
      <protection locked="0"/>
    </xf>
    <xf numFmtId="0" fontId="0" fillId="11" borderId="67" xfId="0" applyFill="1" applyBorder="1" applyAlignment="1" applyProtection="1">
      <alignment horizontal="left" vertical="top" indent="1"/>
      <protection locked="0"/>
    </xf>
    <xf numFmtId="0" fontId="0" fillId="9" borderId="73" xfId="0" applyFill="1" applyBorder="1" applyAlignment="1" applyProtection="1">
      <alignment horizontal="left" vertical="top" indent="1"/>
      <protection locked="0"/>
    </xf>
    <xf numFmtId="0" fontId="0" fillId="10" borderId="68" xfId="0" applyFill="1" applyBorder="1" applyAlignment="1" applyProtection="1">
      <alignment horizontal="left" vertical="top" wrapText="1" indent="1"/>
      <protection locked="0"/>
    </xf>
    <xf numFmtId="0" fontId="4" fillId="9" borderId="63" xfId="0" applyFont="1" applyFill="1" applyBorder="1" applyAlignment="1" applyProtection="1">
      <alignment horizontal="left" vertical="center" indent="1"/>
      <protection locked="0"/>
    </xf>
    <xf numFmtId="0" fontId="4" fillId="11" borderId="65" xfId="0" applyFont="1" applyFill="1" applyBorder="1" applyAlignment="1" applyProtection="1">
      <alignment horizontal="left" vertical="center" indent="1"/>
      <protection locked="0"/>
    </xf>
    <xf numFmtId="0" fontId="4" fillId="11" borderId="65" xfId="0" applyFont="1" applyFill="1" applyBorder="1" applyAlignment="1" applyProtection="1">
      <alignment horizontal="left" vertical="top" wrapText="1" indent="1"/>
      <protection locked="0"/>
    </xf>
    <xf numFmtId="0" fontId="4" fillId="9" borderId="63" xfId="0" applyFont="1" applyFill="1" applyBorder="1" applyAlignment="1" applyProtection="1">
      <alignment horizontal="left" indent="1"/>
      <protection locked="0"/>
    </xf>
    <xf numFmtId="0" fontId="4" fillId="11" borderId="65" xfId="0" applyFont="1" applyFill="1" applyBorder="1" applyAlignment="1" applyProtection="1">
      <alignment horizontal="left" indent="1"/>
      <protection locked="0"/>
    </xf>
    <xf numFmtId="0" fontId="4" fillId="11" borderId="65" xfId="0" applyFont="1" applyFill="1" applyBorder="1" applyAlignment="1">
      <alignment horizontal="left" indent="1"/>
    </xf>
    <xf numFmtId="0" fontId="4" fillId="10" borderId="64" xfId="0" applyFont="1" applyFill="1" applyBorder="1" applyAlignment="1" applyProtection="1">
      <alignment horizontal="left" indent="1"/>
      <protection locked="0"/>
    </xf>
    <xf numFmtId="0" fontId="4" fillId="9" borderId="70" xfId="0" applyFont="1" applyFill="1" applyBorder="1" applyAlignment="1" applyProtection="1">
      <alignment horizontal="left" vertical="top" indent="1"/>
      <protection locked="0"/>
    </xf>
    <xf numFmtId="0" fontId="4" fillId="11" borderId="65" xfId="0" applyFont="1" applyFill="1" applyBorder="1" applyAlignment="1" applyProtection="1">
      <alignment horizontal="left" vertical="top" indent="1"/>
      <protection locked="0"/>
    </xf>
    <xf numFmtId="0" fontId="4" fillId="0" borderId="0" xfId="0" applyFont="1"/>
    <xf numFmtId="0" fontId="31" fillId="0" borderId="0" xfId="0" applyFont="1" applyBorder="1" applyAlignment="1">
      <alignment horizontal="left" vertical="center" wrapText="1"/>
    </xf>
    <xf numFmtId="0" fontId="4" fillId="9" borderId="72" xfId="0" applyFont="1" applyFill="1" applyBorder="1" applyAlignment="1" applyProtection="1">
      <alignment horizontal="left" vertical="top" indent="1"/>
      <protection locked="0"/>
    </xf>
    <xf numFmtId="0" fontId="1" fillId="10" borderId="54" xfId="0" applyFont="1" applyFill="1" applyBorder="1" applyAlignment="1" applyProtection="1">
      <alignment horizontal="center" vertical="center"/>
      <protection locked="0"/>
    </xf>
    <xf numFmtId="0" fontId="4" fillId="11" borderId="59" xfId="0" applyFont="1" applyFill="1" applyBorder="1" applyAlignment="1" applyProtection="1">
      <alignment horizontal="left" vertical="top" indent="1"/>
      <protection locked="0"/>
    </xf>
    <xf numFmtId="0" fontId="4" fillId="9" borderId="62" xfId="0" applyFont="1" applyFill="1" applyBorder="1" applyAlignment="1" applyProtection="1">
      <alignment horizontal="left" vertical="top" wrapText="1" indent="1"/>
      <protection locked="0"/>
    </xf>
    <xf numFmtId="0" fontId="4" fillId="11" borderId="61" xfId="0" applyFont="1" applyFill="1" applyBorder="1" applyAlignment="1" applyProtection="1">
      <alignment horizontal="left" vertical="top" wrapText="1" indent="1"/>
      <protection locked="0"/>
    </xf>
    <xf numFmtId="0" fontId="18" fillId="0" borderId="0" xfId="0" applyNumberFormat="1" applyFont="1" applyAlignment="1">
      <alignment horizontal="center" vertical="center"/>
    </xf>
    <xf numFmtId="0" fontId="28" fillId="9" borderId="0" xfId="0" applyNumberFormat="1" applyFont="1" applyFill="1" applyAlignment="1">
      <alignment horizontal="center"/>
    </xf>
    <xf numFmtId="0" fontId="4" fillId="9" borderId="63" xfId="0" applyFont="1" applyFill="1" applyBorder="1" applyAlignment="1" applyProtection="1">
      <alignment horizontal="left" vertical="top" wrapText="1" indent="1"/>
      <protection locked="0"/>
    </xf>
    <xf numFmtId="0" fontId="8" fillId="0" borderId="22" xfId="0" applyNumberFormat="1" applyFont="1" applyFill="1" applyBorder="1" applyAlignment="1" applyProtection="1">
      <alignment horizontal="center" vertical="center"/>
      <protection hidden="1"/>
    </xf>
    <xf numFmtId="14" fontId="26" fillId="0" borderId="0" xfId="0" applyNumberFormat="1" applyFont="1" applyAlignment="1">
      <alignment horizontal="left" vertical="top"/>
    </xf>
    <xf numFmtId="0" fontId="26" fillId="0" borderId="0" xfId="0" applyFont="1" applyAlignment="1">
      <alignment vertical="center"/>
    </xf>
    <xf numFmtId="0" fontId="41" fillId="0" borderId="0" xfId="0" applyNumberFormat="1" applyFont="1" applyFill="1" applyAlignment="1" applyProtection="1">
      <alignment horizontal="center" vertical="center"/>
      <protection hidden="1"/>
    </xf>
    <xf numFmtId="0" fontId="4" fillId="9" borderId="72" xfId="0" applyFont="1" applyFill="1" applyBorder="1" applyAlignment="1" applyProtection="1">
      <alignment horizontal="left" vertical="top" wrapText="1" indent="1"/>
      <protection locked="0"/>
    </xf>
    <xf numFmtId="0" fontId="4" fillId="11" borderId="59" xfId="0" applyFont="1" applyFill="1" applyBorder="1" applyAlignment="1" applyProtection="1">
      <alignment horizontal="left" vertical="top" wrapText="1" indent="1"/>
      <protection locked="0"/>
    </xf>
    <xf numFmtId="164" fontId="23" fillId="0" borderId="28" xfId="0" applyNumberFormat="1" applyFont="1" applyBorder="1" applyAlignment="1">
      <alignment horizontal="center" vertical="center"/>
    </xf>
    <xf numFmtId="0" fontId="4" fillId="9" borderId="79" xfId="0" applyFont="1" applyFill="1" applyBorder="1" applyAlignment="1" applyProtection="1">
      <alignment horizontal="left" vertical="top" wrapText="1" indent="1"/>
      <protection locked="0"/>
    </xf>
    <xf numFmtId="0" fontId="43" fillId="0" borderId="0" xfId="0" applyFont="1" applyBorder="1" applyAlignment="1">
      <alignment horizontal="left" vertical="center" wrapText="1"/>
    </xf>
    <xf numFmtId="0" fontId="44" fillId="0" borderId="0" xfId="0" applyFont="1" applyAlignment="1">
      <alignment horizontal="right" indent="1"/>
    </xf>
    <xf numFmtId="164" fontId="23" fillId="0" borderId="40" xfId="0" applyNumberFormat="1" applyFont="1" applyBorder="1" applyAlignment="1">
      <alignment horizontal="center" vertical="center"/>
    </xf>
    <xf numFmtId="0" fontId="21" fillId="0" borderId="80" xfId="0" applyFont="1" applyBorder="1" applyAlignment="1">
      <alignment horizontal="right" vertical="center"/>
    </xf>
    <xf numFmtId="0" fontId="21" fillId="0" borderId="81" xfId="0" applyFont="1" applyBorder="1" applyAlignment="1">
      <alignment horizontal="center" vertical="center"/>
    </xf>
    <xf numFmtId="0" fontId="21" fillId="0" borderId="83" xfId="0" applyFont="1" applyBorder="1" applyAlignment="1">
      <alignment horizontal="left" vertical="center"/>
    </xf>
    <xf numFmtId="0" fontId="45" fillId="0" borderId="0" xfId="0" applyNumberFormat="1" applyFont="1" applyAlignment="1">
      <alignment horizontal="center" vertical="center"/>
    </xf>
    <xf numFmtId="0" fontId="0" fillId="0" borderId="86" xfId="0" applyBorder="1"/>
    <xf numFmtId="0" fontId="0" fillId="0" borderId="87" xfId="0" applyBorder="1" applyAlignment="1">
      <alignment horizontal="left" indent="1"/>
    </xf>
    <xf numFmtId="0" fontId="0" fillId="0" borderId="74" xfId="0" applyBorder="1"/>
    <xf numFmtId="0" fontId="0" fillId="0" borderId="75" xfId="0" applyBorder="1" applyAlignment="1">
      <alignment horizontal="left" indent="1"/>
    </xf>
    <xf numFmtId="0" fontId="8" fillId="0" borderId="89" xfId="0" applyNumberFormat="1" applyFont="1" applyFill="1" applyBorder="1" applyAlignment="1" applyProtection="1">
      <alignment vertical="center"/>
      <protection hidden="1"/>
    </xf>
    <xf numFmtId="0" fontId="8" fillId="0" borderId="88" xfId="0" applyNumberFormat="1" applyFont="1" applyFill="1" applyBorder="1" applyAlignment="1" applyProtection="1">
      <alignment horizontal="center" vertical="center"/>
      <protection hidden="1"/>
    </xf>
    <xf numFmtId="0" fontId="6" fillId="0" borderId="0" xfId="0" applyFont="1" applyAlignment="1">
      <alignment vertical="center" shrinkToFit="1"/>
    </xf>
    <xf numFmtId="0" fontId="24" fillId="0" borderId="0" xfId="0" applyFont="1" applyAlignment="1"/>
    <xf numFmtId="3" fontId="8" fillId="0" borderId="0" xfId="0" applyNumberFormat="1" applyFont="1" applyFill="1" applyBorder="1" applyAlignment="1" applyProtection="1">
      <alignment horizontal="center" vertical="center"/>
      <protection hidden="1"/>
    </xf>
    <xf numFmtId="0" fontId="10" fillId="3" borderId="1" xfId="2" applyNumberFormat="1" applyBorder="1" applyAlignment="1" applyProtection="1">
      <alignment horizontal="center" vertical="center" readingOrder="1"/>
    </xf>
    <xf numFmtId="0" fontId="8" fillId="0" borderId="0" xfId="0" applyNumberFormat="1" applyFont="1" applyFill="1" applyBorder="1" applyAlignment="1" applyProtection="1">
      <alignment horizontal="center" vertical="center"/>
      <protection hidden="1"/>
    </xf>
    <xf numFmtId="0" fontId="37" fillId="0" borderId="0" xfId="0" applyFont="1" applyFill="1" applyBorder="1" applyAlignment="1"/>
    <xf numFmtId="0" fontId="5" fillId="0" borderId="0" xfId="0" applyFont="1" applyFill="1" applyBorder="1"/>
    <xf numFmtId="0" fontId="6" fillId="0" borderId="0" xfId="0" applyFont="1" applyFill="1" applyBorder="1" applyAlignment="1">
      <alignment vertical="center" shrinkToFit="1"/>
    </xf>
    <xf numFmtId="0" fontId="5" fillId="0" borderId="0" xfId="0" applyFont="1" applyFill="1" applyBorder="1" applyAlignment="1">
      <alignment shrinkToFit="1"/>
    </xf>
    <xf numFmtId="0" fontId="15" fillId="0" borderId="0" xfId="0" applyFont="1" applyFill="1" applyBorder="1" applyAlignment="1">
      <alignment horizontal="center" vertical="center" shrinkToFit="1"/>
    </xf>
    <xf numFmtId="165" fontId="15" fillId="0" borderId="0" xfId="0" applyNumberFormat="1" applyFont="1" applyFill="1" applyBorder="1" applyAlignment="1">
      <alignment vertical="center" shrinkToFit="1"/>
    </xf>
    <xf numFmtId="0" fontId="6" fillId="0" borderId="0" xfId="0" applyFont="1" applyFill="1" applyBorder="1" applyAlignment="1">
      <alignment horizontal="center" vertical="center" shrinkToFit="1"/>
    </xf>
    <xf numFmtId="0" fontId="17" fillId="0" borderId="0" xfId="0" applyFont="1" applyFill="1" applyBorder="1" applyAlignment="1">
      <alignment horizontal="center" vertical="center" shrinkToFit="1"/>
    </xf>
    <xf numFmtId="165" fontId="29" fillId="0" borderId="0" xfId="0" applyNumberFormat="1" applyFont="1" applyAlignment="1"/>
    <xf numFmtId="166" fontId="49" fillId="0" borderId="85" xfId="0" applyNumberFormat="1" applyFont="1" applyBorder="1" applyAlignment="1">
      <alignment horizontal="center" vertical="center" shrinkToFit="1"/>
    </xf>
    <xf numFmtId="0" fontId="14" fillId="0" borderId="29" xfId="0" applyFont="1" applyBorder="1" applyAlignment="1">
      <alignment horizontal="center" vertical="center" shrinkToFit="1"/>
    </xf>
    <xf numFmtId="0" fontId="14" fillId="0" borderId="28" xfId="0" applyFont="1" applyBorder="1" applyAlignment="1">
      <alignment horizontal="center" vertical="center" shrinkToFit="1"/>
    </xf>
    <xf numFmtId="0" fontId="14" fillId="4" borderId="29" xfId="0" applyFont="1" applyFill="1" applyBorder="1" applyAlignment="1">
      <alignment horizontal="center" vertical="center" shrinkToFit="1"/>
    </xf>
    <xf numFmtId="0" fontId="14" fillId="0" borderId="30" xfId="0" applyFont="1" applyBorder="1" applyAlignment="1">
      <alignment horizontal="center" vertical="center" shrinkToFit="1"/>
    </xf>
    <xf numFmtId="0" fontId="14" fillId="0" borderId="32" xfId="0" applyFont="1" applyBorder="1" applyAlignment="1">
      <alignment horizontal="center" vertical="center" shrinkToFit="1"/>
    </xf>
    <xf numFmtId="0" fontId="14" fillId="0" borderId="31" xfId="0" applyFont="1" applyBorder="1" applyAlignment="1">
      <alignment horizontal="center" vertical="center" shrinkToFit="1"/>
    </xf>
    <xf numFmtId="0" fontId="14" fillId="4" borderId="33" xfId="0" applyFont="1" applyFill="1" applyBorder="1" applyAlignment="1">
      <alignment horizontal="center" vertical="center" shrinkToFit="1"/>
    </xf>
    <xf numFmtId="0" fontId="14" fillId="0" borderId="12" xfId="0" applyFont="1" applyBorder="1" applyAlignment="1">
      <alignment vertical="center" shrinkToFit="1"/>
    </xf>
    <xf numFmtId="0" fontId="14" fillId="0" borderId="12" xfId="0" applyFont="1" applyBorder="1" applyAlignment="1">
      <alignment horizontal="center" vertical="center" shrinkToFit="1"/>
    </xf>
    <xf numFmtId="0" fontId="14" fillId="6" borderId="16" xfId="0" applyFont="1" applyFill="1" applyBorder="1" applyAlignment="1" applyProtection="1">
      <alignment horizontal="right" vertical="center" shrinkToFit="1"/>
      <protection locked="0"/>
    </xf>
    <xf numFmtId="0" fontId="14" fillId="6" borderId="13" xfId="0" applyFont="1" applyFill="1" applyBorder="1" applyAlignment="1" applyProtection="1">
      <alignment horizontal="left" vertical="center" shrinkToFit="1"/>
      <protection locked="0"/>
    </xf>
    <xf numFmtId="0" fontId="8" fillId="0" borderId="26" xfId="0" applyNumberFormat="1" applyFont="1" applyFill="1" applyBorder="1" applyAlignment="1" applyProtection="1">
      <alignment horizontal="right" vertical="center" indent="1"/>
      <protection hidden="1"/>
    </xf>
    <xf numFmtId="0" fontId="8" fillId="0" borderId="27" xfId="0" applyNumberFormat="1" applyFont="1" applyFill="1" applyBorder="1" applyAlignment="1" applyProtection="1">
      <alignment horizontal="left" vertical="center"/>
      <protection hidden="1"/>
    </xf>
    <xf numFmtId="0" fontId="8" fillId="0" borderId="0" xfId="0" applyNumberFormat="1" applyFont="1" applyFill="1" applyAlignment="1" applyProtection="1">
      <alignment horizontal="left" vertical="center"/>
      <protection hidden="1"/>
    </xf>
    <xf numFmtId="0" fontId="8" fillId="0" borderId="5" xfId="0" applyNumberFormat="1" applyFont="1" applyFill="1" applyBorder="1" applyAlignment="1" applyProtection="1">
      <alignment horizontal="left" vertical="center"/>
      <protection hidden="1"/>
    </xf>
    <xf numFmtId="0" fontId="8" fillId="0" borderId="6" xfId="0" applyNumberFormat="1" applyFont="1" applyFill="1" applyBorder="1" applyAlignment="1" applyProtection="1">
      <alignment horizontal="left" vertical="center"/>
      <protection hidden="1"/>
    </xf>
    <xf numFmtId="0" fontId="8" fillId="0" borderId="8" xfId="0" applyNumberFormat="1" applyFont="1" applyFill="1" applyBorder="1" applyAlignment="1" applyProtection="1">
      <alignment horizontal="left" vertical="center"/>
      <protection hidden="1"/>
    </xf>
    <xf numFmtId="0" fontId="8" fillId="0" borderId="0" xfId="0" applyNumberFormat="1" applyFont="1" applyFill="1" applyBorder="1" applyAlignment="1" applyProtection="1">
      <alignment horizontal="left" vertical="center"/>
      <protection hidden="1"/>
    </xf>
    <xf numFmtId="0" fontId="8" fillId="0" borderId="0" xfId="0" applyNumberFormat="1" applyFont="1" applyAlignment="1">
      <alignment horizontal="left"/>
    </xf>
    <xf numFmtId="0" fontId="0" fillId="0" borderId="0" xfId="0" applyAlignment="1">
      <alignment horizontal="left"/>
    </xf>
    <xf numFmtId="165" fontId="30" fillId="0" borderId="0" xfId="0" applyNumberFormat="1" applyFont="1" applyBorder="1" applyAlignment="1">
      <alignment horizontal="center"/>
    </xf>
    <xf numFmtId="165" fontId="50" fillId="0" borderId="0" xfId="0" applyNumberFormat="1" applyFont="1" applyBorder="1" applyAlignment="1">
      <alignment horizontal="center"/>
    </xf>
    <xf numFmtId="0" fontId="14" fillId="0" borderId="0" xfId="0" applyFont="1" applyFill="1" applyBorder="1" applyAlignment="1">
      <alignment horizontal="center" vertical="center" shrinkToFit="1"/>
    </xf>
    <xf numFmtId="0" fontId="14" fillId="4" borderId="95" xfId="0" applyFont="1" applyFill="1" applyBorder="1" applyAlignment="1">
      <alignment horizontal="center" vertical="center" shrinkToFit="1"/>
    </xf>
    <xf numFmtId="0" fontId="14" fillId="0" borderId="96" xfId="0" applyFont="1" applyBorder="1" applyAlignment="1">
      <alignment horizontal="center" vertical="center" shrinkToFit="1"/>
    </xf>
    <xf numFmtId="0" fontId="14" fillId="0" borderId="97" xfId="0" applyFont="1" applyBorder="1" applyAlignment="1">
      <alignment horizontal="center" vertical="center" shrinkToFit="1"/>
    </xf>
    <xf numFmtId="0" fontId="5" fillId="0" borderId="92" xfId="0" applyFont="1" applyBorder="1" applyAlignment="1">
      <alignment horizontal="center" vertical="center" shrinkToFit="1"/>
    </xf>
    <xf numFmtId="0" fontId="5" fillId="0" borderId="78" xfId="0" applyFont="1" applyBorder="1" applyAlignment="1">
      <alignment horizontal="center" vertical="center" shrinkToFit="1"/>
    </xf>
    <xf numFmtId="0" fontId="5" fillId="0" borderId="98" xfId="0" applyFont="1" applyBorder="1" applyAlignment="1">
      <alignment horizontal="center" vertical="center" shrinkToFit="1"/>
    </xf>
    <xf numFmtId="165" fontId="15" fillId="5" borderId="93" xfId="0" applyNumberFormat="1" applyFont="1" applyFill="1" applyBorder="1" applyAlignment="1">
      <alignment vertical="center" shrinkToFit="1"/>
    </xf>
    <xf numFmtId="165" fontId="15" fillId="5" borderId="32" xfId="0" applyNumberFormat="1" applyFont="1" applyFill="1" applyBorder="1" applyAlignment="1">
      <alignment vertical="center" shrinkToFit="1"/>
    </xf>
    <xf numFmtId="165" fontId="15" fillId="5" borderId="99" xfId="0" applyNumberFormat="1" applyFont="1" applyFill="1" applyBorder="1" applyAlignment="1">
      <alignment vertical="center" shrinkToFit="1"/>
    </xf>
    <xf numFmtId="0" fontId="9" fillId="0" borderId="0" xfId="0" applyNumberFormat="1" applyFont="1" applyFill="1" applyAlignment="1" applyProtection="1">
      <alignment horizontal="left" vertical="center"/>
      <protection hidden="1"/>
    </xf>
    <xf numFmtId="0" fontId="51" fillId="0" borderId="0" xfId="0" applyNumberFormat="1" applyFont="1" applyFill="1" applyAlignment="1" applyProtection="1">
      <alignment vertical="top" wrapText="1"/>
      <protection hidden="1"/>
    </xf>
    <xf numFmtId="0" fontId="5" fillId="0" borderId="0" xfId="0" applyFont="1" applyFill="1" applyBorder="1" applyAlignment="1">
      <alignment horizontal="center" vertical="center" shrinkToFit="1"/>
    </xf>
    <xf numFmtId="0" fontId="14" fillId="0" borderId="0" xfId="0" applyFont="1" applyFill="1" applyBorder="1" applyAlignment="1">
      <alignment horizontal="right" vertical="center" indent="1" shrinkToFit="1"/>
    </xf>
    <xf numFmtId="0" fontId="40" fillId="0" borderId="0" xfId="0" applyNumberFormat="1" applyFont="1" applyFill="1" applyBorder="1" applyAlignment="1">
      <alignment vertical="top"/>
    </xf>
    <xf numFmtId="164" fontId="14" fillId="0" borderId="100" xfId="0" applyNumberFormat="1" applyFont="1" applyBorder="1" applyAlignment="1">
      <alignment horizontal="center" vertical="center" shrinkToFit="1"/>
    </xf>
    <xf numFmtId="0" fontId="14" fillId="0" borderId="101" xfId="0" applyFont="1" applyBorder="1" applyAlignment="1">
      <alignment horizontal="left" vertical="center" shrinkToFit="1"/>
    </xf>
    <xf numFmtId="164" fontId="14" fillId="0" borderId="102" xfId="0" applyNumberFormat="1" applyFont="1" applyBorder="1" applyAlignment="1">
      <alignment horizontal="center" vertical="center" shrinkToFit="1"/>
    </xf>
    <xf numFmtId="0" fontId="14" fillId="0" borderId="41" xfId="0" applyFont="1" applyBorder="1" applyAlignment="1">
      <alignment horizontal="left" vertical="center" shrinkToFit="1"/>
    </xf>
    <xf numFmtId="164" fontId="14" fillId="0" borderId="103" xfId="0" applyNumberFormat="1" applyFont="1" applyBorder="1" applyAlignment="1">
      <alignment horizontal="center" vertical="center" shrinkToFit="1"/>
    </xf>
    <xf numFmtId="0" fontId="14" fillId="0" borderId="104" xfId="0" applyFont="1" applyBorder="1" applyAlignment="1">
      <alignment horizontal="left" vertical="center" shrinkToFit="1"/>
    </xf>
    <xf numFmtId="166" fontId="48" fillId="6" borderId="109" xfId="0" applyNumberFormat="1" applyFont="1" applyFill="1" applyBorder="1" applyAlignment="1" applyProtection="1">
      <alignment horizontal="center" vertical="center"/>
      <protection locked="0"/>
    </xf>
    <xf numFmtId="166" fontId="48" fillId="6" borderId="30" xfId="0" applyNumberFormat="1" applyFont="1" applyFill="1" applyBorder="1" applyAlignment="1" applyProtection="1">
      <alignment horizontal="center" vertical="center"/>
      <protection locked="0"/>
    </xf>
    <xf numFmtId="0" fontId="21" fillId="6" borderId="109" xfId="0" applyFont="1" applyFill="1" applyBorder="1" applyAlignment="1" applyProtection="1">
      <alignment vertical="center"/>
      <protection locked="0"/>
    </xf>
    <xf numFmtId="0" fontId="21" fillId="6" borderId="30" xfId="0" applyFont="1" applyFill="1" applyBorder="1" applyAlignment="1" applyProtection="1">
      <alignment vertical="center"/>
      <protection locked="0"/>
    </xf>
    <xf numFmtId="0" fontId="21" fillId="6" borderId="33" xfId="0" applyFont="1" applyFill="1" applyBorder="1" applyAlignment="1" applyProtection="1">
      <alignment vertical="center"/>
      <protection locked="0"/>
    </xf>
    <xf numFmtId="0" fontId="8" fillId="0" borderId="74" xfId="0" applyNumberFormat="1" applyFont="1" applyFill="1" applyBorder="1" applyAlignment="1" applyProtection="1">
      <alignment vertical="center"/>
      <protection hidden="1"/>
    </xf>
    <xf numFmtId="0" fontId="20" fillId="0" borderId="85" xfId="0" applyFont="1" applyBorder="1" applyAlignment="1">
      <alignment horizontal="left" vertical="center" indent="1"/>
    </xf>
    <xf numFmtId="0" fontId="21" fillId="0" borderId="20" xfId="0" applyFont="1" applyBorder="1" applyAlignment="1">
      <alignment horizontal="center" vertical="center"/>
    </xf>
    <xf numFmtId="0" fontId="20" fillId="0" borderId="110" xfId="0" applyFont="1" applyBorder="1" applyAlignment="1">
      <alignment horizontal="left" vertical="center" indent="1"/>
    </xf>
    <xf numFmtId="0" fontId="20" fillId="6" borderId="111" xfId="0" applyFont="1" applyFill="1" applyBorder="1" applyAlignment="1" applyProtection="1">
      <alignment horizontal="center" vertical="center"/>
      <protection locked="0"/>
    </xf>
    <xf numFmtId="0" fontId="37" fillId="0" borderId="0" xfId="0" applyFont="1" applyAlignment="1" applyProtection="1">
      <alignment horizontal="center" vertical="center" wrapText="1"/>
    </xf>
    <xf numFmtId="165" fontId="27" fillId="0" borderId="0" xfId="0" applyNumberFormat="1" applyFont="1" applyBorder="1" applyAlignment="1">
      <alignment horizontal="left" vertical="center" wrapText="1"/>
    </xf>
    <xf numFmtId="165" fontId="30" fillId="0" borderId="0" xfId="0" applyNumberFormat="1" applyFont="1" applyBorder="1" applyAlignment="1">
      <alignment horizontal="center"/>
    </xf>
    <xf numFmtId="0" fontId="16" fillId="0" borderId="0" xfId="0" applyFont="1" applyAlignment="1"/>
    <xf numFmtId="0" fontId="37" fillId="0" borderId="0" xfId="0" applyFont="1" applyAlignment="1"/>
    <xf numFmtId="0" fontId="53" fillId="0" borderId="0" xfId="0" applyFont="1" applyAlignment="1">
      <alignment horizontal="left" vertical="center"/>
    </xf>
    <xf numFmtId="14" fontId="53" fillId="0" borderId="0" xfId="0" applyNumberFormat="1" applyFont="1" applyAlignment="1">
      <alignment horizontal="left" vertical="top"/>
    </xf>
    <xf numFmtId="165" fontId="46" fillId="0" borderId="0" xfId="0" applyNumberFormat="1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shrinkToFit="1"/>
    </xf>
    <xf numFmtId="165" fontId="14" fillId="0" borderId="0" xfId="0" applyNumberFormat="1" applyFont="1" applyFill="1" applyBorder="1" applyAlignment="1">
      <alignment vertical="center" shrinkToFit="1"/>
    </xf>
    <xf numFmtId="164" fontId="18" fillId="0" borderId="0" xfId="0" applyNumberFormat="1" applyFont="1" applyAlignment="1">
      <alignment horizontal="center" vertical="center"/>
    </xf>
    <xf numFmtId="1" fontId="18" fillId="0" borderId="0" xfId="0" applyNumberFormat="1" applyFont="1"/>
    <xf numFmtId="1" fontId="24" fillId="0" borderId="0" xfId="0" applyNumberFormat="1" applyFont="1" applyAlignment="1"/>
    <xf numFmtId="0" fontId="18" fillId="0" borderId="0" xfId="0" applyNumberFormat="1" applyFont="1"/>
    <xf numFmtId="0" fontId="24" fillId="0" borderId="0" xfId="0" applyNumberFormat="1" applyFont="1" applyAlignment="1"/>
    <xf numFmtId="1" fontId="18" fillId="0" borderId="119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9" fillId="5" borderId="118" xfId="0" applyFont="1" applyFill="1" applyBorder="1" applyAlignment="1">
      <alignment horizontal="center" vertical="center"/>
    </xf>
    <xf numFmtId="0" fontId="5" fillId="0" borderId="19" xfId="0" applyFont="1" applyBorder="1" applyAlignment="1">
      <alignment horizontal="center" vertical="center" shrinkToFit="1"/>
    </xf>
    <xf numFmtId="0" fontId="54" fillId="5" borderId="18" xfId="0" applyFont="1" applyFill="1" applyBorder="1" applyAlignment="1">
      <alignment horizontal="center" vertical="center"/>
    </xf>
    <xf numFmtId="0" fontId="14" fillId="0" borderId="119" xfId="0" applyFont="1" applyBorder="1" applyAlignment="1">
      <alignment horizontal="center" vertical="center"/>
    </xf>
    <xf numFmtId="0" fontId="54" fillId="5" borderId="43" xfId="0" applyFont="1" applyFill="1" applyBorder="1" applyAlignment="1">
      <alignment horizontal="center" vertical="center"/>
    </xf>
    <xf numFmtId="0" fontId="49" fillId="0" borderId="0" xfId="0" applyFont="1"/>
    <xf numFmtId="0" fontId="54" fillId="5" borderId="84" xfId="0" applyFont="1" applyFill="1" applyBorder="1" applyAlignment="1">
      <alignment horizontal="center" vertical="center" shrinkToFit="1"/>
    </xf>
    <xf numFmtId="0" fontId="54" fillId="5" borderId="76" xfId="0" applyFont="1" applyFill="1" applyBorder="1" applyAlignment="1">
      <alignment horizontal="center" vertical="center" shrinkToFit="1"/>
    </xf>
    <xf numFmtId="0" fontId="54" fillId="5" borderId="116" xfId="0" applyFont="1" applyFill="1" applyBorder="1" applyAlignment="1">
      <alignment horizontal="center" vertical="center" shrinkToFit="1"/>
    </xf>
    <xf numFmtId="0" fontId="54" fillId="5" borderId="77" xfId="0" applyFont="1" applyFill="1" applyBorder="1" applyAlignment="1">
      <alignment horizontal="center" vertical="center" shrinkToFit="1"/>
    </xf>
    <xf numFmtId="0" fontId="19" fillId="5" borderId="84" xfId="0" applyFont="1" applyFill="1" applyBorder="1" applyAlignment="1">
      <alignment horizontal="right" vertical="center" indent="1"/>
    </xf>
    <xf numFmtId="0" fontId="19" fillId="5" borderId="77" xfId="0" applyFont="1" applyFill="1" applyBorder="1" applyAlignment="1">
      <alignment vertical="center"/>
    </xf>
    <xf numFmtId="0" fontId="21" fillId="6" borderId="117" xfId="0" applyFont="1" applyFill="1" applyBorder="1" applyAlignment="1" applyProtection="1">
      <alignment horizontal="left" vertical="center" indent="1"/>
      <protection locked="0"/>
    </xf>
    <xf numFmtId="0" fontId="21" fillId="6" borderId="35" xfId="0" applyFont="1" applyFill="1" applyBorder="1" applyAlignment="1" applyProtection="1">
      <alignment horizontal="left" vertical="center" indent="1"/>
      <protection locked="0"/>
    </xf>
    <xf numFmtId="0" fontId="21" fillId="6" borderId="37" xfId="0" applyFont="1" applyFill="1" applyBorder="1" applyAlignment="1" applyProtection="1">
      <alignment horizontal="left" vertical="center" indent="1"/>
      <protection locked="0"/>
    </xf>
    <xf numFmtId="0" fontId="19" fillId="5" borderId="116" xfId="0" applyFont="1" applyFill="1" applyBorder="1" applyAlignment="1">
      <alignment horizontal="left" vertical="center" indent="1"/>
    </xf>
    <xf numFmtId="164" fontId="21" fillId="0" borderId="108" xfId="0" applyNumberFormat="1" applyFont="1" applyFill="1" applyBorder="1" applyAlignment="1">
      <alignment horizontal="right" vertical="center" indent="1"/>
    </xf>
    <xf numFmtId="164" fontId="21" fillId="0" borderId="28" xfId="0" applyNumberFormat="1" applyFont="1" applyFill="1" applyBorder="1" applyAlignment="1">
      <alignment horizontal="right" vertical="center" indent="1"/>
    </xf>
    <xf numFmtId="164" fontId="21" fillId="0" borderId="31" xfId="0" applyNumberFormat="1" applyFont="1" applyFill="1" applyBorder="1" applyAlignment="1">
      <alignment horizontal="right" vertical="center" indent="1"/>
    </xf>
    <xf numFmtId="0" fontId="19" fillId="5" borderId="84" xfId="0" applyFont="1" applyFill="1" applyBorder="1" applyAlignment="1">
      <alignment horizontal="center" vertical="center"/>
    </xf>
    <xf numFmtId="0" fontId="19" fillId="5" borderId="77" xfId="0" applyFont="1" applyFill="1" applyBorder="1" applyAlignment="1">
      <alignment horizontal="center" vertical="center"/>
    </xf>
    <xf numFmtId="165" fontId="55" fillId="0" borderId="0" xfId="0" applyNumberFormat="1" applyFont="1" applyAlignment="1">
      <alignment horizontal="right" vertical="center" indent="1"/>
    </xf>
    <xf numFmtId="164" fontId="8" fillId="0" borderId="49" xfId="0" applyNumberFormat="1" applyFont="1" applyFill="1" applyBorder="1" applyAlignment="1" applyProtection="1">
      <alignment horizontal="right" vertical="center" indent="1"/>
      <protection hidden="1"/>
    </xf>
    <xf numFmtId="164" fontId="8" fillId="0" borderId="50" xfId="0" applyNumberFormat="1" applyFont="1" applyFill="1" applyBorder="1" applyAlignment="1" applyProtection="1">
      <alignment horizontal="right" vertical="center" indent="1"/>
      <protection hidden="1"/>
    </xf>
    <xf numFmtId="0" fontId="56" fillId="6" borderId="29" xfId="0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0" xfId="0" applyAlignment="1" applyProtection="1">
      <alignment vertical="top" wrapText="1"/>
      <protection locked="0"/>
    </xf>
    <xf numFmtId="0" fontId="0" fillId="10" borderId="55" xfId="0" applyFill="1" applyBorder="1" applyAlignment="1" applyProtection="1">
      <alignment horizontal="left" indent="1"/>
      <protection locked="0"/>
    </xf>
    <xf numFmtId="165" fontId="30" fillId="0" borderId="0" xfId="0" applyNumberFormat="1" applyFont="1" applyBorder="1" applyAlignment="1">
      <alignment horizontal="center"/>
    </xf>
    <xf numFmtId="0" fontId="17" fillId="0" borderId="0" xfId="0" applyFont="1" applyFill="1" applyBorder="1" applyAlignment="1">
      <alignment horizontal="center" vertical="center" shrinkToFit="1"/>
    </xf>
    <xf numFmtId="0" fontId="42" fillId="0" borderId="0" xfId="0" applyFont="1" applyBorder="1" applyAlignment="1" applyProtection="1">
      <alignment horizontal="center"/>
    </xf>
    <xf numFmtId="0" fontId="14" fillId="0" borderId="0" xfId="0" applyFont="1" applyBorder="1" applyAlignment="1">
      <alignment horizontal="center" vertical="center" shrinkToFit="1"/>
    </xf>
    <xf numFmtId="0" fontId="54" fillId="5" borderId="128" xfId="0" applyFont="1" applyFill="1" applyBorder="1" applyAlignment="1">
      <alignment horizontal="center" vertical="center" shrinkToFit="1"/>
    </xf>
    <xf numFmtId="0" fontId="0" fillId="0" borderId="133" xfId="0" applyBorder="1" applyAlignment="1">
      <alignment horizontal="center"/>
    </xf>
    <xf numFmtId="0" fontId="0" fillId="0" borderId="87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75" xfId="0" applyBorder="1" applyAlignment="1">
      <alignment horizontal="center"/>
    </xf>
    <xf numFmtId="0" fontId="14" fillId="6" borderId="19" xfId="0" applyFont="1" applyFill="1" applyBorder="1" applyAlignment="1" applyProtection="1">
      <alignment horizontal="center" vertical="center" shrinkToFit="1"/>
      <protection locked="0"/>
    </xf>
    <xf numFmtId="0" fontId="14" fillId="6" borderId="130" xfId="0" applyFont="1" applyFill="1" applyBorder="1" applyAlignment="1" applyProtection="1">
      <alignment horizontal="center" vertical="center" shrinkToFit="1"/>
      <protection locked="0"/>
    </xf>
    <xf numFmtId="0" fontId="14" fillId="0" borderId="129" xfId="0" applyFont="1" applyFill="1" applyBorder="1" applyAlignment="1">
      <alignment horizontal="center" vertical="center" shrinkToFit="1"/>
    </xf>
    <xf numFmtId="0" fontId="14" fillId="0" borderId="126" xfId="0" applyFont="1" applyFill="1" applyBorder="1" applyAlignment="1">
      <alignment horizontal="center" vertical="center" shrinkToFit="1"/>
    </xf>
    <xf numFmtId="0" fontId="14" fillId="0" borderId="127" xfId="0" applyFont="1" applyFill="1" applyBorder="1" applyAlignment="1">
      <alignment horizontal="center" vertical="center" shrinkToFit="1"/>
    </xf>
    <xf numFmtId="0" fontId="20" fillId="6" borderId="135" xfId="0" applyFont="1" applyFill="1" applyBorder="1" applyAlignment="1" applyProtection="1">
      <alignment horizontal="center" vertical="center"/>
      <protection locked="0"/>
    </xf>
    <xf numFmtId="164" fontId="0" fillId="0" borderId="24" xfId="0" applyNumberFormat="1" applyBorder="1" applyAlignment="1">
      <alignment horizontal="right" indent="1"/>
    </xf>
    <xf numFmtId="0" fontId="0" fillId="0" borderId="0" xfId="0" applyBorder="1"/>
    <xf numFmtId="0" fontId="0" fillId="6" borderId="117" xfId="0" applyFill="1" applyBorder="1" applyAlignment="1" applyProtection="1">
      <alignment horizontal="center"/>
      <protection locked="0"/>
    </xf>
    <xf numFmtId="0" fontId="22" fillId="6" borderId="136" xfId="0" applyFont="1" applyFill="1" applyBorder="1" applyAlignment="1">
      <alignment horizontal="center" vertical="center"/>
    </xf>
    <xf numFmtId="0" fontId="0" fillId="6" borderId="137" xfId="0" applyFill="1" applyBorder="1" applyAlignment="1" applyProtection="1">
      <alignment horizontal="center"/>
      <protection locked="0"/>
    </xf>
    <xf numFmtId="0" fontId="0" fillId="6" borderId="35" xfId="0" applyFill="1" applyBorder="1" applyAlignment="1" applyProtection="1">
      <alignment horizontal="center"/>
      <protection locked="0"/>
    </xf>
    <xf numFmtId="0" fontId="22" fillId="6" borderId="38" xfId="0" applyFont="1" applyFill="1" applyBorder="1" applyAlignment="1">
      <alignment horizontal="center" vertical="center"/>
    </xf>
    <xf numFmtId="0" fontId="0" fillId="6" borderId="34" xfId="0" applyFill="1" applyBorder="1" applyAlignment="1" applyProtection="1">
      <alignment horizontal="center"/>
      <protection locked="0"/>
    </xf>
    <xf numFmtId="164" fontId="23" fillId="0" borderId="138" xfId="0" applyNumberFormat="1" applyFont="1" applyBorder="1" applyAlignment="1">
      <alignment horizontal="center" vertical="center"/>
    </xf>
    <xf numFmtId="0" fontId="22" fillId="6" borderId="113" xfId="0" applyFont="1" applyFill="1" applyBorder="1" applyAlignment="1">
      <alignment horizontal="center" vertical="center"/>
    </xf>
    <xf numFmtId="0" fontId="21" fillId="0" borderId="139" xfId="0" applyFont="1" applyBorder="1" applyAlignment="1">
      <alignment horizontal="right" vertical="center"/>
    </xf>
    <xf numFmtId="0" fontId="21" fillId="0" borderId="0" xfId="0" applyFont="1" applyBorder="1" applyAlignment="1">
      <alignment horizontal="center" vertical="center"/>
    </xf>
    <xf numFmtId="0" fontId="21" fillId="0" borderId="25" xfId="0" applyFont="1" applyBorder="1" applyAlignment="1">
      <alignment horizontal="left" vertical="center"/>
    </xf>
    <xf numFmtId="0" fontId="0" fillId="0" borderId="0" xfId="0" applyBorder="1" applyAlignment="1">
      <alignment horizontal="center"/>
    </xf>
    <xf numFmtId="0" fontId="5" fillId="0" borderId="134" xfId="0" applyFont="1" applyBorder="1" applyAlignment="1">
      <alignment horizontal="center" vertical="center" shrinkToFit="1"/>
    </xf>
    <xf numFmtId="166" fontId="49" fillId="0" borderId="141" xfId="0" applyNumberFormat="1" applyFont="1" applyBorder="1" applyAlignment="1">
      <alignment horizontal="center" vertical="center" shrinkToFit="1"/>
    </xf>
    <xf numFmtId="0" fontId="14" fillId="0" borderId="52" xfId="0" applyFont="1" applyBorder="1" applyAlignment="1">
      <alignment vertical="center" shrinkToFit="1"/>
    </xf>
    <xf numFmtId="0" fontId="14" fillId="0" borderId="52" xfId="0" applyFont="1" applyBorder="1" applyAlignment="1">
      <alignment horizontal="center" vertical="center" shrinkToFit="1"/>
    </xf>
    <xf numFmtId="0" fontId="14" fillId="6" borderId="51" xfId="0" applyFont="1" applyFill="1" applyBorder="1" applyAlignment="1" applyProtection="1">
      <alignment horizontal="right" vertical="center" shrinkToFit="1"/>
      <protection locked="0"/>
    </xf>
    <xf numFmtId="0" fontId="14" fillId="6" borderId="142" xfId="0" applyFont="1" applyFill="1" applyBorder="1" applyAlignment="1" applyProtection="1">
      <alignment horizontal="left" vertical="center" shrinkToFit="1"/>
      <protection locked="0"/>
    </xf>
    <xf numFmtId="0" fontId="14" fillId="6" borderId="134" xfId="0" applyFont="1" applyFill="1" applyBorder="1" applyAlignment="1" applyProtection="1">
      <alignment horizontal="center" vertical="center" shrinkToFit="1"/>
      <protection locked="0"/>
    </xf>
    <xf numFmtId="0" fontId="14" fillId="6" borderId="143" xfId="0" applyFont="1" applyFill="1" applyBorder="1" applyAlignment="1" applyProtection="1">
      <alignment horizontal="center" vertical="center" shrinkToFit="1"/>
      <protection locked="0"/>
    </xf>
    <xf numFmtId="1" fontId="18" fillId="0" borderId="144" xfId="0" applyNumberFormat="1" applyFont="1" applyBorder="1" applyAlignment="1">
      <alignment horizontal="center" vertical="center"/>
    </xf>
    <xf numFmtId="0" fontId="0" fillId="6" borderId="112" xfId="0" applyFill="1" applyBorder="1" applyAlignment="1" applyProtection="1">
      <alignment horizontal="center"/>
      <protection locked="0"/>
    </xf>
    <xf numFmtId="0" fontId="0" fillId="6" borderId="114" xfId="0" applyFill="1" applyBorder="1" applyAlignment="1" applyProtection="1">
      <alignment horizontal="center"/>
      <protection locked="0"/>
    </xf>
    <xf numFmtId="1" fontId="18" fillId="0" borderId="145" xfId="0" applyNumberFormat="1" applyFont="1" applyBorder="1" applyAlignment="1">
      <alignment horizontal="center" vertical="center"/>
    </xf>
    <xf numFmtId="164" fontId="23" fillId="0" borderId="146" xfId="0" applyNumberFormat="1" applyFont="1" applyBorder="1" applyAlignment="1">
      <alignment horizontal="center" vertical="center"/>
    </xf>
    <xf numFmtId="0" fontId="0" fillId="6" borderId="147" xfId="0" applyFill="1" applyBorder="1" applyAlignment="1" applyProtection="1">
      <alignment horizontal="center"/>
      <protection locked="0"/>
    </xf>
    <xf numFmtId="0" fontId="22" fillId="6" borderId="148" xfId="0" applyFont="1" applyFill="1" applyBorder="1" applyAlignment="1">
      <alignment horizontal="center" vertical="center"/>
    </xf>
    <xf numFmtId="0" fontId="0" fillId="6" borderId="149" xfId="0" applyFill="1" applyBorder="1" applyAlignment="1" applyProtection="1">
      <alignment horizontal="center"/>
      <protection locked="0"/>
    </xf>
    <xf numFmtId="0" fontId="21" fillId="0" borderId="147" xfId="0" applyFont="1" applyBorder="1" applyAlignment="1">
      <alignment horizontal="right" vertical="center"/>
    </xf>
    <xf numFmtId="0" fontId="21" fillId="0" borderId="148" xfId="0" applyFont="1" applyBorder="1" applyAlignment="1">
      <alignment horizontal="center" vertical="center"/>
    </xf>
    <xf numFmtId="0" fontId="21" fillId="0" borderId="150" xfId="0" applyFont="1" applyBorder="1" applyAlignment="1">
      <alignment horizontal="left" vertical="center"/>
    </xf>
    <xf numFmtId="166" fontId="48" fillId="6" borderId="151" xfId="0" applyNumberFormat="1" applyFont="1" applyFill="1" applyBorder="1" applyAlignment="1" applyProtection="1">
      <alignment horizontal="center" vertical="center"/>
      <protection locked="0"/>
    </xf>
    <xf numFmtId="0" fontId="54" fillId="5" borderId="116" xfId="0" applyFont="1" applyFill="1" applyBorder="1" applyAlignment="1">
      <alignment horizontal="center" vertical="center" shrinkToFit="1"/>
    </xf>
    <xf numFmtId="0" fontId="14" fillId="0" borderId="145" xfId="0" applyFont="1" applyBorder="1" applyAlignment="1">
      <alignment horizontal="center" vertical="center"/>
    </xf>
    <xf numFmtId="0" fontId="5" fillId="0" borderId="152" xfId="0" applyFont="1" applyBorder="1" applyAlignment="1">
      <alignment horizontal="center" vertical="center" shrinkToFit="1"/>
    </xf>
    <xf numFmtId="166" fontId="49" fillId="0" borderId="153" xfId="0" applyNumberFormat="1" applyFont="1" applyBorder="1" applyAlignment="1">
      <alignment horizontal="center" vertical="center" shrinkToFit="1"/>
    </xf>
    <xf numFmtId="0" fontId="14" fillId="0" borderId="154" xfId="0" applyFont="1" applyBorder="1" applyAlignment="1">
      <alignment vertical="center" shrinkToFit="1"/>
    </xf>
    <xf numFmtId="0" fontId="14" fillId="0" borderId="154" xfId="0" applyFont="1" applyBorder="1" applyAlignment="1">
      <alignment horizontal="center" vertical="center" shrinkToFit="1"/>
    </xf>
    <xf numFmtId="0" fontId="14" fillId="6" borderId="155" xfId="0" applyFont="1" applyFill="1" applyBorder="1" applyAlignment="1" applyProtection="1">
      <alignment horizontal="right" vertical="center" shrinkToFit="1"/>
      <protection locked="0"/>
    </xf>
    <xf numFmtId="0" fontId="14" fillId="6" borderId="156" xfId="0" applyFont="1" applyFill="1" applyBorder="1" applyAlignment="1" applyProtection="1">
      <alignment horizontal="left" vertical="center" shrinkToFit="1"/>
      <protection locked="0"/>
    </xf>
    <xf numFmtId="0" fontId="14" fillId="6" borderId="152" xfId="0" applyFont="1" applyFill="1" applyBorder="1" applyAlignment="1" applyProtection="1">
      <alignment horizontal="center" vertical="center" shrinkToFit="1"/>
      <protection locked="0"/>
    </xf>
    <xf numFmtId="0" fontId="14" fillId="6" borderId="157" xfId="0" applyFont="1" applyFill="1" applyBorder="1" applyAlignment="1" applyProtection="1">
      <alignment horizontal="center" vertical="center" shrinkToFit="1"/>
      <protection locked="0"/>
    </xf>
    <xf numFmtId="0" fontId="0" fillId="0" borderId="25" xfId="0" applyBorder="1" applyAlignment="1">
      <alignment horizontal="center"/>
    </xf>
    <xf numFmtId="164" fontId="14" fillId="0" borderId="0" xfId="0" applyNumberFormat="1" applyFont="1" applyFill="1" applyBorder="1" applyAlignment="1">
      <alignment horizontal="center" vertical="center" shrinkToFit="1"/>
    </xf>
    <xf numFmtId="0" fontId="14" fillId="0" borderId="0" xfId="0" applyFont="1" applyFill="1" applyBorder="1" applyAlignment="1">
      <alignment horizontal="left" vertical="center" shrinkToFit="1"/>
    </xf>
    <xf numFmtId="0" fontId="57" fillId="0" borderId="0" xfId="0" applyNumberFormat="1" applyFont="1" applyFill="1" applyBorder="1" applyAlignment="1">
      <alignment vertical="top"/>
    </xf>
    <xf numFmtId="0" fontId="57" fillId="0" borderId="0" xfId="0" applyNumberFormat="1" applyFont="1" applyFill="1" applyBorder="1" applyAlignment="1">
      <alignment horizontal="left" vertical="top"/>
    </xf>
    <xf numFmtId="0" fontId="5" fillId="0" borderId="158" xfId="0" applyFont="1" applyBorder="1" applyAlignment="1">
      <alignment horizontal="center" vertical="center" shrinkToFit="1"/>
    </xf>
    <xf numFmtId="165" fontId="15" fillId="5" borderId="36" xfId="0" applyNumberFormat="1" applyFont="1" applyFill="1" applyBorder="1" applyAlignment="1">
      <alignment vertical="center" shrinkToFit="1"/>
    </xf>
    <xf numFmtId="0" fontId="14" fillId="0" borderId="159" xfId="0" applyFont="1" applyBorder="1" applyAlignment="1">
      <alignment horizontal="center" vertical="center" shrinkToFit="1"/>
    </xf>
    <xf numFmtId="0" fontId="14" fillId="0" borderId="34" xfId="0" applyFont="1" applyBorder="1" applyAlignment="1">
      <alignment horizontal="center" vertical="center" shrinkToFit="1"/>
    </xf>
    <xf numFmtId="0" fontId="14" fillId="0" borderId="36" xfId="0" applyFont="1" applyBorder="1" applyAlignment="1">
      <alignment horizontal="center" vertical="center" shrinkToFit="1"/>
    </xf>
    <xf numFmtId="0" fontId="5" fillId="0" borderId="160" xfId="0" applyFont="1" applyBorder="1" applyAlignment="1">
      <alignment horizontal="center" vertical="center" shrinkToFit="1"/>
    </xf>
    <xf numFmtId="165" fontId="15" fillId="5" borderId="37" xfId="0" applyNumberFormat="1" applyFont="1" applyFill="1" applyBorder="1" applyAlignment="1">
      <alignment vertical="center" shrinkToFit="1"/>
    </xf>
    <xf numFmtId="0" fontId="14" fillId="0" borderId="161" xfId="0" applyFont="1" applyBorder="1" applyAlignment="1">
      <alignment horizontal="center" vertical="center" shrinkToFit="1"/>
    </xf>
    <xf numFmtId="0" fontId="14" fillId="0" borderId="35" xfId="0" applyFont="1" applyBorder="1" applyAlignment="1">
      <alignment horizontal="center" vertical="center" shrinkToFit="1"/>
    </xf>
    <xf numFmtId="0" fontId="14" fillId="0" borderId="37" xfId="0" applyFont="1" applyBorder="1" applyAlignment="1">
      <alignment horizontal="center" vertical="center" shrinkToFit="1"/>
    </xf>
    <xf numFmtId="0" fontId="8" fillId="0" borderId="162" xfId="0" applyNumberFormat="1" applyFont="1" applyFill="1" applyBorder="1" applyAlignment="1" applyProtection="1">
      <alignment horizontal="center" vertical="center"/>
      <protection hidden="1"/>
    </xf>
    <xf numFmtId="0" fontId="0" fillId="0" borderId="74" xfId="0" applyFill="1" applyBorder="1"/>
    <xf numFmtId="0" fontId="0" fillId="0" borderId="75" xfId="0" applyFill="1" applyBorder="1" applyAlignment="1">
      <alignment horizontal="left" indent="1"/>
    </xf>
    <xf numFmtId="0" fontId="0" fillId="0" borderId="140" xfId="0" applyFill="1" applyBorder="1"/>
    <xf numFmtId="0" fontId="0" fillId="0" borderId="140" xfId="0" applyFill="1" applyBorder="1" applyAlignment="1">
      <alignment horizontal="left" indent="1"/>
    </xf>
    <xf numFmtId="168" fontId="12" fillId="0" borderId="0" xfId="0" applyNumberFormat="1" applyFont="1" applyFill="1" applyBorder="1" applyAlignment="1" applyProtection="1">
      <alignment horizontal="right" vertical="center" indent="1"/>
      <protection hidden="1"/>
    </xf>
    <xf numFmtId="168" fontId="14" fillId="0" borderId="0" xfId="0" applyNumberFormat="1" applyFont="1" applyAlignment="1">
      <alignment horizontal="right" indent="1"/>
    </xf>
    <xf numFmtId="164" fontId="14" fillId="12" borderId="120" xfId="0" applyNumberFormat="1" applyFont="1" applyFill="1" applyBorder="1" applyAlignment="1">
      <alignment horizontal="right" vertical="center" indent="1" shrinkToFit="1"/>
    </xf>
    <xf numFmtId="0" fontId="14" fillId="12" borderId="83" xfId="0" applyFont="1" applyFill="1" applyBorder="1" applyAlignment="1">
      <alignment horizontal="left" vertical="center" shrinkToFit="1"/>
    </xf>
    <xf numFmtId="0" fontId="14" fillId="12" borderId="40" xfId="0" applyFont="1" applyFill="1" applyBorder="1" applyAlignment="1">
      <alignment horizontal="center" vertical="center" shrinkToFit="1"/>
    </xf>
    <xf numFmtId="0" fontId="14" fillId="12" borderId="121" xfId="0" applyFont="1" applyFill="1" applyBorder="1" applyAlignment="1">
      <alignment horizontal="center" vertical="center" shrinkToFit="1"/>
    </xf>
    <xf numFmtId="0" fontId="14" fillId="12" borderId="80" xfId="0" applyFont="1" applyFill="1" applyBorder="1" applyAlignment="1">
      <alignment horizontal="center" vertical="center" shrinkToFit="1"/>
    </xf>
    <xf numFmtId="0" fontId="14" fillId="12" borderId="80" xfId="0" applyFont="1" applyFill="1" applyBorder="1" applyAlignment="1">
      <alignment horizontal="right" vertical="center" shrinkToFit="1"/>
    </xf>
    <xf numFmtId="0" fontId="14" fillId="12" borderId="81" xfId="0" applyFont="1" applyFill="1" applyBorder="1" applyAlignment="1">
      <alignment horizontal="center" vertical="center" shrinkToFit="1"/>
    </xf>
    <xf numFmtId="0" fontId="14" fillId="12" borderId="82" xfId="0" applyFont="1" applyFill="1" applyBorder="1" applyAlignment="1">
      <alignment horizontal="left" vertical="center" shrinkToFit="1"/>
    </xf>
    <xf numFmtId="167" fontId="14" fillId="12" borderId="82" xfId="0" applyNumberFormat="1" applyFont="1" applyFill="1" applyBorder="1" applyAlignment="1">
      <alignment horizontal="center" vertical="center" shrinkToFit="1"/>
    </xf>
    <xf numFmtId="0" fontId="14" fillId="12" borderId="81" xfId="0" applyNumberFormat="1" applyFont="1" applyFill="1" applyBorder="1" applyAlignment="1">
      <alignment horizontal="center" vertical="center" shrinkToFit="1"/>
    </xf>
    <xf numFmtId="0" fontId="15" fillId="12" borderId="115" xfId="0" applyFont="1" applyFill="1" applyBorder="1" applyAlignment="1">
      <alignment horizontal="center" vertical="center" shrinkToFit="1"/>
    </xf>
    <xf numFmtId="164" fontId="14" fillId="12" borderId="105" xfId="0" applyNumberFormat="1" applyFont="1" applyFill="1" applyBorder="1" applyAlignment="1">
      <alignment horizontal="right" vertical="center" indent="1" shrinkToFit="1"/>
    </xf>
    <xf numFmtId="0" fontId="14" fillId="12" borderId="41" xfId="0" applyFont="1" applyFill="1" applyBorder="1" applyAlignment="1">
      <alignment horizontal="left" vertical="center" shrinkToFit="1"/>
    </xf>
    <xf numFmtId="0" fontId="14" fillId="12" borderId="28" xfId="0" applyFont="1" applyFill="1" applyBorder="1" applyAlignment="1">
      <alignment horizontal="center" vertical="center" shrinkToFit="1"/>
    </xf>
    <xf numFmtId="0" fontId="14" fillId="12" borderId="29" xfId="0" applyFont="1" applyFill="1" applyBorder="1" applyAlignment="1">
      <alignment horizontal="center" vertical="center" shrinkToFit="1"/>
    </xf>
    <xf numFmtId="0" fontId="14" fillId="12" borderId="35" xfId="0" applyFont="1" applyFill="1" applyBorder="1" applyAlignment="1">
      <alignment horizontal="center" vertical="center" shrinkToFit="1"/>
    </xf>
    <xf numFmtId="0" fontId="14" fillId="12" borderId="35" xfId="0" applyFont="1" applyFill="1" applyBorder="1" applyAlignment="1">
      <alignment horizontal="right" vertical="center" shrinkToFit="1"/>
    </xf>
    <xf numFmtId="0" fontId="14" fillId="12" borderId="38" xfId="0" applyFont="1" applyFill="1" applyBorder="1" applyAlignment="1">
      <alignment horizontal="center" vertical="center" shrinkToFit="1"/>
    </xf>
    <xf numFmtId="0" fontId="14" fillId="12" borderId="34" xfId="0" applyFont="1" applyFill="1" applyBorder="1" applyAlignment="1">
      <alignment horizontal="left" vertical="center" shrinkToFit="1"/>
    </xf>
    <xf numFmtId="167" fontId="14" fillId="12" borderId="34" xfId="0" applyNumberFormat="1" applyFont="1" applyFill="1" applyBorder="1" applyAlignment="1">
      <alignment horizontal="center" vertical="center" shrinkToFit="1"/>
    </xf>
    <xf numFmtId="0" fontId="14" fillId="12" borderId="38" xfId="0" applyNumberFormat="1" applyFont="1" applyFill="1" applyBorder="1" applyAlignment="1">
      <alignment horizontal="center" vertical="center" shrinkToFit="1"/>
    </xf>
    <xf numFmtId="0" fontId="15" fillId="12" borderId="30" xfId="0" applyFont="1" applyFill="1" applyBorder="1" applyAlignment="1">
      <alignment horizontal="center" vertical="center" shrinkToFit="1"/>
    </xf>
    <xf numFmtId="164" fontId="14" fillId="13" borderId="105" xfId="0" applyNumberFormat="1" applyFont="1" applyFill="1" applyBorder="1" applyAlignment="1">
      <alignment horizontal="right" vertical="center" indent="1" shrinkToFit="1"/>
    </xf>
    <xf numFmtId="0" fontId="14" fillId="13" borderId="41" xfId="0" applyFont="1" applyFill="1" applyBorder="1" applyAlignment="1">
      <alignment horizontal="left" vertical="center" shrinkToFit="1"/>
    </xf>
    <xf numFmtId="0" fontId="14" fillId="13" borderId="28" xfId="0" applyFont="1" applyFill="1" applyBorder="1" applyAlignment="1">
      <alignment horizontal="center" vertical="center" shrinkToFit="1"/>
    </xf>
    <xf numFmtId="0" fontId="14" fillId="13" borderId="29" xfId="0" applyFont="1" applyFill="1" applyBorder="1" applyAlignment="1">
      <alignment horizontal="center" vertical="center" shrinkToFit="1"/>
    </xf>
    <xf numFmtId="0" fontId="14" fillId="13" borderId="35" xfId="0" applyFont="1" applyFill="1" applyBorder="1" applyAlignment="1">
      <alignment horizontal="center" vertical="center" shrinkToFit="1"/>
    </xf>
    <xf numFmtId="0" fontId="14" fillId="13" borderId="35" xfId="0" applyFont="1" applyFill="1" applyBorder="1" applyAlignment="1">
      <alignment horizontal="right" vertical="center" shrinkToFit="1"/>
    </xf>
    <xf numFmtId="0" fontId="14" fillId="13" borderId="38" xfId="0" applyFont="1" applyFill="1" applyBorder="1" applyAlignment="1">
      <alignment horizontal="center" vertical="center" shrinkToFit="1"/>
    </xf>
    <xf numFmtId="0" fontId="14" fillId="13" borderId="34" xfId="0" applyFont="1" applyFill="1" applyBorder="1" applyAlignment="1">
      <alignment horizontal="left" vertical="center" shrinkToFit="1"/>
    </xf>
    <xf numFmtId="167" fontId="14" fillId="13" borderId="34" xfId="0" applyNumberFormat="1" applyFont="1" applyFill="1" applyBorder="1" applyAlignment="1">
      <alignment horizontal="center" vertical="center" shrinkToFit="1"/>
    </xf>
    <xf numFmtId="0" fontId="14" fillId="13" borderId="38" xfId="0" applyNumberFormat="1" applyFont="1" applyFill="1" applyBorder="1" applyAlignment="1">
      <alignment horizontal="center" vertical="center" shrinkToFit="1"/>
    </xf>
    <xf numFmtId="0" fontId="15" fillId="13" borderId="30" xfId="0" applyFont="1" applyFill="1" applyBorder="1" applyAlignment="1">
      <alignment horizontal="center" vertical="center" shrinkToFit="1"/>
    </xf>
    <xf numFmtId="164" fontId="14" fillId="8" borderId="105" xfId="0" applyNumberFormat="1" applyFont="1" applyFill="1" applyBorder="1" applyAlignment="1">
      <alignment horizontal="right" vertical="center" indent="1" shrinkToFit="1"/>
    </xf>
    <xf numFmtId="0" fontId="14" fillId="8" borderId="41" xfId="0" applyFont="1" applyFill="1" applyBorder="1" applyAlignment="1">
      <alignment horizontal="left" vertical="center" shrinkToFit="1"/>
    </xf>
    <xf numFmtId="0" fontId="14" fillId="8" borderId="28" xfId="0" applyFont="1" applyFill="1" applyBorder="1" applyAlignment="1">
      <alignment horizontal="center" vertical="center" shrinkToFit="1"/>
    </xf>
    <xf numFmtId="0" fontId="14" fillId="8" borderId="29" xfId="0" applyFont="1" applyFill="1" applyBorder="1" applyAlignment="1">
      <alignment horizontal="center" vertical="center" shrinkToFit="1"/>
    </xf>
    <xf numFmtId="0" fontId="14" fillId="8" borderId="35" xfId="0" applyFont="1" applyFill="1" applyBorder="1" applyAlignment="1">
      <alignment horizontal="center" vertical="center" shrinkToFit="1"/>
    </xf>
    <xf numFmtId="0" fontId="14" fillId="8" borderId="35" xfId="0" applyFont="1" applyFill="1" applyBorder="1" applyAlignment="1">
      <alignment horizontal="right" vertical="center" shrinkToFit="1"/>
    </xf>
    <xf numFmtId="0" fontId="14" fillId="8" borderId="38" xfId="0" applyFont="1" applyFill="1" applyBorder="1" applyAlignment="1">
      <alignment horizontal="center" vertical="center" shrinkToFit="1"/>
    </xf>
    <xf numFmtId="0" fontId="14" fillId="8" borderId="34" xfId="0" applyFont="1" applyFill="1" applyBorder="1" applyAlignment="1">
      <alignment horizontal="left" vertical="center" shrinkToFit="1"/>
    </xf>
    <xf numFmtId="167" fontId="14" fillId="8" borderId="34" xfId="0" applyNumberFormat="1" applyFont="1" applyFill="1" applyBorder="1" applyAlignment="1">
      <alignment horizontal="center" vertical="center" shrinkToFit="1"/>
    </xf>
    <xf numFmtId="0" fontId="14" fillId="8" borderId="38" xfId="0" applyNumberFormat="1" applyFont="1" applyFill="1" applyBorder="1" applyAlignment="1">
      <alignment horizontal="center" vertical="center" shrinkToFit="1"/>
    </xf>
    <xf numFmtId="0" fontId="15" fillId="8" borderId="30" xfId="0" applyFont="1" applyFill="1" applyBorder="1" applyAlignment="1">
      <alignment horizontal="center" vertical="center" shrinkToFit="1"/>
    </xf>
    <xf numFmtId="164" fontId="14" fillId="14" borderId="105" xfId="0" applyNumberFormat="1" applyFont="1" applyFill="1" applyBorder="1" applyAlignment="1">
      <alignment horizontal="right" vertical="center" indent="1" shrinkToFit="1"/>
    </xf>
    <xf numFmtId="0" fontId="14" fillId="14" borderId="41" xfId="0" applyFont="1" applyFill="1" applyBorder="1" applyAlignment="1">
      <alignment horizontal="left" vertical="center" shrinkToFit="1"/>
    </xf>
    <xf numFmtId="0" fontId="14" fillId="14" borderId="28" xfId="0" applyFont="1" applyFill="1" applyBorder="1" applyAlignment="1">
      <alignment horizontal="center" vertical="center" shrinkToFit="1"/>
    </xf>
    <xf numFmtId="0" fontId="14" fillId="14" borderId="29" xfId="0" applyFont="1" applyFill="1" applyBorder="1" applyAlignment="1">
      <alignment horizontal="center" vertical="center" shrinkToFit="1"/>
    </xf>
    <xf numFmtId="0" fontId="14" fillId="14" borderId="35" xfId="0" applyFont="1" applyFill="1" applyBorder="1" applyAlignment="1">
      <alignment horizontal="center" vertical="center" shrinkToFit="1"/>
    </xf>
    <xf numFmtId="0" fontId="14" fillId="14" borderId="35" xfId="0" applyFont="1" applyFill="1" applyBorder="1" applyAlignment="1">
      <alignment horizontal="right" vertical="center" shrinkToFit="1"/>
    </xf>
    <xf numFmtId="0" fontId="14" fillId="14" borderId="38" xfId="0" applyFont="1" applyFill="1" applyBorder="1" applyAlignment="1">
      <alignment horizontal="center" vertical="center" shrinkToFit="1"/>
    </xf>
    <xf numFmtId="0" fontId="14" fillId="14" borderId="34" xfId="0" applyFont="1" applyFill="1" applyBorder="1" applyAlignment="1">
      <alignment horizontal="left" vertical="center" shrinkToFit="1"/>
    </xf>
    <xf numFmtId="167" fontId="14" fillId="14" borderId="34" xfId="0" applyNumberFormat="1" applyFont="1" applyFill="1" applyBorder="1" applyAlignment="1">
      <alignment horizontal="center" vertical="center" shrinkToFit="1"/>
    </xf>
    <xf numFmtId="0" fontId="14" fillId="14" borderId="38" xfId="0" applyNumberFormat="1" applyFont="1" applyFill="1" applyBorder="1" applyAlignment="1">
      <alignment horizontal="center" vertical="center" shrinkToFit="1"/>
    </xf>
    <xf numFmtId="0" fontId="15" fillId="14" borderId="30" xfId="0" applyFont="1" applyFill="1" applyBorder="1" applyAlignment="1">
      <alignment horizontal="center" vertical="center" shrinkToFit="1"/>
    </xf>
    <xf numFmtId="164" fontId="14" fillId="14" borderId="106" xfId="0" applyNumberFormat="1" applyFont="1" applyFill="1" applyBorder="1" applyAlignment="1">
      <alignment horizontal="right" vertical="center" indent="1" shrinkToFit="1"/>
    </xf>
    <xf numFmtId="0" fontId="14" fillId="14" borderId="107" xfId="0" applyFont="1" applyFill="1" applyBorder="1" applyAlignment="1">
      <alignment horizontal="left" vertical="center" shrinkToFit="1"/>
    </xf>
    <xf numFmtId="0" fontId="14" fillId="14" borderId="31" xfId="0" applyFont="1" applyFill="1" applyBorder="1" applyAlignment="1">
      <alignment horizontal="center" vertical="center" shrinkToFit="1"/>
    </xf>
    <xf numFmtId="0" fontId="14" fillId="14" borderId="32" xfId="0" applyFont="1" applyFill="1" applyBorder="1" applyAlignment="1">
      <alignment horizontal="center" vertical="center" shrinkToFit="1"/>
    </xf>
    <xf numFmtId="0" fontId="14" fillId="14" borderId="37" xfId="0" applyFont="1" applyFill="1" applyBorder="1" applyAlignment="1">
      <alignment horizontal="center" vertical="center" shrinkToFit="1"/>
    </xf>
    <xf numFmtId="0" fontId="14" fillId="14" borderId="37" xfId="0" applyFont="1" applyFill="1" applyBorder="1" applyAlignment="1">
      <alignment horizontal="right" vertical="center" shrinkToFit="1"/>
    </xf>
    <xf numFmtId="0" fontId="14" fillId="14" borderId="39" xfId="0" applyFont="1" applyFill="1" applyBorder="1" applyAlignment="1">
      <alignment horizontal="center" vertical="center" shrinkToFit="1"/>
    </xf>
    <xf numFmtId="0" fontId="14" fillId="14" borderId="36" xfId="0" applyFont="1" applyFill="1" applyBorder="1" applyAlignment="1">
      <alignment horizontal="left" vertical="center" shrinkToFit="1"/>
    </xf>
    <xf numFmtId="167" fontId="14" fillId="14" borderId="36" xfId="0" applyNumberFormat="1" applyFont="1" applyFill="1" applyBorder="1" applyAlignment="1">
      <alignment horizontal="center" vertical="center" shrinkToFit="1"/>
    </xf>
    <xf numFmtId="0" fontId="14" fillId="14" borderId="39" xfId="0" applyNumberFormat="1" applyFont="1" applyFill="1" applyBorder="1" applyAlignment="1">
      <alignment horizontal="center" vertical="center" shrinkToFit="1"/>
    </xf>
    <xf numFmtId="0" fontId="15" fillId="14" borderId="33" xfId="0" applyFont="1" applyFill="1" applyBorder="1" applyAlignment="1">
      <alignment horizontal="center" vertical="center" shrinkToFit="1"/>
    </xf>
    <xf numFmtId="0" fontId="8" fillId="0" borderId="0" xfId="0" applyNumberFormat="1" applyFont="1" applyFill="1" applyBorder="1" applyAlignment="1" applyProtection="1">
      <alignment horizontal="center" vertical="center"/>
      <protection hidden="1"/>
    </xf>
    <xf numFmtId="0" fontId="19" fillId="5" borderId="118" xfId="0" applyFont="1" applyFill="1" applyBorder="1" applyAlignment="1">
      <alignment horizontal="center" vertical="center" shrinkToFit="1"/>
    </xf>
    <xf numFmtId="0" fontId="49" fillId="0" borderId="0" xfId="0" applyFont="1" applyFill="1" applyBorder="1" applyAlignment="1">
      <alignment horizontal="left"/>
    </xf>
    <xf numFmtId="0" fontId="49" fillId="0" borderId="0" xfId="0" applyFont="1" applyFill="1" applyBorder="1" applyAlignment="1">
      <alignment horizontal="left" vertical="center" indent="1"/>
    </xf>
    <xf numFmtId="0" fontId="49" fillId="0" borderId="0" xfId="0" applyFont="1" applyFill="1" applyBorder="1" applyAlignment="1">
      <alignment horizontal="left" vertical="center"/>
    </xf>
    <xf numFmtId="0" fontId="54" fillId="0" borderId="0" xfId="0" applyFont="1" applyFill="1" applyBorder="1" applyAlignment="1">
      <alignment horizontal="left" vertical="center"/>
    </xf>
    <xf numFmtId="0" fontId="58" fillId="0" borderId="0" xfId="0" applyNumberFormat="1" applyFont="1" applyFill="1" applyBorder="1" applyAlignment="1">
      <alignment horizontal="left" vertical="top"/>
    </xf>
    <xf numFmtId="165" fontId="54" fillId="0" borderId="0" xfId="0" applyNumberFormat="1" applyFont="1" applyFill="1" applyBorder="1" applyAlignment="1">
      <alignment horizontal="left" vertical="center"/>
    </xf>
    <xf numFmtId="0" fontId="49" fillId="0" borderId="0" xfId="0" applyFont="1" applyFill="1" applyBorder="1" applyAlignment="1">
      <alignment vertical="center"/>
    </xf>
    <xf numFmtId="0" fontId="49" fillId="0" borderId="0" xfId="0" applyFont="1" applyFill="1" applyBorder="1" applyAlignment="1">
      <alignment horizontal="right" indent="1"/>
    </xf>
    <xf numFmtId="0" fontId="49" fillId="0" borderId="0" xfId="0" applyFont="1" applyFill="1" applyBorder="1" applyAlignment="1">
      <alignment horizontal="right" vertical="center" indent="1"/>
    </xf>
    <xf numFmtId="0" fontId="54" fillId="0" borderId="0" xfId="0" applyFont="1" applyFill="1" applyBorder="1" applyAlignment="1">
      <alignment horizontal="left"/>
    </xf>
    <xf numFmtId="0" fontId="54" fillId="0" borderId="0" xfId="0" applyFont="1"/>
    <xf numFmtId="0" fontId="49" fillId="0" borderId="0" xfId="0" applyFont="1" applyFill="1" applyBorder="1" applyAlignment="1">
      <alignment horizontal="right" vertical="top" indent="1"/>
    </xf>
    <xf numFmtId="0" fontId="0" fillId="9" borderId="165" xfId="0" applyFill="1" applyBorder="1" applyAlignment="1" applyProtection="1">
      <alignment horizontal="left" vertical="top" wrapText="1" indent="1"/>
      <protection locked="0"/>
    </xf>
    <xf numFmtId="0" fontId="14" fillId="6" borderId="12" xfId="0" applyFont="1" applyFill="1" applyBorder="1" applyAlignment="1">
      <alignment horizontal="center" vertical="center"/>
    </xf>
    <xf numFmtId="0" fontId="14" fillId="6" borderId="52" xfId="0" applyFont="1" applyFill="1" applyBorder="1" applyAlignment="1">
      <alignment horizontal="center" vertical="center"/>
    </xf>
    <xf numFmtId="0" fontId="14" fillId="6" borderId="154" xfId="0" applyFont="1" applyFill="1" applyBorder="1" applyAlignment="1">
      <alignment horizontal="center" vertical="center"/>
    </xf>
    <xf numFmtId="0" fontId="54" fillId="5" borderId="116" xfId="0" applyFont="1" applyFill="1" applyBorder="1" applyAlignment="1">
      <alignment horizontal="center" vertical="center" shrinkToFit="1"/>
    </xf>
    <xf numFmtId="0" fontId="60" fillId="0" borderId="0" xfId="3" applyFont="1" applyAlignment="1"/>
    <xf numFmtId="0" fontId="60" fillId="0" borderId="0" xfId="3" applyFont="1" applyAlignment="1" applyProtection="1">
      <alignment horizontal="left"/>
      <protection locked="0"/>
    </xf>
    <xf numFmtId="0" fontId="49" fillId="5" borderId="122" xfId="0" applyFont="1" applyFill="1" applyBorder="1" applyAlignment="1">
      <alignment vertical="center" shrinkToFit="1"/>
    </xf>
    <xf numFmtId="0" fontId="49" fillId="5" borderId="123" xfId="0" applyFont="1" applyFill="1" applyBorder="1" applyAlignment="1">
      <alignment vertical="center" shrinkToFit="1"/>
    </xf>
    <xf numFmtId="0" fontId="14" fillId="0" borderId="0" xfId="0" applyFont="1"/>
    <xf numFmtId="0" fontId="54" fillId="5" borderId="116" xfId="0" applyFont="1" applyFill="1" applyBorder="1" applyAlignment="1">
      <alignment horizontal="center" vertical="center" shrinkToFit="1"/>
    </xf>
    <xf numFmtId="0" fontId="21" fillId="0" borderId="0" xfId="0" applyFont="1"/>
    <xf numFmtId="0" fontId="21" fillId="0" borderId="0" xfId="0" applyFont="1" applyAlignment="1">
      <alignment horizontal="center"/>
    </xf>
    <xf numFmtId="0" fontId="61" fillId="0" borderId="0" xfId="0" applyFont="1" applyAlignment="1">
      <alignment horizontal="left"/>
    </xf>
    <xf numFmtId="0" fontId="21" fillId="0" borderId="0" xfId="0" applyFont="1" applyAlignment="1">
      <alignment horizontal="right"/>
    </xf>
    <xf numFmtId="0" fontId="21" fillId="0" borderId="0" xfId="0" applyFont="1" applyAlignment="1">
      <alignment horizontal="left"/>
    </xf>
    <xf numFmtId="0" fontId="19" fillId="0" borderId="0" xfId="0" applyFont="1" applyAlignment="1"/>
    <xf numFmtId="0" fontId="21" fillId="0" borderId="96" xfId="0" applyFont="1" applyBorder="1" applyAlignment="1">
      <alignment horizontal="center"/>
    </xf>
    <xf numFmtId="0" fontId="21" fillId="0" borderId="29" xfId="0" applyFont="1" applyBorder="1" applyAlignment="1">
      <alignment horizontal="center"/>
    </xf>
    <xf numFmtId="0" fontId="21" fillId="0" borderId="32" xfId="0" applyFont="1" applyBorder="1" applyAlignment="1">
      <alignment horizontal="center"/>
    </xf>
    <xf numFmtId="0" fontId="21" fillId="0" borderId="161" xfId="0" applyFont="1" applyBorder="1" applyAlignment="1">
      <alignment horizontal="right"/>
    </xf>
    <xf numFmtId="0" fontId="21" fillId="0" borderId="175" xfId="0" applyFont="1" applyBorder="1" applyAlignment="1">
      <alignment horizontal="center"/>
    </xf>
    <xf numFmtId="0" fontId="21" fillId="0" borderId="35" xfId="0" applyFont="1" applyBorder="1" applyAlignment="1">
      <alignment horizontal="right"/>
    </xf>
    <xf numFmtId="0" fontId="21" fillId="0" borderId="38" xfId="0" applyFont="1" applyBorder="1" applyAlignment="1">
      <alignment horizontal="center"/>
    </xf>
    <xf numFmtId="0" fontId="21" fillId="0" borderId="37" xfId="0" applyFont="1" applyBorder="1" applyAlignment="1">
      <alignment horizontal="right"/>
    </xf>
    <xf numFmtId="0" fontId="21" fillId="0" borderId="39" xfId="0" applyFont="1" applyBorder="1" applyAlignment="1">
      <alignment horizontal="center"/>
    </xf>
    <xf numFmtId="0" fontId="21" fillId="0" borderId="159" xfId="0" applyFont="1" applyBorder="1"/>
    <xf numFmtId="0" fontId="21" fillId="0" borderId="34" xfId="0" applyFont="1" applyBorder="1"/>
    <xf numFmtId="0" fontId="21" fillId="0" borderId="36" xfId="0" applyFont="1" applyBorder="1"/>
    <xf numFmtId="0" fontId="18" fillId="0" borderId="0" xfId="0" applyFont="1" applyAlignment="1">
      <alignment vertical="center" wrapText="1"/>
    </xf>
    <xf numFmtId="0" fontId="64" fillId="0" borderId="42" xfId="0" applyFont="1" applyBorder="1" applyAlignment="1">
      <alignment horizontal="left" vertical="center" wrapText="1" indent="3"/>
    </xf>
    <xf numFmtId="0" fontId="21" fillId="0" borderId="174" xfId="0" applyFont="1" applyBorder="1" applyAlignment="1">
      <alignment horizontal="center"/>
    </xf>
    <xf numFmtId="0" fontId="21" fillId="0" borderId="179" xfId="0" applyFont="1" applyBorder="1" applyAlignment="1">
      <alignment horizontal="right"/>
    </xf>
    <xf numFmtId="0" fontId="21" fillId="0" borderId="180" xfId="0" applyFont="1" applyBorder="1" applyAlignment="1">
      <alignment horizontal="center"/>
    </xf>
    <xf numFmtId="0" fontId="21" fillId="0" borderId="181" xfId="0" applyFont="1" applyBorder="1"/>
    <xf numFmtId="0" fontId="65" fillId="0" borderId="0" xfId="0" applyFont="1" applyAlignment="1">
      <alignment vertical="center" wrapText="1"/>
    </xf>
    <xf numFmtId="0" fontId="66" fillId="0" borderId="42" xfId="0" applyFont="1" applyBorder="1" applyAlignment="1">
      <alignment horizontal="left" vertical="center" wrapText="1" indent="3"/>
    </xf>
    <xf numFmtId="0" fontId="68" fillId="0" borderId="95" xfId="0" applyFont="1" applyBorder="1" applyAlignment="1">
      <alignment horizontal="center"/>
    </xf>
    <xf numFmtId="0" fontId="68" fillId="0" borderId="28" xfId="0" applyFont="1" applyBorder="1" applyAlignment="1">
      <alignment horizontal="center"/>
    </xf>
    <xf numFmtId="0" fontId="68" fillId="0" borderId="31" xfId="0" applyFont="1" applyBorder="1" applyAlignment="1">
      <alignment horizontal="center"/>
    </xf>
    <xf numFmtId="0" fontId="68" fillId="0" borderId="178" xfId="0" applyFont="1" applyBorder="1" applyAlignment="1">
      <alignment horizontal="center"/>
    </xf>
    <xf numFmtId="0" fontId="68" fillId="12" borderId="185" xfId="0" applyFont="1" applyFill="1" applyBorder="1" applyAlignment="1">
      <alignment horizontal="center" vertical="center"/>
    </xf>
    <xf numFmtId="0" fontId="68" fillId="12" borderId="186" xfId="0" applyFont="1" applyFill="1" applyBorder="1" applyAlignment="1">
      <alignment horizontal="center" vertical="center"/>
    </xf>
    <xf numFmtId="0" fontId="68" fillId="13" borderId="186" xfId="0" applyFont="1" applyFill="1" applyBorder="1" applyAlignment="1">
      <alignment horizontal="center" vertical="center"/>
    </xf>
    <xf numFmtId="0" fontId="68" fillId="8" borderId="186" xfId="0" applyFont="1" applyFill="1" applyBorder="1" applyAlignment="1">
      <alignment horizontal="center" vertical="center"/>
    </xf>
    <xf numFmtId="0" fontId="68" fillId="8" borderId="187" xfId="0" applyFont="1" applyFill="1" applyBorder="1" applyAlignment="1">
      <alignment horizontal="center" vertical="center"/>
    </xf>
    <xf numFmtId="0" fontId="68" fillId="0" borderId="45" xfId="0" applyFont="1" applyBorder="1" applyAlignment="1">
      <alignment horizontal="center"/>
    </xf>
    <xf numFmtId="0" fontId="21" fillId="6" borderId="161" xfId="0" applyFont="1" applyFill="1" applyBorder="1" applyAlignment="1" applyProtection="1">
      <alignment horizontal="right"/>
      <protection locked="0"/>
    </xf>
    <xf numFmtId="0" fontId="21" fillId="6" borderId="35" xfId="0" applyFont="1" applyFill="1" applyBorder="1" applyAlignment="1" applyProtection="1">
      <alignment horizontal="right"/>
      <protection locked="0"/>
    </xf>
    <xf numFmtId="0" fontId="21" fillId="6" borderId="37" xfId="0" applyFont="1" applyFill="1" applyBorder="1" applyAlignment="1" applyProtection="1">
      <alignment horizontal="right"/>
      <protection locked="0"/>
    </xf>
    <xf numFmtId="0" fontId="21" fillId="6" borderId="159" xfId="0" applyFont="1" applyFill="1" applyBorder="1" applyAlignment="1" applyProtection="1">
      <alignment horizontal="left"/>
      <protection locked="0"/>
    </xf>
    <xf numFmtId="0" fontId="21" fillId="6" borderId="34" xfId="0" applyFont="1" applyFill="1" applyBorder="1" applyAlignment="1" applyProtection="1">
      <alignment horizontal="left"/>
      <protection locked="0"/>
    </xf>
    <xf numFmtId="0" fontId="21" fillId="6" borderId="36" xfId="0" applyFont="1" applyFill="1" applyBorder="1" applyAlignment="1" applyProtection="1">
      <alignment horizontal="left"/>
      <protection locked="0"/>
    </xf>
    <xf numFmtId="0" fontId="21" fillId="6" borderId="176" xfId="0" applyFont="1" applyFill="1" applyBorder="1" applyAlignment="1" applyProtection="1">
      <alignment horizontal="left"/>
      <protection locked="0"/>
    </xf>
    <xf numFmtId="0" fontId="21" fillId="6" borderId="41" xfId="0" applyFont="1" applyFill="1" applyBorder="1" applyAlignment="1" applyProtection="1">
      <alignment horizontal="left"/>
      <protection locked="0"/>
    </xf>
    <xf numFmtId="0" fontId="21" fillId="6" borderId="107" xfId="0" applyFont="1" applyFill="1" applyBorder="1" applyAlignment="1" applyProtection="1">
      <alignment horizontal="left"/>
      <protection locked="0"/>
    </xf>
    <xf numFmtId="0" fontId="21" fillId="6" borderId="179" xfId="0" applyFont="1" applyFill="1" applyBorder="1" applyAlignment="1" applyProtection="1">
      <alignment horizontal="right"/>
      <protection locked="0"/>
    </xf>
    <xf numFmtId="0" fontId="21" fillId="6" borderId="181" xfId="0" applyFont="1" applyFill="1" applyBorder="1" applyAlignment="1" applyProtection="1">
      <alignment horizontal="left"/>
      <protection locked="0"/>
    </xf>
    <xf numFmtId="0" fontId="21" fillId="6" borderId="182" xfId="0" applyFont="1" applyFill="1" applyBorder="1" applyAlignment="1" applyProtection="1">
      <alignment horizontal="left"/>
      <protection locked="0"/>
    </xf>
    <xf numFmtId="0" fontId="21" fillId="6" borderId="175" xfId="0" applyFont="1" applyFill="1" applyBorder="1" applyAlignment="1">
      <alignment horizontal="center"/>
    </xf>
    <xf numFmtId="0" fontId="21" fillId="6" borderId="38" xfId="0" applyFont="1" applyFill="1" applyBorder="1" applyAlignment="1">
      <alignment horizontal="center"/>
    </xf>
    <xf numFmtId="0" fontId="21" fillId="6" borderId="39" xfId="0" applyFont="1" applyFill="1" applyBorder="1" applyAlignment="1">
      <alignment horizontal="center"/>
    </xf>
    <xf numFmtId="0" fontId="21" fillId="6" borderId="180" xfId="0" applyFont="1" applyFill="1" applyBorder="1" applyAlignment="1">
      <alignment horizontal="center"/>
    </xf>
    <xf numFmtId="0" fontId="21" fillId="17" borderId="96" xfId="0" applyFont="1" applyFill="1" applyBorder="1" applyAlignment="1" applyProtection="1">
      <alignment horizontal="center"/>
      <protection locked="0"/>
    </xf>
    <xf numFmtId="0" fontId="21" fillId="17" borderId="29" xfId="0" applyFont="1" applyFill="1" applyBorder="1" applyAlignment="1" applyProtection="1">
      <alignment horizontal="center"/>
      <protection locked="0"/>
    </xf>
    <xf numFmtId="0" fontId="21" fillId="17" borderId="32" xfId="0" applyFont="1" applyFill="1" applyBorder="1" applyAlignment="1" applyProtection="1">
      <alignment horizontal="center"/>
      <protection locked="0"/>
    </xf>
    <xf numFmtId="0" fontId="21" fillId="0" borderId="96" xfId="0" applyFont="1" applyFill="1" applyBorder="1" applyAlignment="1" applyProtection="1">
      <alignment horizontal="center"/>
    </xf>
    <xf numFmtId="0" fontId="21" fillId="0" borderId="29" xfId="0" applyFont="1" applyFill="1" applyBorder="1" applyAlignment="1" applyProtection="1">
      <alignment horizontal="center"/>
    </xf>
    <xf numFmtId="0" fontId="21" fillId="0" borderId="32" xfId="0" applyFont="1" applyFill="1" applyBorder="1" applyAlignment="1" applyProtection="1">
      <alignment horizontal="center"/>
    </xf>
    <xf numFmtId="0" fontId="8" fillId="0" borderId="0" xfId="0" applyNumberFormat="1" applyFont="1" applyFill="1" applyBorder="1" applyAlignment="1" applyProtection="1">
      <alignment horizontal="center" vertical="center"/>
      <protection hidden="1"/>
    </xf>
    <xf numFmtId="0" fontId="14" fillId="0" borderId="0" xfId="0" applyFont="1" applyBorder="1" applyAlignment="1">
      <alignment horizontal="center" vertical="center"/>
    </xf>
    <xf numFmtId="0" fontId="14" fillId="0" borderId="0" xfId="0" applyFont="1" applyBorder="1"/>
    <xf numFmtId="0" fontId="5" fillId="0" borderId="0" xfId="0" applyFont="1" applyBorder="1" applyAlignment="1">
      <alignment horizontal="center" vertical="center" shrinkToFit="1"/>
    </xf>
    <xf numFmtId="14" fontId="49" fillId="0" borderId="0" xfId="0" applyNumberFormat="1" applyFont="1" applyBorder="1" applyAlignment="1">
      <alignment horizontal="center" vertical="center" shrinkToFit="1"/>
    </xf>
    <xf numFmtId="166" fontId="49" fillId="0" borderId="0" xfId="0" applyNumberFormat="1" applyFont="1" applyBorder="1" applyAlignment="1">
      <alignment horizontal="center" vertical="center" shrinkToFit="1"/>
    </xf>
    <xf numFmtId="0" fontId="14" fillId="0" borderId="0" xfId="0" applyFont="1" applyBorder="1" applyAlignment="1">
      <alignment vertical="center" shrinkToFit="1"/>
    </xf>
    <xf numFmtId="0" fontId="5" fillId="0" borderId="188" xfId="0" applyFont="1" applyBorder="1" applyAlignment="1">
      <alignment horizontal="center" vertical="center" shrinkToFit="1"/>
    </xf>
    <xf numFmtId="166" fontId="49" fillId="0" borderId="189" xfId="0" applyNumberFormat="1" applyFont="1" applyBorder="1" applyAlignment="1">
      <alignment horizontal="center" vertical="center" shrinkToFit="1"/>
    </xf>
    <xf numFmtId="0" fontId="14" fillId="0" borderId="190" xfId="0" applyFont="1" applyBorder="1" applyAlignment="1">
      <alignment vertical="center" shrinkToFit="1"/>
    </xf>
    <xf numFmtId="0" fontId="14" fillId="0" borderId="190" xfId="0" applyFont="1" applyBorder="1" applyAlignment="1">
      <alignment horizontal="center" vertical="center" shrinkToFit="1"/>
    </xf>
    <xf numFmtId="0" fontId="14" fillId="6" borderId="191" xfId="0" applyFont="1" applyFill="1" applyBorder="1" applyAlignment="1" applyProtection="1">
      <alignment horizontal="right" vertical="center" shrinkToFit="1"/>
      <protection locked="0"/>
    </xf>
    <xf numFmtId="0" fontId="14" fillId="6" borderId="190" xfId="0" applyFont="1" applyFill="1" applyBorder="1" applyAlignment="1">
      <alignment horizontal="center" vertical="center"/>
    </xf>
    <xf numFmtId="0" fontId="14" fillId="6" borderId="192" xfId="0" applyFont="1" applyFill="1" applyBorder="1" applyAlignment="1" applyProtection="1">
      <alignment horizontal="left" vertical="center" shrinkToFit="1"/>
      <protection locked="0"/>
    </xf>
    <xf numFmtId="0" fontId="14" fillId="6" borderId="188" xfId="0" applyFont="1" applyFill="1" applyBorder="1" applyAlignment="1" applyProtection="1">
      <alignment horizontal="center" vertical="center" shrinkToFit="1"/>
      <protection locked="0"/>
    </xf>
    <xf numFmtId="0" fontId="14" fillId="6" borderId="193" xfId="0" applyFont="1" applyFill="1" applyBorder="1" applyAlignment="1" applyProtection="1">
      <alignment horizontal="center" vertical="center" shrinkToFit="1"/>
      <protection locked="0"/>
    </xf>
    <xf numFmtId="0" fontId="14" fillId="0" borderId="0" xfId="0" applyFont="1" applyFill="1" applyBorder="1" applyAlignment="1" applyProtection="1">
      <alignment horizontal="right" vertical="center" shrinkToFit="1"/>
      <protection locked="0"/>
    </xf>
    <xf numFmtId="0" fontId="14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 applyProtection="1">
      <alignment horizontal="left" vertical="center" shrinkToFit="1"/>
      <protection locked="0"/>
    </xf>
    <xf numFmtId="0" fontId="14" fillId="0" borderId="0" xfId="0" applyFont="1" applyFill="1" applyBorder="1" applyAlignment="1" applyProtection="1">
      <alignment horizontal="center" vertical="center" shrinkToFit="1"/>
      <protection locked="0"/>
    </xf>
    <xf numFmtId="0" fontId="14" fillId="0" borderId="194" xfId="0" applyFont="1" applyBorder="1" applyAlignment="1">
      <alignment horizontal="center" vertical="center"/>
    </xf>
    <xf numFmtId="1" fontId="18" fillId="0" borderId="0" xfId="0" applyNumberFormat="1" applyFont="1" applyFill="1" applyBorder="1" applyAlignment="1">
      <alignment horizontal="center" vertical="center"/>
    </xf>
    <xf numFmtId="164" fontId="23" fillId="0" borderId="0" xfId="0" applyNumberFormat="1" applyFont="1" applyFill="1" applyBorder="1" applyAlignment="1">
      <alignment horizontal="center" vertical="center"/>
    </xf>
    <xf numFmtId="0" fontId="0" fillId="0" borderId="0" xfId="0" applyFill="1" applyBorder="1" applyAlignment="1" applyProtection="1">
      <alignment horizontal="center"/>
      <protection locked="0"/>
    </xf>
    <xf numFmtId="0" fontId="22" fillId="0" borderId="0" xfId="0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horizontal="right" vertical="center"/>
    </xf>
    <xf numFmtId="0" fontId="21" fillId="0" borderId="0" xfId="0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horizontal="left" vertical="center"/>
    </xf>
    <xf numFmtId="14" fontId="48" fillId="0" borderId="0" xfId="0" applyNumberFormat="1" applyFont="1" applyFill="1" applyBorder="1" applyAlignment="1" applyProtection="1">
      <alignment horizontal="center" vertical="center"/>
      <protection locked="0"/>
    </xf>
    <xf numFmtId="166" fontId="48" fillId="0" borderId="0" xfId="0" applyNumberFormat="1" applyFont="1" applyFill="1" applyBorder="1" applyAlignment="1" applyProtection="1">
      <alignment horizontal="center" vertical="center"/>
      <protection locked="0"/>
    </xf>
    <xf numFmtId="1" fontId="18" fillId="0" borderId="194" xfId="0" applyNumberFormat="1" applyFont="1" applyBorder="1" applyAlignment="1">
      <alignment horizontal="center" vertical="center"/>
    </xf>
    <xf numFmtId="164" fontId="23" fillId="0" borderId="195" xfId="0" applyNumberFormat="1" applyFont="1" applyBorder="1" applyAlignment="1">
      <alignment horizontal="center" vertical="center"/>
    </xf>
    <xf numFmtId="0" fontId="0" fillId="6" borderId="196" xfId="0" applyFill="1" applyBorder="1" applyAlignment="1" applyProtection="1">
      <alignment horizontal="center"/>
      <protection locked="0"/>
    </xf>
    <xf numFmtId="0" fontId="22" fillId="6" borderId="197" xfId="0" applyFont="1" applyFill="1" applyBorder="1" applyAlignment="1">
      <alignment horizontal="center" vertical="center"/>
    </xf>
    <xf numFmtId="0" fontId="0" fillId="6" borderId="198" xfId="0" applyFill="1" applyBorder="1" applyAlignment="1" applyProtection="1">
      <alignment horizontal="center"/>
      <protection locked="0"/>
    </xf>
    <xf numFmtId="0" fontId="21" fillId="0" borderId="199" xfId="0" applyFont="1" applyBorder="1" applyAlignment="1">
      <alignment horizontal="right" vertical="center"/>
    </xf>
    <xf numFmtId="0" fontId="21" fillId="0" borderId="200" xfId="0" applyFont="1" applyBorder="1" applyAlignment="1">
      <alignment horizontal="center" vertical="center"/>
    </xf>
    <xf numFmtId="0" fontId="21" fillId="0" borderId="201" xfId="0" applyFont="1" applyBorder="1" applyAlignment="1">
      <alignment horizontal="left" vertical="center"/>
    </xf>
    <xf numFmtId="0" fontId="0" fillId="0" borderId="0" xfId="0" applyBorder="1" applyAlignment="1">
      <alignment horizontal="left"/>
    </xf>
    <xf numFmtId="164" fontId="8" fillId="0" borderId="0" xfId="0" applyNumberFormat="1" applyFont="1" applyFill="1" applyBorder="1" applyAlignment="1" applyProtection="1">
      <alignment horizontal="right" vertical="center" indent="1"/>
      <protection hidden="1"/>
    </xf>
    <xf numFmtId="164" fontId="0" fillId="0" borderId="0" xfId="0" applyNumberFormat="1" applyBorder="1" applyAlignment="1">
      <alignment horizontal="right" indent="1"/>
    </xf>
    <xf numFmtId="164" fontId="0" fillId="0" borderId="202" xfId="0" applyNumberFormat="1" applyBorder="1" applyAlignment="1">
      <alignment horizontal="right" indent="1"/>
    </xf>
    <xf numFmtId="0" fontId="0" fillId="0" borderId="200" xfId="0" applyBorder="1"/>
    <xf numFmtId="0" fontId="0" fillId="0" borderId="200" xfId="0" applyBorder="1" applyAlignment="1">
      <alignment horizontal="center"/>
    </xf>
    <xf numFmtId="0" fontId="0" fillId="0" borderId="201" xfId="0" applyBorder="1" applyAlignment="1">
      <alignment horizontal="center"/>
    </xf>
    <xf numFmtId="164" fontId="0" fillId="0" borderId="203" xfId="0" applyNumberFormat="1" applyBorder="1" applyAlignment="1">
      <alignment horizontal="right" indent="1"/>
    </xf>
    <xf numFmtId="0" fontId="0" fillId="0" borderId="204" xfId="0" applyBorder="1"/>
    <xf numFmtId="0" fontId="0" fillId="0" borderId="204" xfId="0" applyBorder="1" applyAlignment="1">
      <alignment horizontal="center"/>
    </xf>
    <xf numFmtId="0" fontId="0" fillId="0" borderId="205" xfId="0" applyBorder="1" applyAlignment="1">
      <alignment horizontal="center"/>
    </xf>
    <xf numFmtId="164" fontId="8" fillId="0" borderId="206" xfId="0" applyNumberFormat="1" applyFont="1" applyFill="1" applyBorder="1" applyAlignment="1" applyProtection="1">
      <alignment horizontal="right" vertical="center" indent="1"/>
      <protection hidden="1"/>
    </xf>
    <xf numFmtId="0" fontId="8" fillId="0" borderId="207" xfId="0" applyNumberFormat="1" applyFont="1" applyFill="1" applyBorder="1" applyAlignment="1" applyProtection="1">
      <alignment horizontal="left" vertical="center"/>
      <protection hidden="1"/>
    </xf>
    <xf numFmtId="0" fontId="8" fillId="0" borderId="200" xfId="0" applyNumberFormat="1" applyFont="1" applyFill="1" applyBorder="1" applyAlignment="1" applyProtection="1">
      <alignment horizontal="left" vertical="center"/>
      <protection hidden="1"/>
    </xf>
    <xf numFmtId="0" fontId="8" fillId="0" borderId="200" xfId="0" applyNumberFormat="1" applyFont="1" applyFill="1" applyBorder="1" applyAlignment="1" applyProtection="1">
      <alignment horizontal="center" vertical="center"/>
      <protection hidden="1"/>
    </xf>
    <xf numFmtId="0" fontId="8" fillId="0" borderId="208" xfId="0" applyNumberFormat="1" applyFont="1" applyFill="1" applyBorder="1" applyAlignment="1" applyProtection="1">
      <alignment horizontal="center" vertical="center"/>
      <protection hidden="1"/>
    </xf>
    <xf numFmtId="0" fontId="8" fillId="0" borderId="207" xfId="0" applyNumberFormat="1" applyFont="1" applyFill="1" applyBorder="1" applyAlignment="1" applyProtection="1">
      <alignment vertical="center"/>
      <protection hidden="1"/>
    </xf>
    <xf numFmtId="0" fontId="0" fillId="0" borderId="202" xfId="0" applyBorder="1" applyAlignment="1">
      <alignment horizontal="center"/>
    </xf>
    <xf numFmtId="0" fontId="0" fillId="0" borderId="209" xfId="0" applyBorder="1" applyAlignment="1">
      <alignment horizontal="center"/>
    </xf>
    <xf numFmtId="166" fontId="48" fillId="6" borderId="211" xfId="0" applyNumberFormat="1" applyFont="1" applyFill="1" applyBorder="1" applyAlignment="1" applyProtection="1">
      <alignment horizontal="center" vertical="center"/>
      <protection locked="0"/>
    </xf>
    <xf numFmtId="0" fontId="21" fillId="0" borderId="0" xfId="0" quotePrefix="1" applyFont="1" applyAlignment="1">
      <alignment horizontal="center"/>
    </xf>
    <xf numFmtId="169" fontId="49" fillId="0" borderId="85" xfId="0" applyNumberFormat="1" applyFont="1" applyBorder="1" applyAlignment="1">
      <alignment horizontal="center" vertical="center" shrinkToFit="1"/>
    </xf>
    <xf numFmtId="169" fontId="49" fillId="0" borderId="141" xfId="0" applyNumberFormat="1" applyFont="1" applyBorder="1" applyAlignment="1">
      <alignment horizontal="center" vertical="center" shrinkToFit="1"/>
    </xf>
    <xf numFmtId="169" fontId="49" fillId="0" borderId="153" xfId="0" applyNumberFormat="1" applyFont="1" applyBorder="1" applyAlignment="1">
      <alignment horizontal="center" vertical="center" shrinkToFit="1"/>
    </xf>
    <xf numFmtId="169" fontId="49" fillId="0" borderId="189" xfId="0" applyNumberFormat="1" applyFont="1" applyBorder="1" applyAlignment="1">
      <alignment horizontal="center" vertical="center" shrinkToFit="1"/>
    </xf>
    <xf numFmtId="169" fontId="48" fillId="6" borderId="108" xfId="0" applyNumberFormat="1" applyFont="1" applyFill="1" applyBorder="1" applyAlignment="1" applyProtection="1">
      <alignment horizontal="center" vertical="center"/>
      <protection locked="0"/>
    </xf>
    <xf numFmtId="169" fontId="48" fillId="6" borderId="28" xfId="0" applyNumberFormat="1" applyFont="1" applyFill="1" applyBorder="1" applyAlignment="1" applyProtection="1">
      <alignment horizontal="center" vertical="center"/>
      <protection locked="0"/>
    </xf>
    <xf numFmtId="169" fontId="48" fillId="6" borderId="146" xfId="0" applyNumberFormat="1" applyFont="1" applyFill="1" applyBorder="1" applyAlignment="1" applyProtection="1">
      <alignment horizontal="center" vertical="center"/>
      <protection locked="0"/>
    </xf>
    <xf numFmtId="169" fontId="48" fillId="6" borderId="210" xfId="0" applyNumberFormat="1" applyFont="1" applyFill="1" applyBorder="1" applyAlignment="1" applyProtection="1">
      <alignment horizontal="center" vertical="center"/>
      <protection locked="0"/>
    </xf>
    <xf numFmtId="0" fontId="39" fillId="6" borderId="112" xfId="0" applyFont="1" applyFill="1" applyBorder="1" applyAlignment="1" applyProtection="1">
      <alignment horizontal="center" vertical="top"/>
      <protection locked="0"/>
    </xf>
    <xf numFmtId="0" fontId="39" fillId="6" borderId="113" xfId="0" applyFont="1" applyFill="1" applyBorder="1" applyAlignment="1" applyProtection="1">
      <alignment horizontal="center" vertical="top"/>
      <protection locked="0"/>
    </xf>
    <xf numFmtId="0" fontId="39" fillId="6" borderId="114" xfId="0" applyFont="1" applyFill="1" applyBorder="1" applyAlignment="1" applyProtection="1">
      <alignment horizontal="center" vertical="top"/>
      <protection locked="0"/>
    </xf>
    <xf numFmtId="14" fontId="25" fillId="6" borderId="80" xfId="0" applyNumberFormat="1" applyFont="1" applyFill="1" applyBorder="1" applyAlignment="1" applyProtection="1">
      <alignment horizontal="center" vertical="center"/>
      <protection locked="0"/>
    </xf>
    <xf numFmtId="0" fontId="25" fillId="6" borderId="81" xfId="0" applyFont="1" applyFill="1" applyBorder="1" applyAlignment="1" applyProtection="1">
      <alignment horizontal="center" vertical="center"/>
      <protection locked="0"/>
    </xf>
    <xf numFmtId="0" fontId="25" fillId="6" borderId="82" xfId="0" applyFont="1" applyFill="1" applyBorder="1" applyAlignment="1" applyProtection="1">
      <alignment horizontal="center" vertical="center"/>
      <protection locked="0"/>
    </xf>
    <xf numFmtId="165" fontId="30" fillId="0" borderId="0" xfId="0" applyNumberFormat="1" applyFont="1" applyBorder="1" applyAlignment="1">
      <alignment horizontal="center"/>
    </xf>
    <xf numFmtId="0" fontId="54" fillId="5" borderId="17" xfId="0" applyFont="1" applyFill="1" applyBorder="1" applyAlignment="1">
      <alignment horizontal="center" vertical="center"/>
    </xf>
    <xf numFmtId="0" fontId="54" fillId="5" borderId="10" xfId="0" applyFont="1" applyFill="1" applyBorder="1" applyAlignment="1">
      <alignment horizontal="center" vertical="center"/>
    </xf>
    <xf numFmtId="0" fontId="54" fillId="5" borderId="14" xfId="0" applyFont="1" applyFill="1" applyBorder="1" applyAlignment="1">
      <alignment horizontal="center" vertical="center"/>
    </xf>
    <xf numFmtId="0" fontId="54" fillId="5" borderId="15" xfId="0" applyFont="1" applyFill="1" applyBorder="1" applyAlignment="1">
      <alignment horizontal="center" vertical="center"/>
    </xf>
    <xf numFmtId="0" fontId="54" fillId="5" borderId="11" xfId="0" applyFont="1" applyFill="1" applyBorder="1" applyAlignment="1">
      <alignment horizontal="center" vertical="center"/>
    </xf>
    <xf numFmtId="0" fontId="42" fillId="0" borderId="42" xfId="0" applyFont="1" applyBorder="1" applyAlignment="1" applyProtection="1">
      <alignment horizontal="center"/>
    </xf>
    <xf numFmtId="0" fontId="54" fillId="5" borderId="116" xfId="0" applyFont="1" applyFill="1" applyBorder="1" applyAlignment="1">
      <alignment horizontal="center" vertical="center" shrinkToFit="1"/>
    </xf>
    <xf numFmtId="0" fontId="54" fillId="5" borderId="124" xfId="0" applyFont="1" applyFill="1" applyBorder="1" applyAlignment="1">
      <alignment horizontal="center" vertical="center" shrinkToFit="1"/>
    </xf>
    <xf numFmtId="0" fontId="54" fillId="5" borderId="125" xfId="0" applyFont="1" applyFill="1" applyBorder="1" applyAlignment="1">
      <alignment horizontal="center" vertical="center" shrinkToFit="1"/>
    </xf>
    <xf numFmtId="0" fontId="49" fillId="5" borderId="122" xfId="0" applyFont="1" applyFill="1" applyBorder="1" applyAlignment="1">
      <alignment horizontal="center" vertical="center" shrinkToFit="1"/>
    </xf>
    <xf numFmtId="0" fontId="49" fillId="5" borderId="123" xfId="0" applyFont="1" applyFill="1" applyBorder="1" applyAlignment="1">
      <alignment horizontal="center" vertical="center" shrinkToFit="1"/>
    </xf>
    <xf numFmtId="0" fontId="54" fillId="5" borderId="131" xfId="0" applyFont="1" applyFill="1" applyBorder="1" applyAlignment="1">
      <alignment horizontal="center" vertical="center" shrinkToFit="1"/>
    </xf>
    <xf numFmtId="0" fontId="54" fillId="5" borderId="132" xfId="0" applyFont="1" applyFill="1" applyBorder="1" applyAlignment="1">
      <alignment horizontal="center" vertical="center" shrinkToFit="1"/>
    </xf>
    <xf numFmtId="0" fontId="6" fillId="0" borderId="163" xfId="0" applyFont="1" applyBorder="1" applyAlignment="1">
      <alignment horizontal="center" vertical="center" shrinkToFit="1"/>
    </xf>
    <xf numFmtId="0" fontId="6" fillId="0" borderId="164" xfId="0" applyFont="1" applyBorder="1" applyAlignment="1">
      <alignment horizontal="center" vertical="center" shrinkToFit="1"/>
    </xf>
    <xf numFmtId="0" fontId="52" fillId="0" borderId="94" xfId="0" applyNumberFormat="1" applyFont="1" applyBorder="1" applyAlignment="1">
      <alignment horizontal="left" vertical="top"/>
    </xf>
    <xf numFmtId="0" fontId="16" fillId="0" borderId="0" xfId="0" applyFont="1" applyAlignment="1">
      <alignment horizontal="right" indent="1"/>
    </xf>
    <xf numFmtId="0" fontId="59" fillId="0" borderId="0" xfId="3" applyAlignment="1" applyProtection="1">
      <alignment horizontal="left"/>
      <protection locked="0"/>
    </xf>
    <xf numFmtId="0" fontId="60" fillId="0" borderId="0" xfId="3" applyFont="1" applyAlignment="1" applyProtection="1">
      <alignment horizontal="left"/>
      <protection locked="0"/>
    </xf>
    <xf numFmtId="0" fontId="67" fillId="0" borderId="42" xfId="0" applyFont="1" applyBorder="1" applyAlignment="1">
      <alignment horizontal="left"/>
    </xf>
    <xf numFmtId="0" fontId="19" fillId="0" borderId="51" xfId="0" applyFont="1" applyBorder="1" applyAlignment="1">
      <alignment horizontal="center" wrapText="1"/>
    </xf>
    <xf numFmtId="0" fontId="19" fillId="0" borderId="52" xfId="0" applyFont="1" applyBorder="1" applyAlignment="1">
      <alignment horizontal="center" wrapText="1"/>
    </xf>
    <xf numFmtId="0" fontId="19" fillId="0" borderId="177" xfId="0" applyFont="1" applyBorder="1" applyAlignment="1">
      <alignment horizontal="center" wrapText="1"/>
    </xf>
    <xf numFmtId="0" fontId="19" fillId="0" borderId="183" xfId="0" applyFont="1" applyBorder="1" applyAlignment="1">
      <alignment horizontal="center" wrapText="1"/>
    </xf>
    <xf numFmtId="0" fontId="19" fillId="0" borderId="42" xfId="0" applyFont="1" applyBorder="1" applyAlignment="1">
      <alignment horizontal="center" wrapText="1"/>
    </xf>
    <xf numFmtId="0" fontId="19" fillId="0" borderId="184" xfId="0" applyFont="1" applyBorder="1" applyAlignment="1">
      <alignment horizontal="center" wrapText="1"/>
    </xf>
    <xf numFmtId="14" fontId="18" fillId="0" borderId="141" xfId="0" applyNumberFormat="1" applyFont="1" applyBorder="1" applyAlignment="1">
      <alignment horizontal="center"/>
    </xf>
    <xf numFmtId="0" fontId="18" fillId="0" borderId="141" xfId="0" applyFont="1" applyBorder="1" applyAlignment="1">
      <alignment horizontal="center"/>
    </xf>
    <xf numFmtId="0" fontId="19" fillId="0" borderId="110" xfId="0" applyFont="1" applyBorder="1" applyAlignment="1">
      <alignment horizontal="center"/>
    </xf>
    <xf numFmtId="0" fontId="63" fillId="16" borderId="166" xfId="0" applyFont="1" applyFill="1" applyBorder="1" applyAlignment="1">
      <alignment horizontal="center"/>
    </xf>
    <xf numFmtId="0" fontId="63" fillId="16" borderId="167" xfId="0" applyFont="1" applyFill="1" applyBorder="1" applyAlignment="1">
      <alignment horizontal="center"/>
    </xf>
    <xf numFmtId="0" fontId="63" fillId="16" borderId="168" xfId="0" applyFont="1" applyFill="1" applyBorder="1" applyAlignment="1">
      <alignment horizontal="center"/>
    </xf>
    <xf numFmtId="0" fontId="62" fillId="15" borderId="169" xfId="0" applyFont="1" applyFill="1" applyBorder="1" applyAlignment="1">
      <alignment horizontal="center" vertical="center"/>
    </xf>
    <xf numFmtId="0" fontId="62" fillId="15" borderId="0" xfId="0" applyFont="1" applyFill="1" applyBorder="1" applyAlignment="1">
      <alignment horizontal="center" vertical="center"/>
    </xf>
    <xf numFmtId="0" fontId="62" fillId="15" borderId="170" xfId="0" applyFont="1" applyFill="1" applyBorder="1" applyAlignment="1">
      <alignment horizontal="center" vertical="center"/>
    </xf>
    <xf numFmtId="0" fontId="62" fillId="15" borderId="171" xfId="0" applyFont="1" applyFill="1" applyBorder="1" applyAlignment="1">
      <alignment horizontal="center" vertical="center"/>
    </xf>
    <xf numFmtId="0" fontId="62" fillId="15" borderId="172" xfId="0" applyFont="1" applyFill="1" applyBorder="1" applyAlignment="1">
      <alignment horizontal="center" vertical="center"/>
    </xf>
    <xf numFmtId="0" fontId="62" fillId="15" borderId="173" xfId="0" applyFont="1" applyFill="1" applyBorder="1" applyAlignment="1">
      <alignment horizontal="center" vertical="center"/>
    </xf>
    <xf numFmtId="165" fontId="46" fillId="0" borderId="42" xfId="0" applyNumberFormat="1" applyFont="1" applyBorder="1" applyAlignment="1">
      <alignment horizontal="center" vertical="center" wrapText="1"/>
    </xf>
    <xf numFmtId="0" fontId="19" fillId="5" borderId="76" xfId="0" applyFont="1" applyFill="1" applyBorder="1" applyAlignment="1">
      <alignment horizontal="center" vertical="center"/>
    </xf>
    <xf numFmtId="0" fontId="19" fillId="5" borderId="77" xfId="0" applyFont="1" applyFill="1" applyBorder="1" applyAlignment="1">
      <alignment horizontal="center" vertical="center"/>
    </xf>
    <xf numFmtId="165" fontId="27" fillId="0" borderId="0" xfId="0" applyNumberFormat="1" applyFont="1" applyBorder="1" applyAlignment="1">
      <alignment horizontal="left" vertical="center" wrapText="1"/>
    </xf>
    <xf numFmtId="0" fontId="51" fillId="0" borderId="0" xfId="0" applyNumberFormat="1" applyFont="1" applyFill="1" applyAlignment="1" applyProtection="1">
      <alignment horizontal="left" vertical="top" wrapText="1"/>
      <protection hidden="1"/>
    </xf>
    <xf numFmtId="0" fontId="8" fillId="0" borderId="0" xfId="0" applyNumberFormat="1" applyFont="1" applyFill="1" applyBorder="1" applyAlignment="1" applyProtection="1">
      <alignment horizontal="center" vertical="center"/>
      <protection hidden="1"/>
    </xf>
    <xf numFmtId="0" fontId="3" fillId="0" borderId="94" xfId="0" applyFont="1" applyBorder="1" applyAlignment="1">
      <alignment horizontal="center"/>
    </xf>
    <xf numFmtId="0" fontId="0" fillId="0" borderId="0" xfId="0" applyAlignment="1">
      <alignment horizontal="right"/>
    </xf>
    <xf numFmtId="0" fontId="24" fillId="0" borderId="0" xfId="0" applyFont="1" applyAlignment="1">
      <alignment horizontal="center" vertical="center"/>
    </xf>
    <xf numFmtId="0" fontId="24" fillId="0" borderId="0" xfId="0" applyFont="1" applyAlignment="1">
      <alignment horizontal="center"/>
    </xf>
    <xf numFmtId="0" fontId="34" fillId="10" borderId="58" xfId="0" applyFont="1" applyFill="1" applyBorder="1" applyAlignment="1">
      <alignment horizontal="center" vertical="center" wrapText="1"/>
    </xf>
    <xf numFmtId="0" fontId="34" fillId="10" borderId="60" xfId="0" applyFont="1" applyFill="1" applyBorder="1" applyAlignment="1">
      <alignment horizontal="center" vertical="center"/>
    </xf>
    <xf numFmtId="0" fontId="33" fillId="0" borderId="53" xfId="0" applyFont="1" applyBorder="1" applyAlignment="1">
      <alignment horizontal="center" vertical="top"/>
    </xf>
    <xf numFmtId="0" fontId="34" fillId="0" borderId="0" xfId="0" applyFont="1" applyFill="1" applyBorder="1" applyAlignment="1" applyProtection="1">
      <alignment horizontal="center" vertical="center" wrapText="1"/>
    </xf>
    <xf numFmtId="0" fontId="34" fillId="0" borderId="0" xfId="0" applyFont="1" applyFill="1" applyBorder="1" applyAlignment="1" applyProtection="1">
      <alignment horizontal="center" vertical="center"/>
    </xf>
    <xf numFmtId="0" fontId="0" fillId="0" borderId="55" xfId="0" applyBorder="1" applyAlignment="1" applyProtection="1">
      <alignment horizontal="center"/>
      <protection locked="0"/>
    </xf>
    <xf numFmtId="0" fontId="38" fillId="11" borderId="56" xfId="0" applyFont="1" applyFill="1" applyBorder="1" applyAlignment="1">
      <alignment horizontal="center" vertical="center" wrapText="1"/>
    </xf>
    <xf numFmtId="0" fontId="38" fillId="11" borderId="59" xfId="0" applyFont="1" applyFill="1" applyBorder="1" applyAlignment="1">
      <alignment horizontal="center" vertical="center"/>
    </xf>
    <xf numFmtId="0" fontId="38" fillId="9" borderId="90" xfId="0" applyFont="1" applyFill="1" applyBorder="1" applyAlignment="1">
      <alignment horizontal="center" vertical="center" wrapText="1"/>
    </xf>
    <xf numFmtId="0" fontId="38" fillId="9" borderId="91" xfId="0" applyFont="1" applyFill="1" applyBorder="1" applyAlignment="1">
      <alignment horizontal="center" vertical="center"/>
    </xf>
  </cellXfs>
  <cellStyles count="4">
    <cellStyle name="Berechnung" xfId="2" builtinId="22"/>
    <cellStyle name="Link" xfId="3" builtinId="8"/>
    <cellStyle name="Standard" xfId="0" builtinId="0"/>
    <cellStyle name="Standard 2" xfId="1" xr:uid="{00000000-0005-0000-0000-000003000000}"/>
  </cellStyles>
  <dxfs count="62">
    <dxf>
      <font>
        <b/>
        <i val="0"/>
      </font>
      <fill>
        <patternFill>
          <bgColor rgb="FFFFFF00"/>
        </patternFill>
      </fill>
    </dxf>
    <dxf>
      <font>
        <b/>
        <i val="0"/>
      </font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numFmt numFmtId="30" formatCode="@"/>
    </dxf>
    <dxf>
      <font>
        <b/>
        <i val="0"/>
        <color rgb="FFDA0000"/>
      </font>
    </dxf>
    <dxf>
      <font>
        <b/>
        <i val="0"/>
        <color rgb="FFDA0000"/>
      </font>
    </dxf>
    <dxf>
      <font>
        <b/>
        <i val="0"/>
        <color rgb="FFDA0000"/>
      </font>
    </dxf>
    <dxf>
      <font>
        <b/>
        <i val="0"/>
        <color rgb="FFDA0000"/>
      </font>
    </dxf>
    <dxf>
      <font>
        <b/>
        <i val="0"/>
        <color rgb="FFDA0000"/>
      </font>
    </dxf>
    <dxf>
      <font>
        <b/>
        <i val="0"/>
        <color rgb="FFDA0000"/>
      </font>
    </dxf>
    <dxf>
      <numFmt numFmtId="30" formatCode="@"/>
    </dxf>
    <dxf>
      <numFmt numFmtId="30" formatCode="@"/>
    </dxf>
    <dxf>
      <numFmt numFmtId="30" formatCode="@"/>
    </dxf>
    <dxf>
      <numFmt numFmtId="165" formatCode=";;;"/>
    </dxf>
    <dxf>
      <font>
        <color rgb="FF00B050"/>
      </font>
      <numFmt numFmtId="30" formatCode="@"/>
    </dxf>
    <dxf>
      <numFmt numFmtId="30" formatCode="@"/>
    </dxf>
    <dxf>
      <font>
        <color rgb="FFC00000"/>
      </font>
    </dxf>
    <dxf>
      <numFmt numFmtId="165" formatCode=";;;"/>
    </dxf>
    <dxf>
      <numFmt numFmtId="165" formatCode=";;;"/>
    </dxf>
    <dxf>
      <numFmt numFmtId="165" formatCode=";;;"/>
    </dxf>
    <dxf>
      <numFmt numFmtId="165" formatCode=";;;"/>
    </dxf>
    <dxf>
      <font>
        <color rgb="FFC00000"/>
      </font>
    </dxf>
    <dxf>
      <numFmt numFmtId="165" formatCode=";;;"/>
    </dxf>
    <dxf>
      <font>
        <color rgb="FFC00000"/>
      </font>
    </dxf>
    <dxf>
      <numFmt numFmtId="165" formatCode=";;;"/>
    </dxf>
    <dxf>
      <font>
        <color rgb="FFC00000"/>
      </font>
    </dxf>
    <dxf>
      <numFmt numFmtId="165" formatCode=";;;"/>
    </dxf>
    <dxf>
      <font>
        <color rgb="FFC00000"/>
      </font>
    </dxf>
    <dxf>
      <numFmt numFmtId="165" formatCode=";;;"/>
    </dxf>
    <dxf>
      <font>
        <color rgb="FFC00000"/>
      </font>
    </dxf>
    <dxf>
      <numFmt numFmtId="165" formatCode=";;;"/>
    </dxf>
    <dxf>
      <font>
        <color rgb="FFC00000"/>
      </font>
    </dxf>
    <dxf>
      <numFmt numFmtId="165" formatCode=";;;"/>
    </dxf>
    <dxf>
      <font>
        <color rgb="FFC00000"/>
      </font>
    </dxf>
    <dxf>
      <numFmt numFmtId="165" formatCode=";;;"/>
    </dxf>
    <dxf>
      <font>
        <color rgb="FFC00000"/>
      </font>
    </dxf>
    <dxf>
      <numFmt numFmtId="165" formatCode=";;;"/>
    </dxf>
    <dxf>
      <font>
        <color rgb="FFC00000"/>
      </font>
    </dxf>
    <dxf>
      <numFmt numFmtId="165" formatCode=";;;"/>
    </dxf>
    <dxf>
      <font>
        <color rgb="FFC00000"/>
      </font>
    </dxf>
    <dxf>
      <numFmt numFmtId="165" formatCode=";;;"/>
    </dxf>
    <dxf>
      <font>
        <color rgb="FFC00000"/>
      </font>
    </dxf>
    <dxf>
      <numFmt numFmtId="165" formatCode=";;;"/>
    </dxf>
    <dxf>
      <font>
        <color rgb="FFC00000"/>
      </font>
    </dxf>
    <dxf>
      <numFmt numFmtId="165" formatCode=";;;"/>
    </dxf>
    <dxf>
      <font>
        <color rgb="FFC00000"/>
      </font>
    </dxf>
    <dxf>
      <numFmt numFmtId="165" formatCode=";;;"/>
    </dxf>
    <dxf>
      <font>
        <color rgb="FFC00000"/>
      </font>
    </dxf>
    <dxf>
      <numFmt numFmtId="165" formatCode=";;;"/>
    </dxf>
    <dxf>
      <font>
        <color rgb="FFC00000"/>
      </font>
    </dxf>
    <dxf>
      <numFmt numFmtId="165" formatCode=";;;"/>
    </dxf>
    <dxf>
      <font>
        <color rgb="FFC00000"/>
      </font>
    </dxf>
    <dxf>
      <numFmt numFmtId="165" formatCode=";;;"/>
    </dxf>
    <dxf>
      <font>
        <color rgb="FFC00000"/>
      </font>
    </dxf>
    <dxf>
      <numFmt numFmtId="165" formatCode=";;;"/>
    </dxf>
    <dxf>
      <font>
        <color rgb="FFC00000"/>
      </font>
    </dxf>
    <dxf>
      <numFmt numFmtId="165" formatCode=";;;"/>
    </dxf>
    <dxf>
      <font>
        <color rgb="FFC00000"/>
      </font>
    </dxf>
    <dxf>
      <numFmt numFmtId="165" formatCode=";;;"/>
    </dxf>
    <dxf>
      <font>
        <color rgb="FFDA0000"/>
      </font>
    </dxf>
    <dxf>
      <numFmt numFmtId="165" formatCode=";;;"/>
    </dxf>
  </dxfs>
  <tableStyles count="0" defaultTableStyle="TableStyleMedium2" defaultPivotStyle="PivotStyleLight16"/>
  <colors>
    <mruColors>
      <color rgb="FFFFFFE0"/>
      <color rgb="FFFFFFCC"/>
      <color rgb="FFF8F8F8"/>
      <color rgb="FFFFF5D5"/>
      <color rgb="FFE5FBD9"/>
      <color rgb="FF517D21"/>
      <color rgb="FFFFE0B3"/>
      <color rgb="FFFF9900"/>
      <color rgb="FF5A8B25"/>
      <color rgb="FFF04C0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786091</xdr:colOff>
      <xdr:row>0</xdr:row>
      <xdr:rowOff>91607</xdr:rowOff>
    </xdr:from>
    <xdr:to>
      <xdr:col>5</xdr:col>
      <xdr:colOff>1142999</xdr:colOff>
      <xdr:row>5</xdr:row>
      <xdr:rowOff>323010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1B282BBB-1A1E-4BF7-8472-A6BEE5A302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65267" y="91607"/>
          <a:ext cx="1620932" cy="162093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13335</xdr:colOff>
      <xdr:row>0</xdr:row>
      <xdr:rowOff>57150</xdr:rowOff>
    </xdr:from>
    <xdr:to>
      <xdr:col>4</xdr:col>
      <xdr:colOff>681990</xdr:colOff>
      <xdr:row>2</xdr:row>
      <xdr:rowOff>161925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E2C48622-B01C-4DD5-9157-F34595BF58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66035" y="57150"/>
          <a:ext cx="668655" cy="6686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uefa.com/uefaconferenceleague/standings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5"/>
  <dimension ref="A1:BQ156"/>
  <sheetViews>
    <sheetView showGridLines="0" showRowColHeaders="0" zoomScaleNormal="100" workbookViewId="0">
      <selection activeCell="Q6" sqref="Q6"/>
    </sheetView>
  </sheetViews>
  <sheetFormatPr baseColWidth="10" defaultColWidth="0" defaultRowHeight="12.75" zeroHeight="1" x14ac:dyDescent="0.2"/>
  <cols>
    <col min="1" max="1" width="3.28515625" style="18" customWidth="1"/>
    <col min="2" max="2" width="11.42578125" style="190" customWidth="1"/>
    <col min="3" max="3" width="6.7109375" style="18" customWidth="1"/>
    <col min="4" max="4" width="11.85546875" style="18" customWidth="1"/>
    <col min="5" max="5" width="6.5703125" style="18" customWidth="1"/>
    <col min="6" max="6" width="26.7109375" style="18" customWidth="1"/>
    <col min="7" max="7" width="3" style="18" customWidth="1"/>
    <col min="8" max="8" width="26.7109375" style="18" customWidth="1"/>
    <col min="9" max="9" width="6.7109375" style="18" customWidth="1"/>
    <col min="10" max="10" width="2" style="18" customWidth="1"/>
    <col min="11" max="13" width="6.7109375" style="18" customWidth="1"/>
    <col min="14" max="14" width="9.42578125" style="18" customWidth="1"/>
    <col min="15" max="15" width="7.42578125" style="18" customWidth="1"/>
    <col min="16" max="16" width="26.7109375" style="18" customWidth="1"/>
    <col min="17" max="21" width="6.7109375" style="18" customWidth="1"/>
    <col min="22" max="22" width="2.140625" style="18" customWidth="1"/>
    <col min="23" max="28" width="6.7109375" style="18" customWidth="1"/>
    <col min="29" max="29" width="8.140625" style="18" hidden="1" customWidth="1"/>
    <col min="30" max="30" width="4.85546875" style="18" customWidth="1"/>
    <col min="31" max="31" width="6.85546875" style="18" customWidth="1"/>
    <col min="32" max="32" width="23.7109375" style="18" customWidth="1"/>
    <col min="33" max="69" width="7.85546875" style="18" customWidth="1"/>
    <col min="70" max="16384" width="11.42578125" style="18" hidden="1"/>
  </cols>
  <sheetData>
    <row r="1" spans="1:68" x14ac:dyDescent="0.2">
      <c r="B1" s="179" t="s">
        <v>319</v>
      </c>
      <c r="C1" s="179"/>
    </row>
    <row r="2" spans="1:68" x14ac:dyDescent="0.2">
      <c r="B2" s="180">
        <v>45919</v>
      </c>
      <c r="C2" s="180"/>
      <c r="E2" s="178"/>
      <c r="F2" s="178"/>
      <c r="G2" s="178"/>
      <c r="H2" s="178"/>
      <c r="I2" s="178"/>
      <c r="J2" s="178"/>
      <c r="K2" s="178"/>
      <c r="L2" s="178"/>
      <c r="M2" s="178"/>
      <c r="O2" s="111"/>
      <c r="P2" s="111"/>
    </row>
    <row r="3" spans="1:68" ht="36" x14ac:dyDescent="0.2">
      <c r="G3" s="516" t="s">
        <v>281</v>
      </c>
      <c r="H3" s="517"/>
      <c r="I3" s="517"/>
      <c r="J3" s="517"/>
      <c r="K3" s="517"/>
      <c r="L3" s="517"/>
      <c r="M3" s="517"/>
      <c r="N3" s="517"/>
      <c r="O3" s="517"/>
      <c r="P3" s="517"/>
      <c r="Q3" s="518"/>
      <c r="AG3" s="23"/>
      <c r="AH3" s="32"/>
      <c r="AI3" s="32"/>
      <c r="AJ3" s="32"/>
      <c r="AK3" s="32"/>
      <c r="AL3" s="32"/>
      <c r="AM3" s="32"/>
      <c r="AN3" s="32"/>
      <c r="AO3" s="32"/>
      <c r="AP3" s="32"/>
      <c r="AQ3" s="32"/>
      <c r="AR3" s="32"/>
      <c r="AS3" s="32"/>
      <c r="AT3" s="32"/>
      <c r="AU3" s="32"/>
      <c r="AV3" s="32"/>
      <c r="AW3" s="32"/>
      <c r="AX3" s="32"/>
      <c r="AY3" s="32"/>
      <c r="AZ3" s="32"/>
    </row>
    <row r="4" spans="1:68" ht="30.75" customHeight="1" x14ac:dyDescent="0.4">
      <c r="G4" s="519">
        <v>46129</v>
      </c>
      <c r="H4" s="520"/>
      <c r="I4" s="520"/>
      <c r="J4" s="520"/>
      <c r="K4" s="520"/>
      <c r="L4" s="520"/>
      <c r="M4" s="520"/>
      <c r="N4" s="520"/>
      <c r="O4" s="520"/>
      <c r="P4" s="520"/>
      <c r="Q4" s="521"/>
      <c r="AC4" s="142"/>
      <c r="AD4" s="176"/>
      <c r="AE4" s="141"/>
      <c r="AF4" s="142"/>
    </row>
    <row r="5" spans="1:68" x14ac:dyDescent="0.2"/>
    <row r="6" spans="1:68" ht="29.25" customHeight="1" thickBot="1" x14ac:dyDescent="0.45">
      <c r="B6" s="177" t="str">
        <f>Language!$E$11</f>
        <v>Results</v>
      </c>
      <c r="D6" s="177"/>
      <c r="E6" s="177"/>
      <c r="F6" s="177"/>
      <c r="G6" s="177"/>
      <c r="I6" s="177"/>
      <c r="J6" s="177"/>
      <c r="K6" s="177"/>
      <c r="L6" s="177"/>
      <c r="M6" s="177"/>
      <c r="O6" s="539" t="str">
        <f>Language!$E$17</f>
        <v>Matchweek</v>
      </c>
      <c r="P6" s="539"/>
      <c r="Q6" s="215"/>
      <c r="R6" s="522" t="str">
        <f>Language!$E$43</f>
        <v>INVALID TABLE</v>
      </c>
      <c r="S6" s="522"/>
      <c r="T6" s="522"/>
      <c r="U6" s="522"/>
      <c r="V6" s="522"/>
      <c r="W6" s="522"/>
      <c r="X6" s="522"/>
      <c r="Y6" s="522"/>
      <c r="Z6" s="522"/>
      <c r="AA6" s="522"/>
      <c r="AB6" s="219"/>
      <c r="AG6" s="538"/>
      <c r="AH6" s="538"/>
      <c r="AI6" s="538"/>
      <c r="AJ6" s="538"/>
      <c r="AK6" s="538"/>
      <c r="AL6" s="538"/>
      <c r="AM6" s="538"/>
      <c r="AN6" s="538"/>
      <c r="AO6" s="538"/>
      <c r="AP6" s="538"/>
      <c r="AQ6" s="538"/>
      <c r="AR6" s="538"/>
      <c r="AS6" s="538"/>
      <c r="AT6" s="538"/>
      <c r="AU6" s="538"/>
      <c r="AV6" s="538"/>
      <c r="AW6" s="538"/>
      <c r="AX6" s="538"/>
      <c r="AY6" s="538"/>
      <c r="AZ6" s="538"/>
      <c r="BA6" s="112"/>
    </row>
    <row r="7" spans="1:68" ht="15.75" customHeight="1" thickBot="1" x14ac:dyDescent="0.3">
      <c r="A7" s="174"/>
      <c r="B7" s="174"/>
      <c r="C7" s="528"/>
      <c r="D7" s="528"/>
      <c r="E7" s="528"/>
      <c r="F7" s="528"/>
      <c r="G7" s="528"/>
      <c r="H7" s="528"/>
      <c r="I7" s="528"/>
      <c r="J7" s="528"/>
      <c r="K7" s="528"/>
      <c r="L7" s="221"/>
      <c r="M7" s="221"/>
      <c r="O7" s="106"/>
      <c r="P7" s="106"/>
      <c r="Q7" s="106"/>
      <c r="R7" s="106"/>
      <c r="S7" s="106"/>
      <c r="T7" s="106"/>
      <c r="U7" s="106"/>
      <c r="V7" s="106"/>
      <c r="W7" s="106"/>
      <c r="X7" s="106"/>
      <c r="Y7" s="536" t="str">
        <f>Language!$E$18</f>
        <v>Away games</v>
      </c>
      <c r="Z7" s="537"/>
      <c r="AA7" s="106"/>
      <c r="AB7" s="106"/>
      <c r="AC7" s="106"/>
      <c r="AD7" s="106"/>
      <c r="AE7" s="106"/>
      <c r="AF7" s="106"/>
      <c r="AG7" s="147" t="str">
        <f>AC9</f>
        <v>Racing .</v>
      </c>
      <c r="AH7" s="148" t="str">
        <f>AC10</f>
        <v>Rakow T.</v>
      </c>
      <c r="AI7" s="148" t="str">
        <f>AC11</f>
        <v>AEK Ath.</v>
      </c>
      <c r="AJ7" s="148" t="str">
        <f>AC12</f>
        <v>Sparta .</v>
      </c>
      <c r="AK7" s="148" t="str">
        <f>AC13</f>
        <v>Rayo Va.</v>
      </c>
      <c r="AL7" s="148" t="str">
        <f>AC14</f>
        <v>Schacht.</v>
      </c>
      <c r="AM7" s="148" t="str">
        <f>AC15</f>
        <v>1. FSV .</v>
      </c>
      <c r="AN7" s="148" t="str">
        <f>AC16</f>
        <v>AEK Lar.</v>
      </c>
      <c r="AO7" s="148" t="str">
        <f>AC17</f>
        <v>Crystal.</v>
      </c>
      <c r="AP7" s="148" t="str">
        <f>AC18</f>
        <v>Lech Po.</v>
      </c>
      <c r="AQ7" s="148" t="str">
        <f>AC19</f>
        <v>Samsuns.</v>
      </c>
      <c r="AR7" s="148" t="str">
        <f>AC20</f>
        <v>NK Celj.</v>
      </c>
      <c r="AS7" s="148" t="str">
        <f>AC21</f>
        <v>AZ Alkm.</v>
      </c>
      <c r="AT7" s="148" t="str">
        <f>AC22</f>
        <v>AC Flor.</v>
      </c>
      <c r="AU7" s="148" t="str">
        <f>AC23</f>
        <v>HNK Rij.</v>
      </c>
      <c r="AV7" s="148" t="str">
        <f>AC24</f>
        <v>FC Laus.</v>
      </c>
      <c r="AW7" s="148" t="str">
        <f>AC25</f>
        <v>Jagiell.</v>
      </c>
      <c r="AX7" s="148" t="str">
        <f>AC26</f>
        <v>Omonia .</v>
      </c>
      <c r="AY7" s="148" t="str">
        <f>AC27</f>
        <v>FC Noah</v>
      </c>
      <c r="AZ7" s="148" t="str">
        <f>AC28</f>
        <v>KF Drit.</v>
      </c>
      <c r="BA7" s="148" t="str">
        <f>AC29</f>
        <v>Kuopion.</v>
      </c>
      <c r="BB7" s="148" t="str">
        <f>AC30</f>
        <v>Shkendi.</v>
      </c>
      <c r="BC7" s="148" t="str">
        <f>AC31</f>
        <v>Zrinjsk.</v>
      </c>
      <c r="BD7" s="148" t="str">
        <f>AC32</f>
        <v>Sigma O.</v>
      </c>
      <c r="BE7" s="148" t="str">
        <f>AC33</f>
        <v>Univers.</v>
      </c>
      <c r="BF7" s="148" t="str">
        <f>AC34</f>
        <v>Lincoln.</v>
      </c>
      <c r="BG7" s="148" t="str">
        <f>AC35</f>
        <v>Dynamo .</v>
      </c>
      <c r="BH7" s="148" t="str">
        <f>AC36</f>
        <v>Legia W.</v>
      </c>
      <c r="BI7" s="148" t="str">
        <f>AC37</f>
        <v>Slovan .</v>
      </c>
      <c r="BJ7" s="148" t="str">
        <f>AC38</f>
        <v>UMF Bre.</v>
      </c>
      <c r="BK7" s="148" t="str">
        <f>AC39</f>
        <v>Shamroc.</v>
      </c>
      <c r="BL7" s="148" t="str">
        <f>AC40</f>
        <v>Hamrun .</v>
      </c>
      <c r="BM7" s="283" t="str">
        <f>AC41</f>
        <v>BK Häck.</v>
      </c>
      <c r="BN7" s="148" t="str">
        <f>AC42</f>
        <v>FC Shel.</v>
      </c>
      <c r="BO7" s="288" t="str">
        <f>AC43</f>
        <v>FC Aber.</v>
      </c>
      <c r="BP7" s="149" t="str">
        <f>AC44</f>
        <v>Rapid W.</v>
      </c>
    </row>
    <row r="8" spans="1:68" ht="30.75" customHeight="1" thickTop="1" thickBot="1" x14ac:dyDescent="0.3">
      <c r="B8" s="367" t="str">
        <f>Language!$E$17</f>
        <v>Matchweek</v>
      </c>
      <c r="C8" s="193" t="str">
        <f>Language!$E$9</f>
        <v>No.</v>
      </c>
      <c r="D8" s="195" t="str">
        <f>Language!$E$59</f>
        <v>Date</v>
      </c>
      <c r="E8" s="195" t="str">
        <f>Language!$E$62</f>
        <v>Time</v>
      </c>
      <c r="F8" s="523" t="str">
        <f>Language!$E$14</f>
        <v>Matchup</v>
      </c>
      <c r="G8" s="524"/>
      <c r="H8" s="525"/>
      <c r="I8" s="526" t="str">
        <f>Language!$E$15</f>
        <v>Result</v>
      </c>
      <c r="J8" s="524"/>
      <c r="K8" s="527"/>
      <c r="L8" s="534" t="str">
        <f>Language!$E$65</f>
        <v>Penalty points</v>
      </c>
      <c r="M8" s="535"/>
      <c r="N8" s="196"/>
      <c r="O8" s="532"/>
      <c r="P8" s="533"/>
      <c r="Q8" s="197" t="str">
        <f>Language!$E$21</f>
        <v>Pl</v>
      </c>
      <c r="R8" s="198" t="str">
        <f>Language!$E$22</f>
        <v>W</v>
      </c>
      <c r="S8" s="198" t="str">
        <f>Language!$E$23</f>
        <v>D</v>
      </c>
      <c r="T8" s="199" t="str">
        <f>Language!$E$24</f>
        <v>L</v>
      </c>
      <c r="U8" s="529" t="str">
        <f>Language!$E$25</f>
        <v>GF  -  GA</v>
      </c>
      <c r="V8" s="530"/>
      <c r="W8" s="531"/>
      <c r="X8" s="198" t="str">
        <f>Language!$E$26</f>
        <v>GD</v>
      </c>
      <c r="Y8" s="268" t="str">
        <f>Language!$E$29</f>
        <v>AGls</v>
      </c>
      <c r="Z8" s="268" t="str">
        <f>Language!$E$30</f>
        <v>AWin</v>
      </c>
      <c r="AA8" s="200" t="str">
        <f>Language!$E$27</f>
        <v>Pts</v>
      </c>
      <c r="AB8" s="223" t="str">
        <f>Language!$E$66</f>
        <v>PenPts</v>
      </c>
      <c r="AC8" s="143"/>
      <c r="AD8" s="115"/>
      <c r="AE8" s="115"/>
      <c r="AF8" s="143"/>
      <c r="AG8" s="150" t="str">
        <f>P9</f>
        <v>Racing Straßburg</v>
      </c>
      <c r="AH8" s="151" t="str">
        <f>P10</f>
        <v>Rakow Tschenstochau</v>
      </c>
      <c r="AI8" s="151" t="str">
        <f>P11</f>
        <v>AEK Athen</v>
      </c>
      <c r="AJ8" s="151" t="str">
        <f>P12</f>
        <v>Sparta Prag</v>
      </c>
      <c r="AK8" s="151" t="str">
        <f>P13</f>
        <v>Rayo Vallecano</v>
      </c>
      <c r="AL8" s="151" t="str">
        <f>P14</f>
        <v>Schachtar Donezk</v>
      </c>
      <c r="AM8" s="151" t="str">
        <f>P15</f>
        <v>1. FSV Mainz 05</v>
      </c>
      <c r="AN8" s="151" t="str">
        <f>P16</f>
        <v>AEK Larnaka</v>
      </c>
      <c r="AO8" s="151" t="str">
        <f>P17</f>
        <v>Crystal Palace</v>
      </c>
      <c r="AP8" s="151" t="str">
        <f>P18</f>
        <v>Lech Posen</v>
      </c>
      <c r="AQ8" s="151" t="str">
        <f>P19</f>
        <v>Samsunspor</v>
      </c>
      <c r="AR8" s="151" t="str">
        <f>P20</f>
        <v>NK Celje</v>
      </c>
      <c r="AS8" s="151" t="str">
        <f>P21</f>
        <v>AZ Alkmaar</v>
      </c>
      <c r="AT8" s="151" t="str">
        <f>P22</f>
        <v>AC Florenz</v>
      </c>
      <c r="AU8" s="151" t="str">
        <f>P23</f>
        <v>HNK Rijeka</v>
      </c>
      <c r="AV8" s="151" t="str">
        <f>P24</f>
        <v>FC Lausanne-Sport</v>
      </c>
      <c r="AW8" s="151" t="str">
        <f>P25</f>
        <v>Jagiellonia Bialystok</v>
      </c>
      <c r="AX8" s="151" t="str">
        <f>P26</f>
        <v>Omonia Nikosia</v>
      </c>
      <c r="AY8" s="151" t="str">
        <f>P27</f>
        <v>FC Noah</v>
      </c>
      <c r="AZ8" s="151" t="str">
        <f>P28</f>
        <v>KF Drita Gjilan</v>
      </c>
      <c r="BA8" s="151" t="str">
        <f>P29</f>
        <v>Kuopion PS</v>
      </c>
      <c r="BB8" s="151" t="str">
        <f>P30</f>
        <v>Shkendija Tetovo</v>
      </c>
      <c r="BC8" s="151" t="str">
        <f>P31</f>
        <v>Zrinjski Mostar</v>
      </c>
      <c r="BD8" s="151" t="str">
        <f>P32</f>
        <v>Sigma Olmütz</v>
      </c>
      <c r="BE8" s="151" t="str">
        <f>P33</f>
        <v>Universitatea Craiova</v>
      </c>
      <c r="BF8" s="151" t="str">
        <f>P34</f>
        <v>Lincoln Red Imps Fc</v>
      </c>
      <c r="BG8" s="151" t="str">
        <f>P35</f>
        <v>Dynamo Kiew</v>
      </c>
      <c r="BH8" s="151" t="str">
        <f>P36</f>
        <v>Legia Warschau</v>
      </c>
      <c r="BI8" s="151" t="str">
        <f>P37</f>
        <v>Slovan Bratislava</v>
      </c>
      <c r="BJ8" s="151" t="str">
        <f>P38</f>
        <v>UMF Breidablik</v>
      </c>
      <c r="BK8" s="151" t="str">
        <f>P39</f>
        <v>Shamrock Rovers</v>
      </c>
      <c r="BL8" s="151" t="str">
        <f>P40</f>
        <v>Hamrun Spartans</v>
      </c>
      <c r="BM8" s="284" t="str">
        <f>P41</f>
        <v>BK Häcken</v>
      </c>
      <c r="BN8" s="151" t="str">
        <f>P42</f>
        <v>FC Shelbourne</v>
      </c>
      <c r="BO8" s="289" t="str">
        <f>P43</f>
        <v>FC Aberdeen</v>
      </c>
      <c r="BP8" s="152" t="str">
        <f>P44</f>
        <v>Rapid Wien</v>
      </c>
    </row>
    <row r="9" spans="1:68" ht="15.95" customHeight="1" thickTop="1" x14ac:dyDescent="0.25">
      <c r="B9" s="194">
        <v>1</v>
      </c>
      <c r="C9" s="192">
        <v>1</v>
      </c>
      <c r="D9" s="508">
        <f>IF(Planning!$T7="","",Planning!$T7)</f>
        <v>45932</v>
      </c>
      <c r="E9" s="120">
        <f>IF(Planning!$U7="","",Planning!$U7)</f>
        <v>0.78125</v>
      </c>
      <c r="F9" s="128" t="str">
        <f>Planning!$Q7</f>
        <v>Dynamo Kiew</v>
      </c>
      <c r="G9" s="129" t="s">
        <v>4</v>
      </c>
      <c r="H9" s="128" t="str">
        <f>Planning!$S7</f>
        <v>Crystal Palace</v>
      </c>
      <c r="I9" s="130">
        <v>0</v>
      </c>
      <c r="J9" s="381" t="str">
        <f>Language!$E$90</f>
        <v xml:space="preserve"> - </v>
      </c>
      <c r="K9" s="131">
        <v>2</v>
      </c>
      <c r="L9" s="228"/>
      <c r="M9" s="229"/>
      <c r="N9" s="299"/>
      <c r="O9" s="300">
        <f>IF(Calc!$K$40=0,"",1)</f>
        <v>1</v>
      </c>
      <c r="P9" s="301" t="str">
        <f>IF(Calc!$K$40=0,Calc2!$C4,VLOOKUP(Calc!B4,Calc!$C$4:$N$39,4,0))</f>
        <v>Racing Straßburg</v>
      </c>
      <c r="Q9" s="302">
        <f>IF(Calc!$K$40=0,"",VLOOKUP(Calc!B4,Calc!$C$4:$N$39,9,0))</f>
        <v>6</v>
      </c>
      <c r="R9" s="303">
        <f>IF(Calc!$K$40=0,"",IF($Q9=0,"",VLOOKUP(Calc!B4,Calc!$C$4:$N$39,10,0)))</f>
        <v>5</v>
      </c>
      <c r="S9" s="303">
        <f>IF(Calc!$K$40=0,"",IF($Q9=0,"",VLOOKUP(Calc!B4,Calc!$C$4:$N$39,11,0)))</f>
        <v>1</v>
      </c>
      <c r="T9" s="304">
        <f>IF(Calc!$K$40=0,"",IF($Q9=0,"",VLOOKUP(Calc!B4,Calc!$C$4:$N$39,12,0)))</f>
        <v>0</v>
      </c>
      <c r="U9" s="305">
        <f>IF(Calc!$K$40=0,"",IF($Q9=0,"",VLOOKUP(Calc!B4,Calc!$C$4:$N$39,5,0)))</f>
        <v>11</v>
      </c>
      <c r="V9" s="306" t="str">
        <f>Language!$E$90</f>
        <v xml:space="preserve"> - </v>
      </c>
      <c r="W9" s="307">
        <f>IF(Calc!$K$40=0,"",IF($Q9=0,"",VLOOKUP(Calc!B4,Calc!$C$4:$N$39,6,0)))</f>
        <v>5</v>
      </c>
      <c r="X9" s="308">
        <f>IF(Calc!$K$40=0,"",IF($Q9=0,"",VLOOKUP(Calc!B4,Calc!$C$4:$N$39,7,0)))</f>
        <v>6</v>
      </c>
      <c r="Y9" s="309">
        <f>IF(Calc!$K$40=0,"",IF($Q9=0,"",VLOOKUP(Calc!B4,Calc!$C$4:$P$39,13,0)))</f>
        <v>5</v>
      </c>
      <c r="Z9" s="309">
        <f>IF(Calc!$K$40=0,"",IF($Q9=0,"",VLOOKUP(Calc!B4,Calc!$C$4:$P$39,14,0)))</f>
        <v>3</v>
      </c>
      <c r="AA9" s="310">
        <f>IF(Calc!$K$40=0,"",IF($Q9=0,"",VLOOKUP(Calc!B4,Calc!$C$4:$N$39,8,0)))</f>
        <v>16</v>
      </c>
      <c r="AB9" s="230" t="str">
        <f>IF(VLOOKUP(Calc!B4,Calc!$C$4:$Q$39,15,0)=0,"",VLOOKUP(Calc!B4,Calc!$C$4:$Q$39,15,0))</f>
        <v/>
      </c>
      <c r="AC9" s="222" t="str">
        <f>IF(IFERROR(VLOOKUP($P9,Planning!$D$7:$E$42,2,0),0)=0,IF(LEN(P9)&gt;Factors!$D$12,LEFT(P9,Factors!$D$12)&amp;".",P9),VLOOKUP($P9,Planning!$D$7:$E$42,2,0))</f>
        <v>Racing .</v>
      </c>
      <c r="AD9" s="182"/>
      <c r="AE9" s="158">
        <f>O9</f>
        <v>1</v>
      </c>
      <c r="AF9" s="159" t="str">
        <f>P9</f>
        <v>Racing Straßburg</v>
      </c>
      <c r="AG9" s="144"/>
      <c r="AH9" s="145" t="str">
        <f>IFERROR(VLOOKUP($P9&amp;AH$8,Calc2!$J$4:$L$291,3,0),"")</f>
        <v/>
      </c>
      <c r="AI9" s="145" t="str">
        <f>IFERROR(VLOOKUP($P9&amp;AI$8,Calc2!$J$4:$L$291,3,0),"")</f>
        <v/>
      </c>
      <c r="AJ9" s="145" t="str">
        <f>IFERROR(VLOOKUP($P9&amp;AJ$8,Calc2!$J$4:$L$291,3,0),"")</f>
        <v/>
      </c>
      <c r="AK9" s="145" t="str">
        <f>IFERROR(VLOOKUP($P9&amp;AK$8,Calc2!$J$4:$L$291,3,0),"")</f>
        <v/>
      </c>
      <c r="AL9" s="145" t="str">
        <f>IFERROR(VLOOKUP($P9&amp;AL$8,Calc2!$J$4:$L$291,3,0),"")</f>
        <v/>
      </c>
      <c r="AM9" s="145" t="str">
        <f>IFERROR(VLOOKUP($P9&amp;AM$8,Calc2!$J$4:$L$291,3,0),"")</f>
        <v/>
      </c>
      <c r="AN9" s="145" t="str">
        <f>IFERROR(VLOOKUP($P9&amp;AN$8,Calc2!$J$4:$L$291,3,0),"")</f>
        <v/>
      </c>
      <c r="AO9" s="145" t="str">
        <f>IFERROR(VLOOKUP($P9&amp;AO$8,Calc2!$J$4:$L$291,3,0),"")</f>
        <v>2 - 1</v>
      </c>
      <c r="AP9" s="145" t="str">
        <f>IFERROR(VLOOKUP($P9&amp;AP$8,Calc2!$J$4:$L$291,3,0),"")</f>
        <v/>
      </c>
      <c r="AQ9" s="145" t="str">
        <f>IFERROR(VLOOKUP($P9&amp;AQ$8,Calc2!$J$4:$L$291,3,0),"")</f>
        <v/>
      </c>
      <c r="AR9" s="145" t="str">
        <f>IFERROR(VLOOKUP($P9&amp;AR$8,Calc2!$J$4:$L$291,3,0),"")</f>
        <v/>
      </c>
      <c r="AS9" s="145" t="str">
        <f>IFERROR(VLOOKUP($P9&amp;AS$8,Calc2!$J$4:$L$291,3,0),"")</f>
        <v/>
      </c>
      <c r="AT9" s="145" t="str">
        <f>IFERROR(VLOOKUP($P9&amp;AT$8,Calc2!$J$4:$L$291,3,0),"")</f>
        <v/>
      </c>
      <c r="AU9" s="145" t="str">
        <f>IFERROR(VLOOKUP($P9&amp;AU$8,Calc2!$J$4:$L$291,3,0),"")</f>
        <v/>
      </c>
      <c r="AV9" s="145" t="str">
        <f>IFERROR(VLOOKUP($P9&amp;AV$8,Calc2!$J$4:$L$291,3,0),"")</f>
        <v/>
      </c>
      <c r="AW9" s="145" t="str">
        <f>IFERROR(VLOOKUP($P9&amp;AW$8,Calc2!$J$4:$L$291,3,0),"")</f>
        <v>1 - 1</v>
      </c>
      <c r="AX9" s="145" t="str">
        <f>IFERROR(VLOOKUP($P9&amp;AX$8,Calc2!$J$4:$L$291,3,0),"")</f>
        <v/>
      </c>
      <c r="AY9" s="145" t="str">
        <f>IFERROR(VLOOKUP($P9&amp;AY$8,Calc2!$J$4:$L$291,3,0),"")</f>
        <v/>
      </c>
      <c r="AZ9" s="145" t="str">
        <f>IFERROR(VLOOKUP($P9&amp;AZ$8,Calc2!$J$4:$L$291,3,0),"")</f>
        <v/>
      </c>
      <c r="BA9" s="145" t="str">
        <f>IFERROR(VLOOKUP($P9&amp;BA$8,Calc2!$J$4:$L$291,3,0),"")</f>
        <v/>
      </c>
      <c r="BB9" s="145" t="str">
        <f>IFERROR(VLOOKUP($P9&amp;BB$8,Calc2!$J$4:$L$291,3,0),"")</f>
        <v/>
      </c>
      <c r="BC9" s="145" t="str">
        <f>IFERROR(VLOOKUP($P9&amp;BC$8,Calc2!$J$4:$L$291,3,0),"")</f>
        <v/>
      </c>
      <c r="BD9" s="145" t="str">
        <f>IFERROR(VLOOKUP($P9&amp;BD$8,Calc2!$J$4:$L$291,3,0),"")</f>
        <v/>
      </c>
      <c r="BE9" s="145" t="str">
        <f>IFERROR(VLOOKUP($P9&amp;BE$8,Calc2!$J$4:$L$291,3,0),"")</f>
        <v/>
      </c>
      <c r="BF9" s="145" t="str">
        <f>IFERROR(VLOOKUP($P9&amp;BF$8,Calc2!$J$4:$L$291,3,0),"")</f>
        <v/>
      </c>
      <c r="BG9" s="145" t="str">
        <f>IFERROR(VLOOKUP($P9&amp;BG$8,Calc2!$J$4:$L$291,3,0),"")</f>
        <v/>
      </c>
      <c r="BH9" s="145" t="str">
        <f>IFERROR(VLOOKUP($P9&amp;BH$8,Calc2!$J$4:$L$291,3,0),"")</f>
        <v/>
      </c>
      <c r="BI9" s="145" t="str">
        <f>IFERROR(VLOOKUP($P9&amp;BI$8,Calc2!$J$4:$L$291,3,0),"")</f>
        <v/>
      </c>
      <c r="BJ9" s="145" t="str">
        <f>IFERROR(VLOOKUP($P9&amp;BJ$8,Calc2!$J$4:$L$291,3,0),"")</f>
        <v>3 - 1</v>
      </c>
      <c r="BK9" s="145" t="str">
        <f>IFERROR(VLOOKUP($P9&amp;BK$8,Calc2!$J$4:$L$291,3,0),"")</f>
        <v/>
      </c>
      <c r="BL9" s="145" t="str">
        <f>IFERROR(VLOOKUP($P9&amp;BL$8,Calc2!$J$4:$L$291,3,0),"")</f>
        <v/>
      </c>
      <c r="BM9" s="285" t="str">
        <f>IFERROR(VLOOKUP($P9&amp;BM$8,Calc2!$J$4:$L$291,3,0),"")</f>
        <v/>
      </c>
      <c r="BN9" s="145" t="str">
        <f>IFERROR(VLOOKUP($P9&amp;BN$8,Calc2!$J$4:$L$291,3,0),"")</f>
        <v/>
      </c>
      <c r="BO9" s="290" t="str">
        <f>IFERROR(VLOOKUP($P9&amp;BO$8,Calc2!$J$4:$L$291,3,0),"")</f>
        <v/>
      </c>
      <c r="BP9" s="146" t="str">
        <f>IFERROR(VLOOKUP($P9&amp;BP$8,Calc2!$J$4:$L$291,3,0),"")</f>
        <v/>
      </c>
    </row>
    <row r="10" spans="1:68" ht="15.95" customHeight="1" x14ac:dyDescent="0.25">
      <c r="B10" s="194"/>
      <c r="C10" s="192">
        <v>2</v>
      </c>
      <c r="D10" s="508">
        <f>IF(Planning!$T8="","",Planning!$T8)</f>
        <v>45932</v>
      </c>
      <c r="E10" s="120">
        <f>IF(Planning!$U8="","",Planning!$U8)</f>
        <v>0.78125</v>
      </c>
      <c r="F10" s="128" t="str">
        <f>Planning!$Q8</f>
        <v>Lech Posen</v>
      </c>
      <c r="G10" s="129" t="s">
        <v>4</v>
      </c>
      <c r="H10" s="128" t="str">
        <f>Planning!$S8</f>
        <v>Rapid Wien</v>
      </c>
      <c r="I10" s="130">
        <v>4</v>
      </c>
      <c r="J10" s="381" t="str">
        <f>Language!$E$90</f>
        <v xml:space="preserve"> - </v>
      </c>
      <c r="K10" s="131">
        <v>1</v>
      </c>
      <c r="L10" s="228"/>
      <c r="M10" s="229"/>
      <c r="N10" s="299"/>
      <c r="O10" s="311">
        <f>IF(Calc!$K$40=0,"",IF(VLOOKUP(Calc!B5,Calc!$C$4:$E$39,3,0)=MAX(O$9:O9),VLOOKUP(Calc!B5,Calc!$C$4:$E$39,3,0),Calc!B5))</f>
        <v>2</v>
      </c>
      <c r="P10" s="312" t="str">
        <f>IF(Calc!$K$40=0,Calc2!$C5,VLOOKUP(Calc!B5,Calc!$C$4:$N$39,4,0))</f>
        <v>Rakow Tschenstochau</v>
      </c>
      <c r="Q10" s="313">
        <f>IF(Calc!$K$40=0,"",VLOOKUP(Calc!B5,Calc!$C$4:$N$39,9,0))</f>
        <v>6</v>
      </c>
      <c r="R10" s="314">
        <f>IF(Calc!$K$40=0,"",IF($Q10=0,"",VLOOKUP(Calc!B5,Calc!$C$4:$N$39,10,0)))</f>
        <v>4</v>
      </c>
      <c r="S10" s="314">
        <f>IF(Calc!$K$40=0,"",IF($Q10=0,"",VLOOKUP(Calc!B5,Calc!$C$4:$N$39,11,0)))</f>
        <v>2</v>
      </c>
      <c r="T10" s="315">
        <f>IF(Calc!$K$40=0,"",IF($Q10=0,"",VLOOKUP(Calc!B5,Calc!$C$4:$N$39,12,0)))</f>
        <v>0</v>
      </c>
      <c r="U10" s="316">
        <f>IF(Calc!$K$40=0,"",IF($Q10=0,"",VLOOKUP(Calc!B5,Calc!$C$4:$N$39,5,0)))</f>
        <v>9</v>
      </c>
      <c r="V10" s="317" t="str">
        <f>Language!$E$90</f>
        <v xml:space="preserve"> - </v>
      </c>
      <c r="W10" s="318">
        <f>IF(Calc!$K$40=0,"",IF($Q10=0,"",VLOOKUP(Calc!B5,Calc!$C$4:$N$39,6,0)))</f>
        <v>2</v>
      </c>
      <c r="X10" s="319">
        <f>IF(Calc!$K$40=0,"",IF($Q10=0,"",VLOOKUP(Calc!B5,Calc!$C$4:$N$39,7,0)))</f>
        <v>7</v>
      </c>
      <c r="Y10" s="320">
        <f>IF(Calc!$K$40=0,"",IF($Q10=0,"",VLOOKUP(Calc!B5,Calc!$C$4:$P$39,13,0)))</f>
        <v>2</v>
      </c>
      <c r="Z10" s="320">
        <f>IF(Calc!$K$40=0,"",IF($Q10=0,"",VLOOKUP(Calc!B5,Calc!$C$4:$P$39,14,0)))</f>
        <v>1</v>
      </c>
      <c r="AA10" s="321">
        <f>IF(Calc!$K$40=0,"",IF($Q10=0,"",VLOOKUP(Calc!B5,Calc!$C$4:$N$39,8,0)))</f>
        <v>14</v>
      </c>
      <c r="AB10" s="231" t="str">
        <f>IF(VLOOKUP(Calc!B5,Calc!$C$4:$Q$39,15,0)=0,"",VLOOKUP(Calc!B5,Calc!$C$4:$Q$39,15,0))</f>
        <v/>
      </c>
      <c r="AC10" s="222" t="str">
        <f>IF(IFERROR(VLOOKUP($P10,Planning!$D$7:$E$42,2,0),0)=0,IF(LEN(P10)&gt;Factors!$D$12,LEFT(P10,Factors!$D$12)&amp;".",P10),VLOOKUP($P10,Planning!$D$7:$E$42,2,0))</f>
        <v>Rakow T.</v>
      </c>
      <c r="AD10" s="182"/>
      <c r="AE10" s="160">
        <f t="shared" ref="AE10:AE27" si="0">O10</f>
        <v>2</v>
      </c>
      <c r="AF10" s="161" t="str">
        <f t="shared" ref="AF10:AF27" si="1">P10</f>
        <v>Rakow Tschenstochau</v>
      </c>
      <c r="AG10" s="122" t="str">
        <f>IFERROR(VLOOKUP($P10&amp;AG$8,Calc2!$J$4:$L$291,3,0),"")</f>
        <v/>
      </c>
      <c r="AH10" s="123"/>
      <c r="AI10" s="121" t="str">
        <f>IFERROR(VLOOKUP($P10&amp;AI$8,Calc2!$J$4:$L$291,3,0),"")</f>
        <v/>
      </c>
      <c r="AJ10" s="121" t="str">
        <f>IFERROR(VLOOKUP($P10&amp;AJ$8,Calc2!$J$4:$L$291,3,0),"")</f>
        <v/>
      </c>
      <c r="AK10" s="121" t="str">
        <f>IFERROR(VLOOKUP($P10&amp;AK$8,Calc2!$J$4:$L$291,3,0),"")</f>
        <v/>
      </c>
      <c r="AL10" s="121" t="str">
        <f>IFERROR(VLOOKUP($P10&amp;AL$8,Calc2!$J$4:$L$291,3,0),"")</f>
        <v/>
      </c>
      <c r="AM10" s="121" t="str">
        <f>IFERROR(VLOOKUP($P10&amp;AM$8,Calc2!$J$4:$L$291,3,0),"")</f>
        <v/>
      </c>
      <c r="AN10" s="121" t="str">
        <f>IFERROR(VLOOKUP($P10&amp;AN$8,Calc2!$J$4:$L$291,3,0),"")</f>
        <v/>
      </c>
      <c r="AO10" s="121" t="str">
        <f>IFERROR(VLOOKUP($P10&amp;AO$8,Calc2!$J$4:$L$291,3,0),"")</f>
        <v/>
      </c>
      <c r="AP10" s="121" t="str">
        <f>IFERROR(VLOOKUP($P10&amp;AP$8,Calc2!$J$4:$L$291,3,0),"")</f>
        <v/>
      </c>
      <c r="AQ10" s="121" t="str">
        <f>IFERROR(VLOOKUP($P10&amp;AQ$8,Calc2!$J$4:$L$291,3,0),"")</f>
        <v/>
      </c>
      <c r="AR10" s="121" t="str">
        <f>IFERROR(VLOOKUP($P10&amp;AR$8,Calc2!$J$4:$L$291,3,0),"")</f>
        <v/>
      </c>
      <c r="AS10" s="121" t="str">
        <f>IFERROR(VLOOKUP($P10&amp;AS$8,Calc2!$J$4:$L$291,3,0),"")</f>
        <v/>
      </c>
      <c r="AT10" s="121" t="str">
        <f>IFERROR(VLOOKUP($P10&amp;AT$8,Calc2!$J$4:$L$291,3,0),"")</f>
        <v/>
      </c>
      <c r="AU10" s="121" t="str">
        <f>IFERROR(VLOOKUP($P10&amp;AU$8,Calc2!$J$4:$L$291,3,0),"")</f>
        <v/>
      </c>
      <c r="AV10" s="121" t="str">
        <f>IFERROR(VLOOKUP($P10&amp;AV$8,Calc2!$J$4:$L$291,3,0),"")</f>
        <v/>
      </c>
      <c r="AW10" s="121" t="str">
        <f>IFERROR(VLOOKUP($P10&amp;AW$8,Calc2!$J$4:$L$291,3,0),"")</f>
        <v/>
      </c>
      <c r="AX10" s="121" t="str">
        <f>IFERROR(VLOOKUP($P10&amp;AX$8,Calc2!$J$4:$L$291,3,0),"")</f>
        <v/>
      </c>
      <c r="AY10" s="121" t="str">
        <f>IFERROR(VLOOKUP($P10&amp;AY$8,Calc2!$J$4:$L$291,3,0),"")</f>
        <v/>
      </c>
      <c r="AZ10" s="121" t="str">
        <f>IFERROR(VLOOKUP($P10&amp;AZ$8,Calc2!$J$4:$L$291,3,0),"")</f>
        <v/>
      </c>
      <c r="BA10" s="121" t="str">
        <f>IFERROR(VLOOKUP($P10&amp;BA$8,Calc2!$J$4:$L$291,3,0),"")</f>
        <v/>
      </c>
      <c r="BB10" s="121" t="str">
        <f>IFERROR(VLOOKUP($P10&amp;BB$8,Calc2!$J$4:$L$291,3,0),"")</f>
        <v/>
      </c>
      <c r="BC10" s="121" t="str">
        <f>IFERROR(VLOOKUP($P10&amp;BC$8,Calc2!$J$4:$L$291,3,0),"")</f>
        <v>1 - 0</v>
      </c>
      <c r="BD10" s="121" t="str">
        <f>IFERROR(VLOOKUP($P10&amp;BD$8,Calc2!$J$4:$L$291,3,0),"")</f>
        <v/>
      </c>
      <c r="BE10" s="121" t="str">
        <f>IFERROR(VLOOKUP($P10&amp;BE$8,Calc2!$J$4:$L$291,3,0),"")</f>
        <v>2 - 0</v>
      </c>
      <c r="BF10" s="121" t="str">
        <f>IFERROR(VLOOKUP($P10&amp;BF$8,Calc2!$J$4:$L$291,3,0),"")</f>
        <v/>
      </c>
      <c r="BG10" s="121" t="str">
        <f>IFERROR(VLOOKUP($P10&amp;BG$8,Calc2!$J$4:$L$291,3,0),"")</f>
        <v/>
      </c>
      <c r="BH10" s="121" t="str">
        <f>IFERROR(VLOOKUP($P10&amp;BH$8,Calc2!$J$4:$L$291,3,0),"")</f>
        <v/>
      </c>
      <c r="BI10" s="121" t="str">
        <f>IFERROR(VLOOKUP($P10&amp;BI$8,Calc2!$J$4:$L$291,3,0),"")</f>
        <v/>
      </c>
      <c r="BJ10" s="121" t="str">
        <f>IFERROR(VLOOKUP($P10&amp;BJ$8,Calc2!$J$4:$L$291,3,0),"")</f>
        <v/>
      </c>
      <c r="BK10" s="121" t="str">
        <f>IFERROR(VLOOKUP($P10&amp;BK$8,Calc2!$J$4:$L$291,3,0),"")</f>
        <v/>
      </c>
      <c r="BL10" s="121" t="str">
        <f>IFERROR(VLOOKUP($P10&amp;BL$8,Calc2!$J$4:$L$291,3,0),"")</f>
        <v/>
      </c>
      <c r="BM10" s="286" t="str">
        <f>IFERROR(VLOOKUP($P10&amp;BM$8,Calc2!$J$4:$L$291,3,0),"")</f>
        <v/>
      </c>
      <c r="BN10" s="121" t="str">
        <f>IFERROR(VLOOKUP($P10&amp;BN$8,Calc2!$J$4:$L$291,3,0),"")</f>
        <v/>
      </c>
      <c r="BO10" s="291" t="str">
        <f>IFERROR(VLOOKUP($P10&amp;BO$8,Calc2!$J$4:$L$291,3,0),"")</f>
        <v/>
      </c>
      <c r="BP10" s="124" t="str">
        <f>IFERROR(VLOOKUP($P10&amp;BP$8,Calc2!$J$4:$L$291,3,0),"")</f>
        <v>4 - 1</v>
      </c>
    </row>
    <row r="11" spans="1:68" ht="15.95" customHeight="1" x14ac:dyDescent="0.25">
      <c r="B11" s="194"/>
      <c r="C11" s="192">
        <v>3</v>
      </c>
      <c r="D11" s="508">
        <f>IF(Planning!$T9="","",Planning!$T9)</f>
        <v>45932</v>
      </c>
      <c r="E11" s="120">
        <f>IF(Planning!$U9="","",Planning!$U9)</f>
        <v>0.78125</v>
      </c>
      <c r="F11" s="128" t="str">
        <f>Planning!$Q9</f>
        <v>Rayo Vallecano</v>
      </c>
      <c r="G11" s="129" t="s">
        <v>4</v>
      </c>
      <c r="H11" s="128" t="str">
        <f>Planning!$S9</f>
        <v>Shkendija Tetovo</v>
      </c>
      <c r="I11" s="130">
        <v>2</v>
      </c>
      <c r="J11" s="381" t="str">
        <f>Language!$E$90</f>
        <v xml:space="preserve"> - </v>
      </c>
      <c r="K11" s="131">
        <v>0</v>
      </c>
      <c r="L11" s="228"/>
      <c r="M11" s="229"/>
      <c r="N11" s="299"/>
      <c r="O11" s="311">
        <f>IF(Calc!$K$40=0,"",IF(VLOOKUP(Calc!B6,Calc!$C$4:$E$39,3,0)=MAX(O$9:O10),VLOOKUP(Calc!B6,Calc!$C$4:$E$39,3,0),Calc!B6))</f>
        <v>3</v>
      </c>
      <c r="P11" s="312" t="str">
        <f>IF(Calc!$K$40=0,Calc2!$C6,VLOOKUP(Calc!B6,Calc!$C$4:$N$39,4,0))</f>
        <v>AEK Athen</v>
      </c>
      <c r="Q11" s="313">
        <f>IF(Calc!$K$40=0,"",VLOOKUP(Calc!B6,Calc!$C$4:$N$39,9,0))</f>
        <v>6</v>
      </c>
      <c r="R11" s="314">
        <f>IF(Calc!$K$40=0,"",IF($Q11=0,"",VLOOKUP(Calc!B6,Calc!$C$4:$N$39,10,0)))</f>
        <v>4</v>
      </c>
      <c r="S11" s="314">
        <f>IF(Calc!$K$40=0,"",IF($Q11=0,"",VLOOKUP(Calc!B6,Calc!$C$4:$N$39,11,0)))</f>
        <v>1</v>
      </c>
      <c r="T11" s="315">
        <f>IF(Calc!$K$40=0,"",IF($Q11=0,"",VLOOKUP(Calc!B6,Calc!$C$4:$N$39,12,0)))</f>
        <v>1</v>
      </c>
      <c r="U11" s="316">
        <f>IF(Calc!$K$40=0,"",IF($Q11=0,"",VLOOKUP(Calc!B6,Calc!$C$4:$N$39,5,0)))</f>
        <v>14</v>
      </c>
      <c r="V11" s="317" t="str">
        <f>Language!$E$90</f>
        <v xml:space="preserve"> - </v>
      </c>
      <c r="W11" s="318">
        <f>IF(Calc!$K$40=0,"",IF($Q11=0,"",VLOOKUP(Calc!B6,Calc!$C$4:$N$39,6,0)))</f>
        <v>7</v>
      </c>
      <c r="X11" s="319">
        <f>IF(Calc!$K$40=0,"",IF($Q11=0,"",VLOOKUP(Calc!B6,Calc!$C$4:$N$39,7,0)))</f>
        <v>7</v>
      </c>
      <c r="Y11" s="320">
        <f>IF(Calc!$K$40=0,"",IF($Q11=0,"",VLOOKUP(Calc!B6,Calc!$C$4:$P$39,13,0)))</f>
        <v>4</v>
      </c>
      <c r="Z11" s="320">
        <f>IF(Calc!$K$40=0,"",IF($Q11=0,"",VLOOKUP(Calc!B6,Calc!$C$4:$P$39,14,0)))</f>
        <v>2</v>
      </c>
      <c r="AA11" s="321">
        <f>IF(Calc!$K$40=0,"",IF($Q11=0,"",VLOOKUP(Calc!B6,Calc!$C$4:$N$39,8,0)))</f>
        <v>13</v>
      </c>
      <c r="AB11" s="231" t="str">
        <f>IF(VLOOKUP(Calc!B6,Calc!$C$4:$Q$39,15,0)=0,"",VLOOKUP(Calc!B6,Calc!$C$4:$Q$39,15,0))</f>
        <v/>
      </c>
      <c r="AC11" s="222" t="str">
        <f>IF(IFERROR(VLOOKUP($P11,Planning!$D$7:$E$42,2,0),0)=0,IF(LEN(P11)&gt;Factors!$D$12,LEFT(P11,Factors!$D$12)&amp;".",P11),VLOOKUP($P11,Planning!$D$7:$E$42,2,0))</f>
        <v>AEK Ath.</v>
      </c>
      <c r="AD11" s="182"/>
      <c r="AE11" s="160">
        <f t="shared" si="0"/>
        <v>3</v>
      </c>
      <c r="AF11" s="161" t="str">
        <f t="shared" si="1"/>
        <v>AEK Athen</v>
      </c>
      <c r="AG11" s="122" t="str">
        <f>IFERROR(VLOOKUP($P11&amp;AG$8,Calc2!$J$4:$L$291,3,0),"")</f>
        <v/>
      </c>
      <c r="AH11" s="121" t="str">
        <f>IFERROR(VLOOKUP($P11&amp;AH$8,Calc2!$J$4:$L$291,3,0),"")</f>
        <v/>
      </c>
      <c r="AI11" s="123"/>
      <c r="AJ11" s="121" t="str">
        <f>IFERROR(VLOOKUP($P11&amp;AJ$8,Calc2!$J$4:$L$291,3,0),"")</f>
        <v/>
      </c>
      <c r="AK11" s="121" t="str">
        <f>IFERROR(VLOOKUP($P11&amp;AK$8,Calc2!$J$4:$L$291,3,0),"")</f>
        <v/>
      </c>
      <c r="AL11" s="121" t="str">
        <f>IFERROR(VLOOKUP($P11&amp;AL$8,Calc2!$J$4:$L$291,3,0),"")</f>
        <v/>
      </c>
      <c r="AM11" s="121" t="str">
        <f>IFERROR(VLOOKUP($P11&amp;AM$8,Calc2!$J$4:$L$291,3,0),"")</f>
        <v/>
      </c>
      <c r="AN11" s="121" t="str">
        <f>IFERROR(VLOOKUP($P11&amp;AN$8,Calc2!$J$4:$L$291,3,0),"")</f>
        <v/>
      </c>
      <c r="AO11" s="121" t="str">
        <f>IFERROR(VLOOKUP($P11&amp;AO$8,Calc2!$J$4:$L$291,3,0),"")</f>
        <v/>
      </c>
      <c r="AP11" s="121" t="str">
        <f>IFERROR(VLOOKUP($P11&amp;AP$8,Calc2!$J$4:$L$291,3,0),"")</f>
        <v/>
      </c>
      <c r="AQ11" s="121" t="str">
        <f>IFERROR(VLOOKUP($P11&amp;AQ$8,Calc2!$J$4:$L$291,3,0),"")</f>
        <v/>
      </c>
      <c r="AR11" s="121" t="str">
        <f>IFERROR(VLOOKUP($P11&amp;AR$8,Calc2!$J$4:$L$291,3,0),"")</f>
        <v/>
      </c>
      <c r="AS11" s="121" t="str">
        <f>IFERROR(VLOOKUP($P11&amp;AS$8,Calc2!$J$4:$L$291,3,0),"")</f>
        <v/>
      </c>
      <c r="AT11" s="121" t="str">
        <f>IFERROR(VLOOKUP($P11&amp;AT$8,Calc2!$J$4:$L$291,3,0),"")</f>
        <v/>
      </c>
      <c r="AU11" s="121" t="str">
        <f>IFERROR(VLOOKUP($P11&amp;AU$8,Calc2!$J$4:$L$291,3,0),"")</f>
        <v/>
      </c>
      <c r="AV11" s="121" t="str">
        <f>IFERROR(VLOOKUP($P11&amp;AV$8,Calc2!$J$4:$L$291,3,0),"")</f>
        <v/>
      </c>
      <c r="AW11" s="121" t="str">
        <f>IFERROR(VLOOKUP($P11&amp;AW$8,Calc2!$J$4:$L$291,3,0),"")</f>
        <v/>
      </c>
      <c r="AX11" s="121" t="str">
        <f>IFERROR(VLOOKUP($P11&amp;AX$8,Calc2!$J$4:$L$291,3,0),"")</f>
        <v/>
      </c>
      <c r="AY11" s="121" t="str">
        <f>IFERROR(VLOOKUP($P11&amp;AY$8,Calc2!$J$4:$L$291,3,0),"")</f>
        <v/>
      </c>
      <c r="AZ11" s="121" t="str">
        <f>IFERROR(VLOOKUP($P11&amp;AZ$8,Calc2!$J$4:$L$291,3,0),"")</f>
        <v/>
      </c>
      <c r="BA11" s="121" t="str">
        <f>IFERROR(VLOOKUP($P11&amp;BA$8,Calc2!$J$4:$L$291,3,0),"")</f>
        <v/>
      </c>
      <c r="BB11" s="121" t="str">
        <f>IFERROR(VLOOKUP($P11&amp;BB$8,Calc2!$J$4:$L$291,3,0),"")</f>
        <v/>
      </c>
      <c r="BC11" s="121" t="str">
        <f>IFERROR(VLOOKUP($P11&amp;BC$8,Calc2!$J$4:$L$291,3,0),"")</f>
        <v/>
      </c>
      <c r="BD11" s="121" t="str">
        <f>IFERROR(VLOOKUP($P11&amp;BD$8,Calc2!$J$4:$L$291,3,0),"")</f>
        <v/>
      </c>
      <c r="BE11" s="121" t="str">
        <f>IFERROR(VLOOKUP($P11&amp;BE$8,Calc2!$J$4:$L$291,3,0),"")</f>
        <v>3 - 2</v>
      </c>
      <c r="BF11" s="121" t="str">
        <f>IFERROR(VLOOKUP($P11&amp;BF$8,Calc2!$J$4:$L$291,3,0),"")</f>
        <v/>
      </c>
      <c r="BG11" s="121" t="str">
        <f>IFERROR(VLOOKUP($P11&amp;BG$8,Calc2!$J$4:$L$291,3,0),"")</f>
        <v/>
      </c>
      <c r="BH11" s="121" t="str">
        <f>IFERROR(VLOOKUP($P11&amp;BH$8,Calc2!$J$4:$L$291,3,0),"")</f>
        <v/>
      </c>
      <c r="BI11" s="121" t="str">
        <f>IFERROR(VLOOKUP($P11&amp;BI$8,Calc2!$J$4:$L$291,3,0),"")</f>
        <v/>
      </c>
      <c r="BJ11" s="121" t="str">
        <f>IFERROR(VLOOKUP($P11&amp;BJ$8,Calc2!$J$4:$L$291,3,0),"")</f>
        <v/>
      </c>
      <c r="BK11" s="121" t="str">
        <f>IFERROR(VLOOKUP($P11&amp;BK$8,Calc2!$J$4:$L$291,3,0),"")</f>
        <v>1 - 1</v>
      </c>
      <c r="BL11" s="121" t="str">
        <f>IFERROR(VLOOKUP($P11&amp;BL$8,Calc2!$J$4:$L$291,3,0),"")</f>
        <v/>
      </c>
      <c r="BM11" s="286" t="str">
        <f>IFERROR(VLOOKUP($P11&amp;BM$8,Calc2!$J$4:$L$291,3,0),"")</f>
        <v/>
      </c>
      <c r="BN11" s="121" t="str">
        <f>IFERROR(VLOOKUP($P11&amp;BN$8,Calc2!$J$4:$L$291,3,0),"")</f>
        <v/>
      </c>
      <c r="BO11" s="291" t="str">
        <f>IFERROR(VLOOKUP($P11&amp;BO$8,Calc2!$J$4:$L$291,3,0),"")</f>
        <v>6 - 0</v>
      </c>
      <c r="BP11" s="124" t="str">
        <f>IFERROR(VLOOKUP($P11&amp;BP$8,Calc2!$J$4:$L$291,3,0),"")</f>
        <v/>
      </c>
    </row>
    <row r="12" spans="1:68" ht="15.95" customHeight="1" x14ac:dyDescent="0.25">
      <c r="B12" s="194"/>
      <c r="C12" s="192">
        <v>4</v>
      </c>
      <c r="D12" s="508">
        <f>IF(Planning!$T10="","",Planning!$T10)</f>
        <v>45932</v>
      </c>
      <c r="E12" s="120">
        <f>IF(Planning!$U10="","",Planning!$U10)</f>
        <v>0.78125</v>
      </c>
      <c r="F12" s="128" t="str">
        <f>Planning!$Q10</f>
        <v>Zrinjski Mostar</v>
      </c>
      <c r="G12" s="129" t="s">
        <v>4</v>
      </c>
      <c r="H12" s="128" t="str">
        <f>Planning!$S10</f>
        <v>Lincoln Red Imps Fc</v>
      </c>
      <c r="I12" s="130">
        <v>5</v>
      </c>
      <c r="J12" s="381" t="str">
        <f>Language!$E$90</f>
        <v xml:space="preserve"> - </v>
      </c>
      <c r="K12" s="131">
        <v>0</v>
      </c>
      <c r="L12" s="228"/>
      <c r="M12" s="229"/>
      <c r="N12" s="299"/>
      <c r="O12" s="311">
        <f>IF(Calc!$K$40=0,"",IF(VLOOKUP(Calc!B7,Calc!$C$4:$E$39,3,0)=MAX(O$9:O11),VLOOKUP(Calc!B7,Calc!$C$4:$E$39,3,0),Calc!B7))</f>
        <v>4</v>
      </c>
      <c r="P12" s="312" t="str">
        <f>IF(Calc!$K$40=0,Calc2!$C7,VLOOKUP(Calc!B7,Calc!$C$4:$N$39,4,0))</f>
        <v>Sparta Prag</v>
      </c>
      <c r="Q12" s="313">
        <f>IF(Calc!$K$40=0,"",VLOOKUP(Calc!B7,Calc!$C$4:$N$39,9,0))</f>
        <v>6</v>
      </c>
      <c r="R12" s="314">
        <f>IF(Calc!$K$40=0,"",IF($Q12=0,"",VLOOKUP(Calc!B7,Calc!$C$4:$N$39,10,0)))</f>
        <v>4</v>
      </c>
      <c r="S12" s="314">
        <f>IF(Calc!$K$40=0,"",IF($Q12=0,"",VLOOKUP(Calc!B7,Calc!$C$4:$N$39,11,0)))</f>
        <v>1</v>
      </c>
      <c r="T12" s="315">
        <f>IF(Calc!$K$40=0,"",IF($Q12=0,"",VLOOKUP(Calc!B7,Calc!$C$4:$N$39,12,0)))</f>
        <v>1</v>
      </c>
      <c r="U12" s="316">
        <f>IF(Calc!$K$40=0,"",IF($Q12=0,"",VLOOKUP(Calc!B7,Calc!$C$4:$N$39,5,0)))</f>
        <v>10</v>
      </c>
      <c r="V12" s="317" t="str">
        <f>Language!$E$90</f>
        <v xml:space="preserve"> - </v>
      </c>
      <c r="W12" s="318">
        <f>IF(Calc!$K$40=0,"",IF($Q12=0,"",VLOOKUP(Calc!B7,Calc!$C$4:$N$39,6,0)))</f>
        <v>3</v>
      </c>
      <c r="X12" s="319">
        <f>IF(Calc!$K$40=0,"",IF($Q12=0,"",VLOOKUP(Calc!B7,Calc!$C$4:$N$39,7,0)))</f>
        <v>7</v>
      </c>
      <c r="Y12" s="320">
        <f>IF(Calc!$K$40=0,"",IF($Q12=0,"",VLOOKUP(Calc!B7,Calc!$C$4:$P$39,13,0)))</f>
        <v>3</v>
      </c>
      <c r="Z12" s="320">
        <f>IF(Calc!$K$40=0,"",IF($Q12=0,"",VLOOKUP(Calc!B7,Calc!$C$4:$P$39,14,0)))</f>
        <v>2</v>
      </c>
      <c r="AA12" s="321">
        <f>IF(Calc!$K$40=0,"",IF($Q12=0,"",VLOOKUP(Calc!B7,Calc!$C$4:$N$39,8,0)))</f>
        <v>13</v>
      </c>
      <c r="AB12" s="231" t="str">
        <f>IF(VLOOKUP(Calc!B7,Calc!$C$4:$Q$39,15,0)=0,"",VLOOKUP(Calc!B7,Calc!$C$4:$Q$39,15,0))</f>
        <v/>
      </c>
      <c r="AC12" s="222" t="str">
        <f>IF(IFERROR(VLOOKUP($P12,Planning!$D$7:$E$42,2,0),0)=0,IF(LEN(P12)&gt;Factors!$D$12,LEFT(P12,Factors!$D$12)&amp;".",P12),VLOOKUP($P12,Planning!$D$7:$E$42,2,0))</f>
        <v>Sparta .</v>
      </c>
      <c r="AD12" s="182"/>
      <c r="AE12" s="160">
        <f t="shared" si="0"/>
        <v>4</v>
      </c>
      <c r="AF12" s="161" t="str">
        <f t="shared" si="1"/>
        <v>Sparta Prag</v>
      </c>
      <c r="AG12" s="122" t="str">
        <f>IFERROR(VLOOKUP($P12&amp;AG$8,Calc2!$J$4:$L$291,3,0),"")</f>
        <v/>
      </c>
      <c r="AH12" s="121" t="str">
        <f>IFERROR(VLOOKUP($P12&amp;AH$8,Calc2!$J$4:$L$291,3,0),"")</f>
        <v>0 - 0</v>
      </c>
      <c r="AI12" s="121" t="str">
        <f>IFERROR(VLOOKUP($P12&amp;AI$8,Calc2!$J$4:$L$291,3,0),"")</f>
        <v/>
      </c>
      <c r="AJ12" s="123"/>
      <c r="AK12" s="121" t="str">
        <f>IFERROR(VLOOKUP($P12&amp;AK$8,Calc2!$J$4:$L$291,3,0),"")</f>
        <v/>
      </c>
      <c r="AL12" s="121" t="str">
        <f>IFERROR(VLOOKUP($P12&amp;AL$8,Calc2!$J$4:$L$291,3,0),"")</f>
        <v/>
      </c>
      <c r="AM12" s="121" t="str">
        <f>IFERROR(VLOOKUP($P12&amp;AM$8,Calc2!$J$4:$L$291,3,0),"")</f>
        <v/>
      </c>
      <c r="AN12" s="121" t="str">
        <f>IFERROR(VLOOKUP($P12&amp;AN$8,Calc2!$J$4:$L$291,3,0),"")</f>
        <v/>
      </c>
      <c r="AO12" s="121" t="str">
        <f>IFERROR(VLOOKUP($P12&amp;AO$8,Calc2!$J$4:$L$291,3,0),"")</f>
        <v/>
      </c>
      <c r="AP12" s="121" t="str">
        <f>IFERROR(VLOOKUP($P12&amp;AP$8,Calc2!$J$4:$L$291,3,0),"")</f>
        <v/>
      </c>
      <c r="AQ12" s="121" t="str">
        <f>IFERROR(VLOOKUP($P12&amp;AQ$8,Calc2!$J$4:$L$291,3,0),"")</f>
        <v/>
      </c>
      <c r="AR12" s="121" t="str">
        <f>IFERROR(VLOOKUP($P12&amp;AR$8,Calc2!$J$4:$L$291,3,0),"")</f>
        <v/>
      </c>
      <c r="AS12" s="121" t="str">
        <f>IFERROR(VLOOKUP($P12&amp;AS$8,Calc2!$J$4:$L$291,3,0),"")</f>
        <v/>
      </c>
      <c r="AT12" s="121" t="str">
        <f>IFERROR(VLOOKUP($P12&amp;AT$8,Calc2!$J$4:$L$291,3,0),"")</f>
        <v/>
      </c>
      <c r="AU12" s="121" t="str">
        <f>IFERROR(VLOOKUP($P12&amp;AU$8,Calc2!$J$4:$L$291,3,0),"")</f>
        <v/>
      </c>
      <c r="AV12" s="121" t="str">
        <f>IFERROR(VLOOKUP($P12&amp;AV$8,Calc2!$J$4:$L$291,3,0),"")</f>
        <v/>
      </c>
      <c r="AW12" s="121" t="str">
        <f>IFERROR(VLOOKUP($P12&amp;AW$8,Calc2!$J$4:$L$291,3,0),"")</f>
        <v/>
      </c>
      <c r="AX12" s="121" t="str">
        <f>IFERROR(VLOOKUP($P12&amp;AX$8,Calc2!$J$4:$L$291,3,0),"")</f>
        <v/>
      </c>
      <c r="AY12" s="121" t="str">
        <f>IFERROR(VLOOKUP($P12&amp;AY$8,Calc2!$J$4:$L$291,3,0),"")</f>
        <v/>
      </c>
      <c r="AZ12" s="121" t="str">
        <f>IFERROR(VLOOKUP($P12&amp;AZ$8,Calc2!$J$4:$L$291,3,0),"")</f>
        <v/>
      </c>
      <c r="BA12" s="121" t="str">
        <f>IFERROR(VLOOKUP($P12&amp;BA$8,Calc2!$J$4:$L$291,3,0),"")</f>
        <v/>
      </c>
      <c r="BB12" s="121" t="str">
        <f>IFERROR(VLOOKUP($P12&amp;BB$8,Calc2!$J$4:$L$291,3,0),"")</f>
        <v/>
      </c>
      <c r="BC12" s="121" t="str">
        <f>IFERROR(VLOOKUP($P12&amp;BC$8,Calc2!$J$4:$L$291,3,0),"")</f>
        <v/>
      </c>
      <c r="BD12" s="121" t="str">
        <f>IFERROR(VLOOKUP($P12&amp;BD$8,Calc2!$J$4:$L$291,3,0),"")</f>
        <v/>
      </c>
      <c r="BE12" s="121" t="str">
        <f>IFERROR(VLOOKUP($P12&amp;BE$8,Calc2!$J$4:$L$291,3,0),"")</f>
        <v/>
      </c>
      <c r="BF12" s="121" t="str">
        <f>IFERROR(VLOOKUP($P12&amp;BF$8,Calc2!$J$4:$L$291,3,0),"")</f>
        <v/>
      </c>
      <c r="BG12" s="121" t="str">
        <f>IFERROR(VLOOKUP($P12&amp;BG$8,Calc2!$J$4:$L$291,3,0),"")</f>
        <v/>
      </c>
      <c r="BH12" s="121" t="str">
        <f>IFERROR(VLOOKUP($P12&amp;BH$8,Calc2!$J$4:$L$291,3,0),"")</f>
        <v/>
      </c>
      <c r="BI12" s="121" t="str">
        <f>IFERROR(VLOOKUP($P12&amp;BI$8,Calc2!$J$4:$L$291,3,0),"")</f>
        <v/>
      </c>
      <c r="BJ12" s="121" t="str">
        <f>IFERROR(VLOOKUP($P12&amp;BJ$8,Calc2!$J$4:$L$291,3,0),"")</f>
        <v/>
      </c>
      <c r="BK12" s="121" t="str">
        <f>IFERROR(VLOOKUP($P12&amp;BK$8,Calc2!$J$4:$L$291,3,0),"")</f>
        <v>4 - 1</v>
      </c>
      <c r="BL12" s="121" t="str">
        <f>IFERROR(VLOOKUP($P12&amp;BL$8,Calc2!$J$4:$L$291,3,0),"")</f>
        <v/>
      </c>
      <c r="BM12" s="286" t="str">
        <f>IFERROR(VLOOKUP($P12&amp;BM$8,Calc2!$J$4:$L$291,3,0),"")</f>
        <v/>
      </c>
      <c r="BN12" s="121" t="str">
        <f>IFERROR(VLOOKUP($P12&amp;BN$8,Calc2!$J$4:$L$291,3,0),"")</f>
        <v/>
      </c>
      <c r="BO12" s="291" t="str">
        <f>IFERROR(VLOOKUP($P12&amp;BO$8,Calc2!$J$4:$L$291,3,0),"")</f>
        <v>3 - 0</v>
      </c>
      <c r="BP12" s="124" t="str">
        <f>IFERROR(VLOOKUP($P12&amp;BP$8,Calc2!$J$4:$L$291,3,0),"")</f>
        <v/>
      </c>
    </row>
    <row r="13" spans="1:68" ht="15.95" customHeight="1" x14ac:dyDescent="0.25">
      <c r="B13" s="194"/>
      <c r="C13" s="192">
        <v>5</v>
      </c>
      <c r="D13" s="508">
        <f>IF(Planning!$T11="","",Planning!$T11)</f>
        <v>45932</v>
      </c>
      <c r="E13" s="120">
        <f>IF(Planning!$U11="","",Planning!$U11)</f>
        <v>0.78125</v>
      </c>
      <c r="F13" s="128" t="str">
        <f>Planning!$Q11</f>
        <v>Jagiellonia Bialystok</v>
      </c>
      <c r="G13" s="129" t="s">
        <v>4</v>
      </c>
      <c r="H13" s="128" t="str">
        <f>Planning!$S11</f>
        <v>Hamrun Spartans</v>
      </c>
      <c r="I13" s="130">
        <v>1</v>
      </c>
      <c r="J13" s="381" t="str">
        <f>Language!$E$90</f>
        <v xml:space="preserve"> - </v>
      </c>
      <c r="K13" s="131">
        <v>0</v>
      </c>
      <c r="L13" s="228"/>
      <c r="M13" s="229"/>
      <c r="N13" s="299"/>
      <c r="O13" s="311">
        <f>IF(Calc!$K$40=0,"",IF(VLOOKUP(Calc!B8,Calc!$C$4:$E$39,3,0)=MAX(O$9:O12),VLOOKUP(Calc!B8,Calc!$C$4:$E$39,3,0),Calc!B8))</f>
        <v>5</v>
      </c>
      <c r="P13" s="312" t="str">
        <f>IF(Calc!$K$40=0,Calc2!$C8,VLOOKUP(Calc!B8,Calc!$C$4:$N$39,4,0))</f>
        <v>Rayo Vallecano</v>
      </c>
      <c r="Q13" s="313">
        <f>IF(Calc!$K$40=0,"",VLOOKUP(Calc!B8,Calc!$C$4:$N$39,9,0))</f>
        <v>6</v>
      </c>
      <c r="R13" s="314">
        <f>IF(Calc!$K$40=0,"",IF($Q13=0,"",VLOOKUP(Calc!B8,Calc!$C$4:$N$39,10,0)))</f>
        <v>4</v>
      </c>
      <c r="S13" s="314">
        <f>IF(Calc!$K$40=0,"",IF($Q13=0,"",VLOOKUP(Calc!B8,Calc!$C$4:$N$39,11,0)))</f>
        <v>1</v>
      </c>
      <c r="T13" s="315">
        <f>IF(Calc!$K$40=0,"",IF($Q13=0,"",VLOOKUP(Calc!B8,Calc!$C$4:$N$39,12,0)))</f>
        <v>1</v>
      </c>
      <c r="U13" s="316">
        <f>IF(Calc!$K$40=0,"",IF($Q13=0,"",VLOOKUP(Calc!B8,Calc!$C$4:$N$39,5,0)))</f>
        <v>13</v>
      </c>
      <c r="V13" s="317" t="str">
        <f>Language!$E$90</f>
        <v xml:space="preserve"> - </v>
      </c>
      <c r="W13" s="318">
        <f>IF(Calc!$K$40=0,"",IF($Q13=0,"",VLOOKUP(Calc!B8,Calc!$C$4:$N$39,6,0)))</f>
        <v>7</v>
      </c>
      <c r="X13" s="319">
        <f>IF(Calc!$K$40=0,"",IF($Q13=0,"",VLOOKUP(Calc!B8,Calc!$C$4:$N$39,7,0)))</f>
        <v>6</v>
      </c>
      <c r="Y13" s="320">
        <f>IF(Calc!$K$40=0,"",IF($Q13=0,"",VLOOKUP(Calc!B8,Calc!$C$4:$P$39,13,0)))</f>
        <v>5</v>
      </c>
      <c r="Z13" s="320">
        <f>IF(Calc!$K$40=0,"",IF($Q13=0,"",VLOOKUP(Calc!B8,Calc!$C$4:$P$39,14,0)))</f>
        <v>1</v>
      </c>
      <c r="AA13" s="321">
        <f>IF(Calc!$K$40=0,"",IF($Q13=0,"",VLOOKUP(Calc!B8,Calc!$C$4:$N$39,8,0)))</f>
        <v>13</v>
      </c>
      <c r="AB13" s="231" t="str">
        <f>IF(VLOOKUP(Calc!B8,Calc!$C$4:$Q$39,15,0)=0,"",VLOOKUP(Calc!B8,Calc!$C$4:$Q$39,15,0))</f>
        <v/>
      </c>
      <c r="AC13" s="222" t="str">
        <f>IF(IFERROR(VLOOKUP($P13,Planning!$D$7:$E$42,2,0),0)=0,IF(LEN(P13)&gt;Factors!$D$12,LEFT(P13,Factors!$D$12)&amp;".",P13),VLOOKUP($P13,Planning!$D$7:$E$42,2,0))</f>
        <v>Rayo Va.</v>
      </c>
      <c r="AD13" s="182"/>
      <c r="AE13" s="160">
        <f t="shared" si="0"/>
        <v>5</v>
      </c>
      <c r="AF13" s="161" t="str">
        <f t="shared" si="1"/>
        <v>Rayo Vallecano</v>
      </c>
      <c r="AG13" s="122" t="str">
        <f>IFERROR(VLOOKUP($P13&amp;AG$8,Calc2!$J$4:$L$291,3,0),"")</f>
        <v/>
      </c>
      <c r="AH13" s="121" t="str">
        <f>IFERROR(VLOOKUP($P13&amp;AH$8,Calc2!$J$4:$L$291,3,0),"")</f>
        <v/>
      </c>
      <c r="AI13" s="121" t="str">
        <f>IFERROR(VLOOKUP($P13&amp;AI$8,Calc2!$J$4:$L$291,3,0),"")</f>
        <v/>
      </c>
      <c r="AJ13" s="121" t="str">
        <f>IFERROR(VLOOKUP($P13&amp;AJ$8,Calc2!$J$4:$L$291,3,0),"")</f>
        <v/>
      </c>
      <c r="AK13" s="123"/>
      <c r="AL13" s="121" t="str">
        <f>IFERROR(VLOOKUP($P13&amp;AL$8,Calc2!$J$4:$L$291,3,0),"")</f>
        <v/>
      </c>
      <c r="AM13" s="121" t="str">
        <f>IFERROR(VLOOKUP($P13&amp;AM$8,Calc2!$J$4:$L$291,3,0),"")</f>
        <v/>
      </c>
      <c r="AN13" s="121" t="str">
        <f>IFERROR(VLOOKUP($P13&amp;AN$8,Calc2!$J$4:$L$291,3,0),"")</f>
        <v/>
      </c>
      <c r="AO13" s="121" t="str">
        <f>IFERROR(VLOOKUP($P13&amp;AO$8,Calc2!$J$4:$L$291,3,0),"")</f>
        <v/>
      </c>
      <c r="AP13" s="121" t="str">
        <f>IFERROR(VLOOKUP($P13&amp;AP$8,Calc2!$J$4:$L$291,3,0),"")</f>
        <v>3 - 2</v>
      </c>
      <c r="AQ13" s="121" t="str">
        <f>IFERROR(VLOOKUP($P13&amp;AQ$8,Calc2!$J$4:$L$291,3,0),"")</f>
        <v/>
      </c>
      <c r="AR13" s="121" t="str">
        <f>IFERROR(VLOOKUP($P13&amp;AR$8,Calc2!$J$4:$L$291,3,0),"")</f>
        <v/>
      </c>
      <c r="AS13" s="121" t="str">
        <f>IFERROR(VLOOKUP($P13&amp;AS$8,Calc2!$J$4:$L$291,3,0),"")</f>
        <v/>
      </c>
      <c r="AT13" s="121" t="str">
        <f>IFERROR(VLOOKUP($P13&amp;AT$8,Calc2!$J$4:$L$291,3,0),"")</f>
        <v/>
      </c>
      <c r="AU13" s="121" t="str">
        <f>IFERROR(VLOOKUP($P13&amp;AU$8,Calc2!$J$4:$L$291,3,0),"")</f>
        <v/>
      </c>
      <c r="AV13" s="121" t="str">
        <f>IFERROR(VLOOKUP($P13&amp;AV$8,Calc2!$J$4:$L$291,3,0),"")</f>
        <v/>
      </c>
      <c r="AW13" s="121" t="str">
        <f>IFERROR(VLOOKUP($P13&amp;AW$8,Calc2!$J$4:$L$291,3,0),"")</f>
        <v/>
      </c>
      <c r="AX13" s="121" t="str">
        <f>IFERROR(VLOOKUP($P13&amp;AX$8,Calc2!$J$4:$L$291,3,0),"")</f>
        <v/>
      </c>
      <c r="AY13" s="121" t="str">
        <f>IFERROR(VLOOKUP($P13&amp;AY$8,Calc2!$J$4:$L$291,3,0),"")</f>
        <v/>
      </c>
      <c r="AZ13" s="121" t="str">
        <f>IFERROR(VLOOKUP($P13&amp;AZ$8,Calc2!$J$4:$L$291,3,0),"")</f>
        <v>3 - 0</v>
      </c>
      <c r="BA13" s="121" t="str">
        <f>IFERROR(VLOOKUP($P13&amp;BA$8,Calc2!$J$4:$L$291,3,0),"")</f>
        <v/>
      </c>
      <c r="BB13" s="121" t="str">
        <f>IFERROR(VLOOKUP($P13&amp;BB$8,Calc2!$J$4:$L$291,3,0),"")</f>
        <v>2 - 0</v>
      </c>
      <c r="BC13" s="121" t="str">
        <f>IFERROR(VLOOKUP($P13&amp;BC$8,Calc2!$J$4:$L$291,3,0),"")</f>
        <v/>
      </c>
      <c r="BD13" s="121" t="str">
        <f>IFERROR(VLOOKUP($P13&amp;BD$8,Calc2!$J$4:$L$291,3,0),"")</f>
        <v/>
      </c>
      <c r="BE13" s="121" t="str">
        <f>IFERROR(VLOOKUP($P13&amp;BE$8,Calc2!$J$4:$L$291,3,0),"")</f>
        <v/>
      </c>
      <c r="BF13" s="121" t="str">
        <f>IFERROR(VLOOKUP($P13&amp;BF$8,Calc2!$J$4:$L$291,3,0),"")</f>
        <v/>
      </c>
      <c r="BG13" s="121" t="str">
        <f>IFERROR(VLOOKUP($P13&amp;BG$8,Calc2!$J$4:$L$291,3,0),"")</f>
        <v/>
      </c>
      <c r="BH13" s="121" t="str">
        <f>IFERROR(VLOOKUP($P13&amp;BH$8,Calc2!$J$4:$L$291,3,0),"")</f>
        <v/>
      </c>
      <c r="BI13" s="121" t="str">
        <f>IFERROR(VLOOKUP($P13&amp;BI$8,Calc2!$J$4:$L$291,3,0),"")</f>
        <v/>
      </c>
      <c r="BJ13" s="121" t="str">
        <f>IFERROR(VLOOKUP($P13&amp;BJ$8,Calc2!$J$4:$L$291,3,0),"")</f>
        <v/>
      </c>
      <c r="BK13" s="121" t="str">
        <f>IFERROR(VLOOKUP($P13&amp;BK$8,Calc2!$J$4:$L$291,3,0),"")</f>
        <v/>
      </c>
      <c r="BL13" s="121" t="str">
        <f>IFERROR(VLOOKUP($P13&amp;BL$8,Calc2!$J$4:$L$291,3,0),"")</f>
        <v/>
      </c>
      <c r="BM13" s="286" t="str">
        <f>IFERROR(VLOOKUP($P13&amp;BM$8,Calc2!$J$4:$L$291,3,0),"")</f>
        <v/>
      </c>
      <c r="BN13" s="121" t="str">
        <f>IFERROR(VLOOKUP($P13&amp;BN$8,Calc2!$J$4:$L$291,3,0),"")</f>
        <v/>
      </c>
      <c r="BO13" s="291" t="str">
        <f>IFERROR(VLOOKUP($P13&amp;BO$8,Calc2!$J$4:$L$291,3,0),"")</f>
        <v/>
      </c>
      <c r="BP13" s="124" t="str">
        <f>IFERROR(VLOOKUP($P13&amp;BP$8,Calc2!$J$4:$L$291,3,0),"")</f>
        <v/>
      </c>
    </row>
    <row r="14" spans="1:68" ht="15.95" customHeight="1" x14ac:dyDescent="0.25">
      <c r="B14" s="194"/>
      <c r="C14" s="192">
        <v>6</v>
      </c>
      <c r="D14" s="508">
        <f>IF(Planning!$T12="","",Planning!$T12)</f>
        <v>45932</v>
      </c>
      <c r="E14" s="120">
        <f>IF(Planning!$U12="","",Planning!$U12)</f>
        <v>0.78125</v>
      </c>
      <c r="F14" s="128" t="str">
        <f>Planning!$Q12</f>
        <v>Omonia Nikosia</v>
      </c>
      <c r="G14" s="129" t="s">
        <v>4</v>
      </c>
      <c r="H14" s="128" t="str">
        <f>Planning!$S12</f>
        <v>1. FSV Mainz 05</v>
      </c>
      <c r="I14" s="130">
        <v>0</v>
      </c>
      <c r="J14" s="381" t="str">
        <f>Language!$E$90</f>
        <v xml:space="preserve"> - </v>
      </c>
      <c r="K14" s="131">
        <v>1</v>
      </c>
      <c r="L14" s="228"/>
      <c r="M14" s="229"/>
      <c r="N14" s="299"/>
      <c r="O14" s="311">
        <f>IF(Calc!$K$40=0,"",IF(VLOOKUP(Calc!B9,Calc!$C$4:$E$39,3,0)=MAX(O$9:O13),VLOOKUP(Calc!B9,Calc!$C$4:$E$39,3,0),Calc!B9))</f>
        <v>6</v>
      </c>
      <c r="P14" s="312" t="str">
        <f>IF(Calc!$K$40=0,Calc2!$C9,VLOOKUP(Calc!B9,Calc!$C$4:$N$39,4,0))</f>
        <v>Schachtar Donezk</v>
      </c>
      <c r="Q14" s="313">
        <f>IF(Calc!$K$40=0,"",VLOOKUP(Calc!B9,Calc!$C$4:$N$39,9,0))</f>
        <v>6</v>
      </c>
      <c r="R14" s="314">
        <f>IF(Calc!$K$40=0,"",IF($Q14=0,"",VLOOKUP(Calc!B9,Calc!$C$4:$N$39,10,0)))</f>
        <v>4</v>
      </c>
      <c r="S14" s="314">
        <f>IF(Calc!$K$40=0,"",IF($Q14=0,"",VLOOKUP(Calc!B9,Calc!$C$4:$N$39,11,0)))</f>
        <v>1</v>
      </c>
      <c r="T14" s="315">
        <f>IF(Calc!$K$40=0,"",IF($Q14=0,"",VLOOKUP(Calc!B9,Calc!$C$4:$N$39,12,0)))</f>
        <v>1</v>
      </c>
      <c r="U14" s="316">
        <f>IF(Calc!$K$40=0,"",IF($Q14=0,"",VLOOKUP(Calc!B9,Calc!$C$4:$N$39,5,0)))</f>
        <v>10</v>
      </c>
      <c r="V14" s="317" t="str">
        <f>Language!$E$90</f>
        <v xml:space="preserve"> - </v>
      </c>
      <c r="W14" s="318">
        <f>IF(Calc!$K$40=0,"",IF($Q14=0,"",VLOOKUP(Calc!B9,Calc!$C$4:$N$39,6,0)))</f>
        <v>5</v>
      </c>
      <c r="X14" s="319">
        <f>IF(Calc!$K$40=0,"",IF($Q14=0,"",VLOOKUP(Calc!B9,Calc!$C$4:$N$39,7,0)))</f>
        <v>5</v>
      </c>
      <c r="Y14" s="320">
        <f>IF(Calc!$K$40=0,"",IF($Q14=0,"",VLOOKUP(Calc!B9,Calc!$C$4:$P$39,13,0)))</f>
        <v>7</v>
      </c>
      <c r="Z14" s="320">
        <f>IF(Calc!$K$40=0,"",IF($Q14=0,"",VLOOKUP(Calc!B9,Calc!$C$4:$P$39,14,0)))</f>
        <v>3</v>
      </c>
      <c r="AA14" s="321">
        <f>IF(Calc!$K$40=0,"",IF($Q14=0,"",VLOOKUP(Calc!B9,Calc!$C$4:$N$39,8,0)))</f>
        <v>13</v>
      </c>
      <c r="AB14" s="231" t="str">
        <f>IF(VLOOKUP(Calc!B9,Calc!$C$4:$Q$39,15,0)=0,"",VLOOKUP(Calc!B9,Calc!$C$4:$Q$39,15,0))</f>
        <v/>
      </c>
      <c r="AC14" s="222" t="str">
        <f>IF(IFERROR(VLOOKUP($P14,Planning!$D$7:$E$42,2,0),0)=0,IF(LEN(P14)&gt;Factors!$D$12,LEFT(P14,Factors!$D$12)&amp;".",P14),VLOOKUP($P14,Planning!$D$7:$E$42,2,0))</f>
        <v>Schacht.</v>
      </c>
      <c r="AD14" s="182"/>
      <c r="AE14" s="160">
        <f t="shared" si="0"/>
        <v>6</v>
      </c>
      <c r="AF14" s="161" t="str">
        <f t="shared" si="1"/>
        <v>Schachtar Donezk</v>
      </c>
      <c r="AG14" s="122" t="str">
        <f>IFERROR(VLOOKUP($P14&amp;AG$8,Calc2!$J$4:$L$291,3,0),"")</f>
        <v/>
      </c>
      <c r="AH14" s="121" t="str">
        <f>IFERROR(VLOOKUP($P14&amp;AH$8,Calc2!$J$4:$L$291,3,0),"")</f>
        <v/>
      </c>
      <c r="AI14" s="121" t="str">
        <f>IFERROR(VLOOKUP($P14&amp;AI$8,Calc2!$J$4:$L$291,3,0),"")</f>
        <v/>
      </c>
      <c r="AJ14" s="121" t="str">
        <f>IFERROR(VLOOKUP($P14&amp;AJ$8,Calc2!$J$4:$L$291,3,0),"")</f>
        <v/>
      </c>
      <c r="AK14" s="121" t="str">
        <f>IFERROR(VLOOKUP($P14&amp;AK$8,Calc2!$J$4:$L$291,3,0),"")</f>
        <v/>
      </c>
      <c r="AL14" s="123"/>
      <c r="AM14" s="121" t="str">
        <f>IFERROR(VLOOKUP($P14&amp;AM$8,Calc2!$J$4:$L$291,3,0),"")</f>
        <v/>
      </c>
      <c r="AN14" s="121" t="str">
        <f>IFERROR(VLOOKUP($P14&amp;AN$8,Calc2!$J$4:$L$291,3,0),"")</f>
        <v/>
      </c>
      <c r="AO14" s="121" t="str">
        <f>IFERROR(VLOOKUP($P14&amp;AO$8,Calc2!$J$4:$L$291,3,0),"")</f>
        <v/>
      </c>
      <c r="AP14" s="121" t="str">
        <f>IFERROR(VLOOKUP($P14&amp;AP$8,Calc2!$J$4:$L$291,3,0),"")</f>
        <v/>
      </c>
      <c r="AQ14" s="121" t="str">
        <f>IFERROR(VLOOKUP($P14&amp;AQ$8,Calc2!$J$4:$L$291,3,0),"")</f>
        <v/>
      </c>
      <c r="AR14" s="121" t="str">
        <f>IFERROR(VLOOKUP($P14&amp;AR$8,Calc2!$J$4:$L$291,3,0),"")</f>
        <v/>
      </c>
      <c r="AS14" s="121" t="str">
        <f>IFERROR(VLOOKUP($P14&amp;AS$8,Calc2!$J$4:$L$291,3,0),"")</f>
        <v/>
      </c>
      <c r="AT14" s="121" t="str">
        <f>IFERROR(VLOOKUP($P14&amp;AT$8,Calc2!$J$4:$L$291,3,0),"")</f>
        <v/>
      </c>
      <c r="AU14" s="121" t="str">
        <f>IFERROR(VLOOKUP($P14&amp;AU$8,Calc2!$J$4:$L$291,3,0),"")</f>
        <v>0 - 0</v>
      </c>
      <c r="AV14" s="121" t="str">
        <f>IFERROR(VLOOKUP($P14&amp;AV$8,Calc2!$J$4:$L$291,3,0),"")</f>
        <v/>
      </c>
      <c r="AW14" s="121" t="str">
        <f>IFERROR(VLOOKUP($P14&amp;AW$8,Calc2!$J$4:$L$291,3,0),"")</f>
        <v/>
      </c>
      <c r="AX14" s="121" t="str">
        <f>IFERROR(VLOOKUP($P14&amp;AX$8,Calc2!$J$4:$L$291,3,0),"")</f>
        <v/>
      </c>
      <c r="AY14" s="121" t="str">
        <f>IFERROR(VLOOKUP($P14&amp;AY$8,Calc2!$J$4:$L$291,3,0),"")</f>
        <v/>
      </c>
      <c r="AZ14" s="121" t="str">
        <f>IFERROR(VLOOKUP($P14&amp;AZ$8,Calc2!$J$4:$L$291,3,0),"")</f>
        <v/>
      </c>
      <c r="BA14" s="121" t="str">
        <f>IFERROR(VLOOKUP($P14&amp;BA$8,Calc2!$J$4:$L$291,3,0),"")</f>
        <v/>
      </c>
      <c r="BB14" s="121" t="str">
        <f>IFERROR(VLOOKUP($P14&amp;BB$8,Calc2!$J$4:$L$291,3,0),"")</f>
        <v/>
      </c>
      <c r="BC14" s="121" t="str">
        <f>IFERROR(VLOOKUP($P14&amp;BC$8,Calc2!$J$4:$L$291,3,0),"")</f>
        <v/>
      </c>
      <c r="BD14" s="121" t="str">
        <f>IFERROR(VLOOKUP($P14&amp;BD$8,Calc2!$J$4:$L$291,3,0),"")</f>
        <v/>
      </c>
      <c r="BE14" s="121" t="str">
        <f>IFERROR(VLOOKUP($P14&amp;BE$8,Calc2!$J$4:$L$291,3,0),"")</f>
        <v/>
      </c>
      <c r="BF14" s="121" t="str">
        <f>IFERROR(VLOOKUP($P14&amp;BF$8,Calc2!$J$4:$L$291,3,0),"")</f>
        <v/>
      </c>
      <c r="BG14" s="121" t="str">
        <f>IFERROR(VLOOKUP($P14&amp;BG$8,Calc2!$J$4:$L$291,3,0),"")</f>
        <v/>
      </c>
      <c r="BH14" s="121" t="str">
        <f>IFERROR(VLOOKUP($P14&amp;BH$8,Calc2!$J$4:$L$291,3,0),"")</f>
        <v>1 - 2</v>
      </c>
      <c r="BI14" s="121" t="str">
        <f>IFERROR(VLOOKUP($P14&amp;BI$8,Calc2!$J$4:$L$291,3,0),"")</f>
        <v/>
      </c>
      <c r="BJ14" s="121" t="str">
        <f>IFERROR(VLOOKUP($P14&amp;BJ$8,Calc2!$J$4:$L$291,3,0),"")</f>
        <v>2 - 0</v>
      </c>
      <c r="BK14" s="121" t="str">
        <f>IFERROR(VLOOKUP($P14&amp;BK$8,Calc2!$J$4:$L$291,3,0),"")</f>
        <v/>
      </c>
      <c r="BL14" s="121" t="str">
        <f>IFERROR(VLOOKUP($P14&amp;BL$8,Calc2!$J$4:$L$291,3,0),"")</f>
        <v/>
      </c>
      <c r="BM14" s="286" t="str">
        <f>IFERROR(VLOOKUP($P14&amp;BM$8,Calc2!$J$4:$L$291,3,0),"")</f>
        <v/>
      </c>
      <c r="BN14" s="121" t="str">
        <f>IFERROR(VLOOKUP($P14&amp;BN$8,Calc2!$J$4:$L$291,3,0),"")</f>
        <v/>
      </c>
      <c r="BO14" s="291" t="str">
        <f>IFERROR(VLOOKUP($P14&amp;BO$8,Calc2!$J$4:$L$291,3,0),"")</f>
        <v/>
      </c>
      <c r="BP14" s="124" t="str">
        <f>IFERROR(VLOOKUP($P14&amp;BP$8,Calc2!$J$4:$L$291,3,0),"")</f>
        <v/>
      </c>
    </row>
    <row r="15" spans="1:68" ht="15.95" customHeight="1" x14ac:dyDescent="0.25">
      <c r="B15" s="194"/>
      <c r="C15" s="192">
        <v>7</v>
      </c>
      <c r="D15" s="508">
        <f>IF(Planning!$T13="","",Planning!$T13)</f>
        <v>45932</v>
      </c>
      <c r="E15" s="120">
        <f>IF(Planning!$U13="","",Planning!$U13)</f>
        <v>0.78125</v>
      </c>
      <c r="F15" s="128" t="str">
        <f>Planning!$Q13</f>
        <v>Kuopion PS</v>
      </c>
      <c r="G15" s="129" t="s">
        <v>4</v>
      </c>
      <c r="H15" s="128" t="str">
        <f>Planning!$S13</f>
        <v>KF Drita Gjilan</v>
      </c>
      <c r="I15" s="130">
        <v>1</v>
      </c>
      <c r="J15" s="381" t="str">
        <f>Language!$E$90</f>
        <v xml:space="preserve"> - </v>
      </c>
      <c r="K15" s="131">
        <v>1</v>
      </c>
      <c r="L15" s="228"/>
      <c r="M15" s="229"/>
      <c r="N15" s="299"/>
      <c r="O15" s="311">
        <f>IF(Calc!$K$40=0,"",IF(VLOOKUP(Calc!B10,Calc!$C$4:$E$39,3,0)=MAX(O$9:O14),VLOOKUP(Calc!B10,Calc!$C$4:$E$39,3,0),Calc!B10))</f>
        <v>7</v>
      </c>
      <c r="P15" s="312" t="str">
        <f>IF(Calc!$K$40=0,Calc2!$C10,VLOOKUP(Calc!B10,Calc!$C$4:$N$39,4,0))</f>
        <v>1. FSV Mainz 05</v>
      </c>
      <c r="Q15" s="313">
        <f>IF(Calc!$K$40=0,"",VLOOKUP(Calc!B10,Calc!$C$4:$N$39,9,0))</f>
        <v>6</v>
      </c>
      <c r="R15" s="314">
        <f>IF(Calc!$K$40=0,"",IF($Q15=0,"",VLOOKUP(Calc!B10,Calc!$C$4:$N$39,10,0)))</f>
        <v>4</v>
      </c>
      <c r="S15" s="314">
        <f>IF(Calc!$K$40=0,"",IF($Q15=0,"",VLOOKUP(Calc!B10,Calc!$C$4:$N$39,11,0)))</f>
        <v>1</v>
      </c>
      <c r="T15" s="315">
        <f>IF(Calc!$K$40=0,"",IF($Q15=0,"",VLOOKUP(Calc!B10,Calc!$C$4:$N$39,12,0)))</f>
        <v>1</v>
      </c>
      <c r="U15" s="316">
        <f>IF(Calc!$K$40=0,"",IF($Q15=0,"",VLOOKUP(Calc!B10,Calc!$C$4:$N$39,5,0)))</f>
        <v>7</v>
      </c>
      <c r="V15" s="317" t="str">
        <f>Language!$E$90</f>
        <v xml:space="preserve"> - </v>
      </c>
      <c r="W15" s="318">
        <f>IF(Calc!$K$40=0,"",IF($Q15=0,"",VLOOKUP(Calc!B10,Calc!$C$4:$N$39,6,0)))</f>
        <v>3</v>
      </c>
      <c r="X15" s="319">
        <f>IF(Calc!$K$40=0,"",IF($Q15=0,"",VLOOKUP(Calc!B10,Calc!$C$4:$N$39,7,0)))</f>
        <v>4</v>
      </c>
      <c r="Y15" s="320">
        <f>IF(Calc!$K$40=0,"",IF($Q15=0,"",VLOOKUP(Calc!B10,Calc!$C$4:$P$39,13,0)))</f>
        <v>2</v>
      </c>
      <c r="Z15" s="320">
        <f>IF(Calc!$K$40=0,"",IF($Q15=0,"",VLOOKUP(Calc!B10,Calc!$C$4:$P$39,14,0)))</f>
        <v>1</v>
      </c>
      <c r="AA15" s="321">
        <f>IF(Calc!$K$40=0,"",IF($Q15=0,"",VLOOKUP(Calc!B10,Calc!$C$4:$N$39,8,0)))</f>
        <v>13</v>
      </c>
      <c r="AB15" s="231" t="str">
        <f>IF(VLOOKUP(Calc!B10,Calc!$C$4:$Q$39,15,0)=0,"",VLOOKUP(Calc!B10,Calc!$C$4:$Q$39,15,0))</f>
        <v/>
      </c>
      <c r="AC15" s="222" t="str">
        <f>IF(IFERROR(VLOOKUP($P15,Planning!$D$7:$E$42,2,0),0)=0,IF(LEN(P15)&gt;Factors!$D$12,LEFT(P15,Factors!$D$12)&amp;".",P15),VLOOKUP($P15,Planning!$D$7:$E$42,2,0))</f>
        <v>1. FSV .</v>
      </c>
      <c r="AD15" s="182"/>
      <c r="AE15" s="160">
        <f t="shared" si="0"/>
        <v>7</v>
      </c>
      <c r="AF15" s="161" t="str">
        <f t="shared" si="1"/>
        <v>1. FSV Mainz 05</v>
      </c>
      <c r="AG15" s="122" t="str">
        <f>IFERROR(VLOOKUP($P15&amp;AG$8,Calc2!$J$4:$L$291,3,0),"")</f>
        <v/>
      </c>
      <c r="AH15" s="121" t="str">
        <f>IFERROR(VLOOKUP($P15&amp;AH$8,Calc2!$J$4:$L$291,3,0),"")</f>
        <v/>
      </c>
      <c r="AI15" s="121" t="str">
        <f>IFERROR(VLOOKUP($P15&amp;AI$8,Calc2!$J$4:$L$291,3,0),"")</f>
        <v/>
      </c>
      <c r="AJ15" s="121" t="str">
        <f>IFERROR(VLOOKUP($P15&amp;AJ$8,Calc2!$J$4:$L$291,3,0),"")</f>
        <v/>
      </c>
      <c r="AK15" s="121" t="str">
        <f>IFERROR(VLOOKUP($P15&amp;AK$8,Calc2!$J$4:$L$291,3,0),"")</f>
        <v/>
      </c>
      <c r="AL15" s="121" t="str">
        <f>IFERROR(VLOOKUP($P15&amp;AL$8,Calc2!$J$4:$L$291,3,0),"")</f>
        <v/>
      </c>
      <c r="AM15" s="123"/>
      <c r="AN15" s="121" t="str">
        <f>IFERROR(VLOOKUP($P15&amp;AN$8,Calc2!$J$4:$L$291,3,0),"")</f>
        <v/>
      </c>
      <c r="AO15" s="121" t="str">
        <f>IFERROR(VLOOKUP($P15&amp;AO$8,Calc2!$J$4:$L$291,3,0),"")</f>
        <v/>
      </c>
      <c r="AP15" s="121" t="str">
        <f>IFERROR(VLOOKUP($P15&amp;AP$8,Calc2!$J$4:$L$291,3,0),"")</f>
        <v/>
      </c>
      <c r="AQ15" s="121" t="str">
        <f>IFERROR(VLOOKUP($P15&amp;AQ$8,Calc2!$J$4:$L$291,3,0),"")</f>
        <v>2 - 0</v>
      </c>
      <c r="AR15" s="121" t="str">
        <f>IFERROR(VLOOKUP($P15&amp;AR$8,Calc2!$J$4:$L$291,3,0),"")</f>
        <v/>
      </c>
      <c r="AS15" s="121" t="str">
        <f>IFERROR(VLOOKUP($P15&amp;AS$8,Calc2!$J$4:$L$291,3,0),"")</f>
        <v/>
      </c>
      <c r="AT15" s="121" t="str">
        <f>IFERROR(VLOOKUP($P15&amp;AT$8,Calc2!$J$4:$L$291,3,0),"")</f>
        <v>2 - 1</v>
      </c>
      <c r="AU15" s="121" t="str">
        <f>IFERROR(VLOOKUP($P15&amp;AU$8,Calc2!$J$4:$L$291,3,0),"")</f>
        <v/>
      </c>
      <c r="AV15" s="121" t="str">
        <f>IFERROR(VLOOKUP($P15&amp;AV$8,Calc2!$J$4:$L$291,3,0),"")</f>
        <v/>
      </c>
      <c r="AW15" s="121" t="str">
        <f>IFERROR(VLOOKUP($P15&amp;AW$8,Calc2!$J$4:$L$291,3,0),"")</f>
        <v/>
      </c>
      <c r="AX15" s="121" t="str">
        <f>IFERROR(VLOOKUP($P15&amp;AX$8,Calc2!$J$4:$L$291,3,0),"")</f>
        <v/>
      </c>
      <c r="AY15" s="121" t="str">
        <f>IFERROR(VLOOKUP($P15&amp;AY$8,Calc2!$J$4:$L$291,3,0),"")</f>
        <v/>
      </c>
      <c r="AZ15" s="121" t="str">
        <f>IFERROR(VLOOKUP($P15&amp;AZ$8,Calc2!$J$4:$L$291,3,0),"")</f>
        <v/>
      </c>
      <c r="BA15" s="121" t="str">
        <f>IFERROR(VLOOKUP($P15&amp;BA$8,Calc2!$J$4:$L$291,3,0),"")</f>
        <v/>
      </c>
      <c r="BB15" s="121" t="str">
        <f>IFERROR(VLOOKUP($P15&amp;BB$8,Calc2!$J$4:$L$291,3,0),"")</f>
        <v/>
      </c>
      <c r="BC15" s="121" t="str">
        <f>IFERROR(VLOOKUP($P15&amp;BC$8,Calc2!$J$4:$L$291,3,0),"")</f>
        <v>1 - 0</v>
      </c>
      <c r="BD15" s="121" t="str">
        <f>IFERROR(VLOOKUP($P15&amp;BD$8,Calc2!$J$4:$L$291,3,0),"")</f>
        <v/>
      </c>
      <c r="BE15" s="121" t="str">
        <f>IFERROR(VLOOKUP($P15&amp;BE$8,Calc2!$J$4:$L$291,3,0),"")</f>
        <v/>
      </c>
      <c r="BF15" s="121" t="str">
        <f>IFERROR(VLOOKUP($P15&amp;BF$8,Calc2!$J$4:$L$291,3,0),"")</f>
        <v/>
      </c>
      <c r="BG15" s="121" t="str">
        <f>IFERROR(VLOOKUP($P15&amp;BG$8,Calc2!$J$4:$L$291,3,0),"")</f>
        <v/>
      </c>
      <c r="BH15" s="121" t="str">
        <f>IFERROR(VLOOKUP($P15&amp;BH$8,Calc2!$J$4:$L$291,3,0),"")</f>
        <v/>
      </c>
      <c r="BI15" s="121" t="str">
        <f>IFERROR(VLOOKUP($P15&amp;BI$8,Calc2!$J$4:$L$291,3,0),"")</f>
        <v/>
      </c>
      <c r="BJ15" s="121" t="str">
        <f>IFERROR(VLOOKUP($P15&amp;BJ$8,Calc2!$J$4:$L$291,3,0),"")</f>
        <v/>
      </c>
      <c r="BK15" s="121" t="str">
        <f>IFERROR(VLOOKUP($P15&amp;BK$8,Calc2!$J$4:$L$291,3,0),"")</f>
        <v/>
      </c>
      <c r="BL15" s="121" t="str">
        <f>IFERROR(VLOOKUP($P15&amp;BL$8,Calc2!$J$4:$L$291,3,0),"")</f>
        <v/>
      </c>
      <c r="BM15" s="286" t="str">
        <f>IFERROR(VLOOKUP($P15&amp;BM$8,Calc2!$J$4:$L$291,3,0),"")</f>
        <v/>
      </c>
      <c r="BN15" s="121" t="str">
        <f>IFERROR(VLOOKUP($P15&amp;BN$8,Calc2!$J$4:$L$291,3,0),"")</f>
        <v/>
      </c>
      <c r="BO15" s="291" t="str">
        <f>IFERROR(VLOOKUP($P15&amp;BO$8,Calc2!$J$4:$L$291,3,0),"")</f>
        <v/>
      </c>
      <c r="BP15" s="124" t="str">
        <f>IFERROR(VLOOKUP($P15&amp;BP$8,Calc2!$J$4:$L$291,3,0),"")</f>
        <v/>
      </c>
    </row>
    <row r="16" spans="1:68" ht="15.95" customHeight="1" x14ac:dyDescent="0.25">
      <c r="B16" s="194"/>
      <c r="C16" s="192">
        <v>8</v>
      </c>
      <c r="D16" s="508">
        <f>IF(Planning!$T14="","",Planning!$T14)</f>
        <v>45932</v>
      </c>
      <c r="E16" s="120">
        <f>IF(Planning!$U14="","",Planning!$U14)</f>
        <v>0.78125</v>
      </c>
      <c r="F16" s="128" t="str">
        <f>Planning!$Q14</f>
        <v>FC Noah</v>
      </c>
      <c r="G16" s="129" t="s">
        <v>4</v>
      </c>
      <c r="H16" s="128" t="str">
        <f>Planning!$S14</f>
        <v>HNK Rijeka</v>
      </c>
      <c r="I16" s="130">
        <v>1</v>
      </c>
      <c r="J16" s="381" t="str">
        <f>Language!$E$90</f>
        <v xml:space="preserve"> - </v>
      </c>
      <c r="K16" s="131">
        <v>0</v>
      </c>
      <c r="L16" s="228"/>
      <c r="M16" s="229"/>
      <c r="N16" s="299"/>
      <c r="O16" s="311">
        <f>IF(Calc!$K$40=0,"",IF(VLOOKUP(Calc!B11,Calc!$C$4:$E$39,3,0)=MAX(O$9:O15),VLOOKUP(Calc!B11,Calc!$C$4:$E$39,3,0),Calc!B11))</f>
        <v>8</v>
      </c>
      <c r="P16" s="312" t="str">
        <f>IF(Calc!$K$40=0,Calc2!$C11,VLOOKUP(Calc!B11,Calc!$C$4:$N$39,4,0))</f>
        <v>AEK Larnaka</v>
      </c>
      <c r="Q16" s="313">
        <f>IF(Calc!$K$40=0,"",VLOOKUP(Calc!B11,Calc!$C$4:$N$39,9,0))</f>
        <v>6</v>
      </c>
      <c r="R16" s="314">
        <f>IF(Calc!$K$40=0,"",IF($Q16=0,"",VLOOKUP(Calc!B11,Calc!$C$4:$N$39,10,0)))</f>
        <v>3</v>
      </c>
      <c r="S16" s="314">
        <f>IF(Calc!$K$40=0,"",IF($Q16=0,"",VLOOKUP(Calc!B11,Calc!$C$4:$N$39,11,0)))</f>
        <v>3</v>
      </c>
      <c r="T16" s="315">
        <f>IF(Calc!$K$40=0,"",IF($Q16=0,"",VLOOKUP(Calc!B11,Calc!$C$4:$N$39,12,0)))</f>
        <v>0</v>
      </c>
      <c r="U16" s="316">
        <f>IF(Calc!$K$40=0,"",IF($Q16=0,"",VLOOKUP(Calc!B11,Calc!$C$4:$N$39,5,0)))</f>
        <v>7</v>
      </c>
      <c r="V16" s="317" t="str">
        <f>Language!$E$90</f>
        <v xml:space="preserve"> - </v>
      </c>
      <c r="W16" s="318">
        <f>IF(Calc!$K$40=0,"",IF($Q16=0,"",VLOOKUP(Calc!B11,Calc!$C$4:$N$39,6,0)))</f>
        <v>1</v>
      </c>
      <c r="X16" s="319">
        <f>IF(Calc!$K$40=0,"",IF($Q16=0,"",VLOOKUP(Calc!B11,Calc!$C$4:$N$39,7,0)))</f>
        <v>6</v>
      </c>
      <c r="Y16" s="320">
        <f>IF(Calc!$K$40=0,"",IF($Q16=0,"",VLOOKUP(Calc!B11,Calc!$C$4:$P$39,13,0)))</f>
        <v>2</v>
      </c>
      <c r="Z16" s="320">
        <f>IF(Calc!$K$40=0,"",IF($Q16=0,"",VLOOKUP(Calc!B11,Calc!$C$4:$P$39,14,0)))</f>
        <v>1</v>
      </c>
      <c r="AA16" s="321">
        <f>IF(Calc!$K$40=0,"",IF($Q16=0,"",VLOOKUP(Calc!B11,Calc!$C$4:$N$39,8,0)))</f>
        <v>12</v>
      </c>
      <c r="AB16" s="231" t="str">
        <f>IF(VLOOKUP(Calc!B11,Calc!$C$4:$Q$39,15,0)=0,"",VLOOKUP(Calc!B11,Calc!$C$4:$Q$39,15,0))</f>
        <v/>
      </c>
      <c r="AC16" s="222" t="str">
        <f>IF(IFERROR(VLOOKUP($P16,Planning!$D$7:$E$42,2,0),0)=0,IF(LEN(P16)&gt;Factors!$D$12,LEFT(P16,Factors!$D$12)&amp;".",P16),VLOOKUP($P16,Planning!$D$7:$E$42,2,0))</f>
        <v>AEK Lar.</v>
      </c>
      <c r="AD16" s="182"/>
      <c r="AE16" s="160">
        <f t="shared" si="0"/>
        <v>8</v>
      </c>
      <c r="AF16" s="161" t="str">
        <f t="shared" si="1"/>
        <v>AEK Larnaka</v>
      </c>
      <c r="AG16" s="122" t="str">
        <f>IFERROR(VLOOKUP($P16&amp;AG$8,Calc2!$J$4:$L$291,3,0),"")</f>
        <v/>
      </c>
      <c r="AH16" s="121" t="str">
        <f>IFERROR(VLOOKUP($P16&amp;AH$8,Calc2!$J$4:$L$291,3,0),"")</f>
        <v/>
      </c>
      <c r="AI16" s="121" t="str">
        <f>IFERROR(VLOOKUP($P16&amp;AI$8,Calc2!$J$4:$L$291,3,0),"")</f>
        <v/>
      </c>
      <c r="AJ16" s="121" t="str">
        <f>IFERROR(VLOOKUP($P16&amp;AJ$8,Calc2!$J$4:$L$291,3,0),"")</f>
        <v/>
      </c>
      <c r="AK16" s="121" t="str">
        <f>IFERROR(VLOOKUP($P16&amp;AK$8,Calc2!$J$4:$L$291,3,0),"")</f>
        <v/>
      </c>
      <c r="AL16" s="121" t="str">
        <f>IFERROR(VLOOKUP($P16&amp;AL$8,Calc2!$J$4:$L$291,3,0),"")</f>
        <v/>
      </c>
      <c r="AM16" s="121" t="str">
        <f>IFERROR(VLOOKUP($P16&amp;AM$8,Calc2!$J$4:$L$291,3,0),"")</f>
        <v/>
      </c>
      <c r="AN16" s="123"/>
      <c r="AO16" s="121" t="str">
        <f>IFERROR(VLOOKUP($P16&amp;AO$8,Calc2!$J$4:$L$291,3,0),"")</f>
        <v/>
      </c>
      <c r="AP16" s="121" t="str">
        <f>IFERROR(VLOOKUP($P16&amp;AP$8,Calc2!$J$4:$L$291,3,0),"")</f>
        <v/>
      </c>
      <c r="AQ16" s="121" t="str">
        <f>IFERROR(VLOOKUP($P16&amp;AQ$8,Calc2!$J$4:$L$291,3,0),"")</f>
        <v/>
      </c>
      <c r="AR16" s="121" t="str">
        <f>IFERROR(VLOOKUP($P16&amp;AR$8,Calc2!$J$4:$L$291,3,0),"")</f>
        <v/>
      </c>
      <c r="AS16" s="121" t="str">
        <f>IFERROR(VLOOKUP($P16&amp;AS$8,Calc2!$J$4:$L$291,3,0),"")</f>
        <v>4 - 0</v>
      </c>
      <c r="AT16" s="121" t="str">
        <f>IFERROR(VLOOKUP($P16&amp;AT$8,Calc2!$J$4:$L$291,3,0),"")</f>
        <v/>
      </c>
      <c r="AU16" s="121" t="str">
        <f>IFERROR(VLOOKUP($P16&amp;AU$8,Calc2!$J$4:$L$291,3,0),"")</f>
        <v/>
      </c>
      <c r="AV16" s="121" t="str">
        <f>IFERROR(VLOOKUP($P16&amp;AV$8,Calc2!$J$4:$L$291,3,0),"")</f>
        <v/>
      </c>
      <c r="AW16" s="121" t="str">
        <f>IFERROR(VLOOKUP($P16&amp;AW$8,Calc2!$J$4:$L$291,3,0),"")</f>
        <v/>
      </c>
      <c r="AX16" s="121" t="str">
        <f>IFERROR(VLOOKUP($P16&amp;AX$8,Calc2!$J$4:$L$291,3,0),"")</f>
        <v/>
      </c>
      <c r="AY16" s="121" t="str">
        <f>IFERROR(VLOOKUP($P16&amp;AY$8,Calc2!$J$4:$L$291,3,0),"")</f>
        <v/>
      </c>
      <c r="AZ16" s="121" t="str">
        <f>IFERROR(VLOOKUP($P16&amp;AZ$8,Calc2!$J$4:$L$291,3,0),"")</f>
        <v/>
      </c>
      <c r="BA16" s="121" t="str">
        <f>IFERROR(VLOOKUP($P16&amp;BA$8,Calc2!$J$4:$L$291,3,0),"")</f>
        <v/>
      </c>
      <c r="BB16" s="121" t="str">
        <f>IFERROR(VLOOKUP($P16&amp;BB$8,Calc2!$J$4:$L$291,3,0),"")</f>
        <v>1 - 0</v>
      </c>
      <c r="BC16" s="121" t="str">
        <f>IFERROR(VLOOKUP($P16&amp;BC$8,Calc2!$J$4:$L$291,3,0),"")</f>
        <v/>
      </c>
      <c r="BD16" s="121" t="str">
        <f>IFERROR(VLOOKUP($P16&amp;BD$8,Calc2!$J$4:$L$291,3,0),"")</f>
        <v/>
      </c>
      <c r="BE16" s="121" t="str">
        <f>IFERROR(VLOOKUP($P16&amp;BE$8,Calc2!$J$4:$L$291,3,0),"")</f>
        <v/>
      </c>
      <c r="BF16" s="121" t="str">
        <f>IFERROR(VLOOKUP($P16&amp;BF$8,Calc2!$J$4:$L$291,3,0),"")</f>
        <v/>
      </c>
      <c r="BG16" s="121" t="str">
        <f>IFERROR(VLOOKUP($P16&amp;BG$8,Calc2!$J$4:$L$291,3,0),"")</f>
        <v/>
      </c>
      <c r="BH16" s="121" t="str">
        <f>IFERROR(VLOOKUP($P16&amp;BH$8,Calc2!$J$4:$L$291,3,0),"")</f>
        <v/>
      </c>
      <c r="BI16" s="121" t="str">
        <f>IFERROR(VLOOKUP($P16&amp;BI$8,Calc2!$J$4:$L$291,3,0),"")</f>
        <v/>
      </c>
      <c r="BJ16" s="121" t="str">
        <f>IFERROR(VLOOKUP($P16&amp;BJ$8,Calc2!$J$4:$L$291,3,0),"")</f>
        <v/>
      </c>
      <c r="BK16" s="121" t="str">
        <f>IFERROR(VLOOKUP($P16&amp;BK$8,Calc2!$J$4:$L$291,3,0),"")</f>
        <v/>
      </c>
      <c r="BL16" s="121" t="str">
        <f>IFERROR(VLOOKUP($P16&amp;BL$8,Calc2!$J$4:$L$291,3,0),"")</f>
        <v/>
      </c>
      <c r="BM16" s="286" t="str">
        <f>IFERROR(VLOOKUP($P16&amp;BM$8,Calc2!$J$4:$L$291,3,0),"")</f>
        <v/>
      </c>
      <c r="BN16" s="121" t="str">
        <f>IFERROR(VLOOKUP($P16&amp;BN$8,Calc2!$J$4:$L$291,3,0),"")</f>
        <v/>
      </c>
      <c r="BO16" s="291" t="str">
        <f>IFERROR(VLOOKUP($P16&amp;BO$8,Calc2!$J$4:$L$291,3,0),"")</f>
        <v>0 - 0</v>
      </c>
      <c r="BP16" s="124" t="str">
        <f>IFERROR(VLOOKUP($P16&amp;BP$8,Calc2!$J$4:$L$291,3,0),"")</f>
        <v/>
      </c>
    </row>
    <row r="17" spans="2:68" ht="15.95" customHeight="1" x14ac:dyDescent="0.25">
      <c r="B17" s="194"/>
      <c r="C17" s="192">
        <v>9</v>
      </c>
      <c r="D17" s="508">
        <f>IF(Planning!$T15="","",Planning!$T15)</f>
        <v>45932</v>
      </c>
      <c r="E17" s="120">
        <f>IF(Planning!$U15="","",Planning!$U15)</f>
        <v>0.78125</v>
      </c>
      <c r="F17" s="128" t="str">
        <f>Planning!$Q15</f>
        <v>FC Lausanne-Sport</v>
      </c>
      <c r="G17" s="129" t="s">
        <v>4</v>
      </c>
      <c r="H17" s="128" t="str">
        <f>Planning!$S15</f>
        <v>UMF Breidablik</v>
      </c>
      <c r="I17" s="130">
        <v>3</v>
      </c>
      <c r="J17" s="381" t="str">
        <f>Language!$E$90</f>
        <v xml:space="preserve"> - </v>
      </c>
      <c r="K17" s="131">
        <v>0</v>
      </c>
      <c r="L17" s="228"/>
      <c r="M17" s="229"/>
      <c r="N17" s="299"/>
      <c r="O17" s="322">
        <f>IF(Calc!$K$40=0,"",IF(VLOOKUP(Calc!B12,Calc!$C$4:$E$39,3,0)=MAX(O$9:O16),VLOOKUP(Calc!B12,Calc!$C$4:$E$39,3,0),Calc!B12))</f>
        <v>9</v>
      </c>
      <c r="P17" s="323" t="str">
        <f>IF(Calc!$K$40=0,Calc2!$C12,VLOOKUP(Calc!B12,Calc!$C$4:$N$39,4,0))</f>
        <v>Crystal Palace</v>
      </c>
      <c r="Q17" s="324">
        <f>IF(Calc!$K$40=0,"",VLOOKUP(Calc!B12,Calc!$C$4:$N$39,9,0))</f>
        <v>6</v>
      </c>
      <c r="R17" s="325">
        <f>IF(Calc!$K$40=0,"",IF($Q17=0,"",VLOOKUP(Calc!B12,Calc!$C$4:$N$39,10,0)))</f>
        <v>3</v>
      </c>
      <c r="S17" s="325">
        <f>IF(Calc!$K$40=0,"",IF($Q17=0,"",VLOOKUP(Calc!B12,Calc!$C$4:$N$39,11,0)))</f>
        <v>1</v>
      </c>
      <c r="T17" s="326">
        <f>IF(Calc!$K$40=0,"",IF($Q17=0,"",VLOOKUP(Calc!B12,Calc!$C$4:$N$39,12,0)))</f>
        <v>2</v>
      </c>
      <c r="U17" s="327">
        <f>IF(Calc!$K$40=0,"",IF($Q17=0,"",VLOOKUP(Calc!B12,Calc!$C$4:$N$39,5,0)))</f>
        <v>11</v>
      </c>
      <c r="V17" s="328" t="str">
        <f>Language!$E$90</f>
        <v xml:space="preserve"> - </v>
      </c>
      <c r="W17" s="329">
        <f>IF(Calc!$K$40=0,"",IF($Q17=0,"",VLOOKUP(Calc!B12,Calc!$C$4:$N$39,6,0)))</f>
        <v>6</v>
      </c>
      <c r="X17" s="330">
        <f>IF(Calc!$K$40=0,"",IF($Q17=0,"",VLOOKUP(Calc!B12,Calc!$C$4:$N$39,7,0)))</f>
        <v>5</v>
      </c>
      <c r="Y17" s="331">
        <f>IF(Calc!$K$40=0,"",IF($Q17=0,"",VLOOKUP(Calc!B12,Calc!$C$4:$P$39,13,0)))</f>
        <v>6</v>
      </c>
      <c r="Z17" s="331">
        <f>IF(Calc!$K$40=0,"",IF($Q17=0,"",VLOOKUP(Calc!B12,Calc!$C$4:$P$39,14,0)))</f>
        <v>2</v>
      </c>
      <c r="AA17" s="332">
        <f>IF(Calc!$K$40=0,"",IF($Q17=0,"",VLOOKUP(Calc!B12,Calc!$C$4:$N$39,8,0)))</f>
        <v>10</v>
      </c>
      <c r="AB17" s="231" t="str">
        <f>IF(VLOOKUP(Calc!B12,Calc!$C$4:$Q$39,15,0)=0,"",VLOOKUP(Calc!B12,Calc!$C$4:$Q$39,15,0))</f>
        <v/>
      </c>
      <c r="AC17" s="222" t="str">
        <f>IF(IFERROR(VLOOKUP($P17,Planning!$D$7:$E$42,2,0),0)=0,IF(LEN(P17)&gt;Factors!$D$12,LEFT(P17,Factors!$D$12)&amp;".",P17),VLOOKUP($P17,Planning!$D$7:$E$42,2,0))</f>
        <v>Crystal.</v>
      </c>
      <c r="AD17" s="182"/>
      <c r="AE17" s="160">
        <f t="shared" si="0"/>
        <v>9</v>
      </c>
      <c r="AF17" s="161" t="str">
        <f t="shared" si="1"/>
        <v>Crystal Palace</v>
      </c>
      <c r="AG17" s="122" t="str">
        <f>IFERROR(VLOOKUP($P17&amp;AG$8,Calc2!$J$4:$L$291,3,0),"")</f>
        <v/>
      </c>
      <c r="AH17" s="121" t="str">
        <f>IFERROR(VLOOKUP($P17&amp;AH$8,Calc2!$J$4:$L$291,3,0),"")</f>
        <v/>
      </c>
      <c r="AI17" s="121" t="str">
        <f>IFERROR(VLOOKUP($P17&amp;AI$8,Calc2!$J$4:$L$291,3,0),"")</f>
        <v/>
      </c>
      <c r="AJ17" s="121" t="str">
        <f>IFERROR(VLOOKUP($P17&amp;AJ$8,Calc2!$J$4:$L$291,3,0),"")</f>
        <v/>
      </c>
      <c r="AK17" s="121" t="str">
        <f>IFERROR(VLOOKUP($P17&amp;AK$8,Calc2!$J$4:$L$291,3,0),"")</f>
        <v/>
      </c>
      <c r="AL17" s="121" t="str">
        <f>IFERROR(VLOOKUP($P17&amp;AL$8,Calc2!$J$4:$L$291,3,0),"")</f>
        <v/>
      </c>
      <c r="AM17" s="121" t="str">
        <f>IFERROR(VLOOKUP($P17&amp;AM$8,Calc2!$J$4:$L$291,3,0),"")</f>
        <v/>
      </c>
      <c r="AN17" s="121" t="str">
        <f>IFERROR(VLOOKUP($P17&amp;AN$8,Calc2!$J$4:$L$291,3,0),"")</f>
        <v>0 - 1</v>
      </c>
      <c r="AO17" s="123"/>
      <c r="AP17" s="121" t="str">
        <f>IFERROR(VLOOKUP($P17&amp;AP$8,Calc2!$J$4:$L$291,3,0),"")</f>
        <v/>
      </c>
      <c r="AQ17" s="121" t="str">
        <f>IFERROR(VLOOKUP($P17&amp;AQ$8,Calc2!$J$4:$L$291,3,0),"")</f>
        <v/>
      </c>
      <c r="AR17" s="121" t="str">
        <f>IFERROR(VLOOKUP($P17&amp;AR$8,Calc2!$J$4:$L$291,3,0),"")</f>
        <v/>
      </c>
      <c r="AS17" s="121" t="str">
        <f>IFERROR(VLOOKUP($P17&amp;AS$8,Calc2!$J$4:$L$291,3,0),"")</f>
        <v>3 - 1</v>
      </c>
      <c r="AT17" s="121" t="str">
        <f>IFERROR(VLOOKUP($P17&amp;AT$8,Calc2!$J$4:$L$291,3,0),"")</f>
        <v/>
      </c>
      <c r="AU17" s="121" t="str">
        <f>IFERROR(VLOOKUP($P17&amp;AU$8,Calc2!$J$4:$L$291,3,0),"")</f>
        <v/>
      </c>
      <c r="AV17" s="121" t="str">
        <f>IFERROR(VLOOKUP($P17&amp;AV$8,Calc2!$J$4:$L$291,3,0),"")</f>
        <v/>
      </c>
      <c r="AW17" s="121" t="str">
        <f>IFERROR(VLOOKUP($P17&amp;AW$8,Calc2!$J$4:$L$291,3,0),"")</f>
        <v/>
      </c>
      <c r="AX17" s="121" t="str">
        <f>IFERROR(VLOOKUP($P17&amp;AX$8,Calc2!$J$4:$L$291,3,0),"")</f>
        <v/>
      </c>
      <c r="AY17" s="121" t="str">
        <f>IFERROR(VLOOKUP($P17&amp;AY$8,Calc2!$J$4:$L$291,3,0),"")</f>
        <v/>
      </c>
      <c r="AZ17" s="121" t="str">
        <f>IFERROR(VLOOKUP($P17&amp;AZ$8,Calc2!$J$4:$L$291,3,0),"")</f>
        <v/>
      </c>
      <c r="BA17" s="121" t="str">
        <f>IFERROR(VLOOKUP($P17&amp;BA$8,Calc2!$J$4:$L$291,3,0),"")</f>
        <v>2 - 2</v>
      </c>
      <c r="BB17" s="121" t="str">
        <f>IFERROR(VLOOKUP($P17&amp;BB$8,Calc2!$J$4:$L$291,3,0),"")</f>
        <v/>
      </c>
      <c r="BC17" s="121" t="str">
        <f>IFERROR(VLOOKUP($P17&amp;BC$8,Calc2!$J$4:$L$291,3,0),"")</f>
        <v/>
      </c>
      <c r="BD17" s="121" t="str">
        <f>IFERROR(VLOOKUP($P17&amp;BD$8,Calc2!$J$4:$L$291,3,0),"")</f>
        <v/>
      </c>
      <c r="BE17" s="121" t="str">
        <f>IFERROR(VLOOKUP($P17&amp;BE$8,Calc2!$J$4:$L$291,3,0),"")</f>
        <v/>
      </c>
      <c r="BF17" s="121" t="str">
        <f>IFERROR(VLOOKUP($P17&amp;BF$8,Calc2!$J$4:$L$291,3,0),"")</f>
        <v/>
      </c>
      <c r="BG17" s="121" t="str">
        <f>IFERROR(VLOOKUP($P17&amp;BG$8,Calc2!$J$4:$L$291,3,0),"")</f>
        <v/>
      </c>
      <c r="BH17" s="121" t="str">
        <f>IFERROR(VLOOKUP($P17&amp;BH$8,Calc2!$J$4:$L$291,3,0),"")</f>
        <v/>
      </c>
      <c r="BI17" s="121" t="str">
        <f>IFERROR(VLOOKUP($P17&amp;BI$8,Calc2!$J$4:$L$291,3,0),"")</f>
        <v/>
      </c>
      <c r="BJ17" s="121" t="str">
        <f>IFERROR(VLOOKUP($P17&amp;BJ$8,Calc2!$J$4:$L$291,3,0),"")</f>
        <v/>
      </c>
      <c r="BK17" s="121" t="str">
        <f>IFERROR(VLOOKUP($P17&amp;BK$8,Calc2!$J$4:$L$291,3,0),"")</f>
        <v/>
      </c>
      <c r="BL17" s="121" t="str">
        <f>IFERROR(VLOOKUP($P17&amp;BL$8,Calc2!$J$4:$L$291,3,0),"")</f>
        <v/>
      </c>
      <c r="BM17" s="286" t="str">
        <f>IFERROR(VLOOKUP($P17&amp;BM$8,Calc2!$J$4:$L$291,3,0),"")</f>
        <v/>
      </c>
      <c r="BN17" s="121" t="str">
        <f>IFERROR(VLOOKUP($P17&amp;BN$8,Calc2!$J$4:$L$291,3,0),"")</f>
        <v/>
      </c>
      <c r="BO17" s="291" t="str">
        <f>IFERROR(VLOOKUP($P17&amp;BO$8,Calc2!$J$4:$L$291,3,0),"")</f>
        <v/>
      </c>
      <c r="BP17" s="124" t="str">
        <f>IFERROR(VLOOKUP($P17&amp;BP$8,Calc2!$J$4:$L$291,3,0),"")</f>
        <v/>
      </c>
    </row>
    <row r="18" spans="2:68" ht="15.95" customHeight="1" x14ac:dyDescent="0.25">
      <c r="B18" s="194"/>
      <c r="C18" s="192">
        <v>10</v>
      </c>
      <c r="D18" s="508">
        <f>IF(Planning!$T16="","",Planning!$T16)</f>
        <v>45932</v>
      </c>
      <c r="E18" s="120">
        <f>IF(Planning!$U16="","",Planning!$U16)</f>
        <v>0.875</v>
      </c>
      <c r="F18" s="128" t="str">
        <f>Planning!$Q16</f>
        <v>Slovan Bratislava</v>
      </c>
      <c r="G18" s="129" t="s">
        <v>4</v>
      </c>
      <c r="H18" s="128" t="str">
        <f>Planning!$S16</f>
        <v>Racing Straßburg</v>
      </c>
      <c r="I18" s="130">
        <v>1</v>
      </c>
      <c r="J18" s="381" t="str">
        <f>Language!$E$90</f>
        <v xml:space="preserve"> - </v>
      </c>
      <c r="K18" s="131">
        <v>2</v>
      </c>
      <c r="L18" s="228"/>
      <c r="M18" s="229"/>
      <c r="N18" s="299"/>
      <c r="O18" s="322">
        <f>IF(Calc!$K$40=0,"",IF(VLOOKUP(Calc!B13,Calc!$C$4:$E$39,3,0)=MAX(O$9:O17),VLOOKUP(Calc!B13,Calc!$C$4:$E$39,3,0),Calc!B13))</f>
        <v>10</v>
      </c>
      <c r="P18" s="323" t="str">
        <f>IF(Calc!$K$40=0,Calc2!$C13,VLOOKUP(Calc!B13,Calc!$C$4:$N$39,4,0))</f>
        <v>Lech Posen</v>
      </c>
      <c r="Q18" s="324">
        <f>IF(Calc!$K$40=0,"",VLOOKUP(Calc!B13,Calc!$C$4:$N$39,9,0))</f>
        <v>6</v>
      </c>
      <c r="R18" s="325">
        <f>IF(Calc!$K$40=0,"",IF($Q18=0,"",VLOOKUP(Calc!B13,Calc!$C$4:$N$39,10,0)))</f>
        <v>3</v>
      </c>
      <c r="S18" s="325">
        <f>IF(Calc!$K$40=0,"",IF($Q18=0,"",VLOOKUP(Calc!B13,Calc!$C$4:$N$39,11,0)))</f>
        <v>1</v>
      </c>
      <c r="T18" s="326">
        <f>IF(Calc!$K$40=0,"",IF($Q18=0,"",VLOOKUP(Calc!B13,Calc!$C$4:$N$39,12,0)))</f>
        <v>2</v>
      </c>
      <c r="U18" s="327">
        <f>IF(Calc!$K$40=0,"",IF($Q18=0,"",VLOOKUP(Calc!B13,Calc!$C$4:$N$39,5,0)))</f>
        <v>12</v>
      </c>
      <c r="V18" s="328" t="str">
        <f>Language!$E$90</f>
        <v xml:space="preserve"> - </v>
      </c>
      <c r="W18" s="329">
        <f>IF(Calc!$K$40=0,"",IF($Q18=0,"",VLOOKUP(Calc!B13,Calc!$C$4:$N$39,6,0)))</f>
        <v>8</v>
      </c>
      <c r="X18" s="330">
        <f>IF(Calc!$K$40=0,"",IF($Q18=0,"",VLOOKUP(Calc!B13,Calc!$C$4:$N$39,7,0)))</f>
        <v>4</v>
      </c>
      <c r="Y18" s="331">
        <f>IF(Calc!$K$40=0,"",IF($Q18=0,"",VLOOKUP(Calc!B13,Calc!$C$4:$P$39,13,0)))</f>
        <v>5</v>
      </c>
      <c r="Z18" s="331">
        <f>IF(Calc!$K$40=0,"",IF($Q18=0,"",VLOOKUP(Calc!B13,Calc!$C$4:$P$39,14,0)))</f>
        <v>1</v>
      </c>
      <c r="AA18" s="332">
        <f>IF(Calc!$K$40=0,"",IF($Q18=0,"",VLOOKUP(Calc!B13,Calc!$C$4:$N$39,8,0)))</f>
        <v>10</v>
      </c>
      <c r="AB18" s="231" t="str">
        <f>IF(VLOOKUP(Calc!B13,Calc!$C$4:$Q$39,15,0)=0,"",VLOOKUP(Calc!B13,Calc!$C$4:$Q$39,15,0))</f>
        <v/>
      </c>
      <c r="AC18" s="222" t="str">
        <f>IF(IFERROR(VLOOKUP($P18,Planning!$D$7:$E$42,2,0),0)=0,IF(LEN(P18)&gt;Factors!$D$12,LEFT(P18,Factors!$D$12)&amp;".",P18),VLOOKUP($P18,Planning!$D$7:$E$42,2,0))</f>
        <v>Lech Po.</v>
      </c>
      <c r="AD18" s="182"/>
      <c r="AE18" s="160">
        <f t="shared" si="0"/>
        <v>10</v>
      </c>
      <c r="AF18" s="161" t="str">
        <f t="shared" si="1"/>
        <v>Lech Posen</v>
      </c>
      <c r="AG18" s="122" t="str">
        <f>IFERROR(VLOOKUP($P18&amp;AG$8,Calc2!$J$4:$L$291,3,0),"")</f>
        <v/>
      </c>
      <c r="AH18" s="121" t="str">
        <f>IFERROR(VLOOKUP($P18&amp;AH$8,Calc2!$J$4:$L$291,3,0),"")</f>
        <v/>
      </c>
      <c r="AI18" s="121" t="str">
        <f>IFERROR(VLOOKUP($P18&amp;AI$8,Calc2!$J$4:$L$291,3,0),"")</f>
        <v/>
      </c>
      <c r="AJ18" s="121" t="str">
        <f>IFERROR(VLOOKUP($P18&amp;AJ$8,Calc2!$J$4:$L$291,3,0),"")</f>
        <v/>
      </c>
      <c r="AK18" s="121" t="str">
        <f>IFERROR(VLOOKUP($P18&amp;AK$8,Calc2!$J$4:$L$291,3,0),"")</f>
        <v/>
      </c>
      <c r="AL18" s="121" t="str">
        <f>IFERROR(VLOOKUP($P18&amp;AL$8,Calc2!$J$4:$L$291,3,0),"")</f>
        <v/>
      </c>
      <c r="AM18" s="121" t="str">
        <f>IFERROR(VLOOKUP($P18&amp;AM$8,Calc2!$J$4:$L$291,3,0),"")</f>
        <v>1 - 1</v>
      </c>
      <c r="AN18" s="121" t="str">
        <f>IFERROR(VLOOKUP($P18&amp;AN$8,Calc2!$J$4:$L$291,3,0),"")</f>
        <v/>
      </c>
      <c r="AO18" s="121" t="str">
        <f>IFERROR(VLOOKUP($P18&amp;AO$8,Calc2!$J$4:$L$291,3,0),"")</f>
        <v/>
      </c>
      <c r="AP18" s="123"/>
      <c r="AQ18" s="121" t="str">
        <f>IFERROR(VLOOKUP($P18&amp;AQ$8,Calc2!$J$4:$L$291,3,0),"")</f>
        <v/>
      </c>
      <c r="AR18" s="121" t="str">
        <f>IFERROR(VLOOKUP($P18&amp;AR$8,Calc2!$J$4:$L$291,3,0),"")</f>
        <v/>
      </c>
      <c r="AS18" s="121" t="str">
        <f>IFERROR(VLOOKUP($P18&amp;AS$8,Calc2!$J$4:$L$291,3,0),"")</f>
        <v/>
      </c>
      <c r="AT18" s="121" t="str">
        <f>IFERROR(VLOOKUP($P18&amp;AT$8,Calc2!$J$4:$L$291,3,0),"")</f>
        <v/>
      </c>
      <c r="AU18" s="121" t="str">
        <f>IFERROR(VLOOKUP($P18&amp;AU$8,Calc2!$J$4:$L$291,3,0),"")</f>
        <v/>
      </c>
      <c r="AV18" s="121" t="str">
        <f>IFERROR(VLOOKUP($P18&amp;AV$8,Calc2!$J$4:$L$291,3,0),"")</f>
        <v>2 - 0</v>
      </c>
      <c r="AW18" s="121" t="str">
        <f>IFERROR(VLOOKUP($P18&amp;AW$8,Calc2!$J$4:$L$291,3,0),"")</f>
        <v/>
      </c>
      <c r="AX18" s="121" t="str">
        <f>IFERROR(VLOOKUP($P18&amp;AX$8,Calc2!$J$4:$L$291,3,0),"")</f>
        <v/>
      </c>
      <c r="AY18" s="121" t="str">
        <f>IFERROR(VLOOKUP($P18&amp;AY$8,Calc2!$J$4:$L$291,3,0),"")</f>
        <v/>
      </c>
      <c r="AZ18" s="121" t="str">
        <f>IFERROR(VLOOKUP($P18&amp;AZ$8,Calc2!$J$4:$L$291,3,0),"")</f>
        <v/>
      </c>
      <c r="BA18" s="121" t="str">
        <f>IFERROR(VLOOKUP($P18&amp;BA$8,Calc2!$J$4:$L$291,3,0),"")</f>
        <v/>
      </c>
      <c r="BB18" s="121" t="str">
        <f>IFERROR(VLOOKUP($P18&amp;BB$8,Calc2!$J$4:$L$291,3,0),"")</f>
        <v/>
      </c>
      <c r="BC18" s="121" t="str">
        <f>IFERROR(VLOOKUP($P18&amp;BC$8,Calc2!$J$4:$L$291,3,0),"")</f>
        <v/>
      </c>
      <c r="BD18" s="121" t="str">
        <f>IFERROR(VLOOKUP($P18&amp;BD$8,Calc2!$J$4:$L$291,3,0),"")</f>
        <v/>
      </c>
      <c r="BE18" s="121" t="str">
        <f>IFERROR(VLOOKUP($P18&amp;BE$8,Calc2!$J$4:$L$291,3,0),"")</f>
        <v/>
      </c>
      <c r="BF18" s="121" t="str">
        <f>IFERROR(VLOOKUP($P18&amp;BF$8,Calc2!$J$4:$L$291,3,0),"")</f>
        <v/>
      </c>
      <c r="BG18" s="121" t="str">
        <f>IFERROR(VLOOKUP($P18&amp;BG$8,Calc2!$J$4:$L$291,3,0),"")</f>
        <v/>
      </c>
      <c r="BH18" s="121" t="str">
        <f>IFERROR(VLOOKUP($P18&amp;BH$8,Calc2!$J$4:$L$291,3,0),"")</f>
        <v/>
      </c>
      <c r="BI18" s="121" t="str">
        <f>IFERROR(VLOOKUP($P18&amp;BI$8,Calc2!$J$4:$L$291,3,0),"")</f>
        <v/>
      </c>
      <c r="BJ18" s="121" t="str">
        <f>IFERROR(VLOOKUP($P18&amp;BJ$8,Calc2!$J$4:$L$291,3,0),"")</f>
        <v/>
      </c>
      <c r="BK18" s="121" t="str">
        <f>IFERROR(VLOOKUP($P18&amp;BK$8,Calc2!$J$4:$L$291,3,0),"")</f>
        <v/>
      </c>
      <c r="BL18" s="121" t="str">
        <f>IFERROR(VLOOKUP($P18&amp;BL$8,Calc2!$J$4:$L$291,3,0),"")</f>
        <v/>
      </c>
      <c r="BM18" s="286" t="str">
        <f>IFERROR(VLOOKUP($P18&amp;BM$8,Calc2!$J$4:$L$291,3,0),"")</f>
        <v/>
      </c>
      <c r="BN18" s="121" t="str">
        <f>IFERROR(VLOOKUP($P18&amp;BN$8,Calc2!$J$4:$L$291,3,0),"")</f>
        <v/>
      </c>
      <c r="BO18" s="291" t="str">
        <f>IFERROR(VLOOKUP($P18&amp;BO$8,Calc2!$J$4:$L$291,3,0),"")</f>
        <v/>
      </c>
      <c r="BP18" s="124" t="str">
        <f>IFERROR(VLOOKUP($P18&amp;BP$8,Calc2!$J$4:$L$291,3,0),"")</f>
        <v>4 - 1</v>
      </c>
    </row>
    <row r="19" spans="2:68" ht="15.95" customHeight="1" x14ac:dyDescent="0.25">
      <c r="B19" s="194"/>
      <c r="C19" s="192">
        <v>11</v>
      </c>
      <c r="D19" s="508">
        <f>IF(Planning!$T17="","",Planning!$T17)</f>
        <v>45932</v>
      </c>
      <c r="E19" s="120">
        <f>IF(Planning!$U17="","",Planning!$U17)</f>
        <v>0.875</v>
      </c>
      <c r="F19" s="128" t="str">
        <f>Planning!$Q17</f>
        <v>AC Florenz</v>
      </c>
      <c r="G19" s="129" t="s">
        <v>4</v>
      </c>
      <c r="H19" s="128" t="str">
        <f>Planning!$S17</f>
        <v>Sigma Olmütz</v>
      </c>
      <c r="I19" s="130">
        <v>2</v>
      </c>
      <c r="J19" s="381" t="str">
        <f>Language!$E$90</f>
        <v xml:space="preserve"> - </v>
      </c>
      <c r="K19" s="131">
        <v>0</v>
      </c>
      <c r="L19" s="228"/>
      <c r="M19" s="229"/>
      <c r="N19" s="299"/>
      <c r="O19" s="322">
        <f>IF(Calc!$K$40=0,"",IF(VLOOKUP(Calc!B14,Calc!$C$4:$E$39,3,0)=MAX(O$9:O18),VLOOKUP(Calc!B14,Calc!$C$4:$E$39,3,0),Calc!B14))</f>
        <v>11</v>
      </c>
      <c r="P19" s="323" t="str">
        <f>IF(Calc!$K$40=0,Calc2!$C14,VLOOKUP(Calc!B14,Calc!$C$4:$N$39,4,0))</f>
        <v>Samsunspor</v>
      </c>
      <c r="Q19" s="324">
        <f>IF(Calc!$K$40=0,"",VLOOKUP(Calc!B14,Calc!$C$4:$N$39,9,0))</f>
        <v>6</v>
      </c>
      <c r="R19" s="325">
        <f>IF(Calc!$K$40=0,"",IF($Q19=0,"",VLOOKUP(Calc!B14,Calc!$C$4:$N$39,10,0)))</f>
        <v>3</v>
      </c>
      <c r="S19" s="325">
        <f>IF(Calc!$K$40=0,"",IF($Q19=0,"",VLOOKUP(Calc!B14,Calc!$C$4:$N$39,11,0)))</f>
        <v>1</v>
      </c>
      <c r="T19" s="326">
        <f>IF(Calc!$K$40=0,"",IF($Q19=0,"",VLOOKUP(Calc!B14,Calc!$C$4:$N$39,12,0)))</f>
        <v>2</v>
      </c>
      <c r="U19" s="327">
        <f>IF(Calc!$K$40=0,"",IF($Q19=0,"",VLOOKUP(Calc!B14,Calc!$C$4:$N$39,5,0)))</f>
        <v>10</v>
      </c>
      <c r="V19" s="328" t="str">
        <f>Language!$E$90</f>
        <v xml:space="preserve"> - </v>
      </c>
      <c r="W19" s="329">
        <f>IF(Calc!$K$40=0,"",IF($Q19=0,"",VLOOKUP(Calc!B14,Calc!$C$4:$N$39,6,0)))</f>
        <v>6</v>
      </c>
      <c r="X19" s="330">
        <f>IF(Calc!$K$40=0,"",IF($Q19=0,"",VLOOKUP(Calc!B14,Calc!$C$4:$N$39,7,0)))</f>
        <v>4</v>
      </c>
      <c r="Y19" s="331">
        <f>IF(Calc!$K$40=0,"",IF($Q19=0,"",VLOOKUP(Calc!B14,Calc!$C$4:$P$39,13,0)))</f>
        <v>3</v>
      </c>
      <c r="Z19" s="331">
        <f>IF(Calc!$K$40=0,"",IF($Q19=0,"",VLOOKUP(Calc!B14,Calc!$C$4:$P$39,14,0)))</f>
        <v>1</v>
      </c>
      <c r="AA19" s="332">
        <f>IF(Calc!$K$40=0,"",IF($Q19=0,"",VLOOKUP(Calc!B14,Calc!$C$4:$N$39,8,0)))</f>
        <v>10</v>
      </c>
      <c r="AB19" s="231" t="str">
        <f>IF(VLOOKUP(Calc!B14,Calc!$C$4:$Q$39,15,0)=0,"",VLOOKUP(Calc!B14,Calc!$C$4:$Q$39,15,0))</f>
        <v/>
      </c>
      <c r="AC19" s="222" t="str">
        <f>IF(IFERROR(VLOOKUP($P19,Planning!$D$7:$E$42,2,0),0)=0,IF(LEN(P19)&gt;Factors!$D$12,LEFT(P19,Factors!$D$12)&amp;".",P19),VLOOKUP($P19,Planning!$D$7:$E$42,2,0))</f>
        <v>Samsuns.</v>
      </c>
      <c r="AD19" s="182"/>
      <c r="AE19" s="160">
        <f t="shared" si="0"/>
        <v>11</v>
      </c>
      <c r="AF19" s="161" t="str">
        <f t="shared" si="1"/>
        <v>Samsunspor</v>
      </c>
      <c r="AG19" s="122" t="str">
        <f>IFERROR(VLOOKUP($P19&amp;AG$8,Calc2!$J$4:$L$291,3,0),"")</f>
        <v/>
      </c>
      <c r="AH19" s="121" t="str">
        <f>IFERROR(VLOOKUP($P19&amp;AH$8,Calc2!$J$4:$L$291,3,0),"")</f>
        <v/>
      </c>
      <c r="AI19" s="121" t="str">
        <f>IFERROR(VLOOKUP($P19&amp;AI$8,Calc2!$J$4:$L$291,3,0),"")</f>
        <v>1 - 2</v>
      </c>
      <c r="AJ19" s="121" t="str">
        <f>IFERROR(VLOOKUP($P19&amp;AJ$8,Calc2!$J$4:$L$291,3,0),"")</f>
        <v/>
      </c>
      <c r="AK19" s="121" t="str">
        <f>IFERROR(VLOOKUP($P19&amp;AK$8,Calc2!$J$4:$L$291,3,0),"")</f>
        <v/>
      </c>
      <c r="AL19" s="121" t="str">
        <f>IFERROR(VLOOKUP($P19&amp;AL$8,Calc2!$J$4:$L$291,3,0),"")</f>
        <v/>
      </c>
      <c r="AM19" s="121" t="str">
        <f>IFERROR(VLOOKUP($P19&amp;AM$8,Calc2!$J$4:$L$291,3,0),"")</f>
        <v/>
      </c>
      <c r="AN19" s="121" t="str">
        <f>IFERROR(VLOOKUP($P19&amp;AN$8,Calc2!$J$4:$L$291,3,0),"")</f>
        <v/>
      </c>
      <c r="AO19" s="121" t="str">
        <f>IFERROR(VLOOKUP($P19&amp;AO$8,Calc2!$J$4:$L$291,3,0),"")</f>
        <v/>
      </c>
      <c r="AP19" s="121" t="str">
        <f>IFERROR(VLOOKUP($P19&amp;AP$8,Calc2!$J$4:$L$291,3,0),"")</f>
        <v/>
      </c>
      <c r="AQ19" s="123"/>
      <c r="AR19" s="121" t="str">
        <f>IFERROR(VLOOKUP($P19&amp;AR$8,Calc2!$J$4:$L$291,3,0),"")</f>
        <v/>
      </c>
      <c r="AS19" s="121" t="str">
        <f>IFERROR(VLOOKUP($P19&amp;AS$8,Calc2!$J$4:$L$291,3,0),"")</f>
        <v/>
      </c>
      <c r="AT19" s="121" t="str">
        <f>IFERROR(VLOOKUP($P19&amp;AT$8,Calc2!$J$4:$L$291,3,0),"")</f>
        <v/>
      </c>
      <c r="AU19" s="121" t="str">
        <f>IFERROR(VLOOKUP($P19&amp;AU$8,Calc2!$J$4:$L$291,3,0),"")</f>
        <v/>
      </c>
      <c r="AV19" s="121" t="str">
        <f>IFERROR(VLOOKUP($P19&amp;AV$8,Calc2!$J$4:$L$291,3,0),"")</f>
        <v/>
      </c>
      <c r="AW19" s="121" t="str">
        <f>IFERROR(VLOOKUP($P19&amp;AW$8,Calc2!$J$4:$L$291,3,0),"")</f>
        <v/>
      </c>
      <c r="AX19" s="121" t="str">
        <f>IFERROR(VLOOKUP($P19&amp;AX$8,Calc2!$J$4:$L$291,3,0),"")</f>
        <v/>
      </c>
      <c r="AY19" s="121" t="str">
        <f>IFERROR(VLOOKUP($P19&amp;AY$8,Calc2!$J$4:$L$291,3,0),"")</f>
        <v/>
      </c>
      <c r="AZ19" s="121" t="str">
        <f>IFERROR(VLOOKUP($P19&amp;AZ$8,Calc2!$J$4:$L$291,3,0),"")</f>
        <v/>
      </c>
      <c r="BA19" s="121" t="str">
        <f>IFERROR(VLOOKUP($P19&amp;BA$8,Calc2!$J$4:$L$291,3,0),"")</f>
        <v/>
      </c>
      <c r="BB19" s="121" t="str">
        <f>IFERROR(VLOOKUP($P19&amp;BB$8,Calc2!$J$4:$L$291,3,0),"")</f>
        <v/>
      </c>
      <c r="BC19" s="121" t="str">
        <f>IFERROR(VLOOKUP($P19&amp;BC$8,Calc2!$J$4:$L$291,3,0),"")</f>
        <v/>
      </c>
      <c r="BD19" s="121" t="str">
        <f>IFERROR(VLOOKUP($P19&amp;BD$8,Calc2!$J$4:$L$291,3,0),"")</f>
        <v/>
      </c>
      <c r="BE19" s="121" t="str">
        <f>IFERROR(VLOOKUP($P19&amp;BE$8,Calc2!$J$4:$L$291,3,0),"")</f>
        <v/>
      </c>
      <c r="BF19" s="121" t="str">
        <f>IFERROR(VLOOKUP($P19&amp;BF$8,Calc2!$J$4:$L$291,3,0),"")</f>
        <v/>
      </c>
      <c r="BG19" s="121" t="str">
        <f>IFERROR(VLOOKUP($P19&amp;BG$8,Calc2!$J$4:$L$291,3,0),"")</f>
        <v>3 - 0</v>
      </c>
      <c r="BH19" s="121" t="str">
        <f>IFERROR(VLOOKUP($P19&amp;BH$8,Calc2!$J$4:$L$291,3,0),"")</f>
        <v/>
      </c>
      <c r="BI19" s="121" t="str">
        <f>IFERROR(VLOOKUP($P19&amp;BI$8,Calc2!$J$4:$L$291,3,0),"")</f>
        <v/>
      </c>
      <c r="BJ19" s="121" t="str">
        <f>IFERROR(VLOOKUP($P19&amp;BJ$8,Calc2!$J$4:$L$291,3,0),"")</f>
        <v/>
      </c>
      <c r="BK19" s="121" t="str">
        <f>IFERROR(VLOOKUP($P19&amp;BK$8,Calc2!$J$4:$L$291,3,0),"")</f>
        <v/>
      </c>
      <c r="BL19" s="121" t="str">
        <f>IFERROR(VLOOKUP($P19&amp;BL$8,Calc2!$J$4:$L$291,3,0),"")</f>
        <v>3 - 0</v>
      </c>
      <c r="BM19" s="286" t="str">
        <f>IFERROR(VLOOKUP($P19&amp;BM$8,Calc2!$J$4:$L$291,3,0),"")</f>
        <v/>
      </c>
      <c r="BN19" s="121" t="str">
        <f>IFERROR(VLOOKUP($P19&amp;BN$8,Calc2!$J$4:$L$291,3,0),"")</f>
        <v/>
      </c>
      <c r="BO19" s="291" t="str">
        <f>IFERROR(VLOOKUP($P19&amp;BO$8,Calc2!$J$4:$L$291,3,0),"")</f>
        <v/>
      </c>
      <c r="BP19" s="124" t="str">
        <f>IFERROR(VLOOKUP($P19&amp;BP$8,Calc2!$J$4:$L$291,3,0),"")</f>
        <v/>
      </c>
    </row>
    <row r="20" spans="2:68" ht="15.95" customHeight="1" x14ac:dyDescent="0.25">
      <c r="B20" s="194"/>
      <c r="C20" s="192">
        <v>12</v>
      </c>
      <c r="D20" s="508">
        <f>IF(Planning!$T18="","",Planning!$T18)</f>
        <v>45932</v>
      </c>
      <c r="E20" s="120">
        <f>IF(Planning!$U18="","",Planning!$U18)</f>
        <v>0.875</v>
      </c>
      <c r="F20" s="128" t="str">
        <f>Planning!$Q18</f>
        <v>Legia Warschau</v>
      </c>
      <c r="G20" s="129" t="s">
        <v>4</v>
      </c>
      <c r="H20" s="128" t="str">
        <f>Planning!$S18</f>
        <v>Samsunspor</v>
      </c>
      <c r="I20" s="130">
        <v>0</v>
      </c>
      <c r="J20" s="381" t="str">
        <f>Language!$E$90</f>
        <v xml:space="preserve"> - </v>
      </c>
      <c r="K20" s="131">
        <v>1</v>
      </c>
      <c r="L20" s="228"/>
      <c r="M20" s="229"/>
      <c r="N20" s="299"/>
      <c r="O20" s="322">
        <f>IF(Calc!$K$40=0,"",IF(VLOOKUP(Calc!B15,Calc!$C$4:$E$39,3,0)=MAX(O$9:O19),VLOOKUP(Calc!B15,Calc!$C$4:$E$39,3,0),Calc!B15))</f>
        <v>12</v>
      </c>
      <c r="P20" s="323" t="str">
        <f>IF(Calc!$K$40=0,Calc2!$C15,VLOOKUP(Calc!B15,Calc!$C$4:$N$39,4,0))</f>
        <v>NK Celje</v>
      </c>
      <c r="Q20" s="324">
        <f>IF(Calc!$K$40=0,"",VLOOKUP(Calc!B15,Calc!$C$4:$N$39,9,0))</f>
        <v>6</v>
      </c>
      <c r="R20" s="325">
        <f>IF(Calc!$K$40=0,"",IF($Q20=0,"",VLOOKUP(Calc!B15,Calc!$C$4:$N$39,10,0)))</f>
        <v>3</v>
      </c>
      <c r="S20" s="325">
        <f>IF(Calc!$K$40=0,"",IF($Q20=0,"",VLOOKUP(Calc!B15,Calc!$C$4:$N$39,11,0)))</f>
        <v>1</v>
      </c>
      <c r="T20" s="326">
        <f>IF(Calc!$K$40=0,"",IF($Q20=0,"",VLOOKUP(Calc!B15,Calc!$C$4:$N$39,12,0)))</f>
        <v>2</v>
      </c>
      <c r="U20" s="327">
        <f>IF(Calc!$K$40=0,"",IF($Q20=0,"",VLOOKUP(Calc!B15,Calc!$C$4:$N$39,5,0)))</f>
        <v>8</v>
      </c>
      <c r="V20" s="328" t="str">
        <f>Language!$E$90</f>
        <v xml:space="preserve"> - </v>
      </c>
      <c r="W20" s="329">
        <f>IF(Calc!$K$40=0,"",IF($Q20=0,"",VLOOKUP(Calc!B15,Calc!$C$4:$N$39,6,0)))</f>
        <v>7</v>
      </c>
      <c r="X20" s="330">
        <f>IF(Calc!$K$40=0,"",IF($Q20=0,"",VLOOKUP(Calc!B15,Calc!$C$4:$N$39,7,0)))</f>
        <v>1</v>
      </c>
      <c r="Y20" s="331">
        <f>IF(Calc!$K$40=0,"",IF($Q20=0,"",VLOOKUP(Calc!B15,Calc!$C$4:$P$39,13,0)))</f>
        <v>3</v>
      </c>
      <c r="Z20" s="331">
        <f>IF(Calc!$K$40=0,"",IF($Q20=0,"",VLOOKUP(Calc!B15,Calc!$C$4:$P$39,14,0)))</f>
        <v>1</v>
      </c>
      <c r="AA20" s="332">
        <f>IF(Calc!$K$40=0,"",IF($Q20=0,"",VLOOKUP(Calc!B15,Calc!$C$4:$N$39,8,0)))</f>
        <v>10</v>
      </c>
      <c r="AB20" s="231" t="str">
        <f>IF(VLOOKUP(Calc!B15,Calc!$C$4:$Q$39,15,0)=0,"",VLOOKUP(Calc!B15,Calc!$C$4:$Q$39,15,0))</f>
        <v/>
      </c>
      <c r="AC20" s="222" t="str">
        <f>IF(IFERROR(VLOOKUP($P20,Planning!$D$7:$E$42,2,0),0)=0,IF(LEN(P20)&gt;Factors!$D$12,LEFT(P20,Factors!$D$12)&amp;".",P20),VLOOKUP($P20,Planning!$D$7:$E$42,2,0))</f>
        <v>NK Celj.</v>
      </c>
      <c r="AD20" s="182"/>
      <c r="AE20" s="160">
        <f t="shared" si="0"/>
        <v>12</v>
      </c>
      <c r="AF20" s="161" t="str">
        <f t="shared" si="1"/>
        <v>NK Celje</v>
      </c>
      <c r="AG20" s="122" t="str">
        <f>IFERROR(VLOOKUP($P20&amp;AG$8,Calc2!$J$4:$L$291,3,0),"")</f>
        <v/>
      </c>
      <c r="AH20" s="121" t="str">
        <f>IFERROR(VLOOKUP($P20&amp;AH$8,Calc2!$J$4:$L$291,3,0),"")</f>
        <v/>
      </c>
      <c r="AI20" s="121" t="str">
        <f>IFERROR(VLOOKUP($P20&amp;AI$8,Calc2!$J$4:$L$291,3,0),"")</f>
        <v>3 - 1</v>
      </c>
      <c r="AJ20" s="121" t="str">
        <f>IFERROR(VLOOKUP($P20&amp;AJ$8,Calc2!$J$4:$L$291,3,0),"")</f>
        <v/>
      </c>
      <c r="AK20" s="121" t="str">
        <f>IFERROR(VLOOKUP($P20&amp;AK$8,Calc2!$J$4:$L$291,3,0),"")</f>
        <v/>
      </c>
      <c r="AL20" s="121" t="str">
        <f>IFERROR(VLOOKUP($P20&amp;AL$8,Calc2!$J$4:$L$291,3,0),"")</f>
        <v/>
      </c>
      <c r="AM20" s="121" t="str">
        <f>IFERROR(VLOOKUP($P20&amp;AM$8,Calc2!$J$4:$L$291,3,0),"")</f>
        <v/>
      </c>
      <c r="AN20" s="121" t="str">
        <f>IFERROR(VLOOKUP($P20&amp;AN$8,Calc2!$J$4:$L$291,3,0),"")</f>
        <v/>
      </c>
      <c r="AO20" s="121" t="str">
        <f>IFERROR(VLOOKUP($P20&amp;AO$8,Calc2!$J$4:$L$291,3,0),"")</f>
        <v/>
      </c>
      <c r="AP20" s="121" t="str">
        <f>IFERROR(VLOOKUP($P20&amp;AP$8,Calc2!$J$4:$L$291,3,0),"")</f>
        <v/>
      </c>
      <c r="AQ20" s="121" t="str">
        <f>IFERROR(VLOOKUP($P20&amp;AQ$8,Calc2!$J$4:$L$291,3,0),"")</f>
        <v/>
      </c>
      <c r="AR20" s="123"/>
      <c r="AS20" s="121" t="str">
        <f>IFERROR(VLOOKUP($P20&amp;AS$8,Calc2!$J$4:$L$291,3,0),"")</f>
        <v/>
      </c>
      <c r="AT20" s="121" t="str">
        <f>IFERROR(VLOOKUP($P20&amp;AT$8,Calc2!$J$4:$L$291,3,0),"")</f>
        <v/>
      </c>
      <c r="AU20" s="121" t="str">
        <f>IFERROR(VLOOKUP($P20&amp;AU$8,Calc2!$J$4:$L$291,3,0),"")</f>
        <v/>
      </c>
      <c r="AV20" s="121" t="str">
        <f>IFERROR(VLOOKUP($P20&amp;AV$8,Calc2!$J$4:$L$291,3,0),"")</f>
        <v/>
      </c>
      <c r="AW20" s="121" t="str">
        <f>IFERROR(VLOOKUP($P20&amp;AW$8,Calc2!$J$4:$L$291,3,0),"")</f>
        <v/>
      </c>
      <c r="AX20" s="121" t="str">
        <f>IFERROR(VLOOKUP($P20&amp;AX$8,Calc2!$J$4:$L$291,3,0),"")</f>
        <v/>
      </c>
      <c r="AY20" s="121" t="str">
        <f>IFERROR(VLOOKUP($P20&amp;AY$8,Calc2!$J$4:$L$291,3,0),"")</f>
        <v/>
      </c>
      <c r="AZ20" s="121" t="str">
        <f>IFERROR(VLOOKUP($P20&amp;AZ$8,Calc2!$J$4:$L$291,3,0),"")</f>
        <v/>
      </c>
      <c r="BA20" s="121" t="str">
        <f>IFERROR(VLOOKUP($P20&amp;BA$8,Calc2!$J$4:$L$291,3,0),"")</f>
        <v/>
      </c>
      <c r="BB20" s="121" t="str">
        <f>IFERROR(VLOOKUP($P20&amp;BB$8,Calc2!$J$4:$L$291,3,0),"")</f>
        <v/>
      </c>
      <c r="BC20" s="121" t="str">
        <f>IFERROR(VLOOKUP($P20&amp;BC$8,Calc2!$J$4:$L$291,3,0),"")</f>
        <v/>
      </c>
      <c r="BD20" s="121" t="str">
        <f>IFERROR(VLOOKUP($P20&amp;BD$8,Calc2!$J$4:$L$291,3,0),"")</f>
        <v/>
      </c>
      <c r="BE20" s="121" t="str">
        <f>IFERROR(VLOOKUP($P20&amp;BE$8,Calc2!$J$4:$L$291,3,0),"")</f>
        <v/>
      </c>
      <c r="BF20" s="121" t="str">
        <f>IFERROR(VLOOKUP($P20&amp;BF$8,Calc2!$J$4:$L$291,3,0),"")</f>
        <v/>
      </c>
      <c r="BG20" s="121" t="str">
        <f>IFERROR(VLOOKUP($P20&amp;BG$8,Calc2!$J$4:$L$291,3,0),"")</f>
        <v/>
      </c>
      <c r="BH20" s="121" t="str">
        <f>IFERROR(VLOOKUP($P20&amp;BH$8,Calc2!$J$4:$L$291,3,0),"")</f>
        <v>2 - 1</v>
      </c>
      <c r="BI20" s="121" t="str">
        <f>IFERROR(VLOOKUP($P20&amp;BI$8,Calc2!$J$4:$L$291,3,0),"")</f>
        <v/>
      </c>
      <c r="BJ20" s="121" t="str">
        <f>IFERROR(VLOOKUP($P20&amp;BJ$8,Calc2!$J$4:$L$291,3,0),"")</f>
        <v/>
      </c>
      <c r="BK20" s="121" t="str">
        <f>IFERROR(VLOOKUP($P20&amp;BK$8,Calc2!$J$4:$L$291,3,0),"")</f>
        <v/>
      </c>
      <c r="BL20" s="121" t="str">
        <f>IFERROR(VLOOKUP($P20&amp;BL$8,Calc2!$J$4:$L$291,3,0),"")</f>
        <v/>
      </c>
      <c r="BM20" s="286" t="str">
        <f>IFERROR(VLOOKUP($P20&amp;BM$8,Calc2!$J$4:$L$291,3,0),"")</f>
        <v/>
      </c>
      <c r="BN20" s="121" t="str">
        <f>IFERROR(VLOOKUP($P20&amp;BN$8,Calc2!$J$4:$L$291,3,0),"")</f>
        <v>0 - 0</v>
      </c>
      <c r="BO20" s="291" t="str">
        <f>IFERROR(VLOOKUP($P20&amp;BO$8,Calc2!$J$4:$L$291,3,0),"")</f>
        <v/>
      </c>
      <c r="BP20" s="124" t="str">
        <f>IFERROR(VLOOKUP($P20&amp;BP$8,Calc2!$J$4:$L$291,3,0),"")</f>
        <v/>
      </c>
    </row>
    <row r="21" spans="2:68" ht="15.95" customHeight="1" x14ac:dyDescent="0.25">
      <c r="B21" s="194"/>
      <c r="C21" s="192">
        <v>13</v>
      </c>
      <c r="D21" s="508">
        <f>IF(Planning!$T19="","",Planning!$T19)</f>
        <v>45932</v>
      </c>
      <c r="E21" s="120">
        <f>IF(Planning!$U19="","",Planning!$U19)</f>
        <v>0.875</v>
      </c>
      <c r="F21" s="128" t="str">
        <f>Planning!$Q19</f>
        <v>Sparta Prag</v>
      </c>
      <c r="G21" s="129" t="s">
        <v>4</v>
      </c>
      <c r="H21" s="128" t="str">
        <f>Planning!$S19</f>
        <v>Shamrock Rovers</v>
      </c>
      <c r="I21" s="130">
        <v>4</v>
      </c>
      <c r="J21" s="381" t="str">
        <f>Language!$E$90</f>
        <v xml:space="preserve"> - </v>
      </c>
      <c r="K21" s="131">
        <v>1</v>
      </c>
      <c r="L21" s="228"/>
      <c r="M21" s="229"/>
      <c r="N21" s="299"/>
      <c r="O21" s="322">
        <f>IF(Calc!$K$40=0,"",IF(VLOOKUP(Calc!B16,Calc!$C$4:$E$39,3,0)=MAX(O$9:O20),VLOOKUP(Calc!B16,Calc!$C$4:$E$39,3,0),Calc!B16))</f>
        <v>13</v>
      </c>
      <c r="P21" s="323" t="str">
        <f>IF(Calc!$K$40=0,Calc2!$C16,VLOOKUP(Calc!B16,Calc!$C$4:$N$39,4,0))</f>
        <v>AZ Alkmaar</v>
      </c>
      <c r="Q21" s="324">
        <f>IF(Calc!$K$40=0,"",VLOOKUP(Calc!B16,Calc!$C$4:$N$39,9,0))</f>
        <v>6</v>
      </c>
      <c r="R21" s="325">
        <f>IF(Calc!$K$40=0,"",IF($Q21=0,"",VLOOKUP(Calc!B16,Calc!$C$4:$N$39,10,0)))</f>
        <v>3</v>
      </c>
      <c r="S21" s="325">
        <f>IF(Calc!$K$40=0,"",IF($Q21=0,"",VLOOKUP(Calc!B16,Calc!$C$4:$N$39,11,0)))</f>
        <v>1</v>
      </c>
      <c r="T21" s="326">
        <f>IF(Calc!$K$40=0,"",IF($Q21=0,"",VLOOKUP(Calc!B16,Calc!$C$4:$N$39,12,0)))</f>
        <v>2</v>
      </c>
      <c r="U21" s="327">
        <f>IF(Calc!$K$40=0,"",IF($Q21=0,"",VLOOKUP(Calc!B16,Calc!$C$4:$N$39,5,0)))</f>
        <v>7</v>
      </c>
      <c r="V21" s="328" t="str">
        <f>Language!$E$90</f>
        <v xml:space="preserve"> - </v>
      </c>
      <c r="W21" s="329">
        <f>IF(Calc!$K$40=0,"",IF($Q21=0,"",VLOOKUP(Calc!B16,Calc!$C$4:$N$39,6,0)))</f>
        <v>7</v>
      </c>
      <c r="X21" s="330">
        <f>IF(Calc!$K$40=0,"",IF($Q21=0,"",VLOOKUP(Calc!B16,Calc!$C$4:$N$39,7,0)))</f>
        <v>0</v>
      </c>
      <c r="Y21" s="331">
        <f>IF(Calc!$K$40=0,"",IF($Q21=0,"",VLOOKUP(Calc!B16,Calc!$C$4:$P$39,13,0)))</f>
        <v>4</v>
      </c>
      <c r="Z21" s="331">
        <f>IF(Calc!$K$40=0,"",IF($Q21=0,"",VLOOKUP(Calc!B16,Calc!$C$4:$P$39,14,0)))</f>
        <v>1</v>
      </c>
      <c r="AA21" s="332">
        <f>IF(Calc!$K$40=0,"",IF($Q21=0,"",VLOOKUP(Calc!B16,Calc!$C$4:$N$39,8,0)))</f>
        <v>10</v>
      </c>
      <c r="AB21" s="231" t="str">
        <f>IF(VLOOKUP(Calc!B16,Calc!$C$4:$Q$39,15,0)=0,"",VLOOKUP(Calc!B16,Calc!$C$4:$Q$39,15,0))</f>
        <v/>
      </c>
      <c r="AC21" s="222" t="str">
        <f>IF(IFERROR(VLOOKUP($P21,Planning!$D$7:$E$42,2,0),0)=0,IF(LEN(P21)&gt;Factors!$D$12,LEFT(P21,Factors!$D$12)&amp;".",P21),VLOOKUP($P21,Planning!$D$7:$E$42,2,0))</f>
        <v>AZ Alkm.</v>
      </c>
      <c r="AD21" s="182"/>
      <c r="AE21" s="160">
        <f t="shared" si="0"/>
        <v>13</v>
      </c>
      <c r="AF21" s="161" t="str">
        <f t="shared" si="1"/>
        <v>AZ Alkmaar</v>
      </c>
      <c r="AG21" s="122" t="str">
        <f>IFERROR(VLOOKUP($P21&amp;AG$8,Calc2!$J$4:$L$291,3,0),"")</f>
        <v/>
      </c>
      <c r="AH21" s="121" t="str">
        <f>IFERROR(VLOOKUP($P21&amp;AH$8,Calc2!$J$4:$L$291,3,0),"")</f>
        <v/>
      </c>
      <c r="AI21" s="121" t="str">
        <f>IFERROR(VLOOKUP($P21&amp;AI$8,Calc2!$J$4:$L$291,3,0),"")</f>
        <v/>
      </c>
      <c r="AJ21" s="121" t="str">
        <f>IFERROR(VLOOKUP($P21&amp;AJ$8,Calc2!$J$4:$L$291,3,0),"")</f>
        <v/>
      </c>
      <c r="AK21" s="121" t="str">
        <f>IFERROR(VLOOKUP($P21&amp;AK$8,Calc2!$J$4:$L$291,3,0),"")</f>
        <v/>
      </c>
      <c r="AL21" s="121" t="str">
        <f>IFERROR(VLOOKUP($P21&amp;AL$8,Calc2!$J$4:$L$291,3,0),"")</f>
        <v/>
      </c>
      <c r="AM21" s="121" t="str">
        <f>IFERROR(VLOOKUP($P21&amp;AM$8,Calc2!$J$4:$L$291,3,0),"")</f>
        <v/>
      </c>
      <c r="AN21" s="121" t="str">
        <f>IFERROR(VLOOKUP($P21&amp;AN$8,Calc2!$J$4:$L$291,3,0),"")</f>
        <v/>
      </c>
      <c r="AO21" s="121" t="str">
        <f>IFERROR(VLOOKUP($P21&amp;AO$8,Calc2!$J$4:$L$291,3,0),"")</f>
        <v/>
      </c>
      <c r="AP21" s="121" t="str">
        <f>IFERROR(VLOOKUP($P21&amp;AP$8,Calc2!$J$4:$L$291,3,0),"")</f>
        <v/>
      </c>
      <c r="AQ21" s="121" t="str">
        <f>IFERROR(VLOOKUP($P21&amp;AQ$8,Calc2!$J$4:$L$291,3,0),"")</f>
        <v/>
      </c>
      <c r="AR21" s="121" t="str">
        <f>IFERROR(VLOOKUP($P21&amp;AR$8,Calc2!$J$4:$L$291,3,0),"")</f>
        <v/>
      </c>
      <c r="AS21" s="123"/>
      <c r="AT21" s="121" t="str">
        <f>IFERROR(VLOOKUP($P21&amp;AT$8,Calc2!$J$4:$L$291,3,0),"")</f>
        <v/>
      </c>
      <c r="AU21" s="121" t="str">
        <f>IFERROR(VLOOKUP($P21&amp;AU$8,Calc2!$J$4:$L$291,3,0),"")</f>
        <v/>
      </c>
      <c r="AV21" s="121" t="str">
        <f>IFERROR(VLOOKUP($P21&amp;AV$8,Calc2!$J$4:$L$291,3,0),"")</f>
        <v/>
      </c>
      <c r="AW21" s="121" t="str">
        <f>IFERROR(VLOOKUP($P21&amp;AW$8,Calc2!$J$4:$L$291,3,0),"")</f>
        <v>0 - 0</v>
      </c>
      <c r="AX21" s="121" t="str">
        <f>IFERROR(VLOOKUP($P21&amp;AX$8,Calc2!$J$4:$L$291,3,0),"")</f>
        <v/>
      </c>
      <c r="AY21" s="121" t="str">
        <f>IFERROR(VLOOKUP($P21&amp;AY$8,Calc2!$J$4:$L$291,3,0),"")</f>
        <v/>
      </c>
      <c r="AZ21" s="121" t="str">
        <f>IFERROR(VLOOKUP($P21&amp;AZ$8,Calc2!$J$4:$L$291,3,0),"")</f>
        <v/>
      </c>
      <c r="BA21" s="121" t="str">
        <f>IFERROR(VLOOKUP($P21&amp;BA$8,Calc2!$J$4:$L$291,3,0),"")</f>
        <v/>
      </c>
      <c r="BB21" s="121" t="str">
        <f>IFERROR(VLOOKUP($P21&amp;BB$8,Calc2!$J$4:$L$291,3,0),"")</f>
        <v/>
      </c>
      <c r="BC21" s="121" t="str">
        <f>IFERROR(VLOOKUP($P21&amp;BC$8,Calc2!$J$4:$L$291,3,0),"")</f>
        <v/>
      </c>
      <c r="BD21" s="121" t="str">
        <f>IFERROR(VLOOKUP($P21&amp;BD$8,Calc2!$J$4:$L$291,3,0),"")</f>
        <v/>
      </c>
      <c r="BE21" s="121" t="str">
        <f>IFERROR(VLOOKUP($P21&amp;BE$8,Calc2!$J$4:$L$291,3,0),"")</f>
        <v/>
      </c>
      <c r="BF21" s="121" t="str">
        <f>IFERROR(VLOOKUP($P21&amp;BF$8,Calc2!$J$4:$L$291,3,0),"")</f>
        <v/>
      </c>
      <c r="BG21" s="121" t="str">
        <f>IFERROR(VLOOKUP($P21&amp;BG$8,Calc2!$J$4:$L$291,3,0),"")</f>
        <v/>
      </c>
      <c r="BH21" s="121" t="str">
        <f>IFERROR(VLOOKUP($P21&amp;BH$8,Calc2!$J$4:$L$291,3,0),"")</f>
        <v/>
      </c>
      <c r="BI21" s="121" t="str">
        <f>IFERROR(VLOOKUP($P21&amp;BI$8,Calc2!$J$4:$L$291,3,0),"")</f>
        <v>1 - 0</v>
      </c>
      <c r="BJ21" s="121" t="str">
        <f>IFERROR(VLOOKUP($P21&amp;BJ$8,Calc2!$J$4:$L$291,3,0),"")</f>
        <v/>
      </c>
      <c r="BK21" s="121" t="str">
        <f>IFERROR(VLOOKUP($P21&amp;BK$8,Calc2!$J$4:$L$291,3,0),"")</f>
        <v/>
      </c>
      <c r="BL21" s="121" t="str">
        <f>IFERROR(VLOOKUP($P21&amp;BL$8,Calc2!$J$4:$L$291,3,0),"")</f>
        <v/>
      </c>
      <c r="BM21" s="286" t="str">
        <f>IFERROR(VLOOKUP($P21&amp;BM$8,Calc2!$J$4:$L$291,3,0),"")</f>
        <v/>
      </c>
      <c r="BN21" s="121" t="str">
        <f>IFERROR(VLOOKUP($P21&amp;BN$8,Calc2!$J$4:$L$291,3,0),"")</f>
        <v>2 - 0</v>
      </c>
      <c r="BO21" s="291" t="str">
        <f>IFERROR(VLOOKUP($P21&amp;BO$8,Calc2!$J$4:$L$291,3,0),"")</f>
        <v/>
      </c>
      <c r="BP21" s="124" t="str">
        <f>IFERROR(VLOOKUP($P21&amp;BP$8,Calc2!$J$4:$L$291,3,0),"")</f>
        <v/>
      </c>
    </row>
    <row r="22" spans="2:68" ht="15.95" customHeight="1" x14ac:dyDescent="0.25">
      <c r="B22" s="194"/>
      <c r="C22" s="192">
        <v>14</v>
      </c>
      <c r="D22" s="508">
        <f>IF(Planning!$T20="","",Planning!$T20)</f>
        <v>45932</v>
      </c>
      <c r="E22" s="120">
        <f>IF(Planning!$U20="","",Planning!$U20)</f>
        <v>0.875</v>
      </c>
      <c r="F22" s="128" t="str">
        <f>Planning!$Q20</f>
        <v>NK Celje</v>
      </c>
      <c r="G22" s="129" t="s">
        <v>4</v>
      </c>
      <c r="H22" s="128" t="str">
        <f>Planning!$S20</f>
        <v>AEK Athen</v>
      </c>
      <c r="I22" s="130">
        <v>3</v>
      </c>
      <c r="J22" s="381" t="str">
        <f>Language!$E$90</f>
        <v xml:space="preserve"> - </v>
      </c>
      <c r="K22" s="131">
        <v>1</v>
      </c>
      <c r="L22" s="228"/>
      <c r="M22" s="229"/>
      <c r="N22" s="299"/>
      <c r="O22" s="322">
        <f>IF(Calc!$K$40=0,"",IF(VLOOKUP(Calc!B17,Calc!$C$4:$E$39,3,0)=MAX(O$9:O21),VLOOKUP(Calc!B17,Calc!$C$4:$E$39,3,0),Calc!B17))</f>
        <v>14</v>
      </c>
      <c r="P22" s="323" t="str">
        <f>IF(Calc!$K$40=0,Calc2!$C17,VLOOKUP(Calc!B17,Calc!$C$4:$N$39,4,0))</f>
        <v>AC Florenz</v>
      </c>
      <c r="Q22" s="324">
        <f>IF(Calc!$K$40=0,"",VLOOKUP(Calc!B17,Calc!$C$4:$N$39,9,0))</f>
        <v>6</v>
      </c>
      <c r="R22" s="325">
        <f>IF(Calc!$K$40=0,"",IF($Q22=0,"",VLOOKUP(Calc!B17,Calc!$C$4:$N$39,10,0)))</f>
        <v>3</v>
      </c>
      <c r="S22" s="325">
        <f>IF(Calc!$K$40=0,"",IF($Q22=0,"",VLOOKUP(Calc!B17,Calc!$C$4:$N$39,11,0)))</f>
        <v>0</v>
      </c>
      <c r="T22" s="326">
        <f>IF(Calc!$K$40=0,"",IF($Q22=0,"",VLOOKUP(Calc!B17,Calc!$C$4:$N$39,12,0)))</f>
        <v>3</v>
      </c>
      <c r="U22" s="327">
        <f>IF(Calc!$K$40=0,"",IF($Q22=0,"",VLOOKUP(Calc!B17,Calc!$C$4:$N$39,5,0)))</f>
        <v>8</v>
      </c>
      <c r="V22" s="328" t="str">
        <f>Language!$E$90</f>
        <v xml:space="preserve"> - </v>
      </c>
      <c r="W22" s="329">
        <f>IF(Calc!$K$40=0,"",IF($Q22=0,"",VLOOKUP(Calc!B17,Calc!$C$4:$N$39,6,0)))</f>
        <v>5</v>
      </c>
      <c r="X22" s="330">
        <f>IF(Calc!$K$40=0,"",IF($Q22=0,"",VLOOKUP(Calc!B17,Calc!$C$4:$N$39,7,0)))</f>
        <v>3</v>
      </c>
      <c r="Y22" s="331">
        <f>IF(Calc!$K$40=0,"",IF($Q22=0,"",VLOOKUP(Calc!B17,Calc!$C$4:$P$39,13,0)))</f>
        <v>4</v>
      </c>
      <c r="Z22" s="331">
        <f>IF(Calc!$K$40=0,"",IF($Q22=0,"",VLOOKUP(Calc!B17,Calc!$C$4:$P$39,14,0)))</f>
        <v>1</v>
      </c>
      <c r="AA22" s="332">
        <f>IF(Calc!$K$40=0,"",IF($Q22=0,"",VLOOKUP(Calc!B17,Calc!$C$4:$N$39,8,0)))</f>
        <v>9</v>
      </c>
      <c r="AB22" s="231" t="str">
        <f>IF(VLOOKUP(Calc!B17,Calc!$C$4:$Q$39,15,0)=0,"",VLOOKUP(Calc!B17,Calc!$C$4:$Q$39,15,0))</f>
        <v/>
      </c>
      <c r="AC22" s="222" t="str">
        <f>IF(IFERROR(VLOOKUP($P22,Planning!$D$7:$E$42,2,0),0)=0,IF(LEN(P22)&gt;Factors!$D$12,LEFT(P22,Factors!$D$12)&amp;".",P22),VLOOKUP($P22,Planning!$D$7:$E$42,2,0))</f>
        <v>AC Flor.</v>
      </c>
      <c r="AD22" s="182"/>
      <c r="AE22" s="160">
        <f t="shared" si="0"/>
        <v>14</v>
      </c>
      <c r="AF22" s="161" t="str">
        <f t="shared" si="1"/>
        <v>AC Florenz</v>
      </c>
      <c r="AG22" s="122" t="str">
        <f>IFERROR(VLOOKUP($P22&amp;AG$8,Calc2!$J$4:$L$291,3,0),"")</f>
        <v/>
      </c>
      <c r="AH22" s="121" t="str">
        <f>IFERROR(VLOOKUP($P22&amp;AH$8,Calc2!$J$4:$L$291,3,0),"")</f>
        <v/>
      </c>
      <c r="AI22" s="121" t="str">
        <f>IFERROR(VLOOKUP($P22&amp;AI$8,Calc2!$J$4:$L$291,3,0),"")</f>
        <v>0 - 1</v>
      </c>
      <c r="AJ22" s="121" t="str">
        <f>IFERROR(VLOOKUP($P22&amp;AJ$8,Calc2!$J$4:$L$291,3,0),"")</f>
        <v/>
      </c>
      <c r="AK22" s="121" t="str">
        <f>IFERROR(VLOOKUP($P22&amp;AK$8,Calc2!$J$4:$L$291,3,0),"")</f>
        <v/>
      </c>
      <c r="AL22" s="121" t="str">
        <f>IFERROR(VLOOKUP($P22&amp;AL$8,Calc2!$J$4:$L$291,3,0),"")</f>
        <v/>
      </c>
      <c r="AM22" s="121" t="str">
        <f>IFERROR(VLOOKUP($P22&amp;AM$8,Calc2!$J$4:$L$291,3,0),"")</f>
        <v/>
      </c>
      <c r="AN22" s="121" t="str">
        <f>IFERROR(VLOOKUP($P22&amp;AN$8,Calc2!$J$4:$L$291,3,0),"")</f>
        <v/>
      </c>
      <c r="AO22" s="121" t="str">
        <f>IFERROR(VLOOKUP($P22&amp;AO$8,Calc2!$J$4:$L$291,3,0),"")</f>
        <v/>
      </c>
      <c r="AP22" s="121" t="str">
        <f>IFERROR(VLOOKUP($P22&amp;AP$8,Calc2!$J$4:$L$291,3,0),"")</f>
        <v/>
      </c>
      <c r="AQ22" s="121" t="str">
        <f>IFERROR(VLOOKUP($P22&amp;AQ$8,Calc2!$J$4:$L$291,3,0),"")</f>
        <v/>
      </c>
      <c r="AR22" s="121" t="str">
        <f>IFERROR(VLOOKUP($P22&amp;AR$8,Calc2!$J$4:$L$291,3,0),"")</f>
        <v/>
      </c>
      <c r="AS22" s="121" t="str">
        <f>IFERROR(VLOOKUP($P22&amp;AS$8,Calc2!$J$4:$L$291,3,0),"")</f>
        <v/>
      </c>
      <c r="AT22" s="123"/>
      <c r="AU22" s="121" t="str">
        <f>IFERROR(VLOOKUP($P22&amp;AU$8,Calc2!$J$4:$L$291,3,0),"")</f>
        <v/>
      </c>
      <c r="AV22" s="121" t="str">
        <f>IFERROR(VLOOKUP($P22&amp;AV$8,Calc2!$J$4:$L$291,3,0),"")</f>
        <v/>
      </c>
      <c r="AW22" s="121" t="str">
        <f>IFERROR(VLOOKUP($P22&amp;AW$8,Calc2!$J$4:$L$291,3,0),"")</f>
        <v/>
      </c>
      <c r="AX22" s="121" t="str">
        <f>IFERROR(VLOOKUP($P22&amp;AX$8,Calc2!$J$4:$L$291,3,0),"")</f>
        <v/>
      </c>
      <c r="AY22" s="121" t="str">
        <f>IFERROR(VLOOKUP($P22&amp;AY$8,Calc2!$J$4:$L$291,3,0),"")</f>
        <v/>
      </c>
      <c r="AZ22" s="121" t="str">
        <f>IFERROR(VLOOKUP($P22&amp;AZ$8,Calc2!$J$4:$L$291,3,0),"")</f>
        <v/>
      </c>
      <c r="BA22" s="121" t="str">
        <f>IFERROR(VLOOKUP($P22&amp;BA$8,Calc2!$J$4:$L$291,3,0),"")</f>
        <v/>
      </c>
      <c r="BB22" s="121" t="str">
        <f>IFERROR(VLOOKUP($P22&amp;BB$8,Calc2!$J$4:$L$291,3,0),"")</f>
        <v/>
      </c>
      <c r="BC22" s="121" t="str">
        <f>IFERROR(VLOOKUP($P22&amp;BC$8,Calc2!$J$4:$L$291,3,0),"")</f>
        <v/>
      </c>
      <c r="BD22" s="121" t="str">
        <f>IFERROR(VLOOKUP($P22&amp;BD$8,Calc2!$J$4:$L$291,3,0),"")</f>
        <v>2 - 0</v>
      </c>
      <c r="BE22" s="121" t="str">
        <f>IFERROR(VLOOKUP($P22&amp;BE$8,Calc2!$J$4:$L$291,3,0),"")</f>
        <v/>
      </c>
      <c r="BF22" s="121" t="str">
        <f>IFERROR(VLOOKUP($P22&amp;BF$8,Calc2!$J$4:$L$291,3,0),"")</f>
        <v/>
      </c>
      <c r="BG22" s="121" t="str">
        <f>IFERROR(VLOOKUP($P22&amp;BG$8,Calc2!$J$4:$L$291,3,0),"")</f>
        <v>2 - 1</v>
      </c>
      <c r="BH22" s="121" t="str">
        <f>IFERROR(VLOOKUP($P22&amp;BH$8,Calc2!$J$4:$L$291,3,0),"")</f>
        <v/>
      </c>
      <c r="BI22" s="121" t="str">
        <f>IFERROR(VLOOKUP($P22&amp;BI$8,Calc2!$J$4:$L$291,3,0),"")</f>
        <v/>
      </c>
      <c r="BJ22" s="121" t="str">
        <f>IFERROR(VLOOKUP($P22&amp;BJ$8,Calc2!$J$4:$L$291,3,0),"")</f>
        <v/>
      </c>
      <c r="BK22" s="121" t="str">
        <f>IFERROR(VLOOKUP($P22&amp;BK$8,Calc2!$J$4:$L$291,3,0),"")</f>
        <v/>
      </c>
      <c r="BL22" s="121" t="str">
        <f>IFERROR(VLOOKUP($P22&amp;BL$8,Calc2!$J$4:$L$291,3,0),"")</f>
        <v/>
      </c>
      <c r="BM22" s="286" t="str">
        <f>IFERROR(VLOOKUP($P22&amp;BM$8,Calc2!$J$4:$L$291,3,0),"")</f>
        <v/>
      </c>
      <c r="BN22" s="121" t="str">
        <f>IFERROR(VLOOKUP($P22&amp;BN$8,Calc2!$J$4:$L$291,3,0),"")</f>
        <v/>
      </c>
      <c r="BO22" s="291" t="str">
        <f>IFERROR(VLOOKUP($P22&amp;BO$8,Calc2!$J$4:$L$291,3,0),"")</f>
        <v/>
      </c>
      <c r="BP22" s="124" t="str">
        <f>IFERROR(VLOOKUP($P22&amp;BP$8,Calc2!$J$4:$L$291,3,0),"")</f>
        <v/>
      </c>
    </row>
    <row r="23" spans="2:68" ht="15.95" customHeight="1" x14ac:dyDescent="0.25">
      <c r="B23" s="194"/>
      <c r="C23" s="192">
        <v>15</v>
      </c>
      <c r="D23" s="508">
        <f>IF(Planning!$T21="","",Planning!$T21)</f>
        <v>45932</v>
      </c>
      <c r="E23" s="120">
        <f>IF(Planning!$U21="","",Planning!$U21)</f>
        <v>0.875</v>
      </c>
      <c r="F23" s="128" t="str">
        <f>Planning!$Q21</f>
        <v>FC Aberdeen</v>
      </c>
      <c r="G23" s="129" t="s">
        <v>4</v>
      </c>
      <c r="H23" s="128" t="str">
        <f>Planning!$S21</f>
        <v>Schachtar Donezk</v>
      </c>
      <c r="I23" s="130">
        <v>2</v>
      </c>
      <c r="J23" s="381" t="str">
        <f>Language!$E$90</f>
        <v xml:space="preserve"> - </v>
      </c>
      <c r="K23" s="131">
        <v>3</v>
      </c>
      <c r="L23" s="228"/>
      <c r="M23" s="229"/>
      <c r="N23" s="299"/>
      <c r="O23" s="322">
        <f>IF(Calc!$K$40=0,"",IF(VLOOKUP(Calc!B18,Calc!$C$4:$E$39,3,0)=MAX(O$9:O22),VLOOKUP(Calc!B18,Calc!$C$4:$E$39,3,0),Calc!B18))</f>
        <v>15</v>
      </c>
      <c r="P23" s="323" t="str">
        <f>IF(Calc!$K$40=0,Calc2!$C18,VLOOKUP(Calc!B18,Calc!$C$4:$N$39,4,0))</f>
        <v>HNK Rijeka</v>
      </c>
      <c r="Q23" s="324">
        <f>IF(Calc!$K$40=0,"",VLOOKUP(Calc!B18,Calc!$C$4:$N$39,9,0))</f>
        <v>6</v>
      </c>
      <c r="R23" s="325">
        <f>IF(Calc!$K$40=0,"",IF($Q23=0,"",VLOOKUP(Calc!B18,Calc!$C$4:$N$39,10,0)))</f>
        <v>2</v>
      </c>
      <c r="S23" s="325">
        <f>IF(Calc!$K$40=0,"",IF($Q23=0,"",VLOOKUP(Calc!B18,Calc!$C$4:$N$39,11,0)))</f>
        <v>3</v>
      </c>
      <c r="T23" s="326">
        <f>IF(Calc!$K$40=0,"",IF($Q23=0,"",VLOOKUP(Calc!B18,Calc!$C$4:$N$39,12,0)))</f>
        <v>1</v>
      </c>
      <c r="U23" s="327">
        <f>IF(Calc!$K$40=0,"",IF($Q23=0,"",VLOOKUP(Calc!B18,Calc!$C$4:$N$39,5,0)))</f>
        <v>5</v>
      </c>
      <c r="V23" s="328" t="str">
        <f>Language!$E$90</f>
        <v xml:space="preserve"> - </v>
      </c>
      <c r="W23" s="329">
        <f>IF(Calc!$K$40=0,"",IF($Q23=0,"",VLOOKUP(Calc!B18,Calc!$C$4:$N$39,6,0)))</f>
        <v>2</v>
      </c>
      <c r="X23" s="330">
        <f>IF(Calc!$K$40=0,"",IF($Q23=0,"",VLOOKUP(Calc!B18,Calc!$C$4:$N$39,7,0)))</f>
        <v>3</v>
      </c>
      <c r="Y23" s="331">
        <f>IF(Calc!$K$40=0,"",IF($Q23=0,"",VLOOKUP(Calc!B18,Calc!$C$4:$P$39,13,0)))</f>
        <v>1</v>
      </c>
      <c r="Z23" s="331">
        <f>IF(Calc!$K$40=0,"",IF($Q23=0,"",VLOOKUP(Calc!B18,Calc!$C$4:$P$39,14,0)))</f>
        <v>0</v>
      </c>
      <c r="AA23" s="332">
        <f>IF(Calc!$K$40=0,"",IF($Q23=0,"",VLOOKUP(Calc!B18,Calc!$C$4:$N$39,8,0)))</f>
        <v>9</v>
      </c>
      <c r="AB23" s="231" t="str">
        <f>IF(VLOOKUP(Calc!B18,Calc!$C$4:$Q$39,15,0)=0,"",VLOOKUP(Calc!B18,Calc!$C$4:$Q$39,15,0))</f>
        <v/>
      </c>
      <c r="AC23" s="222" t="str">
        <f>IF(IFERROR(VLOOKUP($P23,Planning!$D$7:$E$42,2,0),0)=0,IF(LEN(P23)&gt;Factors!$D$12,LEFT(P23,Factors!$D$12)&amp;".",P23),VLOOKUP($P23,Planning!$D$7:$E$42,2,0))</f>
        <v>HNK Rij.</v>
      </c>
      <c r="AD23" s="182"/>
      <c r="AE23" s="160">
        <f t="shared" si="0"/>
        <v>15</v>
      </c>
      <c r="AF23" s="161" t="str">
        <f t="shared" si="1"/>
        <v>HNK Rijeka</v>
      </c>
      <c r="AG23" s="122" t="str">
        <f>IFERROR(VLOOKUP($P23&amp;AG$8,Calc2!$J$4:$L$291,3,0),"")</f>
        <v/>
      </c>
      <c r="AH23" s="121" t="str">
        <f>IFERROR(VLOOKUP($P23&amp;AH$8,Calc2!$J$4:$L$291,3,0),"")</f>
        <v/>
      </c>
      <c r="AI23" s="121" t="str">
        <f>IFERROR(VLOOKUP($P23&amp;AI$8,Calc2!$J$4:$L$291,3,0),"")</f>
        <v/>
      </c>
      <c r="AJ23" s="121" t="str">
        <f>IFERROR(VLOOKUP($P23&amp;AJ$8,Calc2!$J$4:$L$291,3,0),"")</f>
        <v>1 - 0</v>
      </c>
      <c r="AK23" s="121" t="str">
        <f>IFERROR(VLOOKUP($P23&amp;AK$8,Calc2!$J$4:$L$291,3,0),"")</f>
        <v/>
      </c>
      <c r="AL23" s="121" t="str">
        <f>IFERROR(VLOOKUP($P23&amp;AL$8,Calc2!$J$4:$L$291,3,0),"")</f>
        <v/>
      </c>
      <c r="AM23" s="121" t="str">
        <f>IFERROR(VLOOKUP($P23&amp;AM$8,Calc2!$J$4:$L$291,3,0),"")</f>
        <v/>
      </c>
      <c r="AN23" s="121" t="str">
        <f>IFERROR(VLOOKUP($P23&amp;AN$8,Calc2!$J$4:$L$291,3,0),"")</f>
        <v>0 - 0</v>
      </c>
      <c r="AO23" s="121" t="str">
        <f>IFERROR(VLOOKUP($P23&amp;AO$8,Calc2!$J$4:$L$291,3,0),"")</f>
        <v/>
      </c>
      <c r="AP23" s="121" t="str">
        <f>IFERROR(VLOOKUP($P23&amp;AP$8,Calc2!$J$4:$L$291,3,0),"")</f>
        <v/>
      </c>
      <c r="AQ23" s="121" t="str">
        <f>IFERROR(VLOOKUP($P23&amp;AQ$8,Calc2!$J$4:$L$291,3,0),"")</f>
        <v/>
      </c>
      <c r="AR23" s="121" t="str">
        <f>IFERROR(VLOOKUP($P23&amp;AR$8,Calc2!$J$4:$L$291,3,0),"")</f>
        <v>3 - 0</v>
      </c>
      <c r="AS23" s="121" t="str">
        <f>IFERROR(VLOOKUP($P23&amp;AS$8,Calc2!$J$4:$L$291,3,0),"")</f>
        <v/>
      </c>
      <c r="AT23" s="121" t="str">
        <f>IFERROR(VLOOKUP($P23&amp;AT$8,Calc2!$J$4:$L$291,3,0),"")</f>
        <v/>
      </c>
      <c r="AU23" s="123"/>
      <c r="AV23" s="121" t="str">
        <f>IFERROR(VLOOKUP($P23&amp;AV$8,Calc2!$J$4:$L$291,3,0),"")</f>
        <v/>
      </c>
      <c r="AW23" s="121" t="str">
        <f>IFERROR(VLOOKUP($P23&amp;AW$8,Calc2!$J$4:$L$291,3,0),"")</f>
        <v/>
      </c>
      <c r="AX23" s="121" t="str">
        <f>IFERROR(VLOOKUP($P23&amp;AX$8,Calc2!$J$4:$L$291,3,0),"")</f>
        <v/>
      </c>
      <c r="AY23" s="121" t="str">
        <f>IFERROR(VLOOKUP($P23&amp;AY$8,Calc2!$J$4:$L$291,3,0),"")</f>
        <v/>
      </c>
      <c r="AZ23" s="121" t="str">
        <f>IFERROR(VLOOKUP($P23&amp;AZ$8,Calc2!$J$4:$L$291,3,0),"")</f>
        <v/>
      </c>
      <c r="BA23" s="121" t="str">
        <f>IFERROR(VLOOKUP($P23&amp;BA$8,Calc2!$J$4:$L$291,3,0),"")</f>
        <v/>
      </c>
      <c r="BB23" s="121" t="str">
        <f>IFERROR(VLOOKUP($P23&amp;BB$8,Calc2!$J$4:$L$291,3,0),"")</f>
        <v/>
      </c>
      <c r="BC23" s="121" t="str">
        <f>IFERROR(VLOOKUP($P23&amp;BC$8,Calc2!$J$4:$L$291,3,0),"")</f>
        <v/>
      </c>
      <c r="BD23" s="121" t="str">
        <f>IFERROR(VLOOKUP($P23&amp;BD$8,Calc2!$J$4:$L$291,3,0),"")</f>
        <v/>
      </c>
      <c r="BE23" s="121" t="str">
        <f>IFERROR(VLOOKUP($P23&amp;BE$8,Calc2!$J$4:$L$291,3,0),"")</f>
        <v/>
      </c>
      <c r="BF23" s="121" t="str">
        <f>IFERROR(VLOOKUP($P23&amp;BF$8,Calc2!$J$4:$L$291,3,0),"")</f>
        <v/>
      </c>
      <c r="BG23" s="121" t="str">
        <f>IFERROR(VLOOKUP($P23&amp;BG$8,Calc2!$J$4:$L$291,3,0),"")</f>
        <v/>
      </c>
      <c r="BH23" s="121" t="str">
        <f>IFERROR(VLOOKUP($P23&amp;BH$8,Calc2!$J$4:$L$291,3,0),"")</f>
        <v/>
      </c>
      <c r="BI23" s="121" t="str">
        <f>IFERROR(VLOOKUP($P23&amp;BI$8,Calc2!$J$4:$L$291,3,0),"")</f>
        <v/>
      </c>
      <c r="BJ23" s="121" t="str">
        <f>IFERROR(VLOOKUP($P23&amp;BJ$8,Calc2!$J$4:$L$291,3,0),"")</f>
        <v/>
      </c>
      <c r="BK23" s="121" t="str">
        <f>IFERROR(VLOOKUP($P23&amp;BK$8,Calc2!$J$4:$L$291,3,0),"")</f>
        <v/>
      </c>
      <c r="BL23" s="121" t="str">
        <f>IFERROR(VLOOKUP($P23&amp;BL$8,Calc2!$J$4:$L$291,3,0),"")</f>
        <v/>
      </c>
      <c r="BM23" s="286" t="str">
        <f>IFERROR(VLOOKUP($P23&amp;BM$8,Calc2!$J$4:$L$291,3,0),"")</f>
        <v/>
      </c>
      <c r="BN23" s="121" t="str">
        <f>IFERROR(VLOOKUP($P23&amp;BN$8,Calc2!$J$4:$L$291,3,0),"")</f>
        <v/>
      </c>
      <c r="BO23" s="291" t="str">
        <f>IFERROR(VLOOKUP($P23&amp;BO$8,Calc2!$J$4:$L$291,3,0),"")</f>
        <v/>
      </c>
      <c r="BP23" s="124" t="str">
        <f>IFERROR(VLOOKUP($P23&amp;BP$8,Calc2!$J$4:$L$291,3,0),"")</f>
        <v/>
      </c>
    </row>
    <row r="24" spans="2:68" ht="15.95" customHeight="1" x14ac:dyDescent="0.25">
      <c r="B24" s="194"/>
      <c r="C24" s="192">
        <v>16</v>
      </c>
      <c r="D24" s="508">
        <f>IF(Planning!$T22="","",Planning!$T22)</f>
        <v>45932</v>
      </c>
      <c r="E24" s="120">
        <f>IF(Planning!$U22="","",Planning!$U22)</f>
        <v>0.875</v>
      </c>
      <c r="F24" s="128" t="str">
        <f>Planning!$Q22</f>
        <v>Rakow Tschenstochau</v>
      </c>
      <c r="G24" s="129" t="s">
        <v>4</v>
      </c>
      <c r="H24" s="128" t="str">
        <f>Planning!$S22</f>
        <v>Universitatea Craiova</v>
      </c>
      <c r="I24" s="130">
        <v>2</v>
      </c>
      <c r="J24" s="381" t="str">
        <f>Language!$E$90</f>
        <v xml:space="preserve"> - </v>
      </c>
      <c r="K24" s="131">
        <v>0</v>
      </c>
      <c r="L24" s="228"/>
      <c r="M24" s="229"/>
      <c r="N24" s="299"/>
      <c r="O24" s="322">
        <f>IF(Calc!$K$40=0,"",IF(VLOOKUP(Calc!B19,Calc!$C$4:$E$39,3,0)=MAX(O$9:O23),VLOOKUP(Calc!B19,Calc!$C$4:$E$39,3,0),Calc!B19))</f>
        <v>16</v>
      </c>
      <c r="P24" s="323" t="str">
        <f>IF(Calc!$K$40=0,Calc2!$C19,VLOOKUP(Calc!B19,Calc!$C$4:$N$39,4,0))</f>
        <v>FC Lausanne-Sport</v>
      </c>
      <c r="Q24" s="324">
        <f>IF(Calc!$K$40=0,"",VLOOKUP(Calc!B19,Calc!$C$4:$N$39,9,0))</f>
        <v>6</v>
      </c>
      <c r="R24" s="325">
        <f>IF(Calc!$K$40=0,"",IF($Q24=0,"",VLOOKUP(Calc!B19,Calc!$C$4:$N$39,10,0)))</f>
        <v>2</v>
      </c>
      <c r="S24" s="325">
        <f>IF(Calc!$K$40=0,"",IF($Q24=0,"",VLOOKUP(Calc!B19,Calc!$C$4:$N$39,11,0)))</f>
        <v>3</v>
      </c>
      <c r="T24" s="326">
        <f>IF(Calc!$K$40=0,"",IF($Q24=0,"",VLOOKUP(Calc!B19,Calc!$C$4:$N$39,12,0)))</f>
        <v>1</v>
      </c>
      <c r="U24" s="327">
        <f>IF(Calc!$K$40=0,"",IF($Q24=0,"",VLOOKUP(Calc!B19,Calc!$C$4:$N$39,5,0)))</f>
        <v>6</v>
      </c>
      <c r="V24" s="328" t="str">
        <f>Language!$E$90</f>
        <v xml:space="preserve"> - </v>
      </c>
      <c r="W24" s="329">
        <f>IF(Calc!$K$40=0,"",IF($Q24=0,"",VLOOKUP(Calc!B19,Calc!$C$4:$N$39,6,0)))</f>
        <v>4</v>
      </c>
      <c r="X24" s="330">
        <f>IF(Calc!$K$40=0,"",IF($Q24=0,"",VLOOKUP(Calc!B19,Calc!$C$4:$N$39,7,0)))</f>
        <v>2</v>
      </c>
      <c r="Y24" s="331">
        <f>IF(Calc!$K$40=0,"",IF($Q24=0,"",VLOOKUP(Calc!B19,Calc!$C$4:$P$39,13,0)))</f>
        <v>1</v>
      </c>
      <c r="Z24" s="331">
        <f>IF(Calc!$K$40=0,"",IF($Q24=0,"",VLOOKUP(Calc!B19,Calc!$C$4:$P$39,14,0)))</f>
        <v>0</v>
      </c>
      <c r="AA24" s="332">
        <f>IF(Calc!$K$40=0,"",IF($Q24=0,"",VLOOKUP(Calc!B19,Calc!$C$4:$N$39,8,0)))</f>
        <v>9</v>
      </c>
      <c r="AB24" s="231" t="str">
        <f>IF(VLOOKUP(Calc!B19,Calc!$C$4:$Q$39,15,0)=0,"",VLOOKUP(Calc!B19,Calc!$C$4:$Q$39,15,0))</f>
        <v/>
      </c>
      <c r="AC24" s="222" t="str">
        <f>IF(IFERROR(VLOOKUP($P24,Planning!$D$7:$E$42,2,0),0)=0,IF(LEN(P24)&gt;Factors!$D$12,LEFT(P24,Factors!$D$12)&amp;".",P24),VLOOKUP($P24,Planning!$D$7:$E$42,2,0))</f>
        <v>FC Laus.</v>
      </c>
      <c r="AD24" s="182"/>
      <c r="AE24" s="160">
        <f t="shared" si="0"/>
        <v>16</v>
      </c>
      <c r="AF24" s="161" t="str">
        <f t="shared" si="1"/>
        <v>FC Lausanne-Sport</v>
      </c>
      <c r="AG24" s="122" t="str">
        <f>IFERROR(VLOOKUP($P24&amp;AG$8,Calc2!$J$4:$L$291,3,0),"")</f>
        <v/>
      </c>
      <c r="AH24" s="121" t="str">
        <f>IFERROR(VLOOKUP($P24&amp;AH$8,Calc2!$J$4:$L$291,3,0),"")</f>
        <v/>
      </c>
      <c r="AI24" s="121" t="str">
        <f>IFERROR(VLOOKUP($P24&amp;AI$8,Calc2!$J$4:$L$291,3,0),"")</f>
        <v/>
      </c>
      <c r="AJ24" s="121" t="str">
        <f>IFERROR(VLOOKUP($P24&amp;AJ$8,Calc2!$J$4:$L$291,3,0),"")</f>
        <v/>
      </c>
      <c r="AK24" s="121" t="str">
        <f>IFERROR(VLOOKUP($P24&amp;AK$8,Calc2!$J$4:$L$291,3,0),"")</f>
        <v/>
      </c>
      <c r="AL24" s="121" t="str">
        <f>IFERROR(VLOOKUP($P24&amp;AL$8,Calc2!$J$4:$L$291,3,0),"")</f>
        <v/>
      </c>
      <c r="AM24" s="121" t="str">
        <f>IFERROR(VLOOKUP($P24&amp;AM$8,Calc2!$J$4:$L$291,3,0),"")</f>
        <v/>
      </c>
      <c r="AN24" s="121" t="str">
        <f>IFERROR(VLOOKUP($P24&amp;AN$8,Calc2!$J$4:$L$291,3,0),"")</f>
        <v/>
      </c>
      <c r="AO24" s="121" t="str">
        <f>IFERROR(VLOOKUP($P24&amp;AO$8,Calc2!$J$4:$L$291,3,0),"")</f>
        <v/>
      </c>
      <c r="AP24" s="121" t="str">
        <f>IFERROR(VLOOKUP($P24&amp;AP$8,Calc2!$J$4:$L$291,3,0),"")</f>
        <v/>
      </c>
      <c r="AQ24" s="121" t="str">
        <f>IFERROR(VLOOKUP($P24&amp;AQ$8,Calc2!$J$4:$L$291,3,0),"")</f>
        <v/>
      </c>
      <c r="AR24" s="121" t="str">
        <f>IFERROR(VLOOKUP($P24&amp;AR$8,Calc2!$J$4:$L$291,3,0),"")</f>
        <v/>
      </c>
      <c r="AS24" s="121" t="str">
        <f>IFERROR(VLOOKUP($P24&amp;AS$8,Calc2!$J$4:$L$291,3,0),"")</f>
        <v/>
      </c>
      <c r="AT24" s="121" t="str">
        <f>IFERROR(VLOOKUP($P24&amp;AT$8,Calc2!$J$4:$L$291,3,0),"")</f>
        <v>1 - 0</v>
      </c>
      <c r="AU24" s="121" t="str">
        <f>IFERROR(VLOOKUP($P24&amp;AU$8,Calc2!$J$4:$L$291,3,0),"")</f>
        <v/>
      </c>
      <c r="AV24" s="123"/>
      <c r="AW24" s="121" t="str">
        <f>IFERROR(VLOOKUP($P24&amp;AW$8,Calc2!$J$4:$L$291,3,0),"")</f>
        <v/>
      </c>
      <c r="AX24" s="121" t="str">
        <f>IFERROR(VLOOKUP($P24&amp;AX$8,Calc2!$J$4:$L$291,3,0),"")</f>
        <v>1 - 1</v>
      </c>
      <c r="AY24" s="121" t="str">
        <f>IFERROR(VLOOKUP($P24&amp;AY$8,Calc2!$J$4:$L$291,3,0),"")</f>
        <v/>
      </c>
      <c r="AZ24" s="121" t="str">
        <f>IFERROR(VLOOKUP($P24&amp;AZ$8,Calc2!$J$4:$L$291,3,0),"")</f>
        <v/>
      </c>
      <c r="BA24" s="121" t="str">
        <f>IFERROR(VLOOKUP($P24&amp;BA$8,Calc2!$J$4:$L$291,3,0),"")</f>
        <v/>
      </c>
      <c r="BB24" s="121" t="str">
        <f>IFERROR(VLOOKUP($P24&amp;BB$8,Calc2!$J$4:$L$291,3,0),"")</f>
        <v/>
      </c>
      <c r="BC24" s="121" t="str">
        <f>IFERROR(VLOOKUP($P24&amp;BC$8,Calc2!$J$4:$L$291,3,0),"")</f>
        <v/>
      </c>
      <c r="BD24" s="121" t="str">
        <f>IFERROR(VLOOKUP($P24&amp;BD$8,Calc2!$J$4:$L$291,3,0),"")</f>
        <v/>
      </c>
      <c r="BE24" s="121" t="str">
        <f>IFERROR(VLOOKUP($P24&amp;BE$8,Calc2!$J$4:$L$291,3,0),"")</f>
        <v/>
      </c>
      <c r="BF24" s="121" t="str">
        <f>IFERROR(VLOOKUP($P24&amp;BF$8,Calc2!$J$4:$L$291,3,0),"")</f>
        <v/>
      </c>
      <c r="BG24" s="121" t="str">
        <f>IFERROR(VLOOKUP($P24&amp;BG$8,Calc2!$J$4:$L$291,3,0),"")</f>
        <v/>
      </c>
      <c r="BH24" s="121" t="str">
        <f>IFERROR(VLOOKUP($P24&amp;BH$8,Calc2!$J$4:$L$291,3,0),"")</f>
        <v/>
      </c>
      <c r="BI24" s="121" t="str">
        <f>IFERROR(VLOOKUP($P24&amp;BI$8,Calc2!$J$4:$L$291,3,0),"")</f>
        <v/>
      </c>
      <c r="BJ24" s="121" t="str">
        <f>IFERROR(VLOOKUP($P24&amp;BJ$8,Calc2!$J$4:$L$291,3,0),"")</f>
        <v>3 - 0</v>
      </c>
      <c r="BK24" s="121" t="str">
        <f>IFERROR(VLOOKUP($P24&amp;BK$8,Calc2!$J$4:$L$291,3,0),"")</f>
        <v/>
      </c>
      <c r="BL24" s="121" t="str">
        <f>IFERROR(VLOOKUP($P24&amp;BL$8,Calc2!$J$4:$L$291,3,0),"")</f>
        <v/>
      </c>
      <c r="BM24" s="286" t="str">
        <f>IFERROR(VLOOKUP($P24&amp;BM$8,Calc2!$J$4:$L$291,3,0),"")</f>
        <v/>
      </c>
      <c r="BN24" s="121" t="str">
        <f>IFERROR(VLOOKUP($P24&amp;BN$8,Calc2!$J$4:$L$291,3,0),"")</f>
        <v/>
      </c>
      <c r="BO24" s="291" t="str">
        <f>IFERROR(VLOOKUP($P24&amp;BO$8,Calc2!$J$4:$L$291,3,0),"")</f>
        <v/>
      </c>
      <c r="BP24" s="124" t="str">
        <f>IFERROR(VLOOKUP($P24&amp;BP$8,Calc2!$J$4:$L$291,3,0),"")</f>
        <v/>
      </c>
    </row>
    <row r="25" spans="2:68" ht="15.95" customHeight="1" x14ac:dyDescent="0.25">
      <c r="B25" s="194"/>
      <c r="C25" s="192">
        <v>17</v>
      </c>
      <c r="D25" s="508">
        <f>IF(Planning!$T23="","",Planning!$T23)</f>
        <v>45932</v>
      </c>
      <c r="E25" s="120">
        <f>IF(Planning!$U23="","",Planning!$U23)</f>
        <v>0.875</v>
      </c>
      <c r="F25" s="128" t="str">
        <f>Planning!$Q23</f>
        <v>AEK Larnaka</v>
      </c>
      <c r="G25" s="129" t="s">
        <v>4</v>
      </c>
      <c r="H25" s="128" t="str">
        <f>Planning!$S23</f>
        <v>AZ Alkmaar</v>
      </c>
      <c r="I25" s="130">
        <v>4</v>
      </c>
      <c r="J25" s="381" t="str">
        <f>Language!$E$90</f>
        <v xml:space="preserve"> - </v>
      </c>
      <c r="K25" s="131">
        <v>0</v>
      </c>
      <c r="L25" s="228"/>
      <c r="M25" s="229"/>
      <c r="N25" s="299"/>
      <c r="O25" s="333">
        <f>IF(Calc!$K$40=0,"",IF(VLOOKUP(Calc!B20,Calc!$C$4:$E$39,3,0)=MAX(O$9:O24),VLOOKUP(Calc!B20,Calc!$C$4:$E$39,3,0),Calc!B20))</f>
        <v>17</v>
      </c>
      <c r="P25" s="334" t="str">
        <f>IF(Calc!$K$40=0,Calc2!$C20,VLOOKUP(Calc!B20,Calc!$C$4:$N$39,4,0))</f>
        <v>Jagiellonia Bialystok</v>
      </c>
      <c r="Q25" s="335">
        <f>IF(Calc!$K$40=0,"",VLOOKUP(Calc!B20,Calc!$C$4:$N$39,9,0))</f>
        <v>6</v>
      </c>
      <c r="R25" s="336">
        <f>IF(Calc!$K$40=0,"",IF($Q25=0,"",VLOOKUP(Calc!B20,Calc!$C$4:$N$39,10,0)))</f>
        <v>2</v>
      </c>
      <c r="S25" s="336">
        <f>IF(Calc!$K$40=0,"",IF($Q25=0,"",VLOOKUP(Calc!B20,Calc!$C$4:$N$39,11,0)))</f>
        <v>3</v>
      </c>
      <c r="T25" s="337">
        <f>IF(Calc!$K$40=0,"",IF($Q25=0,"",VLOOKUP(Calc!B20,Calc!$C$4:$N$39,12,0)))</f>
        <v>1</v>
      </c>
      <c r="U25" s="338">
        <f>IF(Calc!$K$40=0,"",IF($Q25=0,"",VLOOKUP(Calc!B20,Calc!$C$4:$N$39,5,0)))</f>
        <v>5</v>
      </c>
      <c r="V25" s="339" t="str">
        <f>Language!$E$90</f>
        <v xml:space="preserve"> - </v>
      </c>
      <c r="W25" s="340">
        <f>IF(Calc!$K$40=0,"",IF($Q25=0,"",VLOOKUP(Calc!B20,Calc!$C$4:$N$39,6,0)))</f>
        <v>4</v>
      </c>
      <c r="X25" s="341">
        <f>IF(Calc!$K$40=0,"",IF($Q25=0,"",VLOOKUP(Calc!B20,Calc!$C$4:$N$39,7,0)))</f>
        <v>1</v>
      </c>
      <c r="Y25" s="342">
        <f>IF(Calc!$K$40=0,"",IF($Q25=0,"",VLOOKUP(Calc!B20,Calc!$C$4:$P$39,13,0)))</f>
        <v>2</v>
      </c>
      <c r="Z25" s="342">
        <f>IF(Calc!$K$40=0,"",IF($Q25=0,"",VLOOKUP(Calc!B20,Calc!$C$4:$P$39,14,0)))</f>
        <v>0</v>
      </c>
      <c r="AA25" s="343">
        <f>IF(Calc!$K$40=0,"",IF($Q25=0,"",VLOOKUP(Calc!B20,Calc!$C$4:$N$39,8,0)))</f>
        <v>9</v>
      </c>
      <c r="AB25" s="231" t="str">
        <f>IF(VLOOKUP(Calc!B20,Calc!$C$4:$Q$39,15,0)=0,"",VLOOKUP(Calc!B20,Calc!$C$4:$Q$39,15,0))</f>
        <v/>
      </c>
      <c r="AC25" s="222" t="str">
        <f>IF(IFERROR(VLOOKUP($P25,Planning!$D$7:$E$42,2,0),0)=0,IF(LEN(P25)&gt;Factors!$D$12,LEFT(P25,Factors!$D$12)&amp;".",P25),VLOOKUP($P25,Planning!$D$7:$E$42,2,0))</f>
        <v>Jagiell.</v>
      </c>
      <c r="AD25" s="182"/>
      <c r="AE25" s="160">
        <f t="shared" si="0"/>
        <v>17</v>
      </c>
      <c r="AF25" s="161" t="str">
        <f t="shared" si="1"/>
        <v>Jagiellonia Bialystok</v>
      </c>
      <c r="AG25" s="122" t="str">
        <f>IFERROR(VLOOKUP($P25&amp;AG$8,Calc2!$J$4:$L$291,3,0),"")</f>
        <v/>
      </c>
      <c r="AH25" s="121" t="str">
        <f>IFERROR(VLOOKUP($P25&amp;AH$8,Calc2!$J$4:$L$291,3,0),"")</f>
        <v/>
      </c>
      <c r="AI25" s="121" t="str">
        <f>IFERROR(VLOOKUP($P25&amp;AI$8,Calc2!$J$4:$L$291,3,0),"")</f>
        <v/>
      </c>
      <c r="AJ25" s="121" t="str">
        <f>IFERROR(VLOOKUP($P25&amp;AJ$8,Calc2!$J$4:$L$291,3,0),"")</f>
        <v/>
      </c>
      <c r="AK25" s="121" t="str">
        <f>IFERROR(VLOOKUP($P25&amp;AK$8,Calc2!$J$4:$L$291,3,0),"")</f>
        <v>1 - 2</v>
      </c>
      <c r="AL25" s="121" t="str">
        <f>IFERROR(VLOOKUP($P25&amp;AL$8,Calc2!$J$4:$L$291,3,0),"")</f>
        <v/>
      </c>
      <c r="AM25" s="121" t="str">
        <f>IFERROR(VLOOKUP($P25&amp;AM$8,Calc2!$J$4:$L$291,3,0),"")</f>
        <v/>
      </c>
      <c r="AN25" s="121" t="str">
        <f>IFERROR(VLOOKUP($P25&amp;AN$8,Calc2!$J$4:$L$291,3,0),"")</f>
        <v/>
      </c>
      <c r="AO25" s="121" t="str">
        <f>IFERROR(VLOOKUP($P25&amp;AO$8,Calc2!$J$4:$L$291,3,0),"")</f>
        <v/>
      </c>
      <c r="AP25" s="121" t="str">
        <f>IFERROR(VLOOKUP($P25&amp;AP$8,Calc2!$J$4:$L$291,3,0),"")</f>
        <v/>
      </c>
      <c r="AQ25" s="121" t="str">
        <f>IFERROR(VLOOKUP($P25&amp;AQ$8,Calc2!$J$4:$L$291,3,0),"")</f>
        <v/>
      </c>
      <c r="AR25" s="121" t="str">
        <f>IFERROR(VLOOKUP($P25&amp;AR$8,Calc2!$J$4:$L$291,3,0),"")</f>
        <v/>
      </c>
      <c r="AS25" s="121" t="str">
        <f>IFERROR(VLOOKUP($P25&amp;AS$8,Calc2!$J$4:$L$291,3,0),"")</f>
        <v/>
      </c>
      <c r="AT25" s="121" t="str">
        <f>IFERROR(VLOOKUP($P25&amp;AT$8,Calc2!$J$4:$L$291,3,0),"")</f>
        <v/>
      </c>
      <c r="AU25" s="121" t="str">
        <f>IFERROR(VLOOKUP($P25&amp;AU$8,Calc2!$J$4:$L$291,3,0),"")</f>
        <v/>
      </c>
      <c r="AV25" s="121" t="str">
        <f>IFERROR(VLOOKUP($P25&amp;AV$8,Calc2!$J$4:$L$291,3,0),"")</f>
        <v/>
      </c>
      <c r="AW25" s="123"/>
      <c r="AX25" s="121" t="str">
        <f>IFERROR(VLOOKUP($P25&amp;AX$8,Calc2!$J$4:$L$291,3,0),"")</f>
        <v/>
      </c>
      <c r="AY25" s="121" t="str">
        <f>IFERROR(VLOOKUP($P25&amp;AY$8,Calc2!$J$4:$L$291,3,0),"")</f>
        <v/>
      </c>
      <c r="AZ25" s="121" t="str">
        <f>IFERROR(VLOOKUP($P25&amp;AZ$8,Calc2!$J$4:$L$291,3,0),"")</f>
        <v/>
      </c>
      <c r="BA25" s="121" t="str">
        <f>IFERROR(VLOOKUP($P25&amp;BA$8,Calc2!$J$4:$L$291,3,0),"")</f>
        <v>1 - 0</v>
      </c>
      <c r="BB25" s="121" t="str">
        <f>IFERROR(VLOOKUP($P25&amp;BB$8,Calc2!$J$4:$L$291,3,0),"")</f>
        <v/>
      </c>
      <c r="BC25" s="121" t="str">
        <f>IFERROR(VLOOKUP($P25&amp;BC$8,Calc2!$J$4:$L$291,3,0),"")</f>
        <v/>
      </c>
      <c r="BD25" s="121" t="str">
        <f>IFERROR(VLOOKUP($P25&amp;BD$8,Calc2!$J$4:$L$291,3,0),"")</f>
        <v/>
      </c>
      <c r="BE25" s="121" t="str">
        <f>IFERROR(VLOOKUP($P25&amp;BE$8,Calc2!$J$4:$L$291,3,0),"")</f>
        <v/>
      </c>
      <c r="BF25" s="121" t="str">
        <f>IFERROR(VLOOKUP($P25&amp;BF$8,Calc2!$J$4:$L$291,3,0),"")</f>
        <v/>
      </c>
      <c r="BG25" s="121" t="str">
        <f>IFERROR(VLOOKUP($P25&amp;BG$8,Calc2!$J$4:$L$291,3,0),"")</f>
        <v/>
      </c>
      <c r="BH25" s="121" t="str">
        <f>IFERROR(VLOOKUP($P25&amp;BH$8,Calc2!$J$4:$L$291,3,0),"")</f>
        <v/>
      </c>
      <c r="BI25" s="121" t="str">
        <f>IFERROR(VLOOKUP($P25&amp;BI$8,Calc2!$J$4:$L$291,3,0),"")</f>
        <v/>
      </c>
      <c r="BJ25" s="121" t="str">
        <f>IFERROR(VLOOKUP($P25&amp;BJ$8,Calc2!$J$4:$L$291,3,0),"")</f>
        <v/>
      </c>
      <c r="BK25" s="121" t="str">
        <f>IFERROR(VLOOKUP($P25&amp;BK$8,Calc2!$J$4:$L$291,3,0),"")</f>
        <v/>
      </c>
      <c r="BL25" s="121" t="str">
        <f>IFERROR(VLOOKUP($P25&amp;BL$8,Calc2!$J$4:$L$291,3,0),"")</f>
        <v>1 - 0</v>
      </c>
      <c r="BM25" s="286" t="str">
        <f>IFERROR(VLOOKUP($P25&amp;BM$8,Calc2!$J$4:$L$291,3,0),"")</f>
        <v/>
      </c>
      <c r="BN25" s="121" t="str">
        <f>IFERROR(VLOOKUP($P25&amp;BN$8,Calc2!$J$4:$L$291,3,0),"")</f>
        <v/>
      </c>
      <c r="BO25" s="291" t="str">
        <f>IFERROR(VLOOKUP($P25&amp;BO$8,Calc2!$J$4:$L$291,3,0),"")</f>
        <v/>
      </c>
      <c r="BP25" s="124" t="str">
        <f>IFERROR(VLOOKUP($P25&amp;BP$8,Calc2!$J$4:$L$291,3,0),"")</f>
        <v/>
      </c>
    </row>
    <row r="26" spans="2:68" ht="15.95" customHeight="1" thickBot="1" x14ac:dyDescent="0.3">
      <c r="B26" s="194"/>
      <c r="C26" s="248">
        <v>18</v>
      </c>
      <c r="D26" s="509">
        <f>IF(Planning!$T24="","",Planning!$T24)</f>
        <v>45932</v>
      </c>
      <c r="E26" s="249">
        <f>IF(Planning!$U24="","",Planning!$U24)</f>
        <v>0.875</v>
      </c>
      <c r="F26" s="250" t="str">
        <f>Planning!$Q24</f>
        <v>FC Shelbourne</v>
      </c>
      <c r="G26" s="251" t="s">
        <v>4</v>
      </c>
      <c r="H26" s="250" t="str">
        <f>Planning!$S24</f>
        <v>BK Häcken</v>
      </c>
      <c r="I26" s="252">
        <v>0</v>
      </c>
      <c r="J26" s="382" t="str">
        <f>Language!$E$90</f>
        <v xml:space="preserve"> - </v>
      </c>
      <c r="K26" s="253">
        <v>0</v>
      </c>
      <c r="L26" s="254"/>
      <c r="M26" s="255"/>
      <c r="N26" s="299"/>
      <c r="O26" s="333">
        <f>IF(Calc!$K$40=0,"",IF(VLOOKUP(Calc!B21,Calc!$C$4:$E$39,3,0)=MAX(O$9:O25),VLOOKUP(Calc!B21,Calc!$C$4:$E$39,3,0),Calc!B21))</f>
        <v>18</v>
      </c>
      <c r="P26" s="334" t="str">
        <f>IF(Calc!$K$40=0,Calc2!$C21,VLOOKUP(Calc!B21,Calc!$C$4:$N$39,4,0))</f>
        <v>Omonia Nikosia</v>
      </c>
      <c r="Q26" s="335">
        <f>IF(Calc!$K$40=0,"",VLOOKUP(Calc!B21,Calc!$C$4:$N$39,9,0))</f>
        <v>6</v>
      </c>
      <c r="R26" s="336">
        <f>IF(Calc!$K$40=0,"",IF($Q26=0,"",VLOOKUP(Calc!B21,Calc!$C$4:$N$39,10,0)))</f>
        <v>2</v>
      </c>
      <c r="S26" s="336">
        <f>IF(Calc!$K$40=0,"",IF($Q26=0,"",VLOOKUP(Calc!B21,Calc!$C$4:$N$39,11,0)))</f>
        <v>2</v>
      </c>
      <c r="T26" s="337">
        <f>IF(Calc!$K$40=0,"",IF($Q26=0,"",VLOOKUP(Calc!B21,Calc!$C$4:$N$39,12,0)))</f>
        <v>2</v>
      </c>
      <c r="U26" s="338">
        <f>IF(Calc!$K$40=0,"",IF($Q26=0,"",VLOOKUP(Calc!B21,Calc!$C$4:$N$39,5,0)))</f>
        <v>5</v>
      </c>
      <c r="V26" s="339" t="str">
        <f>Language!$E$90</f>
        <v xml:space="preserve"> - </v>
      </c>
      <c r="W26" s="340">
        <f>IF(Calc!$K$40=0,"",IF($Q26=0,"",VLOOKUP(Calc!B21,Calc!$C$4:$N$39,6,0)))</f>
        <v>4</v>
      </c>
      <c r="X26" s="341">
        <f>IF(Calc!$K$40=0,"",IF($Q26=0,"",VLOOKUP(Calc!B21,Calc!$C$4:$N$39,7,0)))</f>
        <v>1</v>
      </c>
      <c r="Y26" s="342">
        <f>IF(Calc!$K$40=0,"",IF($Q26=0,"",VLOOKUP(Calc!B21,Calc!$C$4:$P$39,13,0)))</f>
        <v>3</v>
      </c>
      <c r="Z26" s="342">
        <f>IF(Calc!$K$40=0,"",IF($Q26=0,"",VLOOKUP(Calc!B21,Calc!$C$4:$P$39,14,0)))</f>
        <v>1</v>
      </c>
      <c r="AA26" s="343">
        <f>IF(Calc!$K$40=0,"",IF($Q26=0,"",VLOOKUP(Calc!B21,Calc!$C$4:$N$39,8,0)))</f>
        <v>8</v>
      </c>
      <c r="AB26" s="231" t="str">
        <f>IF(VLOOKUP(Calc!B21,Calc!$C$4:$Q$39,15,0)=0,"",VLOOKUP(Calc!B21,Calc!$C$4:$Q$39,15,0))</f>
        <v/>
      </c>
      <c r="AC26" s="222" t="str">
        <f>IF(IFERROR(VLOOKUP($P26,Planning!$D$7:$E$42,2,0),0)=0,IF(LEN(P26)&gt;Factors!$D$12,LEFT(P26,Factors!$D$12)&amp;".",P26),VLOOKUP($P26,Planning!$D$7:$E$42,2,0))</f>
        <v>Omonia .</v>
      </c>
      <c r="AD26" s="182"/>
      <c r="AE26" s="160">
        <f t="shared" si="0"/>
        <v>18</v>
      </c>
      <c r="AF26" s="161" t="str">
        <f t="shared" si="1"/>
        <v>Omonia Nikosia</v>
      </c>
      <c r="AG26" s="122" t="str">
        <f>IFERROR(VLOOKUP($P26&amp;AG$8,Calc2!$J$4:$L$291,3,0),"")</f>
        <v/>
      </c>
      <c r="AH26" s="121" t="str">
        <f>IFERROR(VLOOKUP($P26&amp;AH$8,Calc2!$J$4:$L$291,3,0),"")</f>
        <v>0 - 1</v>
      </c>
      <c r="AI26" s="121" t="str">
        <f>IFERROR(VLOOKUP($P26&amp;AI$8,Calc2!$J$4:$L$291,3,0),"")</f>
        <v/>
      </c>
      <c r="AJ26" s="121" t="str">
        <f>IFERROR(VLOOKUP($P26&amp;AJ$8,Calc2!$J$4:$L$291,3,0),"")</f>
        <v/>
      </c>
      <c r="AK26" s="121" t="str">
        <f>IFERROR(VLOOKUP($P26&amp;AK$8,Calc2!$J$4:$L$291,3,0),"")</f>
        <v/>
      </c>
      <c r="AL26" s="121" t="str">
        <f>IFERROR(VLOOKUP($P26&amp;AL$8,Calc2!$J$4:$L$291,3,0),"")</f>
        <v/>
      </c>
      <c r="AM26" s="121" t="str">
        <f>IFERROR(VLOOKUP($P26&amp;AM$8,Calc2!$J$4:$L$291,3,0),"")</f>
        <v>0 - 1</v>
      </c>
      <c r="AN26" s="121" t="str">
        <f>IFERROR(VLOOKUP($P26&amp;AN$8,Calc2!$J$4:$L$291,3,0),"")</f>
        <v/>
      </c>
      <c r="AO26" s="121" t="str">
        <f>IFERROR(VLOOKUP($P26&amp;AO$8,Calc2!$J$4:$L$291,3,0),"")</f>
        <v/>
      </c>
      <c r="AP26" s="121" t="str">
        <f>IFERROR(VLOOKUP($P26&amp;AP$8,Calc2!$J$4:$L$291,3,0),"")</f>
        <v/>
      </c>
      <c r="AQ26" s="121" t="str">
        <f>IFERROR(VLOOKUP($P26&amp;AQ$8,Calc2!$J$4:$L$291,3,0),"")</f>
        <v/>
      </c>
      <c r="AR26" s="121" t="str">
        <f>IFERROR(VLOOKUP($P26&amp;AR$8,Calc2!$J$4:$L$291,3,0),"")</f>
        <v/>
      </c>
      <c r="AS26" s="121" t="str">
        <f>IFERROR(VLOOKUP($P26&amp;AS$8,Calc2!$J$4:$L$291,3,0),"")</f>
        <v/>
      </c>
      <c r="AT26" s="121" t="str">
        <f>IFERROR(VLOOKUP($P26&amp;AT$8,Calc2!$J$4:$L$291,3,0),"")</f>
        <v/>
      </c>
      <c r="AU26" s="121" t="str">
        <f>IFERROR(VLOOKUP($P26&amp;AU$8,Calc2!$J$4:$L$291,3,0),"")</f>
        <v/>
      </c>
      <c r="AV26" s="121" t="str">
        <f>IFERROR(VLOOKUP($P26&amp;AV$8,Calc2!$J$4:$L$291,3,0),"")</f>
        <v/>
      </c>
      <c r="AW26" s="121" t="str">
        <f>IFERROR(VLOOKUP($P26&amp;AW$8,Calc2!$J$4:$L$291,3,0),"")</f>
        <v/>
      </c>
      <c r="AX26" s="123"/>
      <c r="AY26" s="121" t="str">
        <f>IFERROR(VLOOKUP($P26&amp;AY$8,Calc2!$J$4:$L$291,3,0),"")</f>
        <v/>
      </c>
      <c r="AZ26" s="121" t="str">
        <f>IFERROR(VLOOKUP($P26&amp;AZ$8,Calc2!$J$4:$L$291,3,0),"")</f>
        <v/>
      </c>
      <c r="BA26" s="121" t="str">
        <f>IFERROR(VLOOKUP($P26&amp;BA$8,Calc2!$J$4:$L$291,3,0),"")</f>
        <v/>
      </c>
      <c r="BB26" s="121" t="str">
        <f>IFERROR(VLOOKUP($P26&amp;BB$8,Calc2!$J$4:$L$291,3,0),"")</f>
        <v/>
      </c>
      <c r="BC26" s="121" t="str">
        <f>IFERROR(VLOOKUP($P26&amp;BC$8,Calc2!$J$4:$L$291,3,0),"")</f>
        <v/>
      </c>
      <c r="BD26" s="121" t="str">
        <f>IFERROR(VLOOKUP($P26&amp;BD$8,Calc2!$J$4:$L$291,3,0),"")</f>
        <v/>
      </c>
      <c r="BE26" s="121" t="str">
        <f>IFERROR(VLOOKUP($P26&amp;BE$8,Calc2!$J$4:$L$291,3,0),"")</f>
        <v/>
      </c>
      <c r="BF26" s="121" t="str">
        <f>IFERROR(VLOOKUP($P26&amp;BF$8,Calc2!$J$4:$L$291,3,0),"")</f>
        <v/>
      </c>
      <c r="BG26" s="121" t="str">
        <f>IFERROR(VLOOKUP($P26&amp;BG$8,Calc2!$J$4:$L$291,3,0),"")</f>
        <v>2 - 0</v>
      </c>
      <c r="BH26" s="121" t="str">
        <f>IFERROR(VLOOKUP($P26&amp;BH$8,Calc2!$J$4:$L$291,3,0),"")</f>
        <v/>
      </c>
      <c r="BI26" s="121" t="str">
        <f>IFERROR(VLOOKUP($P26&amp;BI$8,Calc2!$J$4:$L$291,3,0),"")</f>
        <v/>
      </c>
      <c r="BJ26" s="121" t="str">
        <f>IFERROR(VLOOKUP($P26&amp;BJ$8,Calc2!$J$4:$L$291,3,0),"")</f>
        <v/>
      </c>
      <c r="BK26" s="121" t="str">
        <f>IFERROR(VLOOKUP($P26&amp;BK$8,Calc2!$J$4:$L$291,3,0),"")</f>
        <v/>
      </c>
      <c r="BL26" s="121" t="str">
        <f>IFERROR(VLOOKUP($P26&amp;BL$8,Calc2!$J$4:$L$291,3,0),"")</f>
        <v/>
      </c>
      <c r="BM26" s="286" t="str">
        <f>IFERROR(VLOOKUP($P26&amp;BM$8,Calc2!$J$4:$L$291,3,0),"")</f>
        <v/>
      </c>
      <c r="BN26" s="121" t="str">
        <f>IFERROR(VLOOKUP($P26&amp;BN$8,Calc2!$J$4:$L$291,3,0),"")</f>
        <v/>
      </c>
      <c r="BO26" s="291" t="str">
        <f>IFERROR(VLOOKUP($P26&amp;BO$8,Calc2!$J$4:$L$291,3,0),"")</f>
        <v/>
      </c>
      <c r="BP26" s="124" t="str">
        <f>IFERROR(VLOOKUP($P26&amp;BP$8,Calc2!$J$4:$L$291,3,0),"")</f>
        <v/>
      </c>
    </row>
    <row r="27" spans="2:68" ht="15.95" customHeight="1" x14ac:dyDescent="0.25">
      <c r="B27" s="269">
        <v>2</v>
      </c>
      <c r="C27" s="270">
        <v>19</v>
      </c>
      <c r="D27" s="510">
        <f>IF(Planning!$T25="","",Planning!$T25)</f>
        <v>45953</v>
      </c>
      <c r="E27" s="271">
        <f>IF(Planning!$U25="","",Planning!$U25)</f>
        <v>0.78125</v>
      </c>
      <c r="F27" s="272" t="str">
        <f>Planning!$Q25</f>
        <v>Schachtar Donezk</v>
      </c>
      <c r="G27" s="273" t="s">
        <v>4</v>
      </c>
      <c r="H27" s="272" t="str">
        <f>Planning!$S25</f>
        <v>Legia Warschau</v>
      </c>
      <c r="I27" s="274">
        <v>1</v>
      </c>
      <c r="J27" s="383" t="s">
        <v>63</v>
      </c>
      <c r="K27" s="275">
        <v>2</v>
      </c>
      <c r="L27" s="276"/>
      <c r="M27" s="277"/>
      <c r="N27" s="299"/>
      <c r="O27" s="333">
        <f>IF(Calc!$K$40=0,"",IF(VLOOKUP(Calc!B22,Calc!$C$4:$E$39,3,0)=MAX(O$9:O26),VLOOKUP(Calc!B22,Calc!$C$4:$E$39,3,0),Calc!B22))</f>
        <v>19</v>
      </c>
      <c r="P27" s="334" t="str">
        <f>IF(Calc!$K$40=0,Calc2!$C22,VLOOKUP(Calc!B22,Calc!$C$4:$N$39,4,0))</f>
        <v>FC Noah</v>
      </c>
      <c r="Q27" s="335">
        <f>IF(Calc!$K$40=0,"",VLOOKUP(Calc!B22,Calc!$C$4:$N$39,9,0))</f>
        <v>6</v>
      </c>
      <c r="R27" s="336">
        <f>IF(Calc!$K$40=0,"",IF($Q27=0,"",VLOOKUP(Calc!B22,Calc!$C$4:$N$39,10,0)))</f>
        <v>2</v>
      </c>
      <c r="S27" s="336">
        <f>IF(Calc!$K$40=0,"",IF($Q27=0,"",VLOOKUP(Calc!B22,Calc!$C$4:$N$39,11,0)))</f>
        <v>2</v>
      </c>
      <c r="T27" s="337">
        <f>IF(Calc!$K$40=0,"",IF($Q27=0,"",VLOOKUP(Calc!B22,Calc!$C$4:$N$39,12,0)))</f>
        <v>2</v>
      </c>
      <c r="U27" s="338">
        <f>IF(Calc!$K$40=0,"",IF($Q27=0,"",VLOOKUP(Calc!B22,Calc!$C$4:$N$39,5,0)))</f>
        <v>6</v>
      </c>
      <c r="V27" s="339" t="str">
        <f>Language!$E$90</f>
        <v xml:space="preserve"> - </v>
      </c>
      <c r="W27" s="340">
        <f>IF(Calc!$K$40=0,"",IF($Q27=0,"",VLOOKUP(Calc!B22,Calc!$C$4:$N$39,6,0)))</f>
        <v>7</v>
      </c>
      <c r="X27" s="341">
        <f>IF(Calc!$K$40=0,"",IF($Q27=0,"",VLOOKUP(Calc!B22,Calc!$C$4:$N$39,7,0)))</f>
        <v>-1</v>
      </c>
      <c r="Y27" s="342">
        <f>IF(Calc!$K$40=0,"",IF($Q27=0,"",VLOOKUP(Calc!B22,Calc!$C$4:$P$39,13,0)))</f>
        <v>2</v>
      </c>
      <c r="Z27" s="342">
        <f>IF(Calc!$K$40=0,"",IF($Q27=0,"",VLOOKUP(Calc!B22,Calc!$C$4:$P$39,14,0)))</f>
        <v>0</v>
      </c>
      <c r="AA27" s="343">
        <f>IF(Calc!$K$40=0,"",IF($Q27=0,"",VLOOKUP(Calc!B22,Calc!$C$4:$N$39,8,0)))</f>
        <v>8</v>
      </c>
      <c r="AB27" s="231" t="str">
        <f>IF(VLOOKUP(Calc!B22,Calc!$C$4:$Q$39,15,0)=0,"",VLOOKUP(Calc!B22,Calc!$C$4:$Q$39,15,0))</f>
        <v/>
      </c>
      <c r="AC27" s="222" t="str">
        <f>IF(IFERROR(VLOOKUP($P27,Planning!$D$7:$E$42,2,0),0)=0,IF(LEN(P27)&gt;Factors!$D$12,LEFT(P27,Factors!$D$12)&amp;".",P27),VLOOKUP($P27,Planning!$D$7:$E$42,2,0))</f>
        <v>FC Noah</v>
      </c>
      <c r="AD27" s="182"/>
      <c r="AE27" s="160">
        <f t="shared" si="0"/>
        <v>19</v>
      </c>
      <c r="AF27" s="161" t="str">
        <f t="shared" si="1"/>
        <v>FC Noah</v>
      </c>
      <c r="AG27" s="122" t="str">
        <f>IFERROR(VLOOKUP($P27&amp;AG$8,Calc2!$J$4:$L$291,3,0),"")</f>
        <v/>
      </c>
      <c r="AH27" s="121" t="str">
        <f>IFERROR(VLOOKUP($P27&amp;AH$8,Calc2!$J$4:$L$291,3,0),"")</f>
        <v/>
      </c>
      <c r="AI27" s="121" t="str">
        <f>IFERROR(VLOOKUP($P27&amp;AI$8,Calc2!$J$4:$L$291,3,0),"")</f>
        <v/>
      </c>
      <c r="AJ27" s="121" t="str">
        <f>IFERROR(VLOOKUP($P27&amp;AJ$8,Calc2!$J$4:$L$291,3,0),"")</f>
        <v/>
      </c>
      <c r="AK27" s="121" t="str">
        <f>IFERROR(VLOOKUP($P27&amp;AK$8,Calc2!$J$4:$L$291,3,0),"")</f>
        <v/>
      </c>
      <c r="AL27" s="121" t="str">
        <f>IFERROR(VLOOKUP($P27&amp;AL$8,Calc2!$J$4:$L$291,3,0),"")</f>
        <v/>
      </c>
      <c r="AM27" s="121" t="str">
        <f>IFERROR(VLOOKUP($P27&amp;AM$8,Calc2!$J$4:$L$291,3,0),"")</f>
        <v/>
      </c>
      <c r="AN27" s="121" t="str">
        <f>IFERROR(VLOOKUP($P27&amp;AN$8,Calc2!$J$4:$L$291,3,0),"")</f>
        <v/>
      </c>
      <c r="AO27" s="121" t="str">
        <f>IFERROR(VLOOKUP($P27&amp;AO$8,Calc2!$J$4:$L$291,3,0),"")</f>
        <v/>
      </c>
      <c r="AP27" s="121" t="str">
        <f>IFERROR(VLOOKUP($P27&amp;AP$8,Calc2!$J$4:$L$291,3,0),"")</f>
        <v/>
      </c>
      <c r="AQ27" s="121" t="str">
        <f>IFERROR(VLOOKUP($P27&amp;AQ$8,Calc2!$J$4:$L$291,3,0),"")</f>
        <v/>
      </c>
      <c r="AR27" s="121" t="str">
        <f>IFERROR(VLOOKUP($P27&amp;AR$8,Calc2!$J$4:$L$291,3,0),"")</f>
        <v/>
      </c>
      <c r="AS27" s="121" t="str">
        <f>IFERROR(VLOOKUP($P27&amp;AS$8,Calc2!$J$4:$L$291,3,0),"")</f>
        <v/>
      </c>
      <c r="AT27" s="121" t="str">
        <f>IFERROR(VLOOKUP($P27&amp;AT$8,Calc2!$J$4:$L$291,3,0),"")</f>
        <v/>
      </c>
      <c r="AU27" s="121" t="str">
        <f>IFERROR(VLOOKUP($P27&amp;AU$8,Calc2!$J$4:$L$291,3,0),"")</f>
        <v>1 - 0</v>
      </c>
      <c r="AV27" s="121" t="str">
        <f>IFERROR(VLOOKUP($P27&amp;AV$8,Calc2!$J$4:$L$291,3,0),"")</f>
        <v/>
      </c>
      <c r="AW27" s="121" t="str">
        <f>IFERROR(VLOOKUP($P27&amp;AW$8,Calc2!$J$4:$L$291,3,0),"")</f>
        <v/>
      </c>
      <c r="AX27" s="121" t="str">
        <f>IFERROR(VLOOKUP($P27&amp;AX$8,Calc2!$J$4:$L$291,3,0),"")</f>
        <v/>
      </c>
      <c r="AY27" s="123"/>
      <c r="AZ27" s="121" t="str">
        <f>IFERROR(VLOOKUP($P27&amp;AZ$8,Calc2!$J$4:$L$291,3,0),"")</f>
        <v/>
      </c>
      <c r="BA27" s="121" t="str">
        <f>IFERROR(VLOOKUP($P27&amp;BA$8,Calc2!$J$4:$L$291,3,0),"")</f>
        <v/>
      </c>
      <c r="BB27" s="121" t="str">
        <f>IFERROR(VLOOKUP($P27&amp;BB$8,Calc2!$J$4:$L$291,3,0),"")</f>
        <v/>
      </c>
      <c r="BC27" s="121" t="str">
        <f>IFERROR(VLOOKUP($P27&amp;BC$8,Calc2!$J$4:$L$291,3,0),"")</f>
        <v/>
      </c>
      <c r="BD27" s="121" t="str">
        <f>IFERROR(VLOOKUP($P27&amp;BD$8,Calc2!$J$4:$L$291,3,0),"")</f>
        <v>1 - 2</v>
      </c>
      <c r="BE27" s="121" t="str">
        <f>IFERROR(VLOOKUP($P27&amp;BE$8,Calc2!$J$4:$L$291,3,0),"")</f>
        <v/>
      </c>
      <c r="BF27" s="121" t="str">
        <f>IFERROR(VLOOKUP($P27&amp;BF$8,Calc2!$J$4:$L$291,3,0),"")</f>
        <v/>
      </c>
      <c r="BG27" s="121" t="str">
        <f>IFERROR(VLOOKUP($P27&amp;BG$8,Calc2!$J$4:$L$291,3,0),"")</f>
        <v/>
      </c>
      <c r="BH27" s="121" t="str">
        <f>IFERROR(VLOOKUP($P27&amp;BH$8,Calc2!$J$4:$L$291,3,0),"")</f>
        <v>2 - 1</v>
      </c>
      <c r="BI27" s="121" t="str">
        <f>IFERROR(VLOOKUP($P27&amp;BI$8,Calc2!$J$4:$L$291,3,0),"")</f>
        <v/>
      </c>
      <c r="BJ27" s="121" t="str">
        <f>IFERROR(VLOOKUP($P27&amp;BJ$8,Calc2!$J$4:$L$291,3,0),"")</f>
        <v/>
      </c>
      <c r="BK27" s="121" t="str">
        <f>IFERROR(VLOOKUP($P27&amp;BK$8,Calc2!$J$4:$L$291,3,0),"")</f>
        <v/>
      </c>
      <c r="BL27" s="121" t="str">
        <f>IFERROR(VLOOKUP($P27&amp;BL$8,Calc2!$J$4:$L$291,3,0),"")</f>
        <v/>
      </c>
      <c r="BM27" s="286" t="str">
        <f>IFERROR(VLOOKUP($P27&amp;BM$8,Calc2!$J$4:$L$291,3,0),"")</f>
        <v/>
      </c>
      <c r="BN27" s="121" t="str">
        <f>IFERROR(VLOOKUP($P27&amp;BN$8,Calc2!$J$4:$L$291,3,0),"")</f>
        <v/>
      </c>
      <c r="BO27" s="291" t="str">
        <f>IFERROR(VLOOKUP($P27&amp;BO$8,Calc2!$J$4:$L$291,3,0),"")</f>
        <v/>
      </c>
      <c r="BP27" s="124" t="str">
        <f>IFERROR(VLOOKUP($P27&amp;BP$8,Calc2!$J$4:$L$291,3,0),"")</f>
        <v/>
      </c>
    </row>
    <row r="28" spans="2:68" ht="15.95" customHeight="1" x14ac:dyDescent="0.25">
      <c r="B28" s="194"/>
      <c r="C28" s="192">
        <v>20</v>
      </c>
      <c r="D28" s="508">
        <f>IF(Planning!$T26="","",Planning!$T26)</f>
        <v>45953</v>
      </c>
      <c r="E28" s="120">
        <f>IF(Planning!$U26="","",Planning!$U26)</f>
        <v>0.78125</v>
      </c>
      <c r="F28" s="128" t="str">
        <f>Planning!$Q26</f>
        <v>Rapid Wien</v>
      </c>
      <c r="G28" s="129" t="s">
        <v>4</v>
      </c>
      <c r="H28" s="128" t="str">
        <f>Planning!$S26</f>
        <v>AC Florenz</v>
      </c>
      <c r="I28" s="130">
        <v>0</v>
      </c>
      <c r="J28" s="381" t="s">
        <v>63</v>
      </c>
      <c r="K28" s="131">
        <v>3</v>
      </c>
      <c r="L28" s="228"/>
      <c r="M28" s="229"/>
      <c r="N28" s="299"/>
      <c r="O28" s="333">
        <f>IF(Calc!$K$40=0,"",IF(VLOOKUP(Calc!B23,Calc!$C$4:$E$39,3,0)=MAX(O$9:O27),VLOOKUP(Calc!B23,Calc!$C$4:$E$39,3,0),Calc!B23))</f>
        <v>20</v>
      </c>
      <c r="P28" s="334" t="str">
        <f>IF(Calc!$K$40=0,Calc2!$C23,VLOOKUP(Calc!B23,Calc!$C$4:$N$39,4,0))</f>
        <v>KF Drita Gjilan</v>
      </c>
      <c r="Q28" s="335">
        <f>IF(Calc!$K$40=0,"",VLOOKUP(Calc!B23,Calc!$C$4:$N$39,9,0))</f>
        <v>6</v>
      </c>
      <c r="R28" s="336">
        <f>IF(Calc!$K$40=0,"",IF($Q28=0,"",VLOOKUP(Calc!B23,Calc!$C$4:$N$39,10,0)))</f>
        <v>2</v>
      </c>
      <c r="S28" s="336">
        <f>IF(Calc!$K$40=0,"",IF($Q28=0,"",VLOOKUP(Calc!B23,Calc!$C$4:$N$39,11,0)))</f>
        <v>2</v>
      </c>
      <c r="T28" s="337">
        <f>IF(Calc!$K$40=0,"",IF($Q28=0,"",VLOOKUP(Calc!B23,Calc!$C$4:$N$39,12,0)))</f>
        <v>2</v>
      </c>
      <c r="U28" s="338">
        <f>IF(Calc!$K$40=0,"",IF($Q28=0,"",VLOOKUP(Calc!B23,Calc!$C$4:$N$39,5,0)))</f>
        <v>4</v>
      </c>
      <c r="V28" s="339" t="str">
        <f>Language!$E$90</f>
        <v xml:space="preserve"> - </v>
      </c>
      <c r="W28" s="340">
        <f>IF(Calc!$K$40=0,"",IF($Q28=0,"",VLOOKUP(Calc!B23,Calc!$C$4:$N$39,6,0)))</f>
        <v>8</v>
      </c>
      <c r="X28" s="341">
        <f>IF(Calc!$K$40=0,"",IF($Q28=0,"",VLOOKUP(Calc!B23,Calc!$C$4:$N$39,7,0)))</f>
        <v>-4</v>
      </c>
      <c r="Y28" s="342">
        <f>IF(Calc!$K$40=0,"",IF($Q28=0,"",VLOOKUP(Calc!B23,Calc!$C$4:$P$39,13,0)))</f>
        <v>2</v>
      </c>
      <c r="Z28" s="342">
        <f>IF(Calc!$K$40=0,"",IF($Q28=0,"",VLOOKUP(Calc!B23,Calc!$C$4:$P$39,14,0)))</f>
        <v>1</v>
      </c>
      <c r="AA28" s="343">
        <f>IF(Calc!$K$40=0,"",IF($Q28=0,"",VLOOKUP(Calc!B23,Calc!$C$4:$N$39,8,0)))</f>
        <v>8</v>
      </c>
      <c r="AB28" s="231" t="str">
        <f>IF(VLOOKUP(Calc!B23,Calc!$C$4:$Q$39,15,0)=0,"",VLOOKUP(Calc!B23,Calc!$C$4:$Q$39,15,0))</f>
        <v/>
      </c>
      <c r="AC28" s="222" t="str">
        <f>IF(IFERROR(VLOOKUP($P28,Planning!$D$7:$E$42,2,0),0)=0,IF(LEN(P28)&gt;Factors!$D$12,LEFT(P28,Factors!$D$12)&amp;".",P28),VLOOKUP($P28,Planning!$D$7:$E$42,2,0))</f>
        <v>KF Drit.</v>
      </c>
      <c r="AD28" s="182"/>
      <c r="AE28" s="160">
        <f t="shared" ref="AE28:AE40" si="2">O28</f>
        <v>20</v>
      </c>
      <c r="AF28" s="161" t="str">
        <f t="shared" ref="AF28:AF40" si="3">P28</f>
        <v>KF Drita Gjilan</v>
      </c>
      <c r="AG28" s="122" t="str">
        <f>IFERROR(VLOOKUP($P28&amp;AG$8,Calc2!$J$4:$L$291,3,0),"")</f>
        <v/>
      </c>
      <c r="AH28" s="121" t="str">
        <f>IFERROR(VLOOKUP($P28&amp;AH$8,Calc2!$J$4:$L$291,3,0),"")</f>
        <v/>
      </c>
      <c r="AI28" s="121" t="str">
        <f>IFERROR(VLOOKUP($P28&amp;AI$8,Calc2!$J$4:$L$291,3,0),"")</f>
        <v/>
      </c>
      <c r="AJ28" s="121" t="str">
        <f>IFERROR(VLOOKUP($P28&amp;AJ$8,Calc2!$J$4:$L$291,3,0),"")</f>
        <v/>
      </c>
      <c r="AK28" s="121" t="str">
        <f>IFERROR(VLOOKUP($P28&amp;AK$8,Calc2!$J$4:$L$291,3,0),"")</f>
        <v/>
      </c>
      <c r="AL28" s="121" t="str">
        <f>IFERROR(VLOOKUP($P28&amp;AL$8,Calc2!$J$4:$L$291,3,0),"")</f>
        <v/>
      </c>
      <c r="AM28" s="121" t="str">
        <f>IFERROR(VLOOKUP($P28&amp;AM$8,Calc2!$J$4:$L$291,3,0),"")</f>
        <v/>
      </c>
      <c r="AN28" s="121" t="str">
        <f>IFERROR(VLOOKUP($P28&amp;AN$8,Calc2!$J$4:$L$291,3,0),"")</f>
        <v/>
      </c>
      <c r="AO28" s="121" t="str">
        <f>IFERROR(VLOOKUP($P28&amp;AO$8,Calc2!$J$4:$L$291,3,0),"")</f>
        <v/>
      </c>
      <c r="AP28" s="121" t="str">
        <f>IFERROR(VLOOKUP($P28&amp;AP$8,Calc2!$J$4:$L$291,3,0),"")</f>
        <v/>
      </c>
      <c r="AQ28" s="121" t="str">
        <f>IFERROR(VLOOKUP($P28&amp;AQ$8,Calc2!$J$4:$L$291,3,0),"")</f>
        <v/>
      </c>
      <c r="AR28" s="121" t="str">
        <f>IFERROR(VLOOKUP($P28&amp;AR$8,Calc2!$J$4:$L$291,3,0),"")</f>
        <v/>
      </c>
      <c r="AS28" s="121" t="str">
        <f>IFERROR(VLOOKUP($P28&amp;AS$8,Calc2!$J$4:$L$291,3,0),"")</f>
        <v>0 - 3</v>
      </c>
      <c r="AT28" s="121" t="str">
        <f>IFERROR(VLOOKUP($P28&amp;AT$8,Calc2!$J$4:$L$291,3,0),"")</f>
        <v/>
      </c>
      <c r="AU28" s="121" t="str">
        <f>IFERROR(VLOOKUP($P28&amp;AU$8,Calc2!$J$4:$L$291,3,0),"")</f>
        <v/>
      </c>
      <c r="AV28" s="121" t="str">
        <f>IFERROR(VLOOKUP($P28&amp;AV$8,Calc2!$J$4:$L$291,3,0),"")</f>
        <v/>
      </c>
      <c r="AW28" s="121" t="str">
        <f>IFERROR(VLOOKUP($P28&amp;AW$8,Calc2!$J$4:$L$291,3,0),"")</f>
        <v/>
      </c>
      <c r="AX28" s="121" t="str">
        <f>IFERROR(VLOOKUP($P28&amp;AX$8,Calc2!$J$4:$L$291,3,0),"")</f>
        <v>1 - 1</v>
      </c>
      <c r="AY28" s="121" t="str">
        <f>IFERROR(VLOOKUP($P28&amp;AY$8,Calc2!$J$4:$L$291,3,0),"")</f>
        <v/>
      </c>
      <c r="AZ28" s="123"/>
      <c r="BA28" s="121" t="str">
        <f>IFERROR(VLOOKUP($P28&amp;BA$8,Calc2!$J$4:$L$291,3,0),"")</f>
        <v/>
      </c>
      <c r="BB28" s="121" t="str">
        <f>IFERROR(VLOOKUP($P28&amp;BB$8,Calc2!$J$4:$L$291,3,0),"")</f>
        <v>1 - 0</v>
      </c>
      <c r="BC28" s="121" t="str">
        <f>IFERROR(VLOOKUP($P28&amp;BC$8,Calc2!$J$4:$L$291,3,0),"")</f>
        <v/>
      </c>
      <c r="BD28" s="121" t="str">
        <f>IFERROR(VLOOKUP($P28&amp;BD$8,Calc2!$J$4:$L$291,3,0),"")</f>
        <v/>
      </c>
      <c r="BE28" s="121" t="str">
        <f>IFERROR(VLOOKUP($P28&amp;BE$8,Calc2!$J$4:$L$291,3,0),"")</f>
        <v/>
      </c>
      <c r="BF28" s="121" t="str">
        <f>IFERROR(VLOOKUP($P28&amp;BF$8,Calc2!$J$4:$L$291,3,0),"")</f>
        <v/>
      </c>
      <c r="BG28" s="121" t="str">
        <f>IFERROR(VLOOKUP($P28&amp;BG$8,Calc2!$J$4:$L$291,3,0),"")</f>
        <v/>
      </c>
      <c r="BH28" s="121" t="str">
        <f>IFERROR(VLOOKUP($P28&amp;BH$8,Calc2!$J$4:$L$291,3,0),"")</f>
        <v/>
      </c>
      <c r="BI28" s="121" t="str">
        <f>IFERROR(VLOOKUP($P28&amp;BI$8,Calc2!$J$4:$L$291,3,0),"")</f>
        <v/>
      </c>
      <c r="BJ28" s="121" t="str">
        <f>IFERROR(VLOOKUP($P28&amp;BJ$8,Calc2!$J$4:$L$291,3,0),"")</f>
        <v/>
      </c>
      <c r="BK28" s="121" t="str">
        <f>IFERROR(VLOOKUP($P28&amp;BK$8,Calc2!$J$4:$L$291,3,0),"")</f>
        <v/>
      </c>
      <c r="BL28" s="121" t="str">
        <f>IFERROR(VLOOKUP($P28&amp;BL$8,Calc2!$J$4:$L$291,3,0),"")</f>
        <v/>
      </c>
      <c r="BM28" s="286" t="str">
        <f>IFERROR(VLOOKUP($P28&amp;BM$8,Calc2!$J$4:$L$291,3,0),"")</f>
        <v/>
      </c>
      <c r="BN28" s="121" t="str">
        <f>IFERROR(VLOOKUP($P28&amp;BN$8,Calc2!$J$4:$L$291,3,0),"")</f>
        <v/>
      </c>
      <c r="BO28" s="291" t="str">
        <f>IFERROR(VLOOKUP($P28&amp;BO$8,Calc2!$J$4:$L$291,3,0),"")</f>
        <v/>
      </c>
      <c r="BP28" s="124" t="str">
        <f>IFERROR(VLOOKUP($P28&amp;BP$8,Calc2!$J$4:$L$291,3,0),"")</f>
        <v/>
      </c>
    </row>
    <row r="29" spans="2:68" ht="15.95" customHeight="1" x14ac:dyDescent="0.25">
      <c r="B29" s="194"/>
      <c r="C29" s="192">
        <v>21</v>
      </c>
      <c r="D29" s="508">
        <f>IF(Planning!$T27="","",Planning!$T27)</f>
        <v>45953</v>
      </c>
      <c r="E29" s="120">
        <f>IF(Planning!$U27="","",Planning!$U27)</f>
        <v>0.78125</v>
      </c>
      <c r="F29" s="128" t="str">
        <f>Planning!$Q27</f>
        <v>Racing Straßburg</v>
      </c>
      <c r="G29" s="129" t="s">
        <v>4</v>
      </c>
      <c r="H29" s="128" t="str">
        <f>Planning!$S27</f>
        <v>Jagiellonia Bialystok</v>
      </c>
      <c r="I29" s="130">
        <v>1</v>
      </c>
      <c r="J29" s="381" t="s">
        <v>63</v>
      </c>
      <c r="K29" s="131">
        <v>1</v>
      </c>
      <c r="L29" s="228"/>
      <c r="M29" s="229"/>
      <c r="N29" s="299"/>
      <c r="O29" s="333">
        <f>IF(Calc!$K$40=0,"",IF(VLOOKUP(Calc!B24,Calc!$C$4:$E$39,3,0)=MAX(O$9:O28),VLOOKUP(Calc!B24,Calc!$C$4:$E$39,3,0),Calc!B24))</f>
        <v>21</v>
      </c>
      <c r="P29" s="334" t="str">
        <f>IF(Calc!$K$40=0,Calc2!$C24,VLOOKUP(Calc!B24,Calc!$C$4:$N$39,4,0))</f>
        <v>Kuopion PS</v>
      </c>
      <c r="Q29" s="335">
        <f>IF(Calc!$K$40=0,"",VLOOKUP(Calc!B24,Calc!$C$4:$N$39,9,0))</f>
        <v>6</v>
      </c>
      <c r="R29" s="336">
        <f>IF(Calc!$K$40=0,"",IF($Q29=0,"",VLOOKUP(Calc!B24,Calc!$C$4:$N$39,10,0)))</f>
        <v>1</v>
      </c>
      <c r="S29" s="336">
        <f>IF(Calc!$K$40=0,"",IF($Q29=0,"",VLOOKUP(Calc!B24,Calc!$C$4:$N$39,11,0)))</f>
        <v>4</v>
      </c>
      <c r="T29" s="337">
        <f>IF(Calc!$K$40=0,"",IF($Q29=0,"",VLOOKUP(Calc!B24,Calc!$C$4:$N$39,12,0)))</f>
        <v>1</v>
      </c>
      <c r="U29" s="338">
        <f>IF(Calc!$K$40=0,"",IF($Q29=0,"",VLOOKUP(Calc!B24,Calc!$C$4:$N$39,5,0)))</f>
        <v>6</v>
      </c>
      <c r="V29" s="339" t="str">
        <f>Language!$E$90</f>
        <v xml:space="preserve"> - </v>
      </c>
      <c r="W29" s="340">
        <f>IF(Calc!$K$40=0,"",IF($Q29=0,"",VLOOKUP(Calc!B24,Calc!$C$4:$N$39,6,0)))</f>
        <v>5</v>
      </c>
      <c r="X29" s="341">
        <f>IF(Calc!$K$40=0,"",IF($Q29=0,"",VLOOKUP(Calc!B24,Calc!$C$4:$N$39,7,0)))</f>
        <v>1</v>
      </c>
      <c r="Y29" s="342">
        <f>IF(Calc!$K$40=0,"",IF($Q29=0,"",VLOOKUP(Calc!B24,Calc!$C$4:$P$39,13,0)))</f>
        <v>2</v>
      </c>
      <c r="Z29" s="342">
        <f>IF(Calc!$K$40=0,"",IF($Q29=0,"",VLOOKUP(Calc!B24,Calc!$C$4:$P$39,14,0)))</f>
        <v>0</v>
      </c>
      <c r="AA29" s="343">
        <f>IF(Calc!$K$40=0,"",IF($Q29=0,"",VLOOKUP(Calc!B24,Calc!$C$4:$N$39,8,0)))</f>
        <v>7</v>
      </c>
      <c r="AB29" s="231" t="str">
        <f>IF(VLOOKUP(Calc!B24,Calc!$C$4:$Q$39,15,0)=0,"",VLOOKUP(Calc!B24,Calc!$C$4:$Q$39,15,0))</f>
        <v/>
      </c>
      <c r="AC29" s="222" t="str">
        <f>IF(IFERROR(VLOOKUP($P29,Planning!$D$7:$E$42,2,0),0)=0,IF(LEN(P29)&gt;Factors!$D$12,LEFT(P29,Factors!$D$12)&amp;".",P29),VLOOKUP($P29,Planning!$D$7:$E$42,2,0))</f>
        <v>Kuopion.</v>
      </c>
      <c r="AD29" s="112"/>
      <c r="AE29" s="160">
        <f t="shared" si="2"/>
        <v>21</v>
      </c>
      <c r="AF29" s="161" t="str">
        <f t="shared" si="3"/>
        <v>Kuopion PS</v>
      </c>
      <c r="AG29" s="122" t="str">
        <f>IFERROR(VLOOKUP($P29&amp;AG$8,Calc2!$J$4:$L$291,3,0),"")</f>
        <v/>
      </c>
      <c r="AH29" s="121" t="str">
        <f>IFERROR(VLOOKUP($P29&amp;AH$8,Calc2!$J$4:$L$291,3,0),"")</f>
        <v/>
      </c>
      <c r="AI29" s="121" t="str">
        <f>IFERROR(VLOOKUP($P29&amp;AI$8,Calc2!$J$4:$L$291,3,0),"")</f>
        <v/>
      </c>
      <c r="AJ29" s="121" t="str">
        <f>IFERROR(VLOOKUP($P29&amp;AJ$8,Calc2!$J$4:$L$291,3,0),"")</f>
        <v/>
      </c>
      <c r="AK29" s="121" t="str">
        <f>IFERROR(VLOOKUP($P29&amp;AK$8,Calc2!$J$4:$L$291,3,0),"")</f>
        <v/>
      </c>
      <c r="AL29" s="121" t="str">
        <f>IFERROR(VLOOKUP($P29&amp;AL$8,Calc2!$J$4:$L$291,3,0),"")</f>
        <v/>
      </c>
      <c r="AM29" s="121" t="str">
        <f>IFERROR(VLOOKUP($P29&amp;AM$8,Calc2!$J$4:$L$291,3,0),"")</f>
        <v/>
      </c>
      <c r="AN29" s="121" t="str">
        <f>IFERROR(VLOOKUP($P29&amp;AN$8,Calc2!$J$4:$L$291,3,0),"")</f>
        <v/>
      </c>
      <c r="AO29" s="121" t="str">
        <f>IFERROR(VLOOKUP($P29&amp;AO$8,Calc2!$J$4:$L$291,3,0),"")</f>
        <v/>
      </c>
      <c r="AP29" s="121" t="str">
        <f>IFERROR(VLOOKUP($P29&amp;AP$8,Calc2!$J$4:$L$291,3,0),"")</f>
        <v/>
      </c>
      <c r="AQ29" s="121" t="str">
        <f>IFERROR(VLOOKUP($P29&amp;AQ$8,Calc2!$J$4:$L$291,3,0),"")</f>
        <v/>
      </c>
      <c r="AR29" s="121" t="str">
        <f>IFERROR(VLOOKUP($P29&amp;AR$8,Calc2!$J$4:$L$291,3,0),"")</f>
        <v/>
      </c>
      <c r="AS29" s="121" t="str">
        <f>IFERROR(VLOOKUP($P29&amp;AS$8,Calc2!$J$4:$L$291,3,0),"")</f>
        <v/>
      </c>
      <c r="AT29" s="121" t="str">
        <f>IFERROR(VLOOKUP($P29&amp;AT$8,Calc2!$J$4:$L$291,3,0),"")</f>
        <v/>
      </c>
      <c r="AU29" s="121" t="str">
        <f>IFERROR(VLOOKUP($P29&amp;AU$8,Calc2!$J$4:$L$291,3,0),"")</f>
        <v/>
      </c>
      <c r="AV29" s="121" t="str">
        <f>IFERROR(VLOOKUP($P29&amp;AV$8,Calc2!$J$4:$L$291,3,0),"")</f>
        <v>0 - 0</v>
      </c>
      <c r="AW29" s="121" t="str">
        <f>IFERROR(VLOOKUP($P29&amp;AW$8,Calc2!$J$4:$L$291,3,0),"")</f>
        <v/>
      </c>
      <c r="AX29" s="121" t="str">
        <f>IFERROR(VLOOKUP($P29&amp;AX$8,Calc2!$J$4:$L$291,3,0),"")</f>
        <v/>
      </c>
      <c r="AY29" s="121" t="str">
        <f>IFERROR(VLOOKUP($P29&amp;AY$8,Calc2!$J$4:$L$291,3,0),"")</f>
        <v/>
      </c>
      <c r="AZ29" s="121" t="str">
        <f>IFERROR(VLOOKUP($P29&amp;AZ$8,Calc2!$J$4:$L$291,3,0),"")</f>
        <v>1 - 1</v>
      </c>
      <c r="BA29" s="123"/>
      <c r="BB29" s="121" t="str">
        <f>IFERROR(VLOOKUP($P29&amp;BB$8,Calc2!$J$4:$L$291,3,0),"")</f>
        <v/>
      </c>
      <c r="BC29" s="121" t="str">
        <f>IFERROR(VLOOKUP($P29&amp;BC$8,Calc2!$J$4:$L$291,3,0),"")</f>
        <v/>
      </c>
      <c r="BD29" s="121" t="str">
        <f>IFERROR(VLOOKUP($P29&amp;BD$8,Calc2!$J$4:$L$291,3,0),"")</f>
        <v/>
      </c>
      <c r="BE29" s="121" t="str">
        <f>IFERROR(VLOOKUP($P29&amp;BE$8,Calc2!$J$4:$L$291,3,0),"")</f>
        <v/>
      </c>
      <c r="BF29" s="121" t="str">
        <f>IFERROR(VLOOKUP($P29&amp;BF$8,Calc2!$J$4:$L$291,3,0),"")</f>
        <v/>
      </c>
      <c r="BG29" s="121" t="str">
        <f>IFERROR(VLOOKUP($P29&amp;BG$8,Calc2!$J$4:$L$291,3,0),"")</f>
        <v/>
      </c>
      <c r="BH29" s="121" t="str">
        <f>IFERROR(VLOOKUP($P29&amp;BH$8,Calc2!$J$4:$L$291,3,0),"")</f>
        <v/>
      </c>
      <c r="BI29" s="121" t="str">
        <f>IFERROR(VLOOKUP($P29&amp;BI$8,Calc2!$J$4:$L$291,3,0),"")</f>
        <v>3 - 1</v>
      </c>
      <c r="BJ29" s="121" t="str">
        <f>IFERROR(VLOOKUP($P29&amp;BJ$8,Calc2!$J$4:$L$291,3,0),"")</f>
        <v/>
      </c>
      <c r="BK29" s="121" t="str">
        <f>IFERROR(VLOOKUP($P29&amp;BK$8,Calc2!$J$4:$L$291,3,0),"")</f>
        <v/>
      </c>
      <c r="BL29" s="121" t="str">
        <f>IFERROR(VLOOKUP($P29&amp;BL$8,Calc2!$J$4:$L$291,3,0),"")</f>
        <v/>
      </c>
      <c r="BM29" s="286" t="str">
        <f>IFERROR(VLOOKUP($P29&amp;BM$8,Calc2!$J$4:$L$291,3,0),"")</f>
        <v/>
      </c>
      <c r="BN29" s="121" t="str">
        <f>IFERROR(VLOOKUP($P29&amp;BN$8,Calc2!$J$4:$L$291,3,0),"")</f>
        <v/>
      </c>
      <c r="BO29" s="291" t="str">
        <f>IFERROR(VLOOKUP($P29&amp;BO$8,Calc2!$J$4:$L$291,3,0),"")</f>
        <v/>
      </c>
      <c r="BP29" s="124" t="str">
        <f>IFERROR(VLOOKUP($P29&amp;BP$8,Calc2!$J$4:$L$291,3,0),"")</f>
        <v/>
      </c>
    </row>
    <row r="30" spans="2:68" ht="15.95" customHeight="1" x14ac:dyDescent="0.25">
      <c r="B30" s="194"/>
      <c r="C30" s="192">
        <v>22</v>
      </c>
      <c r="D30" s="508">
        <f>IF(Planning!$T28="","",Planning!$T28)</f>
        <v>45953</v>
      </c>
      <c r="E30" s="120">
        <f>IF(Planning!$U28="","",Planning!$U28)</f>
        <v>0.78125</v>
      </c>
      <c r="F30" s="128" t="str">
        <f>Planning!$Q28</f>
        <v>AEK Athen</v>
      </c>
      <c r="G30" s="129" t="s">
        <v>4</v>
      </c>
      <c r="H30" s="128" t="str">
        <f>Planning!$S28</f>
        <v>FC Aberdeen</v>
      </c>
      <c r="I30" s="130">
        <v>6</v>
      </c>
      <c r="J30" s="381" t="s">
        <v>63</v>
      </c>
      <c r="K30" s="131">
        <v>0</v>
      </c>
      <c r="L30" s="228"/>
      <c r="M30" s="229"/>
      <c r="N30" s="299"/>
      <c r="O30" s="333">
        <f>IF(Calc!$K$40=0,"",IF(VLOOKUP(Calc!B25,Calc!$C$4:$E$39,3,0)=MAX(O$9:O29),VLOOKUP(Calc!B25,Calc!$C$4:$E$39,3,0),Calc!B25))</f>
        <v>22</v>
      </c>
      <c r="P30" s="334" t="str">
        <f>IF(Calc!$K$40=0,Calc2!$C25,VLOOKUP(Calc!B25,Calc!$C$4:$N$39,4,0))</f>
        <v>Shkendija Tetovo</v>
      </c>
      <c r="Q30" s="335">
        <f>IF(Calc!$K$40=0,"",VLOOKUP(Calc!B25,Calc!$C$4:$N$39,9,0))</f>
        <v>6</v>
      </c>
      <c r="R30" s="336">
        <f>IF(Calc!$K$40=0,"",IF($Q30=0,"",VLOOKUP(Calc!B25,Calc!$C$4:$N$39,10,0)))</f>
        <v>2</v>
      </c>
      <c r="S30" s="336">
        <f>IF(Calc!$K$40=0,"",IF($Q30=0,"",VLOOKUP(Calc!B25,Calc!$C$4:$N$39,11,0)))</f>
        <v>1</v>
      </c>
      <c r="T30" s="337">
        <f>IF(Calc!$K$40=0,"",IF($Q30=0,"",VLOOKUP(Calc!B25,Calc!$C$4:$N$39,12,0)))</f>
        <v>3</v>
      </c>
      <c r="U30" s="338">
        <f>IF(Calc!$K$40=0,"",IF($Q30=0,"",VLOOKUP(Calc!B25,Calc!$C$4:$N$39,5,0)))</f>
        <v>4</v>
      </c>
      <c r="V30" s="339" t="str">
        <f>Language!$E$90</f>
        <v xml:space="preserve"> - </v>
      </c>
      <c r="W30" s="340">
        <f>IF(Calc!$K$40=0,"",IF($Q30=0,"",VLOOKUP(Calc!B25,Calc!$C$4:$N$39,6,0)))</f>
        <v>5</v>
      </c>
      <c r="X30" s="341">
        <f>IF(Calc!$K$40=0,"",IF($Q30=0,"",VLOOKUP(Calc!B25,Calc!$C$4:$N$39,7,0)))</f>
        <v>-1</v>
      </c>
      <c r="Y30" s="342">
        <f>IF(Calc!$K$40=0,"",IF($Q30=0,"",VLOOKUP(Calc!B25,Calc!$C$4:$P$39,13,0)))</f>
        <v>0</v>
      </c>
      <c r="Z30" s="342">
        <f>IF(Calc!$K$40=0,"",IF($Q30=0,"",VLOOKUP(Calc!B25,Calc!$C$4:$P$39,14,0)))</f>
        <v>0</v>
      </c>
      <c r="AA30" s="343">
        <f>IF(Calc!$K$40=0,"",IF($Q30=0,"",VLOOKUP(Calc!B25,Calc!$C$4:$N$39,8,0)))</f>
        <v>7</v>
      </c>
      <c r="AB30" s="231" t="str">
        <f>IF(VLOOKUP(Calc!B25,Calc!$C$4:$Q$39,15,0)=0,"",VLOOKUP(Calc!B25,Calc!$C$4:$Q$39,15,0))</f>
        <v/>
      </c>
      <c r="AC30" s="222" t="str">
        <f>IF(IFERROR(VLOOKUP($P30,Planning!$D$7:$E$42,2,0),0)=0,IF(LEN(P30)&gt;Factors!$D$12,LEFT(P30,Factors!$D$12)&amp;".",P30),VLOOKUP($P30,Planning!$D$7:$E$42,2,0))</f>
        <v>Shkendi.</v>
      </c>
      <c r="AD30" s="112"/>
      <c r="AE30" s="160">
        <f t="shared" si="2"/>
        <v>22</v>
      </c>
      <c r="AF30" s="161" t="str">
        <f t="shared" si="3"/>
        <v>Shkendija Tetovo</v>
      </c>
      <c r="AG30" s="122" t="str">
        <f>IFERROR(VLOOKUP($P30&amp;AG$8,Calc2!$J$4:$L$291,3,0),"")</f>
        <v/>
      </c>
      <c r="AH30" s="121" t="str">
        <f>IFERROR(VLOOKUP($P30&amp;AH$8,Calc2!$J$4:$L$291,3,0),"")</f>
        <v/>
      </c>
      <c r="AI30" s="121" t="str">
        <f>IFERROR(VLOOKUP($P30&amp;AI$8,Calc2!$J$4:$L$291,3,0),"")</f>
        <v/>
      </c>
      <c r="AJ30" s="121" t="str">
        <f>IFERROR(VLOOKUP($P30&amp;AJ$8,Calc2!$J$4:$L$291,3,0),"")</f>
        <v/>
      </c>
      <c r="AK30" s="121" t="str">
        <f>IFERROR(VLOOKUP($P30&amp;AK$8,Calc2!$J$4:$L$291,3,0),"")</f>
        <v/>
      </c>
      <c r="AL30" s="121" t="str">
        <f>IFERROR(VLOOKUP($P30&amp;AL$8,Calc2!$J$4:$L$291,3,0),"")</f>
        <v/>
      </c>
      <c r="AM30" s="121" t="str">
        <f>IFERROR(VLOOKUP($P30&amp;AM$8,Calc2!$J$4:$L$291,3,0),"")</f>
        <v/>
      </c>
      <c r="AN30" s="121" t="str">
        <f>IFERROR(VLOOKUP($P30&amp;AN$8,Calc2!$J$4:$L$291,3,0),"")</f>
        <v/>
      </c>
      <c r="AO30" s="121" t="str">
        <f>IFERROR(VLOOKUP($P30&amp;AO$8,Calc2!$J$4:$L$291,3,0),"")</f>
        <v/>
      </c>
      <c r="AP30" s="121" t="str">
        <f>IFERROR(VLOOKUP($P30&amp;AP$8,Calc2!$J$4:$L$291,3,0),"")</f>
        <v/>
      </c>
      <c r="AQ30" s="121" t="str">
        <f>IFERROR(VLOOKUP($P30&amp;AQ$8,Calc2!$J$4:$L$291,3,0),"")</f>
        <v/>
      </c>
      <c r="AR30" s="121" t="str">
        <f>IFERROR(VLOOKUP($P30&amp;AR$8,Calc2!$J$4:$L$291,3,0),"")</f>
        <v/>
      </c>
      <c r="AS30" s="121" t="str">
        <f>IFERROR(VLOOKUP($P30&amp;AS$8,Calc2!$J$4:$L$291,3,0),"")</f>
        <v/>
      </c>
      <c r="AT30" s="121" t="str">
        <f>IFERROR(VLOOKUP($P30&amp;AT$8,Calc2!$J$4:$L$291,3,0),"")</f>
        <v/>
      </c>
      <c r="AU30" s="121" t="str">
        <f>IFERROR(VLOOKUP($P30&amp;AU$8,Calc2!$J$4:$L$291,3,0),"")</f>
        <v/>
      </c>
      <c r="AV30" s="121" t="str">
        <f>IFERROR(VLOOKUP($P30&amp;AV$8,Calc2!$J$4:$L$291,3,0),"")</f>
        <v/>
      </c>
      <c r="AW30" s="121" t="str">
        <f>IFERROR(VLOOKUP($P30&amp;AW$8,Calc2!$J$4:$L$291,3,0),"")</f>
        <v>1 - 1</v>
      </c>
      <c r="AX30" s="121" t="str">
        <f>IFERROR(VLOOKUP($P30&amp;AX$8,Calc2!$J$4:$L$291,3,0),"")</f>
        <v/>
      </c>
      <c r="AY30" s="121" t="str">
        <f>IFERROR(VLOOKUP($P30&amp;AY$8,Calc2!$J$4:$L$291,3,0),"")</f>
        <v/>
      </c>
      <c r="AZ30" s="121" t="str">
        <f>IFERROR(VLOOKUP($P30&amp;AZ$8,Calc2!$J$4:$L$291,3,0),"")</f>
        <v/>
      </c>
      <c r="BA30" s="121" t="str">
        <f>IFERROR(VLOOKUP($P30&amp;BA$8,Calc2!$J$4:$L$291,3,0),"")</f>
        <v/>
      </c>
      <c r="BB30" s="123"/>
      <c r="BC30" s="121" t="str">
        <f>IFERROR(VLOOKUP($P30&amp;BC$8,Calc2!$J$4:$L$291,3,0),"")</f>
        <v/>
      </c>
      <c r="BD30" s="121" t="str">
        <f>IFERROR(VLOOKUP($P30&amp;BD$8,Calc2!$J$4:$L$291,3,0),"")</f>
        <v/>
      </c>
      <c r="BE30" s="121" t="str">
        <f>IFERROR(VLOOKUP($P30&amp;BE$8,Calc2!$J$4:$L$291,3,0),"")</f>
        <v/>
      </c>
      <c r="BF30" s="121" t="str">
        <f>IFERROR(VLOOKUP($P30&amp;BF$8,Calc2!$J$4:$L$291,3,0),"")</f>
        <v/>
      </c>
      <c r="BG30" s="121" t="str">
        <f>IFERROR(VLOOKUP($P30&amp;BG$8,Calc2!$J$4:$L$291,3,0),"")</f>
        <v/>
      </c>
      <c r="BH30" s="121" t="str">
        <f>IFERROR(VLOOKUP($P30&amp;BH$8,Calc2!$J$4:$L$291,3,0),"")</f>
        <v/>
      </c>
      <c r="BI30" s="121" t="str">
        <f>IFERROR(VLOOKUP($P30&amp;BI$8,Calc2!$J$4:$L$291,3,0),"")</f>
        <v>2 - 0</v>
      </c>
      <c r="BJ30" s="121" t="str">
        <f>IFERROR(VLOOKUP($P30&amp;BJ$8,Calc2!$J$4:$L$291,3,0),"")</f>
        <v/>
      </c>
      <c r="BK30" s="121" t="str">
        <f>IFERROR(VLOOKUP($P30&amp;BK$8,Calc2!$J$4:$L$291,3,0),"")</f>
        <v/>
      </c>
      <c r="BL30" s="121" t="str">
        <f>IFERROR(VLOOKUP($P30&amp;BL$8,Calc2!$J$4:$L$291,3,0),"")</f>
        <v/>
      </c>
      <c r="BM30" s="286" t="str">
        <f>IFERROR(VLOOKUP($P30&amp;BM$8,Calc2!$J$4:$L$291,3,0),"")</f>
        <v/>
      </c>
      <c r="BN30" s="121" t="str">
        <f>IFERROR(VLOOKUP($P30&amp;BN$8,Calc2!$J$4:$L$291,3,0),"")</f>
        <v>1 - 0</v>
      </c>
      <c r="BO30" s="291" t="str">
        <f>IFERROR(VLOOKUP($P30&amp;BO$8,Calc2!$J$4:$L$291,3,0),"")</f>
        <v/>
      </c>
      <c r="BP30" s="124" t="str">
        <f>IFERROR(VLOOKUP($P30&amp;BP$8,Calc2!$J$4:$L$291,3,0),"")</f>
        <v/>
      </c>
    </row>
    <row r="31" spans="2:68" ht="15.95" customHeight="1" x14ac:dyDescent="0.25">
      <c r="B31" s="194"/>
      <c r="C31" s="192">
        <v>23</v>
      </c>
      <c r="D31" s="508">
        <f>IF(Planning!$T29="","",Planning!$T29)</f>
        <v>45953</v>
      </c>
      <c r="E31" s="120">
        <f>IF(Planning!$U29="","",Planning!$U29)</f>
        <v>0.78125</v>
      </c>
      <c r="F31" s="128" t="str">
        <f>Planning!$Q29</f>
        <v>HNK Rijeka</v>
      </c>
      <c r="G31" s="129" t="s">
        <v>4</v>
      </c>
      <c r="H31" s="128" t="str">
        <f>Planning!$S29</f>
        <v>Sparta Prag</v>
      </c>
      <c r="I31" s="130">
        <v>1</v>
      </c>
      <c r="J31" s="381" t="s">
        <v>63</v>
      </c>
      <c r="K31" s="131">
        <v>0</v>
      </c>
      <c r="L31" s="228"/>
      <c r="M31" s="229"/>
      <c r="N31" s="299"/>
      <c r="O31" s="333">
        <f>IF(Calc!$K$40=0,"",IF(VLOOKUP(Calc!B26,Calc!$C$4:$E$39,3,0)=MAX(O$9:O30),VLOOKUP(Calc!B26,Calc!$C$4:$E$39,3,0),Calc!B26))</f>
        <v>23</v>
      </c>
      <c r="P31" s="334" t="str">
        <f>IF(Calc!$K$40=0,Calc2!$C26,VLOOKUP(Calc!B26,Calc!$C$4:$N$39,4,0))</f>
        <v>Zrinjski Mostar</v>
      </c>
      <c r="Q31" s="335">
        <f>IF(Calc!$K$40=0,"",VLOOKUP(Calc!B26,Calc!$C$4:$N$39,9,0))</f>
        <v>6</v>
      </c>
      <c r="R31" s="336">
        <f>IF(Calc!$K$40=0,"",IF($Q31=0,"",VLOOKUP(Calc!B26,Calc!$C$4:$N$39,10,0)))</f>
        <v>2</v>
      </c>
      <c r="S31" s="336">
        <f>IF(Calc!$K$40=0,"",IF($Q31=0,"",VLOOKUP(Calc!B26,Calc!$C$4:$N$39,11,0)))</f>
        <v>1</v>
      </c>
      <c r="T31" s="337">
        <f>IF(Calc!$K$40=0,"",IF($Q31=0,"",VLOOKUP(Calc!B26,Calc!$C$4:$N$39,12,0)))</f>
        <v>3</v>
      </c>
      <c r="U31" s="338">
        <f>IF(Calc!$K$40=0,"",IF($Q31=0,"",VLOOKUP(Calc!B26,Calc!$C$4:$N$39,5,0)))</f>
        <v>8</v>
      </c>
      <c r="V31" s="339" t="str">
        <f>Language!$E$90</f>
        <v xml:space="preserve"> - </v>
      </c>
      <c r="W31" s="340">
        <f>IF(Calc!$K$40=0,"",IF($Q31=0,"",VLOOKUP(Calc!B26,Calc!$C$4:$N$39,6,0)))</f>
        <v>10</v>
      </c>
      <c r="X31" s="341">
        <f>IF(Calc!$K$40=0,"",IF($Q31=0,"",VLOOKUP(Calc!B26,Calc!$C$4:$N$39,7,0)))</f>
        <v>-2</v>
      </c>
      <c r="Y31" s="342">
        <f>IF(Calc!$K$40=0,"",IF($Q31=0,"",VLOOKUP(Calc!B26,Calc!$C$4:$P$39,13,0)))</f>
        <v>0</v>
      </c>
      <c r="Z31" s="342">
        <f>IF(Calc!$K$40=0,"",IF($Q31=0,"",VLOOKUP(Calc!B26,Calc!$C$4:$P$39,14,0)))</f>
        <v>0</v>
      </c>
      <c r="AA31" s="343">
        <f>IF(Calc!$K$40=0,"",IF($Q31=0,"",VLOOKUP(Calc!B26,Calc!$C$4:$N$39,8,0)))</f>
        <v>7</v>
      </c>
      <c r="AB31" s="231" t="str">
        <f>IF(VLOOKUP(Calc!B26,Calc!$C$4:$Q$39,15,0)=0,"",VLOOKUP(Calc!B26,Calc!$C$4:$Q$39,15,0))</f>
        <v/>
      </c>
      <c r="AC31" s="222" t="str">
        <f>IF(IFERROR(VLOOKUP($P31,Planning!$D$7:$E$42,2,0),0)=0,IF(LEN(P31)&gt;Factors!$D$12,LEFT(P31,Factors!$D$12)&amp;".",P31),VLOOKUP($P31,Planning!$D$7:$E$42,2,0))</f>
        <v>Zrinjsk.</v>
      </c>
      <c r="AD31" s="113"/>
      <c r="AE31" s="160">
        <f t="shared" si="2"/>
        <v>23</v>
      </c>
      <c r="AF31" s="161" t="str">
        <f t="shared" si="3"/>
        <v>Zrinjski Mostar</v>
      </c>
      <c r="AG31" s="122" t="str">
        <f>IFERROR(VLOOKUP($P31&amp;AG$8,Calc2!$J$4:$L$291,3,0),"")</f>
        <v/>
      </c>
      <c r="AH31" s="121" t="str">
        <f>IFERROR(VLOOKUP($P31&amp;AH$8,Calc2!$J$4:$L$291,3,0),"")</f>
        <v/>
      </c>
      <c r="AI31" s="121" t="str">
        <f>IFERROR(VLOOKUP($P31&amp;AI$8,Calc2!$J$4:$L$291,3,0),"")</f>
        <v/>
      </c>
      <c r="AJ31" s="121" t="str">
        <f>IFERROR(VLOOKUP($P31&amp;AJ$8,Calc2!$J$4:$L$291,3,0),"")</f>
        <v/>
      </c>
      <c r="AK31" s="121" t="str">
        <f>IFERROR(VLOOKUP($P31&amp;AK$8,Calc2!$J$4:$L$291,3,0),"")</f>
        <v/>
      </c>
      <c r="AL31" s="121" t="str">
        <f>IFERROR(VLOOKUP($P31&amp;AL$8,Calc2!$J$4:$L$291,3,0),"")</f>
        <v/>
      </c>
      <c r="AM31" s="121" t="str">
        <f>IFERROR(VLOOKUP($P31&amp;AM$8,Calc2!$J$4:$L$291,3,0),"")</f>
        <v/>
      </c>
      <c r="AN31" s="121" t="str">
        <f>IFERROR(VLOOKUP($P31&amp;AN$8,Calc2!$J$4:$L$291,3,0),"")</f>
        <v/>
      </c>
      <c r="AO31" s="121" t="str">
        <f>IFERROR(VLOOKUP($P31&amp;AO$8,Calc2!$J$4:$L$291,3,0),"")</f>
        <v/>
      </c>
      <c r="AP31" s="121" t="str">
        <f>IFERROR(VLOOKUP($P31&amp;AP$8,Calc2!$J$4:$L$291,3,0),"")</f>
        <v/>
      </c>
      <c r="AQ31" s="121" t="str">
        <f>IFERROR(VLOOKUP($P31&amp;AQ$8,Calc2!$J$4:$L$291,3,0),"")</f>
        <v/>
      </c>
      <c r="AR31" s="121" t="str">
        <f>IFERROR(VLOOKUP($P31&amp;AR$8,Calc2!$J$4:$L$291,3,0),"")</f>
        <v/>
      </c>
      <c r="AS31" s="121" t="str">
        <f>IFERROR(VLOOKUP($P31&amp;AS$8,Calc2!$J$4:$L$291,3,0),"")</f>
        <v/>
      </c>
      <c r="AT31" s="121" t="str">
        <f>IFERROR(VLOOKUP($P31&amp;AT$8,Calc2!$J$4:$L$291,3,0),"")</f>
        <v/>
      </c>
      <c r="AU31" s="121" t="str">
        <f>IFERROR(VLOOKUP($P31&amp;AU$8,Calc2!$J$4:$L$291,3,0),"")</f>
        <v/>
      </c>
      <c r="AV31" s="121" t="str">
        <f>IFERROR(VLOOKUP($P31&amp;AV$8,Calc2!$J$4:$L$291,3,0),"")</f>
        <v/>
      </c>
      <c r="AW31" s="121" t="str">
        <f>IFERROR(VLOOKUP($P31&amp;AW$8,Calc2!$J$4:$L$291,3,0),"")</f>
        <v/>
      </c>
      <c r="AX31" s="121" t="str">
        <f>IFERROR(VLOOKUP($P31&amp;AX$8,Calc2!$J$4:$L$291,3,0),"")</f>
        <v/>
      </c>
      <c r="AY31" s="121" t="str">
        <f>IFERROR(VLOOKUP($P31&amp;AY$8,Calc2!$J$4:$L$291,3,0),"")</f>
        <v/>
      </c>
      <c r="AZ31" s="121" t="str">
        <f>IFERROR(VLOOKUP($P31&amp;AZ$8,Calc2!$J$4:$L$291,3,0),"")</f>
        <v/>
      </c>
      <c r="BA31" s="121" t="str">
        <f>IFERROR(VLOOKUP($P31&amp;BA$8,Calc2!$J$4:$L$291,3,0),"")</f>
        <v/>
      </c>
      <c r="BB31" s="121" t="str">
        <f>IFERROR(VLOOKUP($P31&amp;BB$8,Calc2!$J$4:$L$291,3,0),"")</f>
        <v/>
      </c>
      <c r="BC31" s="123"/>
      <c r="BD31" s="121" t="str">
        <f>IFERROR(VLOOKUP($P31&amp;BD$8,Calc2!$J$4:$L$291,3,0),"")</f>
        <v/>
      </c>
      <c r="BE31" s="121" t="str">
        <f>IFERROR(VLOOKUP($P31&amp;BE$8,Calc2!$J$4:$L$291,3,0),"")</f>
        <v/>
      </c>
      <c r="BF31" s="121" t="str">
        <f>IFERROR(VLOOKUP($P31&amp;BF$8,Calc2!$J$4:$L$291,3,0),"")</f>
        <v>5 - 0</v>
      </c>
      <c r="BG31" s="121" t="str">
        <f>IFERROR(VLOOKUP($P31&amp;BG$8,Calc2!$J$4:$L$291,3,0),"")</f>
        <v/>
      </c>
      <c r="BH31" s="121" t="str">
        <f>IFERROR(VLOOKUP($P31&amp;BH$8,Calc2!$J$4:$L$291,3,0),"")</f>
        <v/>
      </c>
      <c r="BI31" s="121" t="str">
        <f>IFERROR(VLOOKUP($P31&amp;BI$8,Calc2!$J$4:$L$291,3,0),"")</f>
        <v/>
      </c>
      <c r="BJ31" s="121" t="str">
        <f>IFERROR(VLOOKUP($P31&amp;BJ$8,Calc2!$J$4:$L$291,3,0),"")</f>
        <v/>
      </c>
      <c r="BK31" s="121" t="str">
        <f>IFERROR(VLOOKUP($P31&amp;BK$8,Calc2!$J$4:$L$291,3,0),"")</f>
        <v/>
      </c>
      <c r="BL31" s="121" t="str">
        <f>IFERROR(VLOOKUP($P31&amp;BL$8,Calc2!$J$4:$L$291,3,0),"")</f>
        <v/>
      </c>
      <c r="BM31" s="286" t="str">
        <f>IFERROR(VLOOKUP($P31&amp;BM$8,Calc2!$J$4:$L$291,3,0),"")</f>
        <v>2 - 1</v>
      </c>
      <c r="BN31" s="121" t="str">
        <f>IFERROR(VLOOKUP($P31&amp;BN$8,Calc2!$J$4:$L$291,3,0),"")</f>
        <v/>
      </c>
      <c r="BO31" s="291" t="str">
        <f>IFERROR(VLOOKUP($P31&amp;BO$8,Calc2!$J$4:$L$291,3,0),"")</f>
        <v/>
      </c>
      <c r="BP31" s="124" t="str">
        <f>IFERROR(VLOOKUP($P31&amp;BP$8,Calc2!$J$4:$L$291,3,0),"")</f>
        <v>1 - 1</v>
      </c>
    </row>
    <row r="32" spans="2:68" ht="15.95" customHeight="1" x14ac:dyDescent="0.25">
      <c r="B32" s="194"/>
      <c r="C32" s="192">
        <v>24</v>
      </c>
      <c r="D32" s="508">
        <f>IF(Planning!$T30="","",Planning!$T30)</f>
        <v>45953</v>
      </c>
      <c r="E32" s="120">
        <f>IF(Planning!$U30="","",Planning!$U30)</f>
        <v>0.78125</v>
      </c>
      <c r="F32" s="128" t="str">
        <f>Planning!$Q30</f>
        <v>KF Drita Gjilan</v>
      </c>
      <c r="G32" s="129" t="s">
        <v>4</v>
      </c>
      <c r="H32" s="128" t="str">
        <f>Planning!$S30</f>
        <v>Omonia Nikosia</v>
      </c>
      <c r="I32" s="130">
        <v>1</v>
      </c>
      <c r="J32" s="381" t="s">
        <v>63</v>
      </c>
      <c r="K32" s="131">
        <v>1</v>
      </c>
      <c r="L32" s="228"/>
      <c r="M32" s="229"/>
      <c r="N32" s="299"/>
      <c r="O32" s="333">
        <f>IF(Calc!$K$40=0,"",IF(VLOOKUP(Calc!B27,Calc!$C$4:$E$39,3,0)=MAX(O$9:O31),VLOOKUP(Calc!B27,Calc!$C$4:$E$39,3,0),Calc!B27))</f>
        <v>24</v>
      </c>
      <c r="P32" s="334" t="str">
        <f>IF(Calc!$K$40=0,Calc2!$C27,VLOOKUP(Calc!B27,Calc!$C$4:$N$39,4,0))</f>
        <v>Sigma Olmütz</v>
      </c>
      <c r="Q32" s="335">
        <f>IF(Calc!$K$40=0,"",VLOOKUP(Calc!B27,Calc!$C$4:$N$39,9,0))</f>
        <v>6</v>
      </c>
      <c r="R32" s="336">
        <f>IF(Calc!$K$40=0,"",IF($Q32=0,"",VLOOKUP(Calc!B27,Calc!$C$4:$N$39,10,0)))</f>
        <v>2</v>
      </c>
      <c r="S32" s="336">
        <f>IF(Calc!$K$40=0,"",IF($Q32=0,"",VLOOKUP(Calc!B27,Calc!$C$4:$N$39,11,0)))</f>
        <v>1</v>
      </c>
      <c r="T32" s="337">
        <f>IF(Calc!$K$40=0,"",IF($Q32=0,"",VLOOKUP(Calc!B27,Calc!$C$4:$N$39,12,0)))</f>
        <v>3</v>
      </c>
      <c r="U32" s="338">
        <f>IF(Calc!$K$40=0,"",IF($Q32=0,"",VLOOKUP(Calc!B27,Calc!$C$4:$N$39,5,0)))</f>
        <v>7</v>
      </c>
      <c r="V32" s="339" t="str">
        <f>Language!$E$90</f>
        <v xml:space="preserve"> - </v>
      </c>
      <c r="W32" s="340">
        <f>IF(Calc!$K$40=0,"",IF($Q32=0,"",VLOOKUP(Calc!B27,Calc!$C$4:$N$39,6,0)))</f>
        <v>9</v>
      </c>
      <c r="X32" s="341">
        <f>IF(Calc!$K$40=0,"",IF($Q32=0,"",VLOOKUP(Calc!B27,Calc!$C$4:$N$39,7,0)))</f>
        <v>-2</v>
      </c>
      <c r="Y32" s="342">
        <f>IF(Calc!$K$40=0,"",IF($Q32=0,"",VLOOKUP(Calc!B27,Calc!$C$4:$P$39,13,0)))</f>
        <v>3</v>
      </c>
      <c r="Z32" s="342">
        <f>IF(Calc!$K$40=0,"",IF($Q32=0,"",VLOOKUP(Calc!B27,Calc!$C$4:$P$39,14,0)))</f>
        <v>1</v>
      </c>
      <c r="AA32" s="343">
        <f>IF(Calc!$K$40=0,"",IF($Q32=0,"",VLOOKUP(Calc!B27,Calc!$C$4:$N$39,8,0)))</f>
        <v>7</v>
      </c>
      <c r="AB32" s="231" t="str">
        <f>IF(VLOOKUP(Calc!B27,Calc!$C$4:$Q$39,15,0)=0,"",VLOOKUP(Calc!B27,Calc!$C$4:$Q$39,15,0))</f>
        <v/>
      </c>
      <c r="AC32" s="222" t="str">
        <f>IF(IFERROR(VLOOKUP($P32,Planning!$D$7:$E$42,2,0),0)=0,IF(LEN(P32)&gt;Factors!$D$12,LEFT(P32,Factors!$D$12)&amp;".",P32),VLOOKUP($P32,Planning!$D$7:$E$42,2,0))</f>
        <v>Sigma O.</v>
      </c>
      <c r="AD32" s="115"/>
      <c r="AE32" s="160">
        <f t="shared" si="2"/>
        <v>24</v>
      </c>
      <c r="AF32" s="161" t="str">
        <f t="shared" si="3"/>
        <v>Sigma Olmütz</v>
      </c>
      <c r="AG32" s="122" t="str">
        <f>IFERROR(VLOOKUP($P32&amp;AG$8,Calc2!$J$4:$L$291,3,0),"")</f>
        <v/>
      </c>
      <c r="AH32" s="121" t="str">
        <f>IFERROR(VLOOKUP($P32&amp;AH$8,Calc2!$J$4:$L$291,3,0),"")</f>
        <v>1 - 1</v>
      </c>
      <c r="AI32" s="121" t="str">
        <f>IFERROR(VLOOKUP($P32&amp;AI$8,Calc2!$J$4:$L$291,3,0),"")</f>
        <v/>
      </c>
      <c r="AJ32" s="121" t="str">
        <f>IFERROR(VLOOKUP($P32&amp;AJ$8,Calc2!$J$4:$L$291,3,0),"")</f>
        <v/>
      </c>
      <c r="AK32" s="121" t="str">
        <f>IFERROR(VLOOKUP($P32&amp;AK$8,Calc2!$J$4:$L$291,3,0),"")</f>
        <v/>
      </c>
      <c r="AL32" s="121" t="str">
        <f>IFERROR(VLOOKUP($P32&amp;AL$8,Calc2!$J$4:$L$291,3,0),"")</f>
        <v/>
      </c>
      <c r="AM32" s="121" t="str">
        <f>IFERROR(VLOOKUP($P32&amp;AM$8,Calc2!$J$4:$L$291,3,0),"")</f>
        <v/>
      </c>
      <c r="AN32" s="121" t="str">
        <f>IFERROR(VLOOKUP($P32&amp;AN$8,Calc2!$J$4:$L$291,3,0),"")</f>
        <v/>
      </c>
      <c r="AO32" s="121" t="str">
        <f>IFERROR(VLOOKUP($P32&amp;AO$8,Calc2!$J$4:$L$291,3,0),"")</f>
        <v/>
      </c>
      <c r="AP32" s="121" t="str">
        <f>IFERROR(VLOOKUP($P32&amp;AP$8,Calc2!$J$4:$L$291,3,0),"")</f>
        <v>1 - 2</v>
      </c>
      <c r="AQ32" s="121" t="str">
        <f>IFERROR(VLOOKUP($P32&amp;AQ$8,Calc2!$J$4:$L$291,3,0),"")</f>
        <v/>
      </c>
      <c r="AR32" s="121" t="str">
        <f>IFERROR(VLOOKUP($P32&amp;AR$8,Calc2!$J$4:$L$291,3,0),"")</f>
        <v>2 - 1</v>
      </c>
      <c r="AS32" s="121" t="str">
        <f>IFERROR(VLOOKUP($P32&amp;AS$8,Calc2!$J$4:$L$291,3,0),"")</f>
        <v/>
      </c>
      <c r="AT32" s="121" t="str">
        <f>IFERROR(VLOOKUP($P32&amp;AT$8,Calc2!$J$4:$L$291,3,0),"")</f>
        <v/>
      </c>
      <c r="AU32" s="121" t="str">
        <f>IFERROR(VLOOKUP($P32&amp;AU$8,Calc2!$J$4:$L$291,3,0),"")</f>
        <v/>
      </c>
      <c r="AV32" s="121" t="str">
        <f>IFERROR(VLOOKUP($P32&amp;AV$8,Calc2!$J$4:$L$291,3,0),"")</f>
        <v/>
      </c>
      <c r="AW32" s="121" t="str">
        <f>IFERROR(VLOOKUP($P32&amp;AW$8,Calc2!$J$4:$L$291,3,0),"")</f>
        <v/>
      </c>
      <c r="AX32" s="121" t="str">
        <f>IFERROR(VLOOKUP($P32&amp;AX$8,Calc2!$J$4:$L$291,3,0),"")</f>
        <v/>
      </c>
      <c r="AY32" s="121" t="str">
        <f>IFERROR(VLOOKUP($P32&amp;AY$8,Calc2!$J$4:$L$291,3,0),"")</f>
        <v/>
      </c>
      <c r="AZ32" s="121" t="str">
        <f>IFERROR(VLOOKUP($P32&amp;AZ$8,Calc2!$J$4:$L$291,3,0),"")</f>
        <v/>
      </c>
      <c r="BA32" s="121" t="str">
        <f>IFERROR(VLOOKUP($P32&amp;BA$8,Calc2!$J$4:$L$291,3,0),"")</f>
        <v/>
      </c>
      <c r="BB32" s="121" t="str">
        <f>IFERROR(VLOOKUP($P32&amp;BB$8,Calc2!$J$4:$L$291,3,0),"")</f>
        <v/>
      </c>
      <c r="BC32" s="121" t="str">
        <f>IFERROR(VLOOKUP($P32&amp;BC$8,Calc2!$J$4:$L$291,3,0),"")</f>
        <v/>
      </c>
      <c r="BD32" s="123"/>
      <c r="BE32" s="121" t="str">
        <f>IFERROR(VLOOKUP($P32&amp;BE$8,Calc2!$J$4:$L$291,3,0),"")</f>
        <v/>
      </c>
      <c r="BF32" s="121" t="str">
        <f>IFERROR(VLOOKUP($P32&amp;BF$8,Calc2!$J$4:$L$291,3,0),"")</f>
        <v/>
      </c>
      <c r="BG32" s="121" t="str">
        <f>IFERROR(VLOOKUP($P32&amp;BG$8,Calc2!$J$4:$L$291,3,0),"")</f>
        <v/>
      </c>
      <c r="BH32" s="121" t="str">
        <f>IFERROR(VLOOKUP($P32&amp;BH$8,Calc2!$J$4:$L$291,3,0),"")</f>
        <v/>
      </c>
      <c r="BI32" s="121" t="str">
        <f>IFERROR(VLOOKUP($P32&amp;BI$8,Calc2!$J$4:$L$291,3,0),"")</f>
        <v/>
      </c>
      <c r="BJ32" s="121" t="str">
        <f>IFERROR(VLOOKUP($P32&amp;BJ$8,Calc2!$J$4:$L$291,3,0),"")</f>
        <v/>
      </c>
      <c r="BK32" s="121" t="str">
        <f>IFERROR(VLOOKUP($P32&amp;BK$8,Calc2!$J$4:$L$291,3,0),"")</f>
        <v/>
      </c>
      <c r="BL32" s="121" t="str">
        <f>IFERROR(VLOOKUP($P32&amp;BL$8,Calc2!$J$4:$L$291,3,0),"")</f>
        <v/>
      </c>
      <c r="BM32" s="286" t="str">
        <f>IFERROR(VLOOKUP($P32&amp;BM$8,Calc2!$J$4:$L$291,3,0),"")</f>
        <v/>
      </c>
      <c r="BN32" s="121" t="str">
        <f>IFERROR(VLOOKUP($P32&amp;BN$8,Calc2!$J$4:$L$291,3,0),"")</f>
        <v/>
      </c>
      <c r="BO32" s="291" t="str">
        <f>IFERROR(VLOOKUP($P32&amp;BO$8,Calc2!$J$4:$L$291,3,0),"")</f>
        <v/>
      </c>
      <c r="BP32" s="124" t="str">
        <f>IFERROR(VLOOKUP($P32&amp;BP$8,Calc2!$J$4:$L$291,3,0),"")</f>
        <v/>
      </c>
    </row>
    <row r="33" spans="2:68" ht="15.95" customHeight="1" x14ac:dyDescent="0.25">
      <c r="B33" s="194"/>
      <c r="C33" s="192">
        <v>25</v>
      </c>
      <c r="D33" s="508">
        <f>IF(Planning!$T31="","",Planning!$T31)</f>
        <v>45953</v>
      </c>
      <c r="E33" s="120">
        <f>IF(Planning!$U31="","",Planning!$U31)</f>
        <v>0.78125</v>
      </c>
      <c r="F33" s="128" t="str">
        <f>Planning!$Q31</f>
        <v>UMF Breidablik</v>
      </c>
      <c r="G33" s="129" t="s">
        <v>4</v>
      </c>
      <c r="H33" s="128" t="str">
        <f>Planning!$S31</f>
        <v>Kuopion PS</v>
      </c>
      <c r="I33" s="130">
        <v>0</v>
      </c>
      <c r="J33" s="381" t="s">
        <v>63</v>
      </c>
      <c r="K33" s="131">
        <v>0</v>
      </c>
      <c r="L33" s="228"/>
      <c r="M33" s="229"/>
      <c r="N33" s="299"/>
      <c r="O33" s="344">
        <f>IF(Calc!$K$40=0,"",IF(VLOOKUP(Calc!B28,Calc!$C$4:$E$39,3,0)=MAX(O$9:O32),VLOOKUP(Calc!B28,Calc!$C$4:$E$39,3,0),Calc!B28))</f>
        <v>25</v>
      </c>
      <c r="P33" s="345" t="str">
        <f>IF(Calc!$K$40=0,Calc2!$C28,VLOOKUP(Calc!B28,Calc!$C$4:$N$39,4,0))</f>
        <v>Universitatea Craiova</v>
      </c>
      <c r="Q33" s="346">
        <f>IF(Calc!$K$40=0,"",VLOOKUP(Calc!B28,Calc!$C$4:$N$39,9,0))</f>
        <v>6</v>
      </c>
      <c r="R33" s="347">
        <f>IF(Calc!$K$40=0,"",IF($Q33=0,"",VLOOKUP(Calc!B28,Calc!$C$4:$N$39,10,0)))</f>
        <v>2</v>
      </c>
      <c r="S33" s="347">
        <f>IF(Calc!$K$40=0,"",IF($Q33=0,"",VLOOKUP(Calc!B28,Calc!$C$4:$N$39,11,0)))</f>
        <v>1</v>
      </c>
      <c r="T33" s="348">
        <f>IF(Calc!$K$40=0,"",IF($Q33=0,"",VLOOKUP(Calc!B28,Calc!$C$4:$N$39,12,0)))</f>
        <v>3</v>
      </c>
      <c r="U33" s="349">
        <f>IF(Calc!$K$40=0,"",IF($Q33=0,"",VLOOKUP(Calc!B28,Calc!$C$4:$N$39,5,0)))</f>
        <v>6</v>
      </c>
      <c r="V33" s="350" t="str">
        <f>Language!$E$90</f>
        <v xml:space="preserve"> - </v>
      </c>
      <c r="W33" s="351">
        <f>IF(Calc!$K$40=0,"",IF($Q33=0,"",VLOOKUP(Calc!B28,Calc!$C$4:$N$39,6,0)))</f>
        <v>8</v>
      </c>
      <c r="X33" s="352">
        <f>IF(Calc!$K$40=0,"",IF($Q33=0,"",VLOOKUP(Calc!B28,Calc!$C$4:$N$39,7,0)))</f>
        <v>-2</v>
      </c>
      <c r="Y33" s="353">
        <f>IF(Calc!$K$40=0,"",IF($Q33=0,"",VLOOKUP(Calc!B28,Calc!$C$4:$P$39,13,0)))</f>
        <v>3</v>
      </c>
      <c r="Z33" s="353">
        <f>IF(Calc!$K$40=0,"",IF($Q33=0,"",VLOOKUP(Calc!B28,Calc!$C$4:$P$39,14,0)))</f>
        <v>1</v>
      </c>
      <c r="AA33" s="354">
        <f>IF(Calc!$K$40=0,"",IF($Q33=0,"",VLOOKUP(Calc!B28,Calc!$C$4:$N$39,8,0)))</f>
        <v>7</v>
      </c>
      <c r="AB33" s="231" t="str">
        <f>IF(VLOOKUP(Calc!B28,Calc!$C$4:$Q$39,15,0)=0,"",VLOOKUP(Calc!B28,Calc!$C$4:$Q$39,15,0))</f>
        <v/>
      </c>
      <c r="AC33" s="222" t="str">
        <f>IF(IFERROR(VLOOKUP($P33,Planning!$D$7:$E$42,2,0),0)=0,IF(LEN(P33)&gt;Factors!$D$12,LEFT(P33,Factors!$D$12)&amp;".",P33),VLOOKUP($P33,Planning!$D$7:$E$42,2,0))</f>
        <v>Univers.</v>
      </c>
      <c r="AD33" s="157"/>
      <c r="AE33" s="160">
        <f t="shared" si="2"/>
        <v>25</v>
      </c>
      <c r="AF33" s="161" t="str">
        <f t="shared" si="3"/>
        <v>Universitatea Craiova</v>
      </c>
      <c r="AG33" s="122" t="str">
        <f>IFERROR(VLOOKUP($P33&amp;AG$8,Calc2!$J$4:$L$291,3,0),"")</f>
        <v/>
      </c>
      <c r="AH33" s="121" t="str">
        <f>IFERROR(VLOOKUP($P33&amp;AH$8,Calc2!$J$4:$L$291,3,0),"")</f>
        <v/>
      </c>
      <c r="AI33" s="121" t="str">
        <f>IFERROR(VLOOKUP($P33&amp;AI$8,Calc2!$J$4:$L$291,3,0),"")</f>
        <v/>
      </c>
      <c r="AJ33" s="121" t="str">
        <f>IFERROR(VLOOKUP($P33&amp;AJ$8,Calc2!$J$4:$L$291,3,0),"")</f>
        <v>1 - 2</v>
      </c>
      <c r="AK33" s="121" t="str">
        <f>IFERROR(VLOOKUP($P33&amp;AK$8,Calc2!$J$4:$L$291,3,0),"")</f>
        <v/>
      </c>
      <c r="AL33" s="121" t="str">
        <f>IFERROR(VLOOKUP($P33&amp;AL$8,Calc2!$J$4:$L$291,3,0),"")</f>
        <v/>
      </c>
      <c r="AM33" s="121" t="str">
        <f>IFERROR(VLOOKUP($P33&amp;AM$8,Calc2!$J$4:$L$291,3,0),"")</f>
        <v>1 - 0</v>
      </c>
      <c r="AN33" s="121" t="str">
        <f>IFERROR(VLOOKUP($P33&amp;AN$8,Calc2!$J$4:$L$291,3,0),"")</f>
        <v/>
      </c>
      <c r="AO33" s="121" t="str">
        <f>IFERROR(VLOOKUP($P33&amp;AO$8,Calc2!$J$4:$L$291,3,0),"")</f>
        <v/>
      </c>
      <c r="AP33" s="121" t="str">
        <f>IFERROR(VLOOKUP($P33&amp;AP$8,Calc2!$J$4:$L$291,3,0),"")</f>
        <v/>
      </c>
      <c r="AQ33" s="121" t="str">
        <f>IFERROR(VLOOKUP($P33&amp;AQ$8,Calc2!$J$4:$L$291,3,0),"")</f>
        <v/>
      </c>
      <c r="AR33" s="121" t="str">
        <f>IFERROR(VLOOKUP($P33&amp;AR$8,Calc2!$J$4:$L$291,3,0),"")</f>
        <v/>
      </c>
      <c r="AS33" s="121" t="str">
        <f>IFERROR(VLOOKUP($P33&amp;AS$8,Calc2!$J$4:$L$291,3,0),"")</f>
        <v/>
      </c>
      <c r="AT33" s="121" t="str">
        <f>IFERROR(VLOOKUP($P33&amp;AT$8,Calc2!$J$4:$L$291,3,0),"")</f>
        <v/>
      </c>
      <c r="AU33" s="121" t="str">
        <f>IFERROR(VLOOKUP($P33&amp;AU$8,Calc2!$J$4:$L$291,3,0),"")</f>
        <v/>
      </c>
      <c r="AV33" s="121" t="str">
        <f>IFERROR(VLOOKUP($P33&amp;AV$8,Calc2!$J$4:$L$291,3,0),"")</f>
        <v/>
      </c>
      <c r="AW33" s="121" t="str">
        <f>IFERROR(VLOOKUP($P33&amp;AW$8,Calc2!$J$4:$L$291,3,0),"")</f>
        <v/>
      </c>
      <c r="AX33" s="121" t="str">
        <f>IFERROR(VLOOKUP($P33&amp;AX$8,Calc2!$J$4:$L$291,3,0),"")</f>
        <v/>
      </c>
      <c r="AY33" s="121" t="str">
        <f>IFERROR(VLOOKUP($P33&amp;AY$8,Calc2!$J$4:$L$291,3,0),"")</f>
        <v>1 - 1</v>
      </c>
      <c r="AZ33" s="121" t="str">
        <f>IFERROR(VLOOKUP($P33&amp;AZ$8,Calc2!$J$4:$L$291,3,0),"")</f>
        <v/>
      </c>
      <c r="BA33" s="121" t="str">
        <f>IFERROR(VLOOKUP($P33&amp;BA$8,Calc2!$J$4:$L$291,3,0),"")</f>
        <v/>
      </c>
      <c r="BB33" s="121" t="str">
        <f>IFERROR(VLOOKUP($P33&amp;BB$8,Calc2!$J$4:$L$291,3,0),"")</f>
        <v/>
      </c>
      <c r="BC33" s="121" t="str">
        <f>IFERROR(VLOOKUP($P33&amp;BC$8,Calc2!$J$4:$L$291,3,0),"")</f>
        <v/>
      </c>
      <c r="BD33" s="121" t="str">
        <f>IFERROR(VLOOKUP($P33&amp;BD$8,Calc2!$J$4:$L$291,3,0),"")</f>
        <v/>
      </c>
      <c r="BE33" s="123"/>
      <c r="BF33" s="121" t="str">
        <f>IFERROR(VLOOKUP($P33&amp;BF$8,Calc2!$J$4:$L$291,3,0),"")</f>
        <v/>
      </c>
      <c r="BG33" s="121" t="str">
        <f>IFERROR(VLOOKUP($P33&amp;BG$8,Calc2!$J$4:$L$291,3,0),"")</f>
        <v/>
      </c>
      <c r="BH33" s="121" t="str">
        <f>IFERROR(VLOOKUP($P33&amp;BH$8,Calc2!$J$4:$L$291,3,0),"")</f>
        <v/>
      </c>
      <c r="BI33" s="121" t="str">
        <f>IFERROR(VLOOKUP($P33&amp;BI$8,Calc2!$J$4:$L$291,3,0),"")</f>
        <v/>
      </c>
      <c r="BJ33" s="121" t="str">
        <f>IFERROR(VLOOKUP($P33&amp;BJ$8,Calc2!$J$4:$L$291,3,0),"")</f>
        <v/>
      </c>
      <c r="BK33" s="121" t="str">
        <f>IFERROR(VLOOKUP($P33&amp;BK$8,Calc2!$J$4:$L$291,3,0),"")</f>
        <v/>
      </c>
      <c r="BL33" s="121" t="str">
        <f>IFERROR(VLOOKUP($P33&amp;BL$8,Calc2!$J$4:$L$291,3,0),"")</f>
        <v/>
      </c>
      <c r="BM33" s="286" t="str">
        <f>IFERROR(VLOOKUP($P33&amp;BM$8,Calc2!$J$4:$L$291,3,0),"")</f>
        <v/>
      </c>
      <c r="BN33" s="121" t="str">
        <f>IFERROR(VLOOKUP($P33&amp;BN$8,Calc2!$J$4:$L$291,3,0),"")</f>
        <v/>
      </c>
      <c r="BO33" s="291" t="str">
        <f>IFERROR(VLOOKUP($P33&amp;BO$8,Calc2!$J$4:$L$291,3,0),"")</f>
        <v/>
      </c>
      <c r="BP33" s="124" t="str">
        <f>IFERROR(VLOOKUP($P33&amp;BP$8,Calc2!$J$4:$L$291,3,0),"")</f>
        <v/>
      </c>
    </row>
    <row r="34" spans="2:68" ht="15.95" customHeight="1" x14ac:dyDescent="0.25">
      <c r="B34" s="194"/>
      <c r="C34" s="192">
        <v>26</v>
      </c>
      <c r="D34" s="508">
        <f>IF(Planning!$T32="","",Planning!$T32)</f>
        <v>45953</v>
      </c>
      <c r="E34" s="120">
        <f>IF(Planning!$U32="","",Planning!$U32)</f>
        <v>0.78125</v>
      </c>
      <c r="F34" s="128" t="str">
        <f>Planning!$Q32</f>
        <v>Shkendija Tetovo</v>
      </c>
      <c r="G34" s="129" t="s">
        <v>4</v>
      </c>
      <c r="H34" s="128" t="str">
        <f>Planning!$S32</f>
        <v>FC Shelbourne</v>
      </c>
      <c r="I34" s="130">
        <v>1</v>
      </c>
      <c r="J34" s="381" t="s">
        <v>63</v>
      </c>
      <c r="K34" s="131">
        <v>0</v>
      </c>
      <c r="L34" s="228"/>
      <c r="M34" s="229"/>
      <c r="N34" s="299"/>
      <c r="O34" s="344">
        <f>IF(Calc!$K$40=0,"",IF(VLOOKUP(Calc!B29,Calc!$C$4:$E$39,3,0)=MAX(O$9:O33),VLOOKUP(Calc!B29,Calc!$C$4:$E$39,3,0),Calc!B29))</f>
        <v>26</v>
      </c>
      <c r="P34" s="345" t="str">
        <f>IF(Calc!$K$40=0,Calc2!$C29,VLOOKUP(Calc!B29,Calc!$C$4:$N$39,4,0))</f>
        <v>Lincoln Red Imps Fc</v>
      </c>
      <c r="Q34" s="346">
        <f>IF(Calc!$K$40=0,"",VLOOKUP(Calc!B29,Calc!$C$4:$N$39,9,0))</f>
        <v>6</v>
      </c>
      <c r="R34" s="347">
        <f>IF(Calc!$K$40=0,"",IF($Q34=0,"",VLOOKUP(Calc!B29,Calc!$C$4:$N$39,10,0)))</f>
        <v>2</v>
      </c>
      <c r="S34" s="347">
        <f>IF(Calc!$K$40=0,"",IF($Q34=0,"",VLOOKUP(Calc!B29,Calc!$C$4:$N$39,11,0)))</f>
        <v>1</v>
      </c>
      <c r="T34" s="348">
        <f>IF(Calc!$K$40=0,"",IF($Q34=0,"",VLOOKUP(Calc!B29,Calc!$C$4:$N$39,12,0)))</f>
        <v>3</v>
      </c>
      <c r="U34" s="349">
        <f>IF(Calc!$K$40=0,"",IF($Q34=0,"",VLOOKUP(Calc!B29,Calc!$C$4:$N$39,5,0)))</f>
        <v>7</v>
      </c>
      <c r="V34" s="350" t="str">
        <f>Language!$E$90</f>
        <v xml:space="preserve"> - </v>
      </c>
      <c r="W34" s="351">
        <f>IF(Calc!$K$40=0,"",IF($Q34=0,"",VLOOKUP(Calc!B29,Calc!$C$4:$N$39,6,0)))</f>
        <v>15</v>
      </c>
      <c r="X34" s="352">
        <f>IF(Calc!$K$40=0,"",IF($Q34=0,"",VLOOKUP(Calc!B29,Calc!$C$4:$N$39,7,0)))</f>
        <v>-8</v>
      </c>
      <c r="Y34" s="353">
        <f>IF(Calc!$K$40=0,"",IF($Q34=0,"",VLOOKUP(Calc!B29,Calc!$C$4:$P$39,13,0)))</f>
        <v>2</v>
      </c>
      <c r="Z34" s="353">
        <f>IF(Calc!$K$40=0,"",IF($Q34=0,"",VLOOKUP(Calc!B29,Calc!$C$4:$P$39,14,0)))</f>
        <v>0</v>
      </c>
      <c r="AA34" s="354">
        <f>IF(Calc!$K$40=0,"",IF($Q34=0,"",VLOOKUP(Calc!B29,Calc!$C$4:$N$39,8,0)))</f>
        <v>7</v>
      </c>
      <c r="AB34" s="231" t="str">
        <f>IF(VLOOKUP(Calc!B29,Calc!$C$4:$Q$39,15,0)=0,"",VLOOKUP(Calc!B29,Calc!$C$4:$Q$39,15,0))</f>
        <v/>
      </c>
      <c r="AC34" s="222" t="str">
        <f>IF(IFERROR(VLOOKUP($P34,Planning!$D$7:$E$42,2,0),0)=0,IF(LEN(P34)&gt;Factors!$D$12,LEFT(P34,Factors!$D$12)&amp;".",P34),VLOOKUP($P34,Planning!$D$7:$E$42,2,0))</f>
        <v>Lincoln.</v>
      </c>
      <c r="AD34" s="157"/>
      <c r="AE34" s="160">
        <f t="shared" si="2"/>
        <v>26</v>
      </c>
      <c r="AF34" s="161" t="str">
        <f t="shared" si="3"/>
        <v>Lincoln Red Imps Fc</v>
      </c>
      <c r="AG34" s="122" t="str">
        <f>IFERROR(VLOOKUP($P34&amp;AG$8,Calc2!$J$4:$L$291,3,0),"")</f>
        <v/>
      </c>
      <c r="AH34" s="121" t="str">
        <f>IFERROR(VLOOKUP($P34&amp;AH$8,Calc2!$J$4:$L$291,3,0),"")</f>
        <v/>
      </c>
      <c r="AI34" s="121" t="str">
        <f>IFERROR(VLOOKUP($P34&amp;AI$8,Calc2!$J$4:$L$291,3,0),"")</f>
        <v/>
      </c>
      <c r="AJ34" s="121" t="str">
        <f>IFERROR(VLOOKUP($P34&amp;AJ$8,Calc2!$J$4:$L$291,3,0),"")</f>
        <v/>
      </c>
      <c r="AK34" s="121" t="str">
        <f>IFERROR(VLOOKUP($P34&amp;AK$8,Calc2!$J$4:$L$291,3,0),"")</f>
        <v/>
      </c>
      <c r="AL34" s="121" t="str">
        <f>IFERROR(VLOOKUP($P34&amp;AL$8,Calc2!$J$4:$L$291,3,0),"")</f>
        <v/>
      </c>
      <c r="AM34" s="121" t="str">
        <f>IFERROR(VLOOKUP($P34&amp;AM$8,Calc2!$J$4:$L$291,3,0),"")</f>
        <v/>
      </c>
      <c r="AN34" s="121" t="str">
        <f>IFERROR(VLOOKUP($P34&amp;AN$8,Calc2!$J$4:$L$291,3,0),"")</f>
        <v/>
      </c>
      <c r="AO34" s="121" t="str">
        <f>IFERROR(VLOOKUP($P34&amp;AO$8,Calc2!$J$4:$L$291,3,0),"")</f>
        <v/>
      </c>
      <c r="AP34" s="121" t="str">
        <f>IFERROR(VLOOKUP($P34&amp;AP$8,Calc2!$J$4:$L$291,3,0),"")</f>
        <v>2 - 1</v>
      </c>
      <c r="AQ34" s="121" t="str">
        <f>IFERROR(VLOOKUP($P34&amp;AQ$8,Calc2!$J$4:$L$291,3,0),"")</f>
        <v/>
      </c>
      <c r="AR34" s="121" t="str">
        <f>IFERROR(VLOOKUP($P34&amp;AR$8,Calc2!$J$4:$L$291,3,0),"")</f>
        <v/>
      </c>
      <c r="AS34" s="121" t="str">
        <f>IFERROR(VLOOKUP($P34&amp;AS$8,Calc2!$J$4:$L$291,3,0),"")</f>
        <v/>
      </c>
      <c r="AT34" s="121" t="str">
        <f>IFERROR(VLOOKUP($P34&amp;AT$8,Calc2!$J$4:$L$291,3,0),"")</f>
        <v/>
      </c>
      <c r="AU34" s="121" t="str">
        <f>IFERROR(VLOOKUP($P34&amp;AU$8,Calc2!$J$4:$L$291,3,0),"")</f>
        <v>1 - 1</v>
      </c>
      <c r="AV34" s="121" t="str">
        <f>IFERROR(VLOOKUP($P34&amp;AV$8,Calc2!$J$4:$L$291,3,0),"")</f>
        <v/>
      </c>
      <c r="AW34" s="121" t="str">
        <f>IFERROR(VLOOKUP($P34&amp;AW$8,Calc2!$J$4:$L$291,3,0),"")</f>
        <v/>
      </c>
      <c r="AX34" s="121" t="str">
        <f>IFERROR(VLOOKUP($P34&amp;AX$8,Calc2!$J$4:$L$291,3,0),"")</f>
        <v/>
      </c>
      <c r="AY34" s="121" t="str">
        <f>IFERROR(VLOOKUP($P34&amp;AY$8,Calc2!$J$4:$L$291,3,0),"")</f>
        <v/>
      </c>
      <c r="AZ34" s="121" t="str">
        <f>IFERROR(VLOOKUP($P34&amp;AZ$8,Calc2!$J$4:$L$291,3,0),"")</f>
        <v/>
      </c>
      <c r="BA34" s="121" t="str">
        <f>IFERROR(VLOOKUP($P34&amp;BA$8,Calc2!$J$4:$L$291,3,0),"")</f>
        <v/>
      </c>
      <c r="BB34" s="121" t="str">
        <f>IFERROR(VLOOKUP($P34&amp;BB$8,Calc2!$J$4:$L$291,3,0),"")</f>
        <v/>
      </c>
      <c r="BC34" s="121" t="str">
        <f>IFERROR(VLOOKUP($P34&amp;BC$8,Calc2!$J$4:$L$291,3,0),"")</f>
        <v/>
      </c>
      <c r="BD34" s="121" t="str">
        <f>IFERROR(VLOOKUP($P34&amp;BD$8,Calc2!$J$4:$L$291,3,0),"")</f>
        <v>2 - 1</v>
      </c>
      <c r="BE34" s="121" t="str">
        <f>IFERROR(VLOOKUP($P34&amp;BE$8,Calc2!$J$4:$L$291,3,0),"")</f>
        <v/>
      </c>
      <c r="BF34" s="123"/>
      <c r="BG34" s="121" t="str">
        <f>IFERROR(VLOOKUP($P34&amp;BG$8,Calc2!$J$4:$L$291,3,0),"")</f>
        <v/>
      </c>
      <c r="BH34" s="121" t="str">
        <f>IFERROR(VLOOKUP($P34&amp;BH$8,Calc2!$J$4:$L$291,3,0),"")</f>
        <v/>
      </c>
      <c r="BI34" s="121" t="str">
        <f>IFERROR(VLOOKUP($P34&amp;BI$8,Calc2!$J$4:$L$291,3,0),"")</f>
        <v/>
      </c>
      <c r="BJ34" s="121" t="str">
        <f>IFERROR(VLOOKUP($P34&amp;BJ$8,Calc2!$J$4:$L$291,3,0),"")</f>
        <v/>
      </c>
      <c r="BK34" s="121" t="str">
        <f>IFERROR(VLOOKUP($P34&amp;BK$8,Calc2!$J$4:$L$291,3,0),"")</f>
        <v/>
      </c>
      <c r="BL34" s="121" t="str">
        <f>IFERROR(VLOOKUP($P34&amp;BL$8,Calc2!$J$4:$L$291,3,0),"")</f>
        <v/>
      </c>
      <c r="BM34" s="286" t="str">
        <f>IFERROR(VLOOKUP($P34&amp;BM$8,Calc2!$J$4:$L$291,3,0),"")</f>
        <v/>
      </c>
      <c r="BN34" s="121" t="str">
        <f>IFERROR(VLOOKUP($P34&amp;BN$8,Calc2!$J$4:$L$291,3,0),"")</f>
        <v/>
      </c>
      <c r="BO34" s="291" t="str">
        <f>IFERROR(VLOOKUP($P34&amp;BO$8,Calc2!$J$4:$L$291,3,0),"")</f>
        <v/>
      </c>
      <c r="BP34" s="124" t="str">
        <f>IFERROR(VLOOKUP($P34&amp;BP$8,Calc2!$J$4:$L$291,3,0),"")</f>
        <v/>
      </c>
    </row>
    <row r="35" spans="2:68" ht="15.95" customHeight="1" x14ac:dyDescent="0.25">
      <c r="B35" s="194"/>
      <c r="C35" s="192">
        <v>27</v>
      </c>
      <c r="D35" s="508">
        <f>IF(Planning!$T33="","",Planning!$T33)</f>
        <v>45953</v>
      </c>
      <c r="E35" s="120">
        <f>IF(Planning!$U33="","",Planning!$U33)</f>
        <v>0.78125</v>
      </c>
      <c r="F35" s="128" t="str">
        <f>Planning!$Q33</f>
        <v>BK Häcken</v>
      </c>
      <c r="G35" s="129" t="s">
        <v>4</v>
      </c>
      <c r="H35" s="128" t="str">
        <f>Planning!$S33</f>
        <v>Rayo Vallecano</v>
      </c>
      <c r="I35" s="130">
        <v>2</v>
      </c>
      <c r="J35" s="381" t="s">
        <v>63</v>
      </c>
      <c r="K35" s="131">
        <v>2</v>
      </c>
      <c r="L35" s="228"/>
      <c r="M35" s="229"/>
      <c r="N35" s="299"/>
      <c r="O35" s="344">
        <f>IF(Calc!$K$40=0,"",IF(VLOOKUP(Calc!B30,Calc!$C$4:$E$39,3,0)=MAX(O$9:O34),VLOOKUP(Calc!B30,Calc!$C$4:$E$39,3,0),Calc!B30))</f>
        <v>27</v>
      </c>
      <c r="P35" s="345" t="str">
        <f>IF(Calc!$K$40=0,Calc2!$C30,VLOOKUP(Calc!B30,Calc!$C$4:$N$39,4,0))</f>
        <v>Dynamo Kiew</v>
      </c>
      <c r="Q35" s="346">
        <f>IF(Calc!$K$40=0,"",VLOOKUP(Calc!B30,Calc!$C$4:$N$39,9,0))</f>
        <v>6</v>
      </c>
      <c r="R35" s="347">
        <f>IF(Calc!$K$40=0,"",IF($Q35=0,"",VLOOKUP(Calc!B30,Calc!$C$4:$N$39,10,0)))</f>
        <v>2</v>
      </c>
      <c r="S35" s="347">
        <f>IF(Calc!$K$40=0,"",IF($Q35=0,"",VLOOKUP(Calc!B30,Calc!$C$4:$N$39,11,0)))</f>
        <v>0</v>
      </c>
      <c r="T35" s="348">
        <f>IF(Calc!$K$40=0,"",IF($Q35=0,"",VLOOKUP(Calc!B30,Calc!$C$4:$N$39,12,0)))</f>
        <v>4</v>
      </c>
      <c r="U35" s="349">
        <f>IF(Calc!$K$40=0,"",IF($Q35=0,"",VLOOKUP(Calc!B30,Calc!$C$4:$N$39,5,0)))</f>
        <v>9</v>
      </c>
      <c r="V35" s="350" t="str">
        <f>Language!$E$90</f>
        <v xml:space="preserve"> - </v>
      </c>
      <c r="W35" s="351">
        <f>IF(Calc!$K$40=0,"",IF($Q35=0,"",VLOOKUP(Calc!B30,Calc!$C$4:$N$39,6,0)))</f>
        <v>9</v>
      </c>
      <c r="X35" s="352">
        <f>IF(Calc!$K$40=0,"",IF($Q35=0,"",VLOOKUP(Calc!B30,Calc!$C$4:$N$39,7,0)))</f>
        <v>0</v>
      </c>
      <c r="Y35" s="353">
        <f>IF(Calc!$K$40=0,"",IF($Q35=0,"",VLOOKUP(Calc!B30,Calc!$C$4:$P$39,13,0)))</f>
        <v>1</v>
      </c>
      <c r="Z35" s="353">
        <f>IF(Calc!$K$40=0,"",IF($Q35=0,"",VLOOKUP(Calc!B30,Calc!$C$4:$P$39,14,0)))</f>
        <v>0</v>
      </c>
      <c r="AA35" s="354">
        <f>IF(Calc!$K$40=0,"",IF($Q35=0,"",VLOOKUP(Calc!B30,Calc!$C$4:$N$39,8,0)))</f>
        <v>6</v>
      </c>
      <c r="AB35" s="231" t="str">
        <f>IF(VLOOKUP(Calc!B30,Calc!$C$4:$Q$39,15,0)=0,"",VLOOKUP(Calc!B30,Calc!$C$4:$Q$39,15,0))</f>
        <v/>
      </c>
      <c r="AC35" s="222" t="str">
        <f>IF(IFERROR(VLOOKUP($P35,Planning!$D$7:$E$42,2,0),0)=0,IF(LEN(P35)&gt;Factors!$D$12,LEFT(P35,Factors!$D$12)&amp;".",P35),VLOOKUP($P35,Planning!$D$7:$E$42,2,0))</f>
        <v>Dynamo .</v>
      </c>
      <c r="AD35" s="155"/>
      <c r="AE35" s="160">
        <f t="shared" si="2"/>
        <v>27</v>
      </c>
      <c r="AF35" s="161" t="str">
        <f t="shared" si="3"/>
        <v>Dynamo Kiew</v>
      </c>
      <c r="AG35" s="122" t="str">
        <f>IFERROR(VLOOKUP($P35&amp;AG$8,Calc2!$J$4:$L$291,3,0),"")</f>
        <v/>
      </c>
      <c r="AH35" s="121" t="str">
        <f>IFERROR(VLOOKUP($P35&amp;AH$8,Calc2!$J$4:$L$291,3,0),"")</f>
        <v/>
      </c>
      <c r="AI35" s="121" t="str">
        <f>IFERROR(VLOOKUP($P35&amp;AI$8,Calc2!$J$4:$L$291,3,0),"")</f>
        <v/>
      </c>
      <c r="AJ35" s="121" t="str">
        <f>IFERROR(VLOOKUP($P35&amp;AJ$8,Calc2!$J$4:$L$291,3,0),"")</f>
        <v/>
      </c>
      <c r="AK35" s="121" t="str">
        <f>IFERROR(VLOOKUP($P35&amp;AK$8,Calc2!$J$4:$L$291,3,0),"")</f>
        <v/>
      </c>
      <c r="AL35" s="121" t="str">
        <f>IFERROR(VLOOKUP($P35&amp;AL$8,Calc2!$J$4:$L$291,3,0),"")</f>
        <v/>
      </c>
      <c r="AM35" s="121" t="str">
        <f>IFERROR(VLOOKUP($P35&amp;AM$8,Calc2!$J$4:$L$291,3,0),"")</f>
        <v/>
      </c>
      <c r="AN35" s="121" t="str">
        <f>IFERROR(VLOOKUP($P35&amp;AN$8,Calc2!$J$4:$L$291,3,0),"")</f>
        <v/>
      </c>
      <c r="AO35" s="121" t="str">
        <f>IFERROR(VLOOKUP($P35&amp;AO$8,Calc2!$J$4:$L$291,3,0),"")</f>
        <v>0 - 2</v>
      </c>
      <c r="AP35" s="121" t="str">
        <f>IFERROR(VLOOKUP($P35&amp;AP$8,Calc2!$J$4:$L$291,3,0),"")</f>
        <v/>
      </c>
      <c r="AQ35" s="121" t="str">
        <f>IFERROR(VLOOKUP($P35&amp;AQ$8,Calc2!$J$4:$L$291,3,0),"")</f>
        <v/>
      </c>
      <c r="AR35" s="121" t="str">
        <f>IFERROR(VLOOKUP($P35&amp;AR$8,Calc2!$J$4:$L$291,3,0),"")</f>
        <v/>
      </c>
      <c r="AS35" s="121" t="str">
        <f>IFERROR(VLOOKUP($P35&amp;AS$8,Calc2!$J$4:$L$291,3,0),"")</f>
        <v/>
      </c>
      <c r="AT35" s="121" t="str">
        <f>IFERROR(VLOOKUP($P35&amp;AT$8,Calc2!$J$4:$L$291,3,0),"")</f>
        <v/>
      </c>
      <c r="AU35" s="121" t="str">
        <f>IFERROR(VLOOKUP($P35&amp;AU$8,Calc2!$J$4:$L$291,3,0),"")</f>
        <v/>
      </c>
      <c r="AV35" s="121" t="str">
        <f>IFERROR(VLOOKUP($P35&amp;AV$8,Calc2!$J$4:$L$291,3,0),"")</f>
        <v/>
      </c>
      <c r="AW35" s="121" t="str">
        <f>IFERROR(VLOOKUP($P35&amp;AW$8,Calc2!$J$4:$L$291,3,0),"")</f>
        <v/>
      </c>
      <c r="AX35" s="121" t="str">
        <f>IFERROR(VLOOKUP($P35&amp;AX$8,Calc2!$J$4:$L$291,3,0),"")</f>
        <v/>
      </c>
      <c r="AY35" s="121" t="str">
        <f>IFERROR(VLOOKUP($P35&amp;AY$8,Calc2!$J$4:$L$291,3,0),"")</f>
        <v>2 - 0</v>
      </c>
      <c r="AZ35" s="121" t="str">
        <f>IFERROR(VLOOKUP($P35&amp;AZ$8,Calc2!$J$4:$L$291,3,0),"")</f>
        <v/>
      </c>
      <c r="BA35" s="121" t="str">
        <f>IFERROR(VLOOKUP($P35&amp;BA$8,Calc2!$J$4:$L$291,3,0),"")</f>
        <v/>
      </c>
      <c r="BB35" s="121" t="str">
        <f>IFERROR(VLOOKUP($P35&amp;BB$8,Calc2!$J$4:$L$291,3,0),"")</f>
        <v/>
      </c>
      <c r="BC35" s="121" t="str">
        <f>IFERROR(VLOOKUP($P35&amp;BC$8,Calc2!$J$4:$L$291,3,0),"")</f>
        <v>6 - 0</v>
      </c>
      <c r="BD35" s="121" t="str">
        <f>IFERROR(VLOOKUP($P35&amp;BD$8,Calc2!$J$4:$L$291,3,0),"")</f>
        <v/>
      </c>
      <c r="BE35" s="121" t="str">
        <f>IFERROR(VLOOKUP($P35&amp;BE$8,Calc2!$J$4:$L$291,3,0),"")</f>
        <v/>
      </c>
      <c r="BF35" s="121" t="str">
        <f>IFERROR(VLOOKUP($P35&amp;BF$8,Calc2!$J$4:$L$291,3,0),"")</f>
        <v/>
      </c>
      <c r="BG35" s="123"/>
      <c r="BH35" s="121" t="str">
        <f>IFERROR(VLOOKUP($P35&amp;BH$8,Calc2!$J$4:$L$291,3,0),"")</f>
        <v/>
      </c>
      <c r="BI35" s="121" t="str">
        <f>IFERROR(VLOOKUP($P35&amp;BI$8,Calc2!$J$4:$L$291,3,0),"")</f>
        <v/>
      </c>
      <c r="BJ35" s="121" t="str">
        <f>IFERROR(VLOOKUP($P35&amp;BJ$8,Calc2!$J$4:$L$291,3,0),"")</f>
        <v/>
      </c>
      <c r="BK35" s="121" t="str">
        <f>IFERROR(VLOOKUP($P35&amp;BK$8,Calc2!$J$4:$L$291,3,0),"")</f>
        <v/>
      </c>
      <c r="BL35" s="121" t="str">
        <f>IFERROR(VLOOKUP($P35&amp;BL$8,Calc2!$J$4:$L$291,3,0),"")</f>
        <v/>
      </c>
      <c r="BM35" s="286" t="str">
        <f>IFERROR(VLOOKUP($P35&amp;BM$8,Calc2!$J$4:$L$291,3,0),"")</f>
        <v/>
      </c>
      <c r="BN35" s="121" t="str">
        <f>IFERROR(VLOOKUP($P35&amp;BN$8,Calc2!$J$4:$L$291,3,0),"")</f>
        <v/>
      </c>
      <c r="BO35" s="291" t="str">
        <f>IFERROR(VLOOKUP($P35&amp;BO$8,Calc2!$J$4:$L$291,3,0),"")</f>
        <v/>
      </c>
      <c r="BP35" s="124" t="str">
        <f>IFERROR(VLOOKUP($P35&amp;BP$8,Calc2!$J$4:$L$291,3,0),"")</f>
        <v/>
      </c>
    </row>
    <row r="36" spans="2:68" ht="15.95" customHeight="1" x14ac:dyDescent="0.25">
      <c r="B36" s="194"/>
      <c r="C36" s="192">
        <v>28</v>
      </c>
      <c r="D36" s="508">
        <f>IF(Planning!$T34="","",Planning!$T34)</f>
        <v>45953</v>
      </c>
      <c r="E36" s="120">
        <f>IF(Planning!$U34="","",Planning!$U34)</f>
        <v>0.875</v>
      </c>
      <c r="F36" s="128" t="str">
        <f>Planning!$Q34</f>
        <v>AZ Alkmaar</v>
      </c>
      <c r="G36" s="129" t="s">
        <v>4</v>
      </c>
      <c r="H36" s="128" t="str">
        <f>Planning!$S34</f>
        <v>Slovan Bratislava</v>
      </c>
      <c r="I36" s="130">
        <v>1</v>
      </c>
      <c r="J36" s="381" t="str">
        <f>Language!$E$90</f>
        <v xml:space="preserve"> - </v>
      </c>
      <c r="K36" s="131">
        <v>0</v>
      </c>
      <c r="L36" s="228"/>
      <c r="M36" s="229"/>
      <c r="N36" s="299"/>
      <c r="O36" s="344">
        <f>IF(Calc!$K$40=0,"",IF(VLOOKUP(Calc!B31,Calc!$C$4:$E$39,3,0)=MAX(O$9:O35),VLOOKUP(Calc!B31,Calc!$C$4:$E$39,3,0),Calc!B31))</f>
        <v>28</v>
      </c>
      <c r="P36" s="345" t="str">
        <f>IF(Calc!$K$40=0,Calc2!$C31,VLOOKUP(Calc!B31,Calc!$C$4:$N$39,4,0))</f>
        <v>Legia Warschau</v>
      </c>
      <c r="Q36" s="346">
        <f>IF(Calc!$K$40=0,"",VLOOKUP(Calc!B31,Calc!$C$4:$N$39,9,0))</f>
        <v>6</v>
      </c>
      <c r="R36" s="347">
        <f>IF(Calc!$K$40=0,"",IF($Q36=0,"",VLOOKUP(Calc!B31,Calc!$C$4:$N$39,10,0)))</f>
        <v>2</v>
      </c>
      <c r="S36" s="347">
        <f>IF(Calc!$K$40=0,"",IF($Q36=0,"",VLOOKUP(Calc!B31,Calc!$C$4:$N$39,11,0)))</f>
        <v>0</v>
      </c>
      <c r="T36" s="348">
        <f>IF(Calc!$K$40=0,"",IF($Q36=0,"",VLOOKUP(Calc!B31,Calc!$C$4:$N$39,12,0)))</f>
        <v>4</v>
      </c>
      <c r="U36" s="349">
        <f>IF(Calc!$K$40=0,"",IF($Q36=0,"",VLOOKUP(Calc!B31,Calc!$C$4:$N$39,5,0)))</f>
        <v>8</v>
      </c>
      <c r="V36" s="350" t="str">
        <f>Language!$E$90</f>
        <v xml:space="preserve"> - </v>
      </c>
      <c r="W36" s="351">
        <f>IF(Calc!$K$40=0,"",IF($Q36=0,"",VLOOKUP(Calc!B31,Calc!$C$4:$N$39,6,0)))</f>
        <v>8</v>
      </c>
      <c r="X36" s="352">
        <f>IF(Calc!$K$40=0,"",IF($Q36=0,"",VLOOKUP(Calc!B31,Calc!$C$4:$N$39,7,0)))</f>
        <v>0</v>
      </c>
      <c r="Y36" s="353">
        <f>IF(Calc!$K$40=0,"",IF($Q36=0,"",VLOOKUP(Calc!B31,Calc!$C$4:$P$39,13,0)))</f>
        <v>4</v>
      </c>
      <c r="Z36" s="353">
        <f>IF(Calc!$K$40=0,"",IF($Q36=0,"",VLOOKUP(Calc!B31,Calc!$C$4:$P$39,14,0)))</f>
        <v>1</v>
      </c>
      <c r="AA36" s="354">
        <f>IF(Calc!$K$40=0,"",IF($Q36=0,"",VLOOKUP(Calc!B31,Calc!$C$4:$N$39,8,0)))</f>
        <v>6</v>
      </c>
      <c r="AB36" s="231" t="str">
        <f>IF(VLOOKUP(Calc!B31,Calc!$C$4:$Q$39,15,0)=0,"",VLOOKUP(Calc!B31,Calc!$C$4:$Q$39,15,0))</f>
        <v/>
      </c>
      <c r="AC36" s="222" t="str">
        <f>IF(IFERROR(VLOOKUP($P36,Planning!$D$7:$E$42,2,0),0)=0,IF(LEN(P36)&gt;Factors!$D$12,LEFT(P36,Factors!$D$12)&amp;".",P36),VLOOKUP($P36,Planning!$D$7:$E$42,2,0))</f>
        <v>Legia W.</v>
      </c>
      <c r="AD36" s="116"/>
      <c r="AE36" s="160">
        <f t="shared" si="2"/>
        <v>28</v>
      </c>
      <c r="AF36" s="161" t="str">
        <f t="shared" si="3"/>
        <v>Legia Warschau</v>
      </c>
      <c r="AG36" s="122" t="str">
        <f>IFERROR(VLOOKUP($P36&amp;AG$8,Calc2!$J$4:$L$291,3,0),"")</f>
        <v/>
      </c>
      <c r="AH36" s="121" t="str">
        <f>IFERROR(VLOOKUP($P36&amp;AH$8,Calc2!$J$4:$L$291,3,0),"")</f>
        <v/>
      </c>
      <c r="AI36" s="121" t="str">
        <f>IFERROR(VLOOKUP($P36&amp;AI$8,Calc2!$J$4:$L$291,3,0),"")</f>
        <v/>
      </c>
      <c r="AJ36" s="121" t="str">
        <f>IFERROR(VLOOKUP($P36&amp;AJ$8,Calc2!$J$4:$L$291,3,0),"")</f>
        <v>0 - 1</v>
      </c>
      <c r="AK36" s="121" t="str">
        <f>IFERROR(VLOOKUP($P36&amp;AK$8,Calc2!$J$4:$L$291,3,0),"")</f>
        <v/>
      </c>
      <c r="AL36" s="121" t="str">
        <f>IFERROR(VLOOKUP($P36&amp;AL$8,Calc2!$J$4:$L$291,3,0),"")</f>
        <v/>
      </c>
      <c r="AM36" s="121" t="str">
        <f>IFERROR(VLOOKUP($P36&amp;AM$8,Calc2!$J$4:$L$291,3,0),"")</f>
        <v/>
      </c>
      <c r="AN36" s="121" t="str">
        <f>IFERROR(VLOOKUP($P36&amp;AN$8,Calc2!$J$4:$L$291,3,0),"")</f>
        <v/>
      </c>
      <c r="AO36" s="121" t="str">
        <f>IFERROR(VLOOKUP($P36&amp;AO$8,Calc2!$J$4:$L$291,3,0),"")</f>
        <v/>
      </c>
      <c r="AP36" s="121" t="str">
        <f>IFERROR(VLOOKUP($P36&amp;AP$8,Calc2!$J$4:$L$291,3,0),"")</f>
        <v/>
      </c>
      <c r="AQ36" s="121" t="str">
        <f>IFERROR(VLOOKUP($P36&amp;AQ$8,Calc2!$J$4:$L$291,3,0),"")</f>
        <v>0 - 1</v>
      </c>
      <c r="AR36" s="121" t="str">
        <f>IFERROR(VLOOKUP($P36&amp;AR$8,Calc2!$J$4:$L$291,3,0),"")</f>
        <v/>
      </c>
      <c r="AS36" s="121" t="str">
        <f>IFERROR(VLOOKUP($P36&amp;AS$8,Calc2!$J$4:$L$291,3,0),"")</f>
        <v/>
      </c>
      <c r="AT36" s="121" t="str">
        <f>IFERROR(VLOOKUP($P36&amp;AT$8,Calc2!$J$4:$L$291,3,0),"")</f>
        <v/>
      </c>
      <c r="AU36" s="121" t="str">
        <f>IFERROR(VLOOKUP($P36&amp;AU$8,Calc2!$J$4:$L$291,3,0),"")</f>
        <v/>
      </c>
      <c r="AV36" s="121" t="str">
        <f>IFERROR(VLOOKUP($P36&amp;AV$8,Calc2!$J$4:$L$291,3,0),"")</f>
        <v/>
      </c>
      <c r="AW36" s="121" t="str">
        <f>IFERROR(VLOOKUP($P36&amp;AW$8,Calc2!$J$4:$L$291,3,0),"")</f>
        <v/>
      </c>
      <c r="AX36" s="121" t="str">
        <f>IFERROR(VLOOKUP($P36&amp;AX$8,Calc2!$J$4:$L$291,3,0),"")</f>
        <v/>
      </c>
      <c r="AY36" s="121" t="str">
        <f>IFERROR(VLOOKUP($P36&amp;AY$8,Calc2!$J$4:$L$291,3,0),"")</f>
        <v/>
      </c>
      <c r="AZ36" s="121" t="str">
        <f>IFERROR(VLOOKUP($P36&amp;AZ$8,Calc2!$J$4:$L$291,3,0),"")</f>
        <v/>
      </c>
      <c r="BA36" s="121" t="str">
        <f>IFERROR(VLOOKUP($P36&amp;BA$8,Calc2!$J$4:$L$291,3,0),"")</f>
        <v/>
      </c>
      <c r="BB36" s="121" t="str">
        <f>IFERROR(VLOOKUP($P36&amp;BB$8,Calc2!$J$4:$L$291,3,0),"")</f>
        <v/>
      </c>
      <c r="BC36" s="121" t="str">
        <f>IFERROR(VLOOKUP($P36&amp;BC$8,Calc2!$J$4:$L$291,3,0),"")</f>
        <v/>
      </c>
      <c r="BD36" s="121" t="str">
        <f>IFERROR(VLOOKUP($P36&amp;BD$8,Calc2!$J$4:$L$291,3,0),"")</f>
        <v/>
      </c>
      <c r="BE36" s="121" t="str">
        <f>IFERROR(VLOOKUP($P36&amp;BE$8,Calc2!$J$4:$L$291,3,0),"")</f>
        <v/>
      </c>
      <c r="BF36" s="121" t="str">
        <f>IFERROR(VLOOKUP($P36&amp;BF$8,Calc2!$J$4:$L$291,3,0),"")</f>
        <v>4 - 1</v>
      </c>
      <c r="BG36" s="121" t="str">
        <f>IFERROR(VLOOKUP($P36&amp;BG$8,Calc2!$J$4:$L$291,3,0),"")</f>
        <v/>
      </c>
      <c r="BH36" s="123"/>
      <c r="BI36" s="121" t="str">
        <f>IFERROR(VLOOKUP($P36&amp;BI$8,Calc2!$J$4:$L$291,3,0),"")</f>
        <v/>
      </c>
      <c r="BJ36" s="121" t="str">
        <f>IFERROR(VLOOKUP($P36&amp;BJ$8,Calc2!$J$4:$L$291,3,0),"")</f>
        <v/>
      </c>
      <c r="BK36" s="121" t="str">
        <f>IFERROR(VLOOKUP($P36&amp;BK$8,Calc2!$J$4:$L$291,3,0),"")</f>
        <v/>
      </c>
      <c r="BL36" s="121" t="str">
        <f>IFERROR(VLOOKUP($P36&amp;BL$8,Calc2!$J$4:$L$291,3,0),"")</f>
        <v/>
      </c>
      <c r="BM36" s="286" t="str">
        <f>IFERROR(VLOOKUP($P36&amp;BM$8,Calc2!$J$4:$L$291,3,0),"")</f>
        <v/>
      </c>
      <c r="BN36" s="121" t="str">
        <f>IFERROR(VLOOKUP($P36&amp;BN$8,Calc2!$J$4:$L$291,3,0),"")</f>
        <v/>
      </c>
      <c r="BO36" s="291" t="str">
        <f>IFERROR(VLOOKUP($P36&amp;BO$8,Calc2!$J$4:$L$291,3,0),"")</f>
        <v/>
      </c>
      <c r="BP36" s="124" t="str">
        <f>IFERROR(VLOOKUP($P36&amp;BP$8,Calc2!$J$4:$L$291,3,0),"")</f>
        <v/>
      </c>
    </row>
    <row r="37" spans="2:68" ht="15.95" customHeight="1" x14ac:dyDescent="0.25">
      <c r="B37" s="194"/>
      <c r="C37" s="192">
        <v>29</v>
      </c>
      <c r="D37" s="508">
        <f>IF(Planning!$T35="","",Planning!$T35)</f>
        <v>45953</v>
      </c>
      <c r="E37" s="120">
        <f>IF(Planning!$U35="","",Planning!$U35)</f>
        <v>0.875</v>
      </c>
      <c r="F37" s="128" t="str">
        <f>Planning!$Q35</f>
        <v>Crystal Palace</v>
      </c>
      <c r="G37" s="129" t="s">
        <v>4</v>
      </c>
      <c r="H37" s="128" t="str">
        <f>Planning!$S35</f>
        <v>AEK Larnaka</v>
      </c>
      <c r="I37" s="130">
        <v>0</v>
      </c>
      <c r="J37" s="381" t="str">
        <f>Language!$E$90</f>
        <v xml:space="preserve"> - </v>
      </c>
      <c r="K37" s="131">
        <v>1</v>
      </c>
      <c r="L37" s="228"/>
      <c r="M37" s="229"/>
      <c r="N37" s="299"/>
      <c r="O37" s="344">
        <f>IF(Calc!$K$40=0,"",IF(VLOOKUP(Calc!B32,Calc!$C$4:$E$39,3,0)=MAX(O$9:O36),VLOOKUP(Calc!B32,Calc!$C$4:$E$39,3,0),Calc!B32))</f>
        <v>29</v>
      </c>
      <c r="P37" s="345" t="str">
        <f>IF(Calc!$K$40=0,Calc2!$C32,VLOOKUP(Calc!B32,Calc!$C$4:$N$39,4,0))</f>
        <v>Slovan Bratislava</v>
      </c>
      <c r="Q37" s="346">
        <f>IF(Calc!$K$40=0,"",VLOOKUP(Calc!B32,Calc!$C$4:$N$39,9,0))</f>
        <v>6</v>
      </c>
      <c r="R37" s="347">
        <f>IF(Calc!$K$40=0,"",IF($Q37=0,"",VLOOKUP(Calc!B32,Calc!$C$4:$N$39,10,0)))</f>
        <v>2</v>
      </c>
      <c r="S37" s="347">
        <f>IF(Calc!$K$40=0,"",IF($Q37=0,"",VLOOKUP(Calc!B32,Calc!$C$4:$N$39,11,0)))</f>
        <v>0</v>
      </c>
      <c r="T37" s="348">
        <f>IF(Calc!$K$40=0,"",IF($Q37=0,"",VLOOKUP(Calc!B32,Calc!$C$4:$N$39,12,0)))</f>
        <v>4</v>
      </c>
      <c r="U37" s="349">
        <f>IF(Calc!$K$40=0,"",IF($Q37=0,"",VLOOKUP(Calc!B32,Calc!$C$4:$N$39,5,0)))</f>
        <v>5</v>
      </c>
      <c r="V37" s="350" t="str">
        <f>Language!$E$90</f>
        <v xml:space="preserve"> - </v>
      </c>
      <c r="W37" s="351">
        <f>IF(Calc!$K$40=0,"",IF($Q37=0,"",VLOOKUP(Calc!B32,Calc!$C$4:$N$39,6,0)))</f>
        <v>9</v>
      </c>
      <c r="X37" s="352">
        <f>IF(Calc!$K$40=0,"",IF($Q37=0,"",VLOOKUP(Calc!B32,Calc!$C$4:$N$39,7,0)))</f>
        <v>-4</v>
      </c>
      <c r="Y37" s="353">
        <f>IF(Calc!$K$40=0,"",IF($Q37=0,"",VLOOKUP(Calc!B32,Calc!$C$4:$P$39,13,0)))</f>
        <v>1</v>
      </c>
      <c r="Z37" s="353">
        <f>IF(Calc!$K$40=0,"",IF($Q37=0,"",VLOOKUP(Calc!B32,Calc!$C$4:$P$39,14,0)))</f>
        <v>0</v>
      </c>
      <c r="AA37" s="354">
        <f>IF(Calc!$K$40=0,"",IF($Q37=0,"",VLOOKUP(Calc!B32,Calc!$C$4:$N$39,8,0)))</f>
        <v>6</v>
      </c>
      <c r="AB37" s="231" t="str">
        <f>IF(VLOOKUP(Calc!B32,Calc!$C$4:$Q$39,15,0)=0,"",VLOOKUP(Calc!B32,Calc!$C$4:$Q$39,15,0))</f>
        <v/>
      </c>
      <c r="AC37" s="222" t="str">
        <f>IF(IFERROR(VLOOKUP($P37,Planning!$D$7:$E$42,2,0),0)=0,IF(LEN(P37)&gt;Factors!$D$12,LEFT(P37,Factors!$D$12)&amp;".",P37),VLOOKUP($P37,Planning!$D$7:$E$42,2,0))</f>
        <v>Slovan .</v>
      </c>
      <c r="AD37" s="143"/>
      <c r="AE37" s="160">
        <f t="shared" si="2"/>
        <v>29</v>
      </c>
      <c r="AF37" s="161" t="str">
        <f t="shared" si="3"/>
        <v>Slovan Bratislava</v>
      </c>
      <c r="AG37" s="122" t="str">
        <f>IFERROR(VLOOKUP($P37&amp;AG$8,Calc2!$J$4:$L$291,3,0),"")</f>
        <v>1 - 2</v>
      </c>
      <c r="AH37" s="121" t="str">
        <f>IFERROR(VLOOKUP($P37&amp;AH$8,Calc2!$J$4:$L$291,3,0),"")</f>
        <v/>
      </c>
      <c r="AI37" s="121" t="str">
        <f>IFERROR(VLOOKUP($P37&amp;AI$8,Calc2!$J$4:$L$291,3,0),"")</f>
        <v/>
      </c>
      <c r="AJ37" s="121" t="str">
        <f>IFERROR(VLOOKUP($P37&amp;AJ$8,Calc2!$J$4:$L$291,3,0),"")</f>
        <v/>
      </c>
      <c r="AK37" s="121" t="str">
        <f>IFERROR(VLOOKUP($P37&amp;AK$8,Calc2!$J$4:$L$291,3,0),"")</f>
        <v>2 - 1</v>
      </c>
      <c r="AL37" s="121" t="str">
        <f>IFERROR(VLOOKUP($P37&amp;AL$8,Calc2!$J$4:$L$291,3,0),"")</f>
        <v/>
      </c>
      <c r="AM37" s="121" t="str">
        <f>IFERROR(VLOOKUP($P37&amp;AM$8,Calc2!$J$4:$L$291,3,0),"")</f>
        <v/>
      </c>
      <c r="AN37" s="121" t="str">
        <f>IFERROR(VLOOKUP($P37&amp;AN$8,Calc2!$J$4:$L$291,3,0),"")</f>
        <v/>
      </c>
      <c r="AO37" s="121" t="str">
        <f>IFERROR(VLOOKUP($P37&amp;AO$8,Calc2!$J$4:$L$291,3,0),"")</f>
        <v/>
      </c>
      <c r="AP37" s="121" t="str">
        <f>IFERROR(VLOOKUP($P37&amp;AP$8,Calc2!$J$4:$L$291,3,0),"")</f>
        <v/>
      </c>
      <c r="AQ37" s="121" t="str">
        <f>IFERROR(VLOOKUP($P37&amp;AQ$8,Calc2!$J$4:$L$291,3,0),"")</f>
        <v/>
      </c>
      <c r="AR37" s="121" t="str">
        <f>IFERROR(VLOOKUP($P37&amp;AR$8,Calc2!$J$4:$L$291,3,0),"")</f>
        <v/>
      </c>
      <c r="AS37" s="121" t="str">
        <f>IFERROR(VLOOKUP($P37&amp;AS$8,Calc2!$J$4:$L$291,3,0),"")</f>
        <v/>
      </c>
      <c r="AT37" s="121" t="str">
        <f>IFERROR(VLOOKUP($P37&amp;AT$8,Calc2!$J$4:$L$291,3,0),"")</f>
        <v/>
      </c>
      <c r="AU37" s="121" t="str">
        <f>IFERROR(VLOOKUP($P37&amp;AU$8,Calc2!$J$4:$L$291,3,0),"")</f>
        <v/>
      </c>
      <c r="AV37" s="121" t="str">
        <f>IFERROR(VLOOKUP($P37&amp;AV$8,Calc2!$J$4:$L$291,3,0),"")</f>
        <v/>
      </c>
      <c r="AW37" s="121" t="str">
        <f>IFERROR(VLOOKUP($P37&amp;AW$8,Calc2!$J$4:$L$291,3,0),"")</f>
        <v/>
      </c>
      <c r="AX37" s="121" t="str">
        <f>IFERROR(VLOOKUP($P37&amp;AX$8,Calc2!$J$4:$L$291,3,0),"")</f>
        <v/>
      </c>
      <c r="AY37" s="121" t="str">
        <f>IFERROR(VLOOKUP($P37&amp;AY$8,Calc2!$J$4:$L$291,3,0),"")</f>
        <v/>
      </c>
      <c r="AZ37" s="121" t="str">
        <f>IFERROR(VLOOKUP($P37&amp;AZ$8,Calc2!$J$4:$L$291,3,0),"")</f>
        <v/>
      </c>
      <c r="BA37" s="121" t="str">
        <f>IFERROR(VLOOKUP($P37&amp;BA$8,Calc2!$J$4:$L$291,3,0),"")</f>
        <v/>
      </c>
      <c r="BB37" s="121" t="str">
        <f>IFERROR(VLOOKUP($P37&amp;BB$8,Calc2!$J$4:$L$291,3,0),"")</f>
        <v/>
      </c>
      <c r="BC37" s="121" t="str">
        <f>IFERROR(VLOOKUP($P37&amp;BC$8,Calc2!$J$4:$L$291,3,0),"")</f>
        <v/>
      </c>
      <c r="BD37" s="121" t="str">
        <f>IFERROR(VLOOKUP($P37&amp;BD$8,Calc2!$J$4:$L$291,3,0),"")</f>
        <v/>
      </c>
      <c r="BE37" s="121" t="str">
        <f>IFERROR(VLOOKUP($P37&amp;BE$8,Calc2!$J$4:$L$291,3,0),"")</f>
        <v/>
      </c>
      <c r="BF37" s="121" t="str">
        <f>IFERROR(VLOOKUP($P37&amp;BF$8,Calc2!$J$4:$L$291,3,0),"")</f>
        <v/>
      </c>
      <c r="BG37" s="121" t="str">
        <f>IFERROR(VLOOKUP($P37&amp;BG$8,Calc2!$J$4:$L$291,3,0),"")</f>
        <v/>
      </c>
      <c r="BH37" s="121" t="str">
        <f>IFERROR(VLOOKUP($P37&amp;BH$8,Calc2!$J$4:$L$291,3,0),"")</f>
        <v/>
      </c>
      <c r="BI37" s="123"/>
      <c r="BJ37" s="121" t="str">
        <f>IFERROR(VLOOKUP($P37&amp;BJ$8,Calc2!$J$4:$L$291,3,0),"")</f>
        <v/>
      </c>
      <c r="BK37" s="121" t="str">
        <f>IFERROR(VLOOKUP($P37&amp;BK$8,Calc2!$J$4:$L$291,3,0),"")</f>
        <v/>
      </c>
      <c r="BL37" s="121" t="str">
        <f>IFERROR(VLOOKUP($P37&amp;BL$8,Calc2!$J$4:$L$291,3,0),"")</f>
        <v/>
      </c>
      <c r="BM37" s="286" t="str">
        <f>IFERROR(VLOOKUP($P37&amp;BM$8,Calc2!$J$4:$L$291,3,0),"")</f>
        <v>1 - 0</v>
      </c>
      <c r="BN37" s="121" t="str">
        <f>IFERROR(VLOOKUP($P37&amp;BN$8,Calc2!$J$4:$L$291,3,0),"")</f>
        <v/>
      </c>
      <c r="BO37" s="291" t="str">
        <f>IFERROR(VLOOKUP($P37&amp;BO$8,Calc2!$J$4:$L$291,3,0),"")</f>
        <v/>
      </c>
      <c r="BP37" s="124" t="str">
        <f>IFERROR(VLOOKUP($P37&amp;BP$8,Calc2!$J$4:$L$291,3,0),"")</f>
        <v/>
      </c>
    </row>
    <row r="38" spans="2:68" ht="15.95" customHeight="1" x14ac:dyDescent="0.25">
      <c r="B38" s="194"/>
      <c r="C38" s="192">
        <v>30</v>
      </c>
      <c r="D38" s="508">
        <f>IF(Planning!$T36="","",Planning!$T36)</f>
        <v>45953</v>
      </c>
      <c r="E38" s="120">
        <f>IF(Planning!$U36="","",Planning!$U36)</f>
        <v>0.875</v>
      </c>
      <c r="F38" s="128" t="str">
        <f>Planning!$Q36</f>
        <v>Shamrock Rovers</v>
      </c>
      <c r="G38" s="129" t="s">
        <v>4</v>
      </c>
      <c r="H38" s="128" t="str">
        <f>Planning!$S36</f>
        <v>NK Celje</v>
      </c>
      <c r="I38" s="130">
        <v>0</v>
      </c>
      <c r="J38" s="381" t="str">
        <f>Language!$E$90</f>
        <v xml:space="preserve"> - </v>
      </c>
      <c r="K38" s="131">
        <v>2</v>
      </c>
      <c r="L38" s="228"/>
      <c r="M38" s="229"/>
      <c r="N38" s="299"/>
      <c r="O38" s="344">
        <f>IF(Calc!$K$40=0,"",IF(VLOOKUP(Calc!B33,Calc!$C$4:$E$39,3,0)=MAX(O$9:O37),VLOOKUP(Calc!B33,Calc!$C$4:$E$39,3,0),Calc!B33))</f>
        <v>30</v>
      </c>
      <c r="P38" s="345" t="str">
        <f>IF(Calc!$K$40=0,Calc2!$C33,VLOOKUP(Calc!B33,Calc!$C$4:$N$39,4,0))</f>
        <v>UMF Breidablik</v>
      </c>
      <c r="Q38" s="346">
        <f>IF(Calc!$K$40=0,"",VLOOKUP(Calc!B33,Calc!$C$4:$N$39,9,0))</f>
        <v>6</v>
      </c>
      <c r="R38" s="347">
        <f>IF(Calc!$K$40=0,"",IF($Q38=0,"",VLOOKUP(Calc!B33,Calc!$C$4:$N$39,10,0)))</f>
        <v>1</v>
      </c>
      <c r="S38" s="347">
        <f>IF(Calc!$K$40=0,"",IF($Q38=0,"",VLOOKUP(Calc!B33,Calc!$C$4:$N$39,11,0)))</f>
        <v>2</v>
      </c>
      <c r="T38" s="348">
        <f>IF(Calc!$K$40=0,"",IF($Q38=0,"",VLOOKUP(Calc!B33,Calc!$C$4:$N$39,12,0)))</f>
        <v>3</v>
      </c>
      <c r="U38" s="349">
        <f>IF(Calc!$K$40=0,"",IF($Q38=0,"",VLOOKUP(Calc!B33,Calc!$C$4:$N$39,5,0)))</f>
        <v>6</v>
      </c>
      <c r="V38" s="350" t="str">
        <f>Language!$E$90</f>
        <v xml:space="preserve"> - </v>
      </c>
      <c r="W38" s="351">
        <f>IF(Calc!$K$40=0,"",IF($Q38=0,"",VLOOKUP(Calc!B33,Calc!$C$4:$N$39,6,0)))</f>
        <v>11</v>
      </c>
      <c r="X38" s="352">
        <f>IF(Calc!$K$40=0,"",IF($Q38=0,"",VLOOKUP(Calc!B33,Calc!$C$4:$N$39,7,0)))</f>
        <v>-5</v>
      </c>
      <c r="Y38" s="353">
        <f>IF(Calc!$K$40=0,"",IF($Q38=0,"",VLOOKUP(Calc!B33,Calc!$C$4:$P$39,13,0)))</f>
        <v>1</v>
      </c>
      <c r="Z38" s="353">
        <f>IF(Calc!$K$40=0,"",IF($Q38=0,"",VLOOKUP(Calc!B33,Calc!$C$4:$P$39,14,0)))</f>
        <v>0</v>
      </c>
      <c r="AA38" s="354">
        <f>IF(Calc!$K$40=0,"",IF($Q38=0,"",VLOOKUP(Calc!B33,Calc!$C$4:$N$39,8,0)))</f>
        <v>5</v>
      </c>
      <c r="AB38" s="231" t="str">
        <f>IF(VLOOKUP(Calc!B33,Calc!$C$4:$Q$39,15,0)=0,"",VLOOKUP(Calc!B33,Calc!$C$4:$Q$39,15,0))</f>
        <v/>
      </c>
      <c r="AC38" s="222" t="str">
        <f>IF(IFERROR(VLOOKUP($P38,Planning!$D$7:$E$42,2,0),0)=0,IF(LEN(P38)&gt;Factors!$D$12,LEFT(P38,Factors!$D$12)&amp;".",P38),VLOOKUP($P38,Planning!$D$7:$E$42,2,0))</f>
        <v>UMF Bre.</v>
      </c>
      <c r="AD38" s="143"/>
      <c r="AE38" s="160">
        <f t="shared" si="2"/>
        <v>30</v>
      </c>
      <c r="AF38" s="161" t="str">
        <f t="shared" si="3"/>
        <v>UMF Breidablik</v>
      </c>
      <c r="AG38" s="122" t="str">
        <f>IFERROR(VLOOKUP($P38&amp;AG$8,Calc2!$J$4:$L$291,3,0),"")</f>
        <v/>
      </c>
      <c r="AH38" s="121" t="str">
        <f>IFERROR(VLOOKUP($P38&amp;AH$8,Calc2!$J$4:$L$291,3,0),"")</f>
        <v/>
      </c>
      <c r="AI38" s="121" t="str">
        <f>IFERROR(VLOOKUP($P38&amp;AI$8,Calc2!$J$4:$L$291,3,0),"")</f>
        <v/>
      </c>
      <c r="AJ38" s="121" t="str">
        <f>IFERROR(VLOOKUP($P38&amp;AJ$8,Calc2!$J$4:$L$291,3,0),"")</f>
        <v/>
      </c>
      <c r="AK38" s="121" t="str">
        <f>IFERROR(VLOOKUP($P38&amp;AK$8,Calc2!$J$4:$L$291,3,0),"")</f>
        <v/>
      </c>
      <c r="AL38" s="121" t="str">
        <f>IFERROR(VLOOKUP($P38&amp;AL$8,Calc2!$J$4:$L$291,3,0),"")</f>
        <v/>
      </c>
      <c r="AM38" s="121" t="str">
        <f>IFERROR(VLOOKUP($P38&amp;AM$8,Calc2!$J$4:$L$291,3,0),"")</f>
        <v/>
      </c>
      <c r="AN38" s="121" t="str">
        <f>IFERROR(VLOOKUP($P38&amp;AN$8,Calc2!$J$4:$L$291,3,0),"")</f>
        <v/>
      </c>
      <c r="AO38" s="121" t="str">
        <f>IFERROR(VLOOKUP($P38&amp;AO$8,Calc2!$J$4:$L$291,3,0),"")</f>
        <v/>
      </c>
      <c r="AP38" s="121" t="str">
        <f>IFERROR(VLOOKUP($P38&amp;AP$8,Calc2!$J$4:$L$291,3,0),"")</f>
        <v/>
      </c>
      <c r="AQ38" s="121" t="str">
        <f>IFERROR(VLOOKUP($P38&amp;AQ$8,Calc2!$J$4:$L$291,3,0),"")</f>
        <v>2 - 2</v>
      </c>
      <c r="AR38" s="121" t="str">
        <f>IFERROR(VLOOKUP($P38&amp;AR$8,Calc2!$J$4:$L$291,3,0),"")</f>
        <v/>
      </c>
      <c r="AS38" s="121" t="str">
        <f>IFERROR(VLOOKUP($P38&amp;AS$8,Calc2!$J$4:$L$291,3,0),"")</f>
        <v/>
      </c>
      <c r="AT38" s="121" t="str">
        <f>IFERROR(VLOOKUP($P38&amp;AT$8,Calc2!$J$4:$L$291,3,0),"")</f>
        <v/>
      </c>
      <c r="AU38" s="121" t="str">
        <f>IFERROR(VLOOKUP($P38&amp;AU$8,Calc2!$J$4:$L$291,3,0),"")</f>
        <v/>
      </c>
      <c r="AV38" s="121" t="str">
        <f>IFERROR(VLOOKUP($P38&amp;AV$8,Calc2!$J$4:$L$291,3,0),"")</f>
        <v/>
      </c>
      <c r="AW38" s="121" t="str">
        <f>IFERROR(VLOOKUP($P38&amp;AW$8,Calc2!$J$4:$L$291,3,0),"")</f>
        <v/>
      </c>
      <c r="AX38" s="121" t="str">
        <f>IFERROR(VLOOKUP($P38&amp;AX$8,Calc2!$J$4:$L$291,3,0),"")</f>
        <v/>
      </c>
      <c r="AY38" s="121" t="str">
        <f>IFERROR(VLOOKUP($P38&amp;AY$8,Calc2!$J$4:$L$291,3,0),"")</f>
        <v/>
      </c>
      <c r="AZ38" s="121" t="str">
        <f>IFERROR(VLOOKUP($P38&amp;AZ$8,Calc2!$J$4:$L$291,3,0),"")</f>
        <v/>
      </c>
      <c r="BA38" s="121" t="str">
        <f>IFERROR(VLOOKUP($P38&amp;BA$8,Calc2!$J$4:$L$291,3,0),"")</f>
        <v>0 - 0</v>
      </c>
      <c r="BB38" s="121" t="str">
        <f>IFERROR(VLOOKUP($P38&amp;BB$8,Calc2!$J$4:$L$291,3,0),"")</f>
        <v/>
      </c>
      <c r="BC38" s="121" t="str">
        <f>IFERROR(VLOOKUP($P38&amp;BC$8,Calc2!$J$4:$L$291,3,0),"")</f>
        <v/>
      </c>
      <c r="BD38" s="121" t="str">
        <f>IFERROR(VLOOKUP($P38&amp;BD$8,Calc2!$J$4:$L$291,3,0),"")</f>
        <v/>
      </c>
      <c r="BE38" s="121" t="str">
        <f>IFERROR(VLOOKUP($P38&amp;BE$8,Calc2!$J$4:$L$291,3,0),"")</f>
        <v/>
      </c>
      <c r="BF38" s="121" t="str">
        <f>IFERROR(VLOOKUP($P38&amp;BF$8,Calc2!$J$4:$L$291,3,0),"")</f>
        <v/>
      </c>
      <c r="BG38" s="121" t="str">
        <f>IFERROR(VLOOKUP($P38&amp;BG$8,Calc2!$J$4:$L$291,3,0),"")</f>
        <v/>
      </c>
      <c r="BH38" s="121" t="str">
        <f>IFERROR(VLOOKUP($P38&amp;BH$8,Calc2!$J$4:$L$291,3,0),"")</f>
        <v/>
      </c>
      <c r="BI38" s="121" t="str">
        <f>IFERROR(VLOOKUP($P38&amp;BI$8,Calc2!$J$4:$L$291,3,0),"")</f>
        <v/>
      </c>
      <c r="BJ38" s="123"/>
      <c r="BK38" s="121" t="str">
        <f>IFERROR(VLOOKUP($P38&amp;BK$8,Calc2!$J$4:$L$291,3,0),"")</f>
        <v>3 - 1</v>
      </c>
      <c r="BL38" s="121" t="str">
        <f>IFERROR(VLOOKUP($P38&amp;BL$8,Calc2!$J$4:$L$291,3,0),"")</f>
        <v/>
      </c>
      <c r="BM38" s="286" t="str">
        <f>IFERROR(VLOOKUP($P38&amp;BM$8,Calc2!$J$4:$L$291,3,0),"")</f>
        <v/>
      </c>
      <c r="BN38" s="121" t="str">
        <f>IFERROR(VLOOKUP($P38&amp;BN$8,Calc2!$J$4:$L$291,3,0),"")</f>
        <v/>
      </c>
      <c r="BO38" s="291" t="str">
        <f>IFERROR(VLOOKUP($P38&amp;BO$8,Calc2!$J$4:$L$291,3,0),"")</f>
        <v/>
      </c>
      <c r="BP38" s="124" t="str">
        <f>IFERROR(VLOOKUP($P38&amp;BP$8,Calc2!$J$4:$L$291,3,0),"")</f>
        <v/>
      </c>
    </row>
    <row r="39" spans="2:68" ht="15.95" customHeight="1" x14ac:dyDescent="0.25">
      <c r="B39" s="194"/>
      <c r="C39" s="192">
        <v>31</v>
      </c>
      <c r="D39" s="508">
        <f>IF(Planning!$T37="","",Planning!$T37)</f>
        <v>45953</v>
      </c>
      <c r="E39" s="120">
        <f>IF(Planning!$U37="","",Planning!$U37)</f>
        <v>0.875</v>
      </c>
      <c r="F39" s="128" t="str">
        <f>Planning!$Q37</f>
        <v>1. FSV Mainz 05</v>
      </c>
      <c r="G39" s="129" t="s">
        <v>4</v>
      </c>
      <c r="H39" s="128" t="str">
        <f>Planning!$S37</f>
        <v>Zrinjski Mostar</v>
      </c>
      <c r="I39" s="130">
        <v>1</v>
      </c>
      <c r="J39" s="381" t="str">
        <f>Language!$E$90</f>
        <v xml:space="preserve"> - </v>
      </c>
      <c r="K39" s="131">
        <v>0</v>
      </c>
      <c r="L39" s="228"/>
      <c r="M39" s="229"/>
      <c r="N39" s="299"/>
      <c r="O39" s="344">
        <f>IF(Calc!$K$40=0,"",IF(VLOOKUP(Calc!B34,Calc!$C$4:$E$39,3,0)=MAX(O$9:O38),VLOOKUP(Calc!B34,Calc!$C$4:$E$39,3,0),Calc!B34))</f>
        <v>31</v>
      </c>
      <c r="P39" s="345" t="str">
        <f>IF(Calc!$K$40=0,Calc2!$C34,VLOOKUP(Calc!B34,Calc!$C$4:$N$39,4,0))</f>
        <v>Shamrock Rovers</v>
      </c>
      <c r="Q39" s="346">
        <f>IF(Calc!$K$40=0,"",VLOOKUP(Calc!B34,Calc!$C$4:$N$39,9,0))</f>
        <v>6</v>
      </c>
      <c r="R39" s="347">
        <f>IF(Calc!$K$40=0,"",IF($Q39=0,"",VLOOKUP(Calc!B34,Calc!$C$4:$N$39,10,0)))</f>
        <v>1</v>
      </c>
      <c r="S39" s="347">
        <f>IF(Calc!$K$40=0,"",IF($Q39=0,"",VLOOKUP(Calc!B34,Calc!$C$4:$N$39,11,0)))</f>
        <v>1</v>
      </c>
      <c r="T39" s="348">
        <f>IF(Calc!$K$40=0,"",IF($Q39=0,"",VLOOKUP(Calc!B34,Calc!$C$4:$N$39,12,0)))</f>
        <v>4</v>
      </c>
      <c r="U39" s="349">
        <f>IF(Calc!$K$40=0,"",IF($Q39=0,"",VLOOKUP(Calc!B34,Calc!$C$4:$N$39,5,0)))</f>
        <v>7</v>
      </c>
      <c r="V39" s="350" t="str">
        <f>Language!$E$90</f>
        <v xml:space="preserve"> - </v>
      </c>
      <c r="W39" s="351">
        <f>IF(Calc!$K$40=0,"",IF($Q39=0,"",VLOOKUP(Calc!B34,Calc!$C$4:$N$39,6,0)))</f>
        <v>13</v>
      </c>
      <c r="X39" s="352">
        <f>IF(Calc!$K$40=0,"",IF($Q39=0,"",VLOOKUP(Calc!B34,Calc!$C$4:$N$39,7,0)))</f>
        <v>-6</v>
      </c>
      <c r="Y39" s="353">
        <f>IF(Calc!$K$40=0,"",IF($Q39=0,"",VLOOKUP(Calc!B34,Calc!$C$4:$P$39,13,0)))</f>
        <v>3</v>
      </c>
      <c r="Z39" s="353">
        <f>IF(Calc!$K$40=0,"",IF($Q39=0,"",VLOOKUP(Calc!B34,Calc!$C$4:$P$39,14,0)))</f>
        <v>0</v>
      </c>
      <c r="AA39" s="354">
        <f>IF(Calc!$K$40=0,"",IF($Q39=0,"",VLOOKUP(Calc!B34,Calc!$C$4:$N$39,8,0)))</f>
        <v>4</v>
      </c>
      <c r="AB39" s="231" t="str">
        <f>IF(VLOOKUP(Calc!B34,Calc!$C$4:$Q$39,15,0)=0,"",VLOOKUP(Calc!B34,Calc!$C$4:$Q$39,15,0))</f>
        <v/>
      </c>
      <c r="AC39" s="222" t="str">
        <f>IF(IFERROR(VLOOKUP($P39,Planning!$D$7:$E$42,2,0),0)=0,IF(LEN(P39)&gt;Factors!$D$12,LEFT(P39,Factors!$D$12)&amp;".",P39),VLOOKUP($P39,Planning!$D$7:$E$42,2,0))</f>
        <v>Shamroc.</v>
      </c>
      <c r="AD39" s="143"/>
      <c r="AE39" s="160">
        <f t="shared" si="2"/>
        <v>31</v>
      </c>
      <c r="AF39" s="161" t="str">
        <f t="shared" si="3"/>
        <v>Shamrock Rovers</v>
      </c>
      <c r="AG39" s="122" t="str">
        <f>IFERROR(VLOOKUP($P39&amp;AG$8,Calc2!$J$4:$L$291,3,0),"")</f>
        <v/>
      </c>
      <c r="AH39" s="121" t="str">
        <f>IFERROR(VLOOKUP($P39&amp;AH$8,Calc2!$J$4:$L$291,3,0),"")</f>
        <v/>
      </c>
      <c r="AI39" s="121" t="str">
        <f>IFERROR(VLOOKUP($P39&amp;AI$8,Calc2!$J$4:$L$291,3,0),"")</f>
        <v/>
      </c>
      <c r="AJ39" s="121" t="str">
        <f>IFERROR(VLOOKUP($P39&amp;AJ$8,Calc2!$J$4:$L$291,3,0),"")</f>
        <v/>
      </c>
      <c r="AK39" s="121" t="str">
        <f>IFERROR(VLOOKUP($P39&amp;AK$8,Calc2!$J$4:$L$291,3,0),"")</f>
        <v/>
      </c>
      <c r="AL39" s="121" t="str">
        <f>IFERROR(VLOOKUP($P39&amp;AL$8,Calc2!$J$4:$L$291,3,0),"")</f>
        <v>1 - 2</v>
      </c>
      <c r="AM39" s="121" t="str">
        <f>IFERROR(VLOOKUP($P39&amp;AM$8,Calc2!$J$4:$L$291,3,0),"")</f>
        <v/>
      </c>
      <c r="AN39" s="121" t="str">
        <f>IFERROR(VLOOKUP($P39&amp;AN$8,Calc2!$J$4:$L$291,3,0),"")</f>
        <v/>
      </c>
      <c r="AO39" s="121" t="str">
        <f>IFERROR(VLOOKUP($P39&amp;AO$8,Calc2!$J$4:$L$291,3,0),"")</f>
        <v/>
      </c>
      <c r="AP39" s="121" t="str">
        <f>IFERROR(VLOOKUP($P39&amp;AP$8,Calc2!$J$4:$L$291,3,0),"")</f>
        <v/>
      </c>
      <c r="AQ39" s="121" t="str">
        <f>IFERROR(VLOOKUP($P39&amp;AQ$8,Calc2!$J$4:$L$291,3,0),"")</f>
        <v/>
      </c>
      <c r="AR39" s="121" t="str">
        <f>IFERROR(VLOOKUP($P39&amp;AR$8,Calc2!$J$4:$L$291,3,0),"")</f>
        <v>0 - 2</v>
      </c>
      <c r="AS39" s="121" t="str">
        <f>IFERROR(VLOOKUP($P39&amp;AS$8,Calc2!$J$4:$L$291,3,0),"")</f>
        <v/>
      </c>
      <c r="AT39" s="121" t="str">
        <f>IFERROR(VLOOKUP($P39&amp;AT$8,Calc2!$J$4:$L$291,3,0),"")</f>
        <v/>
      </c>
      <c r="AU39" s="121" t="str">
        <f>IFERROR(VLOOKUP($P39&amp;AU$8,Calc2!$J$4:$L$291,3,0),"")</f>
        <v/>
      </c>
      <c r="AV39" s="121" t="str">
        <f>IFERROR(VLOOKUP($P39&amp;AV$8,Calc2!$J$4:$L$291,3,0),"")</f>
        <v/>
      </c>
      <c r="AW39" s="121" t="str">
        <f>IFERROR(VLOOKUP($P39&amp;AW$8,Calc2!$J$4:$L$291,3,0),"")</f>
        <v/>
      </c>
      <c r="AX39" s="121" t="str">
        <f>IFERROR(VLOOKUP($P39&amp;AX$8,Calc2!$J$4:$L$291,3,0),"")</f>
        <v/>
      </c>
      <c r="AY39" s="121" t="str">
        <f>IFERROR(VLOOKUP($P39&amp;AY$8,Calc2!$J$4:$L$291,3,0),"")</f>
        <v/>
      </c>
      <c r="AZ39" s="121" t="str">
        <f>IFERROR(VLOOKUP($P39&amp;AZ$8,Calc2!$J$4:$L$291,3,0),"")</f>
        <v/>
      </c>
      <c r="BA39" s="121" t="str">
        <f>IFERROR(VLOOKUP($P39&amp;BA$8,Calc2!$J$4:$L$291,3,0),"")</f>
        <v/>
      </c>
      <c r="BB39" s="121" t="str">
        <f>IFERROR(VLOOKUP($P39&amp;BB$8,Calc2!$J$4:$L$291,3,0),"")</f>
        <v/>
      </c>
      <c r="BC39" s="121" t="str">
        <f>IFERROR(VLOOKUP($P39&amp;BC$8,Calc2!$J$4:$L$291,3,0),"")</f>
        <v/>
      </c>
      <c r="BD39" s="121" t="str">
        <f>IFERROR(VLOOKUP($P39&amp;BD$8,Calc2!$J$4:$L$291,3,0),"")</f>
        <v/>
      </c>
      <c r="BE39" s="121" t="str">
        <f>IFERROR(VLOOKUP($P39&amp;BE$8,Calc2!$J$4:$L$291,3,0),"")</f>
        <v/>
      </c>
      <c r="BF39" s="121" t="str">
        <f>IFERROR(VLOOKUP($P39&amp;BF$8,Calc2!$J$4:$L$291,3,0),"")</f>
        <v/>
      </c>
      <c r="BG39" s="121" t="str">
        <f>IFERROR(VLOOKUP($P39&amp;BG$8,Calc2!$J$4:$L$291,3,0),"")</f>
        <v/>
      </c>
      <c r="BH39" s="121" t="str">
        <f>IFERROR(VLOOKUP($P39&amp;BH$8,Calc2!$J$4:$L$291,3,0),"")</f>
        <v/>
      </c>
      <c r="BI39" s="121" t="str">
        <f>IFERROR(VLOOKUP($P39&amp;BI$8,Calc2!$J$4:$L$291,3,0),"")</f>
        <v/>
      </c>
      <c r="BJ39" s="121" t="str">
        <f>IFERROR(VLOOKUP($P39&amp;BJ$8,Calc2!$J$4:$L$291,3,0),"")</f>
        <v/>
      </c>
      <c r="BK39" s="123"/>
      <c r="BL39" s="121" t="str">
        <f>IFERROR(VLOOKUP($P39&amp;BL$8,Calc2!$J$4:$L$291,3,0),"")</f>
        <v>3 - 1</v>
      </c>
      <c r="BM39" s="286" t="str">
        <f>IFERROR(VLOOKUP($P39&amp;BM$8,Calc2!$J$4:$L$291,3,0),"")</f>
        <v/>
      </c>
      <c r="BN39" s="121" t="str">
        <f>IFERROR(VLOOKUP($P39&amp;BN$8,Calc2!$J$4:$L$291,3,0),"")</f>
        <v/>
      </c>
      <c r="BO39" s="291" t="str">
        <f>IFERROR(VLOOKUP($P39&amp;BO$8,Calc2!$J$4:$L$291,3,0),"")</f>
        <v/>
      </c>
      <c r="BP39" s="124" t="str">
        <f>IFERROR(VLOOKUP($P39&amp;BP$8,Calc2!$J$4:$L$291,3,0),"")</f>
        <v/>
      </c>
    </row>
    <row r="40" spans="2:68" ht="15.95" customHeight="1" x14ac:dyDescent="0.25">
      <c r="B40" s="194"/>
      <c r="C40" s="192">
        <v>32</v>
      </c>
      <c r="D40" s="508">
        <f>IF(Planning!$T38="","",Planning!$T38)</f>
        <v>45953</v>
      </c>
      <c r="E40" s="120">
        <f>IF(Planning!$U38="","",Planning!$U38)</f>
        <v>0.875</v>
      </c>
      <c r="F40" s="128" t="str">
        <f>Planning!$Q38</f>
        <v>Lincoln Red Imps Fc</v>
      </c>
      <c r="G40" s="129" t="s">
        <v>4</v>
      </c>
      <c r="H40" s="128" t="str">
        <f>Planning!$S38</f>
        <v>Lech Posen</v>
      </c>
      <c r="I40" s="130">
        <v>2</v>
      </c>
      <c r="J40" s="381" t="str">
        <f>Language!$E$90</f>
        <v xml:space="preserve"> - </v>
      </c>
      <c r="K40" s="131">
        <v>1</v>
      </c>
      <c r="L40" s="228"/>
      <c r="M40" s="229"/>
      <c r="N40" s="299"/>
      <c r="O40" s="344">
        <f>IF(Calc!$K$40=0,"",IF(VLOOKUP(Calc!B35,Calc!$C$4:$E$39,3,0)=MAX(O$9:O39),VLOOKUP(Calc!B35,Calc!$C$4:$E$39,3,0),Calc!B35))</f>
        <v>32</v>
      </c>
      <c r="P40" s="345" t="str">
        <f>IF(Calc!$K$40=0,Calc2!$C35,VLOOKUP(Calc!B35,Calc!$C$4:$N$39,4,0))</f>
        <v>Hamrun Spartans</v>
      </c>
      <c r="Q40" s="346">
        <f>IF(Calc!$K$40=0,"",VLOOKUP(Calc!B35,Calc!$C$4:$N$39,9,0))</f>
        <v>6</v>
      </c>
      <c r="R40" s="347">
        <f>IF(Calc!$K$40=0,"",IF($Q40=0,"",VLOOKUP(Calc!B35,Calc!$C$4:$N$39,10,0)))</f>
        <v>1</v>
      </c>
      <c r="S40" s="347">
        <f>IF(Calc!$K$40=0,"",IF($Q40=0,"",VLOOKUP(Calc!B35,Calc!$C$4:$N$39,11,0)))</f>
        <v>1</v>
      </c>
      <c r="T40" s="348">
        <f>IF(Calc!$K$40=0,"",IF($Q40=0,"",VLOOKUP(Calc!B35,Calc!$C$4:$N$39,12,0)))</f>
        <v>4</v>
      </c>
      <c r="U40" s="349">
        <f>IF(Calc!$K$40=0,"",IF($Q40=0,"",VLOOKUP(Calc!B35,Calc!$C$4:$N$39,5,0)))</f>
        <v>5</v>
      </c>
      <c r="V40" s="350" t="str">
        <f>Language!$E$90</f>
        <v xml:space="preserve"> - </v>
      </c>
      <c r="W40" s="351">
        <f>IF(Calc!$K$40=0,"",IF($Q40=0,"",VLOOKUP(Calc!B35,Calc!$C$4:$N$39,6,0)))</f>
        <v>11</v>
      </c>
      <c r="X40" s="352">
        <f>IF(Calc!$K$40=0,"",IF($Q40=0,"",VLOOKUP(Calc!B35,Calc!$C$4:$N$39,7,0)))</f>
        <v>-6</v>
      </c>
      <c r="Y40" s="353">
        <f>IF(Calc!$K$40=0,"",IF($Q40=0,"",VLOOKUP(Calc!B35,Calc!$C$4:$P$39,13,0)))</f>
        <v>1</v>
      </c>
      <c r="Z40" s="353">
        <f>IF(Calc!$K$40=0,"",IF($Q40=0,"",VLOOKUP(Calc!B35,Calc!$C$4:$P$39,14,0)))</f>
        <v>0</v>
      </c>
      <c r="AA40" s="354">
        <f>IF(Calc!$K$40=0,"",IF($Q40=0,"",VLOOKUP(Calc!B35,Calc!$C$4:$N$39,8,0)))</f>
        <v>4</v>
      </c>
      <c r="AB40" s="231" t="str">
        <f>IF(VLOOKUP(Calc!B35,Calc!$C$4:$Q$39,15,0)=0,"",VLOOKUP(Calc!B35,Calc!$C$4:$Q$39,15,0))</f>
        <v/>
      </c>
      <c r="AC40" s="222" t="str">
        <f>IF(IFERROR(VLOOKUP($P40,Planning!$D$7:$E$42,2,0),0)=0,IF(LEN(P40)&gt;Factors!$D$12,LEFT(P40,Factors!$D$12)&amp;".",P40),VLOOKUP($P40,Planning!$D$7:$E$42,2,0))</f>
        <v>Hamrun .</v>
      </c>
      <c r="AD40" s="143"/>
      <c r="AE40" s="160">
        <f t="shared" si="2"/>
        <v>32</v>
      </c>
      <c r="AF40" s="161" t="str">
        <f t="shared" si="3"/>
        <v>Hamrun Spartans</v>
      </c>
      <c r="AG40" s="122" t="str">
        <f>IFERROR(VLOOKUP($P40&amp;AG$8,Calc2!$J$4:$L$291,3,0),"")</f>
        <v/>
      </c>
      <c r="AH40" s="121" t="str">
        <f>IFERROR(VLOOKUP($P40&amp;AH$8,Calc2!$J$4:$L$291,3,0),"")</f>
        <v/>
      </c>
      <c r="AI40" s="121" t="str">
        <f>IFERROR(VLOOKUP($P40&amp;AI$8,Calc2!$J$4:$L$291,3,0),"")</f>
        <v/>
      </c>
      <c r="AJ40" s="121" t="str">
        <f>IFERROR(VLOOKUP($P40&amp;AJ$8,Calc2!$J$4:$L$291,3,0),"")</f>
        <v/>
      </c>
      <c r="AK40" s="121" t="str">
        <f>IFERROR(VLOOKUP($P40&amp;AK$8,Calc2!$J$4:$L$291,3,0),"")</f>
        <v/>
      </c>
      <c r="AL40" s="121" t="str">
        <f>IFERROR(VLOOKUP($P40&amp;AL$8,Calc2!$J$4:$L$291,3,0),"")</f>
        <v>0 - 2</v>
      </c>
      <c r="AM40" s="121" t="str">
        <f>IFERROR(VLOOKUP($P40&amp;AM$8,Calc2!$J$4:$L$291,3,0),"")</f>
        <v/>
      </c>
      <c r="AN40" s="121" t="str">
        <f>IFERROR(VLOOKUP($P40&amp;AN$8,Calc2!$J$4:$L$291,3,0),"")</f>
        <v/>
      </c>
      <c r="AO40" s="121" t="str">
        <f>IFERROR(VLOOKUP($P40&amp;AO$8,Calc2!$J$4:$L$291,3,0),"")</f>
        <v/>
      </c>
      <c r="AP40" s="121" t="str">
        <f>IFERROR(VLOOKUP($P40&amp;AP$8,Calc2!$J$4:$L$291,3,0),"")</f>
        <v/>
      </c>
      <c r="AQ40" s="121" t="str">
        <f>IFERROR(VLOOKUP($P40&amp;AQ$8,Calc2!$J$4:$L$291,3,0),"")</f>
        <v/>
      </c>
      <c r="AR40" s="121" t="str">
        <f>IFERROR(VLOOKUP($P40&amp;AR$8,Calc2!$J$4:$L$291,3,0),"")</f>
        <v/>
      </c>
      <c r="AS40" s="121" t="str">
        <f>IFERROR(VLOOKUP($P40&amp;AS$8,Calc2!$J$4:$L$291,3,0),"")</f>
        <v/>
      </c>
      <c r="AT40" s="121" t="str">
        <f>IFERROR(VLOOKUP($P40&amp;AT$8,Calc2!$J$4:$L$291,3,0),"")</f>
        <v/>
      </c>
      <c r="AU40" s="121" t="str">
        <f>IFERROR(VLOOKUP($P40&amp;AU$8,Calc2!$J$4:$L$291,3,0),"")</f>
        <v/>
      </c>
      <c r="AV40" s="121" t="str">
        <f>IFERROR(VLOOKUP($P40&amp;AV$8,Calc2!$J$4:$L$291,3,0),"")</f>
        <v>1 - 1</v>
      </c>
      <c r="AW40" s="121" t="str">
        <f>IFERROR(VLOOKUP($P40&amp;AW$8,Calc2!$J$4:$L$291,3,0),"")</f>
        <v/>
      </c>
      <c r="AX40" s="121" t="str">
        <f>IFERROR(VLOOKUP($P40&amp;AX$8,Calc2!$J$4:$L$291,3,0),"")</f>
        <v/>
      </c>
      <c r="AY40" s="121" t="str">
        <f>IFERROR(VLOOKUP($P40&amp;AY$8,Calc2!$J$4:$L$291,3,0),"")</f>
        <v/>
      </c>
      <c r="AZ40" s="121" t="str">
        <f>IFERROR(VLOOKUP($P40&amp;AZ$8,Calc2!$J$4:$L$291,3,0),"")</f>
        <v/>
      </c>
      <c r="BA40" s="121" t="str">
        <f>IFERROR(VLOOKUP($P40&amp;BA$8,Calc2!$J$4:$L$291,3,0),"")</f>
        <v/>
      </c>
      <c r="BB40" s="121" t="str">
        <f>IFERROR(VLOOKUP($P40&amp;BB$8,Calc2!$J$4:$L$291,3,0),"")</f>
        <v/>
      </c>
      <c r="BC40" s="121" t="str">
        <f>IFERROR(VLOOKUP($P40&amp;BC$8,Calc2!$J$4:$L$291,3,0),"")</f>
        <v/>
      </c>
      <c r="BD40" s="121" t="str">
        <f>IFERROR(VLOOKUP($P40&amp;BD$8,Calc2!$J$4:$L$291,3,0),"")</f>
        <v/>
      </c>
      <c r="BE40" s="121" t="str">
        <f>IFERROR(VLOOKUP($P40&amp;BE$8,Calc2!$J$4:$L$291,3,0),"")</f>
        <v/>
      </c>
      <c r="BF40" s="121" t="str">
        <f>IFERROR(VLOOKUP($P40&amp;BF$8,Calc2!$J$4:$L$291,3,0),"")</f>
        <v>3 - 1</v>
      </c>
      <c r="BG40" s="121" t="str">
        <f>IFERROR(VLOOKUP($P40&amp;BG$8,Calc2!$J$4:$L$291,3,0),"")</f>
        <v/>
      </c>
      <c r="BH40" s="121" t="str">
        <f>IFERROR(VLOOKUP($P40&amp;BH$8,Calc2!$J$4:$L$291,3,0),"")</f>
        <v/>
      </c>
      <c r="BI40" s="121" t="str">
        <f>IFERROR(VLOOKUP($P40&amp;BI$8,Calc2!$J$4:$L$291,3,0),"")</f>
        <v/>
      </c>
      <c r="BJ40" s="121" t="str">
        <f>IFERROR(VLOOKUP($P40&amp;BJ$8,Calc2!$J$4:$L$291,3,0),"")</f>
        <v/>
      </c>
      <c r="BK40" s="121" t="str">
        <f>IFERROR(VLOOKUP($P40&amp;BK$8,Calc2!$J$4:$L$291,3,0),"")</f>
        <v/>
      </c>
      <c r="BL40" s="123"/>
      <c r="BM40" s="286" t="str">
        <f>IFERROR(VLOOKUP($P40&amp;BM$8,Calc2!$J$4:$L$291,3,0),"")</f>
        <v/>
      </c>
      <c r="BN40" s="121" t="str">
        <f>IFERROR(VLOOKUP($P40&amp;BN$8,Calc2!$J$4:$L$291,3,0),"")</f>
        <v/>
      </c>
      <c r="BO40" s="291" t="str">
        <f>IFERROR(VLOOKUP($P40&amp;BO$8,Calc2!$J$4:$L$291,3,0),"")</f>
        <v/>
      </c>
      <c r="BP40" s="124" t="str">
        <f>IFERROR(VLOOKUP($P40&amp;BP$8,Calc2!$J$4:$L$291,3,0),"")</f>
        <v/>
      </c>
    </row>
    <row r="41" spans="2:68" ht="15.95" customHeight="1" x14ac:dyDescent="0.25">
      <c r="B41" s="194"/>
      <c r="C41" s="192">
        <v>33</v>
      </c>
      <c r="D41" s="508">
        <f>IF(Planning!$T39="","",Planning!$T39)</f>
        <v>45953</v>
      </c>
      <c r="E41" s="120">
        <f>IF(Planning!$U39="","",Planning!$U39)</f>
        <v>0.875</v>
      </c>
      <c r="F41" s="128" t="str">
        <f>Planning!$Q39</f>
        <v>Sigma Olmütz</v>
      </c>
      <c r="G41" s="129" t="s">
        <v>4</v>
      </c>
      <c r="H41" s="128" t="str">
        <f>Planning!$S39</f>
        <v>Rakow Tschenstochau</v>
      </c>
      <c r="I41" s="130">
        <v>1</v>
      </c>
      <c r="J41" s="381" t="str">
        <f>Language!$E$90</f>
        <v xml:space="preserve"> - </v>
      </c>
      <c r="K41" s="131">
        <v>1</v>
      </c>
      <c r="L41" s="228"/>
      <c r="M41" s="229"/>
      <c r="N41" s="299"/>
      <c r="O41" s="344">
        <f>IF(Calc!$K$40=0,"",IF(VLOOKUP(Calc!B36,Calc!$C$4:$E$39,3,0)=MAX(O$9:O40),VLOOKUP(Calc!B36,Calc!$C$4:$E$39,3,0),Calc!B36))</f>
        <v>33</v>
      </c>
      <c r="P41" s="345" t="str">
        <f>IF(Calc!$K$40=0,Calc2!$C36,VLOOKUP(Calc!B36,Calc!$C$4:$N$39,4,0))</f>
        <v>BK Häcken</v>
      </c>
      <c r="Q41" s="346">
        <f>IF(Calc!$K$40=0,"",VLOOKUP(Calc!B36,Calc!$C$4:$N$39,9,0))</f>
        <v>6</v>
      </c>
      <c r="R41" s="347">
        <f>IF(Calc!$K$40=0,"",IF($Q41=0,"",VLOOKUP(Calc!B36,Calc!$C$4:$N$39,10,0)))</f>
        <v>0</v>
      </c>
      <c r="S41" s="347">
        <f>IF(Calc!$K$40=0,"",IF($Q41=0,"",VLOOKUP(Calc!B36,Calc!$C$4:$N$39,11,0)))</f>
        <v>3</v>
      </c>
      <c r="T41" s="348">
        <f>IF(Calc!$K$40=0,"",IF($Q41=0,"",VLOOKUP(Calc!B36,Calc!$C$4:$N$39,12,0)))</f>
        <v>3</v>
      </c>
      <c r="U41" s="349">
        <f>IF(Calc!$K$40=0,"",IF($Q41=0,"",VLOOKUP(Calc!B36,Calc!$C$4:$N$39,5,0)))</f>
        <v>5</v>
      </c>
      <c r="V41" s="350" t="str">
        <f>Language!$E$90</f>
        <v xml:space="preserve"> - </v>
      </c>
      <c r="W41" s="351">
        <f>IF(Calc!$K$40=0,"",IF($Q41=0,"",VLOOKUP(Calc!B36,Calc!$C$4:$N$39,6,0)))</f>
        <v>8</v>
      </c>
      <c r="X41" s="352">
        <f>IF(Calc!$K$40=0,"",IF($Q41=0,"",VLOOKUP(Calc!B36,Calc!$C$4:$N$39,7,0)))</f>
        <v>-3</v>
      </c>
      <c r="Y41" s="353">
        <f>IF(Calc!$K$40=0,"",IF($Q41=0,"",VLOOKUP(Calc!B36,Calc!$C$4:$P$39,13,0)))</f>
        <v>1</v>
      </c>
      <c r="Z41" s="353">
        <f>IF(Calc!$K$40=0,"",IF($Q41=0,"",VLOOKUP(Calc!B36,Calc!$C$4:$P$39,14,0)))</f>
        <v>0</v>
      </c>
      <c r="AA41" s="354">
        <f>IF(Calc!$K$40=0,"",IF($Q41=0,"",VLOOKUP(Calc!B36,Calc!$C$4:$N$39,8,0)))</f>
        <v>3</v>
      </c>
      <c r="AB41" s="231" t="str">
        <f>IF(VLOOKUP(Calc!B36,Calc!$C$4:$Q$39,15,0)=0,"",VLOOKUP(Calc!B36,Calc!$C$4:$Q$39,15,0))</f>
        <v/>
      </c>
      <c r="AC41" s="143" t="str">
        <f>IF(IFERROR(VLOOKUP($P41,Planning!$D$7:$E$42,2,0),0)=0,IF(LEN(P41)&gt;Factors!$D$12,LEFT(P41,Factors!$D$12)&amp;".",P41),VLOOKUP($P41,Planning!$D$7:$E$42,2,0))</f>
        <v>BK Häck.</v>
      </c>
      <c r="AD41" s="143"/>
      <c r="AE41" s="160">
        <f t="shared" ref="AE41:AE44" si="4">O41</f>
        <v>33</v>
      </c>
      <c r="AF41" s="161" t="str">
        <f t="shared" ref="AF41:AF44" si="5">P41</f>
        <v>BK Häcken</v>
      </c>
      <c r="AG41" s="122" t="str">
        <f>IFERROR(VLOOKUP($P41&amp;AG$8,Calc2!$J$4:$L$291,3,0),"")</f>
        <v>1 - 2</v>
      </c>
      <c r="AH41" s="121" t="str">
        <f>IFERROR(VLOOKUP($P41&amp;AH$8,Calc2!$J$4:$L$291,3,0),"")</f>
        <v/>
      </c>
      <c r="AI41" s="121" t="str">
        <f>IFERROR(VLOOKUP($P41&amp;AI$8,Calc2!$J$4:$L$291,3,0),"")</f>
        <v/>
      </c>
      <c r="AJ41" s="121" t="str">
        <f>IFERROR(VLOOKUP($P41&amp;AJ$8,Calc2!$J$4:$L$291,3,0),"")</f>
        <v/>
      </c>
      <c r="AK41" s="121" t="str">
        <f>IFERROR(VLOOKUP($P41&amp;AK$8,Calc2!$J$4:$L$291,3,0),"")</f>
        <v>2 - 2</v>
      </c>
      <c r="AL41" s="121" t="str">
        <f>IFERROR(VLOOKUP($P41&amp;AL$8,Calc2!$J$4:$L$291,3,0),"")</f>
        <v/>
      </c>
      <c r="AM41" s="121" t="str">
        <f>IFERROR(VLOOKUP($P41&amp;AM$8,Calc2!$J$4:$L$291,3,0),"")</f>
        <v/>
      </c>
      <c r="AN41" s="121" t="str">
        <f>IFERROR(VLOOKUP($P41&amp;AN$8,Calc2!$J$4:$L$291,3,0),"")</f>
        <v>1 - 1</v>
      </c>
      <c r="AO41" s="121" t="str">
        <f>IFERROR(VLOOKUP($P41&amp;AO$8,Calc2!$J$4:$L$291,3,0),"")</f>
        <v/>
      </c>
      <c r="AP41" s="121" t="str">
        <f>IFERROR(VLOOKUP($P41&amp;AP$8,Calc2!$J$4:$L$291,3,0),"")</f>
        <v/>
      </c>
      <c r="AQ41" s="121" t="str">
        <f>IFERROR(VLOOKUP($P41&amp;AQ$8,Calc2!$J$4:$L$291,3,0),"")</f>
        <v/>
      </c>
      <c r="AR41" s="121" t="str">
        <f>IFERROR(VLOOKUP($P41&amp;AR$8,Calc2!$J$4:$L$291,3,0),"")</f>
        <v/>
      </c>
      <c r="AS41" s="121" t="str">
        <f>IFERROR(VLOOKUP($P41&amp;AS$8,Calc2!$J$4:$L$291,3,0),"")</f>
        <v/>
      </c>
      <c r="AT41" s="121" t="str">
        <f>IFERROR(VLOOKUP($P41&amp;AT$8,Calc2!$J$4:$L$291,3,0),"")</f>
        <v/>
      </c>
      <c r="AU41" s="121" t="str">
        <f>IFERROR(VLOOKUP($P41&amp;AU$8,Calc2!$J$4:$L$291,3,0),"")</f>
        <v/>
      </c>
      <c r="AV41" s="121" t="str">
        <f>IFERROR(VLOOKUP($P41&amp;AV$8,Calc2!$J$4:$L$291,3,0),"")</f>
        <v/>
      </c>
      <c r="AW41" s="121" t="str">
        <f>IFERROR(VLOOKUP($P41&amp;AW$8,Calc2!$J$4:$L$291,3,0),"")</f>
        <v/>
      </c>
      <c r="AX41" s="121" t="str">
        <f>IFERROR(VLOOKUP($P41&amp;AX$8,Calc2!$J$4:$L$291,3,0),"")</f>
        <v/>
      </c>
      <c r="AY41" s="121" t="str">
        <f>IFERROR(VLOOKUP($P41&amp;AY$8,Calc2!$J$4:$L$291,3,0),"")</f>
        <v/>
      </c>
      <c r="AZ41" s="121" t="str">
        <f>IFERROR(VLOOKUP($P41&amp;AZ$8,Calc2!$J$4:$L$291,3,0),"")</f>
        <v/>
      </c>
      <c r="BA41" s="121" t="str">
        <f>IFERROR(VLOOKUP($P41&amp;BA$8,Calc2!$J$4:$L$291,3,0),"")</f>
        <v/>
      </c>
      <c r="BB41" s="121" t="str">
        <f>IFERROR(VLOOKUP($P41&amp;BB$8,Calc2!$J$4:$L$291,3,0),"")</f>
        <v/>
      </c>
      <c r="BC41" s="121" t="str">
        <f>IFERROR(VLOOKUP($P41&amp;BC$8,Calc2!$J$4:$L$291,3,0),"")</f>
        <v/>
      </c>
      <c r="BD41" s="121" t="str">
        <f>IFERROR(VLOOKUP($P41&amp;BD$8,Calc2!$J$4:$L$291,3,0),"")</f>
        <v/>
      </c>
      <c r="BE41" s="121" t="str">
        <f>IFERROR(VLOOKUP($P41&amp;BE$8,Calc2!$J$4:$L$291,3,0),"")</f>
        <v/>
      </c>
      <c r="BF41" s="121" t="str">
        <f>IFERROR(VLOOKUP($P41&amp;BF$8,Calc2!$J$4:$L$291,3,0),"")</f>
        <v/>
      </c>
      <c r="BG41" s="121" t="str">
        <f>IFERROR(VLOOKUP($P41&amp;BG$8,Calc2!$J$4:$L$291,3,0),"")</f>
        <v/>
      </c>
      <c r="BH41" s="121" t="str">
        <f>IFERROR(VLOOKUP($P41&amp;BH$8,Calc2!$J$4:$L$291,3,0),"")</f>
        <v/>
      </c>
      <c r="BI41" s="121" t="str">
        <f>IFERROR(VLOOKUP($P41&amp;BI$8,Calc2!$J$4:$L$291,3,0),"")</f>
        <v/>
      </c>
      <c r="BJ41" s="121" t="str">
        <f>IFERROR(VLOOKUP($P41&amp;BJ$8,Calc2!$J$4:$L$291,3,0),"")</f>
        <v/>
      </c>
      <c r="BK41" s="121" t="str">
        <f>IFERROR(VLOOKUP($P41&amp;BK$8,Calc2!$J$4:$L$291,3,0),"")</f>
        <v/>
      </c>
      <c r="BL41" s="121" t="str">
        <f>IFERROR(VLOOKUP($P41&amp;BL$8,Calc2!$J$4:$L$291,3,0),"")</f>
        <v/>
      </c>
      <c r="BM41" s="123"/>
      <c r="BN41" s="121" t="str">
        <f>IFERROR(VLOOKUP($P41&amp;BN$8,Calc2!$J$4:$L$291,3,0),"")</f>
        <v/>
      </c>
      <c r="BO41" s="291" t="str">
        <f>IFERROR(VLOOKUP($P41&amp;BO$8,Calc2!$J$4:$L$291,3,0),"")</f>
        <v/>
      </c>
      <c r="BP41" s="124" t="str">
        <f>IFERROR(VLOOKUP($P41&amp;BP$8,Calc2!$J$4:$L$291,3,0),"")</f>
        <v/>
      </c>
    </row>
    <row r="42" spans="2:68" ht="15.95" customHeight="1" x14ac:dyDescent="0.25">
      <c r="B42" s="194"/>
      <c r="C42" s="192">
        <v>34</v>
      </c>
      <c r="D42" s="508">
        <f>IF(Planning!$T40="","",Planning!$T40)</f>
        <v>45953</v>
      </c>
      <c r="E42" s="120">
        <f>IF(Planning!$U40="","",Planning!$U40)</f>
        <v>0.875</v>
      </c>
      <c r="F42" s="128" t="str">
        <f>Planning!$Q40</f>
        <v>Samsunspor</v>
      </c>
      <c r="G42" s="129" t="s">
        <v>4</v>
      </c>
      <c r="H42" s="128" t="str">
        <f>Planning!$S40</f>
        <v>Dynamo Kiew</v>
      </c>
      <c r="I42" s="130">
        <v>3</v>
      </c>
      <c r="J42" s="381" t="str">
        <f>Language!$E$90</f>
        <v xml:space="preserve"> - </v>
      </c>
      <c r="K42" s="131">
        <v>0</v>
      </c>
      <c r="L42" s="228"/>
      <c r="M42" s="229"/>
      <c r="N42" s="299"/>
      <c r="O42" s="344">
        <f>IF(Calc!$K$40=0,"",IF(VLOOKUP(Calc!B37,Calc!$C$4:$E$39,3,0)=MAX(O$9:O41),VLOOKUP(Calc!B37,Calc!$C$4:$E$39,3,0),Calc!B37))</f>
        <v>34</v>
      </c>
      <c r="P42" s="345" t="str">
        <f>IF(Calc!$K$40=0,Calc2!$C37,VLOOKUP(Calc!B37,Calc!$C$4:$N$39,4,0))</f>
        <v>FC Shelbourne</v>
      </c>
      <c r="Q42" s="346">
        <f>IF(Calc!$K$40=0,"",VLOOKUP(Calc!B37,Calc!$C$4:$N$39,9,0))</f>
        <v>6</v>
      </c>
      <c r="R42" s="347">
        <f>IF(Calc!$K$40=0,"",IF($Q42=0,"",VLOOKUP(Calc!B37,Calc!$C$4:$N$39,10,0)))</f>
        <v>0</v>
      </c>
      <c r="S42" s="347">
        <f>IF(Calc!$K$40=0,"",IF($Q42=0,"",VLOOKUP(Calc!B37,Calc!$C$4:$N$39,11,0)))</f>
        <v>2</v>
      </c>
      <c r="T42" s="348">
        <f>IF(Calc!$K$40=0,"",IF($Q42=0,"",VLOOKUP(Calc!B37,Calc!$C$4:$N$39,12,0)))</f>
        <v>4</v>
      </c>
      <c r="U42" s="349">
        <f>IF(Calc!$K$40=0,"",IF($Q42=0,"",VLOOKUP(Calc!B37,Calc!$C$4:$N$39,5,0)))</f>
        <v>0</v>
      </c>
      <c r="V42" s="350" t="str">
        <f>Language!$E$90</f>
        <v xml:space="preserve"> - </v>
      </c>
      <c r="W42" s="351">
        <f>IF(Calc!$K$40=0,"",IF($Q42=0,"",VLOOKUP(Calc!B37,Calc!$C$4:$N$39,6,0)))</f>
        <v>7</v>
      </c>
      <c r="X42" s="352">
        <f>IF(Calc!$K$40=0,"",IF($Q42=0,"",VLOOKUP(Calc!B37,Calc!$C$4:$N$39,7,0)))</f>
        <v>-7</v>
      </c>
      <c r="Y42" s="353">
        <f>IF(Calc!$K$40=0,"",IF($Q42=0,"",VLOOKUP(Calc!B37,Calc!$C$4:$P$39,13,0)))</f>
        <v>0</v>
      </c>
      <c r="Z42" s="353">
        <f>IF(Calc!$K$40=0,"",IF($Q42=0,"",VLOOKUP(Calc!B37,Calc!$C$4:$P$39,14,0)))</f>
        <v>0</v>
      </c>
      <c r="AA42" s="354">
        <f>IF(Calc!$K$40=0,"",IF($Q42=0,"",VLOOKUP(Calc!B37,Calc!$C$4:$N$39,8,0)))</f>
        <v>2</v>
      </c>
      <c r="AB42" s="231" t="str">
        <f>IF(VLOOKUP(Calc!B37,Calc!$C$4:$Q$39,15,0)=0,"",VLOOKUP(Calc!B37,Calc!$C$4:$Q$39,15,0))</f>
        <v/>
      </c>
      <c r="AC42" s="143" t="str">
        <f>IF(IFERROR(VLOOKUP($P42,Planning!$D$7:$E$42,2,0),0)=0,IF(LEN(P42)&gt;Factors!$D$12,LEFT(P42,Factors!$D$12)&amp;".",P42),VLOOKUP($P42,Planning!$D$7:$E$42,2,0))</f>
        <v>FC Shel.</v>
      </c>
      <c r="AD42" s="143"/>
      <c r="AE42" s="160">
        <f t="shared" si="4"/>
        <v>34</v>
      </c>
      <c r="AF42" s="161" t="str">
        <f t="shared" si="5"/>
        <v>FC Shelbourne</v>
      </c>
      <c r="AG42" s="122" t="str">
        <f>IFERROR(VLOOKUP($P42&amp;AG$8,Calc2!$J$4:$L$291,3,0),"")</f>
        <v/>
      </c>
      <c r="AH42" s="121" t="str">
        <f>IFERROR(VLOOKUP($P42&amp;AH$8,Calc2!$J$4:$L$291,3,0),"")</f>
        <v/>
      </c>
      <c r="AI42" s="121" t="str">
        <f>IFERROR(VLOOKUP($P42&amp;AI$8,Calc2!$J$4:$L$291,3,0),"")</f>
        <v/>
      </c>
      <c r="AJ42" s="121" t="str">
        <f>IFERROR(VLOOKUP($P42&amp;AJ$8,Calc2!$J$4:$L$291,3,0),"")</f>
        <v/>
      </c>
      <c r="AK42" s="121" t="str">
        <f>IFERROR(VLOOKUP($P42&amp;AK$8,Calc2!$J$4:$L$291,3,0),"")</f>
        <v/>
      </c>
      <c r="AL42" s="121" t="str">
        <f>IFERROR(VLOOKUP($P42&amp;AL$8,Calc2!$J$4:$L$291,3,0),"")</f>
        <v/>
      </c>
      <c r="AM42" s="121" t="str">
        <f>IFERROR(VLOOKUP($P42&amp;AM$8,Calc2!$J$4:$L$291,3,0),"")</f>
        <v/>
      </c>
      <c r="AN42" s="121" t="str">
        <f>IFERROR(VLOOKUP($P42&amp;AN$8,Calc2!$J$4:$L$291,3,0),"")</f>
        <v/>
      </c>
      <c r="AO42" s="121" t="str">
        <f>IFERROR(VLOOKUP($P42&amp;AO$8,Calc2!$J$4:$L$291,3,0),"")</f>
        <v>0 - 3</v>
      </c>
      <c r="AP42" s="121" t="str">
        <f>IFERROR(VLOOKUP($P42&amp;AP$8,Calc2!$J$4:$L$291,3,0),"")</f>
        <v/>
      </c>
      <c r="AQ42" s="121" t="str">
        <f>IFERROR(VLOOKUP($P42&amp;AQ$8,Calc2!$J$4:$L$291,3,0),"")</f>
        <v/>
      </c>
      <c r="AR42" s="121" t="str">
        <f>IFERROR(VLOOKUP($P42&amp;AR$8,Calc2!$J$4:$L$291,3,0),"")</f>
        <v/>
      </c>
      <c r="AS42" s="121" t="str">
        <f>IFERROR(VLOOKUP($P42&amp;AS$8,Calc2!$J$4:$L$291,3,0),"")</f>
        <v/>
      </c>
      <c r="AT42" s="121" t="str">
        <f>IFERROR(VLOOKUP($P42&amp;AT$8,Calc2!$J$4:$L$291,3,0),"")</f>
        <v/>
      </c>
      <c r="AU42" s="121" t="str">
        <f>IFERROR(VLOOKUP($P42&amp;AU$8,Calc2!$J$4:$L$291,3,0),"")</f>
        <v/>
      </c>
      <c r="AV42" s="121" t="str">
        <f>IFERROR(VLOOKUP($P42&amp;AV$8,Calc2!$J$4:$L$291,3,0),"")</f>
        <v/>
      </c>
      <c r="AW42" s="121" t="str">
        <f>IFERROR(VLOOKUP($P42&amp;AW$8,Calc2!$J$4:$L$291,3,0),"")</f>
        <v/>
      </c>
      <c r="AX42" s="121" t="str">
        <f>IFERROR(VLOOKUP($P42&amp;AX$8,Calc2!$J$4:$L$291,3,0),"")</f>
        <v/>
      </c>
      <c r="AY42" s="121" t="str">
        <f>IFERROR(VLOOKUP($P42&amp;AY$8,Calc2!$J$4:$L$291,3,0),"")</f>
        <v/>
      </c>
      <c r="AZ42" s="121" t="str">
        <f>IFERROR(VLOOKUP($P42&amp;AZ$8,Calc2!$J$4:$L$291,3,0),"")</f>
        <v>0 - 1</v>
      </c>
      <c r="BA42" s="121" t="str">
        <f>IFERROR(VLOOKUP($P42&amp;BA$8,Calc2!$J$4:$L$291,3,0),"")</f>
        <v/>
      </c>
      <c r="BB42" s="121" t="str">
        <f>IFERROR(VLOOKUP($P42&amp;BB$8,Calc2!$J$4:$L$291,3,0),"")</f>
        <v/>
      </c>
      <c r="BC42" s="121" t="str">
        <f>IFERROR(VLOOKUP($P42&amp;BC$8,Calc2!$J$4:$L$291,3,0),"")</f>
        <v/>
      </c>
      <c r="BD42" s="121" t="str">
        <f>IFERROR(VLOOKUP($P42&amp;BD$8,Calc2!$J$4:$L$291,3,0),"")</f>
        <v/>
      </c>
      <c r="BE42" s="121" t="str">
        <f>IFERROR(VLOOKUP($P42&amp;BE$8,Calc2!$J$4:$L$291,3,0),"")</f>
        <v/>
      </c>
      <c r="BF42" s="121" t="str">
        <f>IFERROR(VLOOKUP($P42&amp;BF$8,Calc2!$J$4:$L$291,3,0),"")</f>
        <v/>
      </c>
      <c r="BG42" s="121" t="str">
        <f>IFERROR(VLOOKUP($P42&amp;BG$8,Calc2!$J$4:$L$291,3,0),"")</f>
        <v/>
      </c>
      <c r="BH42" s="121" t="str">
        <f>IFERROR(VLOOKUP($P42&amp;BH$8,Calc2!$J$4:$L$291,3,0),"")</f>
        <v/>
      </c>
      <c r="BI42" s="121" t="str">
        <f>IFERROR(VLOOKUP($P42&amp;BI$8,Calc2!$J$4:$L$291,3,0),"")</f>
        <v/>
      </c>
      <c r="BJ42" s="121" t="str">
        <f>IFERROR(VLOOKUP($P42&amp;BJ$8,Calc2!$J$4:$L$291,3,0),"")</f>
        <v/>
      </c>
      <c r="BK42" s="121" t="str">
        <f>IFERROR(VLOOKUP($P42&amp;BK$8,Calc2!$J$4:$L$291,3,0),"")</f>
        <v/>
      </c>
      <c r="BL42" s="121" t="str">
        <f>IFERROR(VLOOKUP($P42&amp;BL$8,Calc2!$J$4:$L$291,3,0),"")</f>
        <v/>
      </c>
      <c r="BM42" s="286" t="str">
        <f>IFERROR(VLOOKUP($P42&amp;BM$8,Calc2!$J$4:$L$291,3,0),"")</f>
        <v>0 - 0</v>
      </c>
      <c r="BN42" s="123"/>
      <c r="BO42" s="291" t="str">
        <f>IFERROR(VLOOKUP($P42&amp;BO$8,Calc2!$J$4:$L$291,3,0),"")</f>
        <v/>
      </c>
      <c r="BP42" s="124" t="str">
        <f>IFERROR(VLOOKUP($P42&amp;BP$8,Calc2!$J$4:$L$291,3,0),"")</f>
        <v/>
      </c>
    </row>
    <row r="43" spans="2:68" ht="15.95" customHeight="1" x14ac:dyDescent="0.25">
      <c r="B43" s="194"/>
      <c r="C43" s="192">
        <v>35</v>
      </c>
      <c r="D43" s="508">
        <f>IF(Planning!$T41="","",Planning!$T41)</f>
        <v>45953</v>
      </c>
      <c r="E43" s="120">
        <f>IF(Planning!$U41="","",Planning!$U41)</f>
        <v>0.875</v>
      </c>
      <c r="F43" s="128" t="str">
        <f>Planning!$Q41</f>
        <v>Universitatea Craiova</v>
      </c>
      <c r="G43" s="129" t="s">
        <v>4</v>
      </c>
      <c r="H43" s="128" t="str">
        <f>Planning!$S41</f>
        <v>FC Noah</v>
      </c>
      <c r="I43" s="130">
        <v>1</v>
      </c>
      <c r="J43" s="381" t="str">
        <f>Language!$E$90</f>
        <v xml:space="preserve"> - </v>
      </c>
      <c r="K43" s="131">
        <v>1</v>
      </c>
      <c r="L43" s="228"/>
      <c r="M43" s="229"/>
      <c r="N43" s="299"/>
      <c r="O43" s="344">
        <f>IF(Calc!$K$40=0,"",IF(VLOOKUP(Calc!B38,Calc!$C$4:$E$39,3,0)=MAX(O$9:O42),VLOOKUP(Calc!B38,Calc!$C$4:$E$39,3,0),Calc!B38))</f>
        <v>35</v>
      </c>
      <c r="P43" s="345" t="str">
        <f>IF(Calc!$K$40=0,Calc2!$C38,VLOOKUP(Calc!B38,Calc!$C$4:$N$39,4,0))</f>
        <v>FC Aberdeen</v>
      </c>
      <c r="Q43" s="346">
        <f>IF(Calc!$K$40=0,"",VLOOKUP(Calc!B38,Calc!$C$4:$N$39,9,0))</f>
        <v>6</v>
      </c>
      <c r="R43" s="347">
        <f>IF(Calc!$K$40=0,"",IF($Q43=0,"",VLOOKUP(Calc!B38,Calc!$C$4:$N$39,10,0)))</f>
        <v>0</v>
      </c>
      <c r="S43" s="347">
        <f>IF(Calc!$K$40=0,"",IF($Q43=0,"",VLOOKUP(Calc!B38,Calc!$C$4:$N$39,11,0)))</f>
        <v>2</v>
      </c>
      <c r="T43" s="348">
        <f>IF(Calc!$K$40=0,"",IF($Q43=0,"",VLOOKUP(Calc!B38,Calc!$C$4:$N$39,12,0)))</f>
        <v>4</v>
      </c>
      <c r="U43" s="349">
        <f>IF(Calc!$K$40=0,"",IF($Q43=0,"",VLOOKUP(Calc!B38,Calc!$C$4:$N$39,5,0)))</f>
        <v>3</v>
      </c>
      <c r="V43" s="350" t="str">
        <f>Language!$E$90</f>
        <v xml:space="preserve"> - </v>
      </c>
      <c r="W43" s="351">
        <f>IF(Calc!$K$40=0,"",IF($Q43=0,"",VLOOKUP(Calc!B38,Calc!$C$4:$N$39,6,0)))</f>
        <v>14</v>
      </c>
      <c r="X43" s="352">
        <f>IF(Calc!$K$40=0,"",IF($Q43=0,"",VLOOKUP(Calc!B38,Calc!$C$4:$N$39,7,0)))</f>
        <v>-11</v>
      </c>
      <c r="Y43" s="353">
        <f>IF(Calc!$K$40=0,"",IF($Q43=0,"",VLOOKUP(Calc!B38,Calc!$C$4:$P$39,13,0)))</f>
        <v>0</v>
      </c>
      <c r="Z43" s="353">
        <f>IF(Calc!$K$40=0,"",IF($Q43=0,"",VLOOKUP(Calc!B38,Calc!$C$4:$P$39,14,0)))</f>
        <v>0</v>
      </c>
      <c r="AA43" s="354">
        <f>IF(Calc!$K$40=0,"",IF($Q43=0,"",VLOOKUP(Calc!B38,Calc!$C$4:$N$39,8,0)))</f>
        <v>2</v>
      </c>
      <c r="AB43" s="231" t="str">
        <f>IF(VLOOKUP(Calc!B38,Calc!$C$4:$Q$39,15,0)=0,"",VLOOKUP(Calc!B38,Calc!$C$4:$Q$39,15,0))</f>
        <v/>
      </c>
      <c r="AC43" s="143" t="str">
        <f>IF(IFERROR(VLOOKUP($P43,Planning!$D$7:$E$42,2,0),0)=0,IF(LEN(P43)&gt;Factors!$D$12,LEFT(P43,Factors!$D$12)&amp;".",P43),VLOOKUP($P43,Planning!$D$7:$E$42,2,0))</f>
        <v>FC Aber.</v>
      </c>
      <c r="AD43" s="143"/>
      <c r="AE43" s="160">
        <f t="shared" si="4"/>
        <v>35</v>
      </c>
      <c r="AF43" s="161" t="str">
        <f t="shared" si="5"/>
        <v>FC Aberdeen</v>
      </c>
      <c r="AG43" s="122" t="str">
        <f>IFERROR(VLOOKUP($P43&amp;AG$8,Calc2!$J$4:$L$291,3,0),"")</f>
        <v>0 - 1</v>
      </c>
      <c r="AH43" s="121" t="str">
        <f>IFERROR(VLOOKUP($P43&amp;AH$8,Calc2!$J$4:$L$291,3,0),"")</f>
        <v/>
      </c>
      <c r="AI43" s="121" t="str">
        <f>IFERROR(VLOOKUP($P43&amp;AI$8,Calc2!$J$4:$L$291,3,0),"")</f>
        <v/>
      </c>
      <c r="AJ43" s="121" t="str">
        <f>IFERROR(VLOOKUP($P43&amp;AJ$8,Calc2!$J$4:$L$291,3,0),"")</f>
        <v/>
      </c>
      <c r="AK43" s="121" t="str">
        <f>IFERROR(VLOOKUP($P43&amp;AK$8,Calc2!$J$4:$L$291,3,0),"")</f>
        <v/>
      </c>
      <c r="AL43" s="121" t="str">
        <f>IFERROR(VLOOKUP($P43&amp;AL$8,Calc2!$J$4:$L$291,3,0),"")</f>
        <v>2 - 3</v>
      </c>
      <c r="AM43" s="121" t="str">
        <f>IFERROR(VLOOKUP($P43&amp;AM$8,Calc2!$J$4:$L$291,3,0),"")</f>
        <v/>
      </c>
      <c r="AN43" s="121" t="str">
        <f>IFERROR(VLOOKUP($P43&amp;AN$8,Calc2!$J$4:$L$291,3,0),"")</f>
        <v/>
      </c>
      <c r="AO43" s="121" t="str">
        <f>IFERROR(VLOOKUP($P43&amp;AO$8,Calc2!$J$4:$L$291,3,0),"")</f>
        <v/>
      </c>
      <c r="AP43" s="121" t="str">
        <f>IFERROR(VLOOKUP($P43&amp;AP$8,Calc2!$J$4:$L$291,3,0),"")</f>
        <v/>
      </c>
      <c r="AQ43" s="121" t="str">
        <f>IFERROR(VLOOKUP($P43&amp;AQ$8,Calc2!$J$4:$L$291,3,0),"")</f>
        <v/>
      </c>
      <c r="AR43" s="121" t="str">
        <f>IFERROR(VLOOKUP($P43&amp;AR$8,Calc2!$J$4:$L$291,3,0),"")</f>
        <v/>
      </c>
      <c r="AS43" s="121" t="str">
        <f>IFERROR(VLOOKUP($P43&amp;AS$8,Calc2!$J$4:$L$291,3,0),"")</f>
        <v/>
      </c>
      <c r="AT43" s="121" t="str">
        <f>IFERROR(VLOOKUP($P43&amp;AT$8,Calc2!$J$4:$L$291,3,0),"")</f>
        <v/>
      </c>
      <c r="AU43" s="121" t="str">
        <f>IFERROR(VLOOKUP($P43&amp;AU$8,Calc2!$J$4:$L$291,3,0),"")</f>
        <v/>
      </c>
      <c r="AV43" s="121" t="str">
        <f>IFERROR(VLOOKUP($P43&amp;AV$8,Calc2!$J$4:$L$291,3,0),"")</f>
        <v/>
      </c>
      <c r="AW43" s="121" t="str">
        <f>IFERROR(VLOOKUP($P43&amp;AW$8,Calc2!$J$4:$L$291,3,0),"")</f>
        <v/>
      </c>
      <c r="AX43" s="121" t="str">
        <f>IFERROR(VLOOKUP($P43&amp;AX$8,Calc2!$J$4:$L$291,3,0),"")</f>
        <v/>
      </c>
      <c r="AY43" s="121" t="str">
        <f>IFERROR(VLOOKUP($P43&amp;AY$8,Calc2!$J$4:$L$291,3,0),"")</f>
        <v>1 - 1</v>
      </c>
      <c r="AZ43" s="121" t="str">
        <f>IFERROR(VLOOKUP($P43&amp;AZ$8,Calc2!$J$4:$L$291,3,0),"")</f>
        <v/>
      </c>
      <c r="BA43" s="121" t="str">
        <f>IFERROR(VLOOKUP($P43&amp;BA$8,Calc2!$J$4:$L$291,3,0),"")</f>
        <v/>
      </c>
      <c r="BB43" s="121" t="str">
        <f>IFERROR(VLOOKUP($P43&amp;BB$8,Calc2!$J$4:$L$291,3,0),"")</f>
        <v/>
      </c>
      <c r="BC43" s="121" t="str">
        <f>IFERROR(VLOOKUP($P43&amp;BC$8,Calc2!$J$4:$L$291,3,0),"")</f>
        <v/>
      </c>
      <c r="BD43" s="121" t="str">
        <f>IFERROR(VLOOKUP($P43&amp;BD$8,Calc2!$J$4:$L$291,3,0),"")</f>
        <v/>
      </c>
      <c r="BE43" s="121" t="str">
        <f>IFERROR(VLOOKUP($P43&amp;BE$8,Calc2!$J$4:$L$291,3,0),"")</f>
        <v/>
      </c>
      <c r="BF43" s="121" t="str">
        <f>IFERROR(VLOOKUP($P43&amp;BF$8,Calc2!$J$4:$L$291,3,0),"")</f>
        <v/>
      </c>
      <c r="BG43" s="121" t="str">
        <f>IFERROR(VLOOKUP($P43&amp;BG$8,Calc2!$J$4:$L$291,3,0),"")</f>
        <v/>
      </c>
      <c r="BH43" s="121" t="str">
        <f>IFERROR(VLOOKUP($P43&amp;BH$8,Calc2!$J$4:$L$291,3,0),"")</f>
        <v/>
      </c>
      <c r="BI43" s="121" t="str">
        <f>IFERROR(VLOOKUP($P43&amp;BI$8,Calc2!$J$4:$L$291,3,0),"")</f>
        <v/>
      </c>
      <c r="BJ43" s="121" t="str">
        <f>IFERROR(VLOOKUP($P43&amp;BJ$8,Calc2!$J$4:$L$291,3,0),"")</f>
        <v/>
      </c>
      <c r="BK43" s="121" t="str">
        <f>IFERROR(VLOOKUP($P43&amp;BK$8,Calc2!$J$4:$L$291,3,0),"")</f>
        <v/>
      </c>
      <c r="BL43" s="121" t="str">
        <f>IFERROR(VLOOKUP($P43&amp;BL$8,Calc2!$J$4:$L$291,3,0),"")</f>
        <v/>
      </c>
      <c r="BM43" s="286" t="str">
        <f>IFERROR(VLOOKUP($P43&amp;BM$8,Calc2!$J$4:$L$291,3,0),"")</f>
        <v/>
      </c>
      <c r="BN43" s="121" t="str">
        <f>IFERROR(VLOOKUP($P43&amp;BN$8,Calc2!$J$4:$L$291,3,0),"")</f>
        <v/>
      </c>
      <c r="BO43" s="123"/>
      <c r="BP43" s="124" t="str">
        <f>IFERROR(VLOOKUP($P43&amp;BP$8,Calc2!$J$4:$L$291,3,0),"")</f>
        <v/>
      </c>
    </row>
    <row r="44" spans="2:68" ht="15.95" customHeight="1" thickBot="1" x14ac:dyDescent="0.3">
      <c r="B44" s="194"/>
      <c r="C44" s="248">
        <v>36</v>
      </c>
      <c r="D44" s="509">
        <f>IF(Planning!$T42="","",Planning!$T42)</f>
        <v>45953</v>
      </c>
      <c r="E44" s="249">
        <f>IF(Planning!$U42="","",Planning!$U42)</f>
        <v>0.875</v>
      </c>
      <c r="F44" s="250" t="str">
        <f>Planning!$Q42</f>
        <v>Hamrun Spartans</v>
      </c>
      <c r="G44" s="251" t="s">
        <v>4</v>
      </c>
      <c r="H44" s="250" t="str">
        <f>Planning!$S42</f>
        <v>FC Lausanne-Sport</v>
      </c>
      <c r="I44" s="252">
        <v>1</v>
      </c>
      <c r="J44" s="382" t="str">
        <f>Language!$E$90</f>
        <v xml:space="preserve"> - </v>
      </c>
      <c r="K44" s="253">
        <v>1</v>
      </c>
      <c r="L44" s="254"/>
      <c r="M44" s="255"/>
      <c r="N44" s="299"/>
      <c r="O44" s="355">
        <f>IF(Calc!$K$40=0,"",IF(VLOOKUP(Calc!B39,Calc!$C$4:$E$39,3,0)=MAX(O$9:O43),VLOOKUP(Calc!B39,Calc!$C$4:$E$39,3,0),Calc!B39))</f>
        <v>36</v>
      </c>
      <c r="P44" s="356" t="str">
        <f>IF(Calc!$K$40=0,Calc2!$C39,VLOOKUP(Calc!B39,Calc!$C$4:$N$39,4,0))</f>
        <v>Rapid Wien</v>
      </c>
      <c r="Q44" s="357">
        <f>IF(Calc!$K$40=0,"",VLOOKUP(Calc!B39,Calc!$C$4:$N$39,9,0))</f>
        <v>6</v>
      </c>
      <c r="R44" s="358">
        <f>IF(Calc!$K$40=0,"",IF($Q44=0,"",VLOOKUP(Calc!B39,Calc!$C$4:$N$39,10,0)))</f>
        <v>0</v>
      </c>
      <c r="S44" s="358">
        <f>IF(Calc!$K$40=0,"",IF($Q44=0,"",VLOOKUP(Calc!B39,Calc!$C$4:$N$39,11,0)))</f>
        <v>1</v>
      </c>
      <c r="T44" s="359">
        <f>IF(Calc!$K$40=0,"",IF($Q44=0,"",VLOOKUP(Calc!B39,Calc!$C$4:$N$39,12,0)))</f>
        <v>5</v>
      </c>
      <c r="U44" s="360">
        <f>IF(Calc!$K$40=0,"",IF($Q44=0,"",VLOOKUP(Calc!B39,Calc!$C$4:$N$39,5,0)))</f>
        <v>3</v>
      </c>
      <c r="V44" s="361" t="str">
        <f>Language!$E$90</f>
        <v xml:space="preserve"> - </v>
      </c>
      <c r="W44" s="362">
        <f>IF(Calc!$K$40=0,"",IF($Q44=0,"",VLOOKUP(Calc!B39,Calc!$C$4:$N$39,6,0)))</f>
        <v>14</v>
      </c>
      <c r="X44" s="363">
        <f>IF(Calc!$K$40=0,"",IF($Q44=0,"",VLOOKUP(Calc!B39,Calc!$C$4:$N$39,7,0)))</f>
        <v>-11</v>
      </c>
      <c r="Y44" s="364">
        <f>IF(Calc!$K$40=0,"",IF($Q44=0,"",VLOOKUP(Calc!B39,Calc!$C$4:$P$39,13,0)))</f>
        <v>3</v>
      </c>
      <c r="Z44" s="364">
        <f>IF(Calc!$K$40=0,"",IF($Q44=0,"",VLOOKUP(Calc!B39,Calc!$C$4:$P$39,14,0)))</f>
        <v>0</v>
      </c>
      <c r="AA44" s="365">
        <f>IF(Calc!$K$40=0,"",IF($Q44=0,"",VLOOKUP(Calc!B39,Calc!$C$4:$N$39,8,0)))</f>
        <v>1</v>
      </c>
      <c r="AB44" s="232" t="str">
        <f>IF(VLOOKUP(Calc!B39,Calc!$C$4:$Q$39,15,0)=0,"",VLOOKUP(Calc!B39,Calc!$C$4:$Q$39,15,0))</f>
        <v/>
      </c>
      <c r="AC44" s="143" t="str">
        <f>IF(IFERROR(VLOOKUP($P44,Planning!$D$7:$E$42,2,0),0)=0,IF(LEN(P44)&gt;Factors!$D$12,LEFT(P44,Factors!$D$12)&amp;".",P44),VLOOKUP($P44,Planning!$D$7:$E$42,2,0))</f>
        <v>Rapid W.</v>
      </c>
      <c r="AD44" s="143"/>
      <c r="AE44" s="162">
        <f t="shared" si="4"/>
        <v>36</v>
      </c>
      <c r="AF44" s="163" t="str">
        <f t="shared" si="5"/>
        <v>Rapid Wien</v>
      </c>
      <c r="AG44" s="126" t="str">
        <f>IFERROR(VLOOKUP($P44&amp;AG$8,Calc2!$J$4:$L$291,3,0),"")</f>
        <v/>
      </c>
      <c r="AH44" s="125" t="str">
        <f>IFERROR(VLOOKUP($P44&amp;AH$8,Calc2!$J$4:$L$291,3,0),"")</f>
        <v/>
      </c>
      <c r="AI44" s="125" t="str">
        <f>IFERROR(VLOOKUP($P44&amp;AI$8,Calc2!$J$4:$L$291,3,0),"")</f>
        <v/>
      </c>
      <c r="AJ44" s="125" t="str">
        <f>IFERROR(VLOOKUP($P44&amp;AJ$8,Calc2!$J$4:$L$291,3,0),"")</f>
        <v/>
      </c>
      <c r="AK44" s="125" t="str">
        <f>IFERROR(VLOOKUP($P44&amp;AK$8,Calc2!$J$4:$L$291,3,0),"")</f>
        <v/>
      </c>
      <c r="AL44" s="125" t="str">
        <f>IFERROR(VLOOKUP($P44&amp;AL$8,Calc2!$J$4:$L$291,3,0),"")</f>
        <v/>
      </c>
      <c r="AM44" s="125" t="str">
        <f>IFERROR(VLOOKUP($P44&amp;AM$8,Calc2!$J$4:$L$291,3,0),"")</f>
        <v/>
      </c>
      <c r="AN44" s="125" t="str">
        <f>IFERROR(VLOOKUP($P44&amp;AN$8,Calc2!$J$4:$L$291,3,0),"")</f>
        <v/>
      </c>
      <c r="AO44" s="125" t="str">
        <f>IFERROR(VLOOKUP($P44&amp;AO$8,Calc2!$J$4:$L$291,3,0),"")</f>
        <v/>
      </c>
      <c r="AP44" s="125" t="str">
        <f>IFERROR(VLOOKUP($P44&amp;AP$8,Calc2!$J$4:$L$291,3,0),"")</f>
        <v/>
      </c>
      <c r="AQ44" s="125" t="str">
        <f>IFERROR(VLOOKUP($P44&amp;AQ$8,Calc2!$J$4:$L$291,3,0),"")</f>
        <v/>
      </c>
      <c r="AR44" s="125" t="str">
        <f>IFERROR(VLOOKUP($P44&amp;AR$8,Calc2!$J$4:$L$291,3,0),"")</f>
        <v/>
      </c>
      <c r="AS44" s="125" t="str">
        <f>IFERROR(VLOOKUP($P44&amp;AS$8,Calc2!$J$4:$L$291,3,0),"")</f>
        <v/>
      </c>
      <c r="AT44" s="125" t="str">
        <f>IFERROR(VLOOKUP($P44&amp;AT$8,Calc2!$J$4:$L$291,3,0),"")</f>
        <v>0 - 3</v>
      </c>
      <c r="AU44" s="125" t="str">
        <f>IFERROR(VLOOKUP($P44&amp;AU$8,Calc2!$J$4:$L$291,3,0),"")</f>
        <v/>
      </c>
      <c r="AV44" s="125" t="str">
        <f>IFERROR(VLOOKUP($P44&amp;AV$8,Calc2!$J$4:$L$291,3,0),"")</f>
        <v/>
      </c>
      <c r="AW44" s="125" t="str">
        <f>IFERROR(VLOOKUP($P44&amp;AW$8,Calc2!$J$4:$L$291,3,0),"")</f>
        <v/>
      </c>
      <c r="AX44" s="125" t="str">
        <f>IFERROR(VLOOKUP($P44&amp;AX$8,Calc2!$J$4:$L$291,3,0),"")</f>
        <v>0 - 1</v>
      </c>
      <c r="AY44" s="125" t="str">
        <f>IFERROR(VLOOKUP($P44&amp;AY$8,Calc2!$J$4:$L$291,3,0),"")</f>
        <v/>
      </c>
      <c r="AZ44" s="125" t="str">
        <f>IFERROR(VLOOKUP($P44&amp;AZ$8,Calc2!$J$4:$L$291,3,0),"")</f>
        <v/>
      </c>
      <c r="BA44" s="125" t="str">
        <f>IFERROR(VLOOKUP($P44&amp;BA$8,Calc2!$J$4:$L$291,3,0),"")</f>
        <v/>
      </c>
      <c r="BB44" s="125" t="str">
        <f>IFERROR(VLOOKUP($P44&amp;BB$8,Calc2!$J$4:$L$291,3,0),"")</f>
        <v/>
      </c>
      <c r="BC44" s="125" t="str">
        <f>IFERROR(VLOOKUP($P44&amp;BC$8,Calc2!$J$4:$L$291,3,0),"")</f>
        <v/>
      </c>
      <c r="BD44" s="125" t="str">
        <f>IFERROR(VLOOKUP($P44&amp;BD$8,Calc2!$J$4:$L$291,3,0),"")</f>
        <v/>
      </c>
      <c r="BE44" s="125" t="str">
        <f>IFERROR(VLOOKUP($P44&amp;BE$8,Calc2!$J$4:$L$291,3,0),"")</f>
        <v>0 - 1</v>
      </c>
      <c r="BF44" s="125" t="str">
        <f>IFERROR(VLOOKUP($P44&amp;BF$8,Calc2!$J$4:$L$291,3,0),"")</f>
        <v/>
      </c>
      <c r="BG44" s="125" t="str">
        <f>IFERROR(VLOOKUP($P44&amp;BG$8,Calc2!$J$4:$L$291,3,0),"")</f>
        <v/>
      </c>
      <c r="BH44" s="125" t="str">
        <f>IFERROR(VLOOKUP($P44&amp;BH$8,Calc2!$J$4:$L$291,3,0),"")</f>
        <v/>
      </c>
      <c r="BI44" s="125" t="str">
        <f>IFERROR(VLOOKUP($P44&amp;BI$8,Calc2!$J$4:$L$291,3,0),"")</f>
        <v/>
      </c>
      <c r="BJ44" s="125" t="str">
        <f>IFERROR(VLOOKUP($P44&amp;BJ$8,Calc2!$J$4:$L$291,3,0),"")</f>
        <v/>
      </c>
      <c r="BK44" s="125" t="str">
        <f>IFERROR(VLOOKUP($P44&amp;BK$8,Calc2!$J$4:$L$291,3,0),"")</f>
        <v/>
      </c>
      <c r="BL44" s="125" t="str">
        <f>IFERROR(VLOOKUP($P44&amp;BL$8,Calc2!$J$4:$L$291,3,0),"")</f>
        <v/>
      </c>
      <c r="BM44" s="287" t="str">
        <f>IFERROR(VLOOKUP($P44&amp;BM$8,Calc2!$J$4:$L$291,3,0),"")</f>
        <v/>
      </c>
      <c r="BN44" s="125" t="str">
        <f>IFERROR(VLOOKUP($P44&amp;BN$8,Calc2!$J$4:$L$291,3,0),"")</f>
        <v/>
      </c>
      <c r="BO44" s="292" t="str">
        <f>IFERROR(VLOOKUP($P44&amp;BO$8,Calc2!$J$4:$L$291,3,0),"")</f>
        <v/>
      </c>
      <c r="BP44" s="127"/>
    </row>
    <row r="45" spans="2:68" ht="15.95" customHeight="1" thickTop="1" x14ac:dyDescent="0.2">
      <c r="B45" s="269">
        <v>3</v>
      </c>
      <c r="C45" s="270">
        <v>37</v>
      </c>
      <c r="D45" s="510">
        <f>IF(Planning!$T43="","",Planning!$T43)</f>
        <v>45967</v>
      </c>
      <c r="E45" s="271">
        <f>IF(Planning!$U43="","",Planning!$U43)</f>
        <v>0.78125</v>
      </c>
      <c r="F45" s="272" t="str">
        <f>Planning!$Q43</f>
        <v>Schachtar Donezk</v>
      </c>
      <c r="G45" s="273" t="s">
        <v>4</v>
      </c>
      <c r="H45" s="272" t="str">
        <f>Planning!$S43</f>
        <v>UMF Breidablik</v>
      </c>
      <c r="I45" s="274">
        <v>2</v>
      </c>
      <c r="J45" s="383" t="str">
        <f>Language!$E$90</f>
        <v xml:space="preserve"> - </v>
      </c>
      <c r="K45" s="275">
        <v>0</v>
      </c>
      <c r="L45" s="276"/>
      <c r="M45" s="277"/>
      <c r="O45" s="112"/>
      <c r="P45" s="156"/>
      <c r="Q45" s="143"/>
      <c r="R45" s="143"/>
      <c r="S45" s="143"/>
      <c r="T45" s="143"/>
      <c r="U45" s="143"/>
      <c r="V45" s="143"/>
      <c r="W45" s="143"/>
      <c r="X45" s="143"/>
      <c r="Y45" s="143"/>
      <c r="Z45" s="143"/>
      <c r="AA45" s="143"/>
      <c r="AB45" s="143"/>
      <c r="AC45" s="143"/>
      <c r="AD45" s="143"/>
      <c r="AE45" s="281"/>
      <c r="AF45" s="112"/>
      <c r="AG45" s="281"/>
      <c r="AH45" s="281"/>
      <c r="AI45" s="281"/>
      <c r="AJ45" s="281"/>
      <c r="AK45" s="281"/>
      <c r="AL45" s="281"/>
      <c r="AM45" s="281"/>
      <c r="AN45" s="281"/>
      <c r="AO45" s="282"/>
      <c r="AP45" s="282"/>
      <c r="AQ45" s="282"/>
      <c r="AR45" s="282"/>
      <c r="AS45" s="282"/>
      <c r="AT45" s="282"/>
      <c r="AU45" s="282"/>
      <c r="AV45" s="282"/>
      <c r="AW45" s="282"/>
      <c r="AX45" s="282"/>
      <c r="AY45" s="282"/>
      <c r="AZ45" s="282"/>
      <c r="BA45" s="112"/>
      <c r="BB45" s="112"/>
      <c r="BC45" s="112"/>
      <c r="BD45" s="112"/>
      <c r="BE45" s="112"/>
      <c r="BF45" s="112"/>
      <c r="BG45" s="112"/>
      <c r="BH45" s="112"/>
      <c r="BI45" s="112"/>
      <c r="BJ45" s="112"/>
      <c r="BK45" s="112"/>
      <c r="BL45" s="112"/>
    </row>
    <row r="46" spans="2:68" ht="15.95" customHeight="1" x14ac:dyDescent="0.2">
      <c r="B46" s="194"/>
      <c r="C46" s="192">
        <v>38</v>
      </c>
      <c r="D46" s="508">
        <f>IF(Planning!$T44="","",Planning!$T44)</f>
        <v>45967</v>
      </c>
      <c r="E46" s="120">
        <f>IF(Planning!$U44="","",Planning!$U44)</f>
        <v>0.78125</v>
      </c>
      <c r="F46" s="128" t="str">
        <f>Planning!$Q44</f>
        <v>Sparta Prag</v>
      </c>
      <c r="G46" s="129" t="s">
        <v>4</v>
      </c>
      <c r="H46" s="128" t="str">
        <f>Planning!$S44</f>
        <v>Rakow Tschenstochau</v>
      </c>
      <c r="I46" s="130">
        <v>0</v>
      </c>
      <c r="J46" s="381" t="str">
        <f>Language!$E$90</f>
        <v xml:space="preserve"> - </v>
      </c>
      <c r="K46" s="131">
        <v>0</v>
      </c>
      <c r="L46" s="228"/>
      <c r="M46" s="229"/>
      <c r="O46" s="112"/>
      <c r="P46" s="156"/>
      <c r="Q46" s="143"/>
      <c r="R46" s="143"/>
      <c r="S46" s="143"/>
      <c r="T46" s="143"/>
      <c r="U46" s="143"/>
      <c r="V46" s="143"/>
      <c r="W46" s="143"/>
      <c r="X46" s="143"/>
      <c r="Y46" s="143"/>
      <c r="Z46" s="143"/>
      <c r="AA46" s="143"/>
      <c r="AB46" s="143"/>
      <c r="AC46" s="143"/>
      <c r="AD46" s="143"/>
      <c r="AE46" s="155"/>
      <c r="AF46" s="114"/>
      <c r="AG46" s="155"/>
      <c r="AH46" s="155"/>
      <c r="AI46" s="155"/>
      <c r="AJ46" s="155"/>
      <c r="AK46" s="155"/>
      <c r="AL46" s="155"/>
      <c r="AM46" s="155"/>
      <c r="AN46" s="155"/>
      <c r="AO46" s="155"/>
      <c r="AP46" s="155"/>
      <c r="AQ46" s="155"/>
      <c r="AR46" s="155"/>
      <c r="AS46" s="155"/>
      <c r="AT46" s="155"/>
      <c r="AU46" s="155"/>
      <c r="AV46" s="155"/>
      <c r="AW46" s="155"/>
      <c r="AX46" s="155"/>
      <c r="AY46" s="155"/>
      <c r="AZ46" s="155"/>
      <c r="BA46" s="155"/>
      <c r="BB46" s="155"/>
      <c r="BC46" s="155"/>
      <c r="BD46" s="155"/>
      <c r="BE46" s="155"/>
      <c r="BF46" s="155"/>
      <c r="BG46" s="155"/>
      <c r="BH46" s="155"/>
      <c r="BI46" s="155"/>
      <c r="BJ46" s="155"/>
      <c r="BK46" s="155"/>
      <c r="BL46" s="155"/>
    </row>
    <row r="47" spans="2:68" ht="15.95" customHeight="1" x14ac:dyDescent="0.25">
      <c r="B47" s="194"/>
      <c r="C47" s="192">
        <v>39</v>
      </c>
      <c r="D47" s="508">
        <f>IF(Planning!$T45="","",Planning!$T45)</f>
        <v>45967</v>
      </c>
      <c r="E47" s="120">
        <f>IF(Planning!$U45="","",Planning!$U45)</f>
        <v>0.78125</v>
      </c>
      <c r="F47" s="128" t="str">
        <f>Planning!$Q45</f>
        <v>1. FSV Mainz 05</v>
      </c>
      <c r="G47" s="129" t="s">
        <v>4</v>
      </c>
      <c r="H47" s="128" t="str">
        <f>Planning!$S45</f>
        <v>AC Florenz</v>
      </c>
      <c r="I47" s="130">
        <v>2</v>
      </c>
      <c r="J47" s="381" t="str">
        <f>Language!$E$90</f>
        <v xml:space="preserve"> - </v>
      </c>
      <c r="K47" s="131">
        <v>1</v>
      </c>
      <c r="L47" s="228"/>
      <c r="M47" s="229"/>
      <c r="O47" s="377" t="str">
        <f>Language!$E$70</f>
        <v>In case of a tie, the following criteria apply:</v>
      </c>
      <c r="P47" s="369"/>
      <c r="Q47" s="370"/>
      <c r="R47" s="370"/>
      <c r="S47" s="370"/>
      <c r="T47" s="370"/>
      <c r="U47" s="370"/>
      <c r="V47" s="370"/>
      <c r="W47" s="370"/>
      <c r="X47" s="370"/>
      <c r="Y47" s="370"/>
      <c r="Z47" s="370"/>
      <c r="AA47" s="370"/>
      <c r="AB47" s="143"/>
      <c r="AC47" s="143"/>
      <c r="AD47" s="143"/>
      <c r="AE47" s="183"/>
      <c r="AF47" s="114"/>
      <c r="AG47" s="183"/>
      <c r="AH47" s="183"/>
      <c r="AI47" s="183"/>
      <c r="AJ47" s="183"/>
      <c r="AK47" s="183"/>
      <c r="AL47" s="183"/>
      <c r="AM47" s="183"/>
      <c r="AN47" s="183"/>
      <c r="AO47" s="183"/>
      <c r="AP47" s="183"/>
      <c r="AQ47" s="183"/>
      <c r="AR47" s="183"/>
      <c r="AS47" s="183"/>
      <c r="AT47" s="183"/>
      <c r="AU47" s="183"/>
      <c r="AV47" s="183"/>
      <c r="AW47" s="183"/>
      <c r="AX47" s="183"/>
      <c r="AY47" s="183"/>
      <c r="AZ47" s="183"/>
      <c r="BA47" s="183"/>
      <c r="BB47" s="183"/>
      <c r="BC47" s="183"/>
      <c r="BD47" s="183"/>
      <c r="BE47" s="183"/>
      <c r="BF47" s="183"/>
      <c r="BG47" s="183"/>
      <c r="BH47" s="183"/>
      <c r="BI47" s="183"/>
      <c r="BJ47" s="183"/>
      <c r="BK47" s="183"/>
      <c r="BL47" s="183"/>
    </row>
    <row r="48" spans="2:68" ht="15.95" customHeight="1" x14ac:dyDescent="0.25">
      <c r="B48" s="194"/>
      <c r="C48" s="192">
        <v>40</v>
      </c>
      <c r="D48" s="508">
        <f>IF(Planning!$T46="","",Planning!$T46)</f>
        <v>45967</v>
      </c>
      <c r="E48" s="120">
        <f>IF(Planning!$U46="","",Planning!$U46)</f>
        <v>0.78125</v>
      </c>
      <c r="F48" s="128" t="str">
        <f>Planning!$Q46</f>
        <v>NK Celje</v>
      </c>
      <c r="G48" s="129" t="s">
        <v>4</v>
      </c>
      <c r="H48" s="128" t="str">
        <f>Planning!$S46</f>
        <v>Legia Warschau</v>
      </c>
      <c r="I48" s="130">
        <v>2</v>
      </c>
      <c r="J48" s="381" t="str">
        <f>Language!$E$90</f>
        <v xml:space="preserve"> - </v>
      </c>
      <c r="K48" s="131">
        <v>1</v>
      </c>
      <c r="L48" s="228"/>
      <c r="M48" s="229"/>
      <c r="O48" s="368"/>
      <c r="P48" s="369"/>
      <c r="Q48" s="370"/>
      <c r="R48" s="370"/>
      <c r="S48" s="370"/>
      <c r="T48" s="370"/>
      <c r="U48" s="370"/>
      <c r="V48" s="370"/>
      <c r="W48" s="370"/>
      <c r="X48" s="370"/>
      <c r="Y48" s="370"/>
      <c r="Z48" s="370"/>
      <c r="AA48" s="370"/>
      <c r="AB48" s="143"/>
      <c r="AC48" s="143"/>
      <c r="AD48" s="143"/>
      <c r="AE48" s="279"/>
      <c r="AF48" s="280"/>
      <c r="AG48" s="143"/>
      <c r="AH48" s="143"/>
      <c r="AI48" s="143"/>
      <c r="AJ48" s="143"/>
      <c r="AK48" s="143"/>
      <c r="AL48" s="143"/>
      <c r="AM48" s="143"/>
      <c r="AN48" s="143"/>
      <c r="AO48" s="143"/>
      <c r="AP48" s="143"/>
      <c r="AQ48" s="143"/>
      <c r="AR48" s="143"/>
      <c r="AS48" s="143"/>
      <c r="AT48" s="143"/>
      <c r="AU48" s="143"/>
      <c r="AV48" s="143"/>
      <c r="AW48" s="143"/>
      <c r="AX48" s="143"/>
      <c r="AY48" s="143"/>
      <c r="AZ48" s="143"/>
      <c r="BA48" s="143"/>
      <c r="BB48" s="143"/>
      <c r="BC48" s="143"/>
      <c r="BD48" s="143"/>
      <c r="BE48" s="143"/>
      <c r="BF48" s="143"/>
      <c r="BG48" s="143"/>
      <c r="BH48" s="143"/>
      <c r="BI48" s="143"/>
      <c r="BJ48" s="143"/>
      <c r="BK48" s="143"/>
      <c r="BL48" s="143"/>
    </row>
    <row r="49" spans="2:64" ht="15.95" customHeight="1" x14ac:dyDescent="0.25">
      <c r="B49" s="194"/>
      <c r="C49" s="192">
        <v>41</v>
      </c>
      <c r="D49" s="508">
        <f>IF(Planning!$T47="","",Planning!$T47)</f>
        <v>45967</v>
      </c>
      <c r="E49" s="120">
        <f>IF(Planning!$U47="","",Planning!$U47)</f>
        <v>0.78125</v>
      </c>
      <c r="F49" s="128" t="str">
        <f>Planning!$Q47</f>
        <v>AEK Athen</v>
      </c>
      <c r="G49" s="129" t="s">
        <v>4</v>
      </c>
      <c r="H49" s="128" t="str">
        <f>Planning!$S47</f>
        <v>Shamrock Rovers</v>
      </c>
      <c r="I49" s="130">
        <v>1</v>
      </c>
      <c r="J49" s="381" t="str">
        <f>Language!$E$90</f>
        <v xml:space="preserve"> - </v>
      </c>
      <c r="K49" s="131">
        <v>1</v>
      </c>
      <c r="L49" s="228"/>
      <c r="M49" s="229"/>
      <c r="O49" s="375" t="s">
        <v>5</v>
      </c>
      <c r="P49" s="370" t="str">
        <f>Language!$E$71</f>
        <v>Better goal difference</v>
      </c>
      <c r="Q49" s="370"/>
      <c r="R49" s="370"/>
      <c r="S49" s="370"/>
      <c r="T49" s="370"/>
      <c r="U49" s="370"/>
      <c r="V49" s="370"/>
      <c r="W49" s="370"/>
      <c r="X49" s="370"/>
      <c r="Y49" s="370"/>
      <c r="Z49" s="370"/>
      <c r="AA49" s="370"/>
      <c r="AB49" s="143"/>
      <c r="AC49" s="143"/>
      <c r="AD49" s="143"/>
      <c r="AE49" s="279"/>
      <c r="AF49" s="280"/>
      <c r="AG49" s="143"/>
      <c r="AH49" s="143"/>
      <c r="AI49" s="143"/>
      <c r="AJ49" s="143"/>
      <c r="AK49" s="143"/>
      <c r="AL49" s="143"/>
      <c r="AM49" s="143"/>
      <c r="AN49" s="143"/>
      <c r="AO49" s="143"/>
      <c r="AP49" s="143"/>
      <c r="AQ49" s="143"/>
      <c r="AR49" s="143"/>
      <c r="AS49" s="143"/>
      <c r="AT49" s="143"/>
      <c r="AU49" s="143"/>
      <c r="AV49" s="143"/>
      <c r="AW49" s="143"/>
      <c r="AX49" s="143"/>
      <c r="AY49" s="143"/>
      <c r="AZ49" s="143"/>
      <c r="BA49" s="143"/>
      <c r="BB49" s="143"/>
      <c r="BC49" s="143"/>
      <c r="BD49" s="143"/>
      <c r="BE49" s="143"/>
      <c r="BF49" s="143"/>
      <c r="BG49" s="143"/>
      <c r="BH49" s="143"/>
      <c r="BI49" s="143"/>
      <c r="BJ49" s="143"/>
      <c r="BK49" s="143"/>
      <c r="BL49" s="143"/>
    </row>
    <row r="50" spans="2:64" ht="15.95" customHeight="1" x14ac:dyDescent="0.25">
      <c r="B50" s="194"/>
      <c r="C50" s="192">
        <v>42</v>
      </c>
      <c r="D50" s="508">
        <f>IF(Planning!$T48="","",Planning!$T48)</f>
        <v>45967</v>
      </c>
      <c r="E50" s="120">
        <f>IF(Planning!$U48="","",Planning!$U48)</f>
        <v>0.78125</v>
      </c>
      <c r="F50" s="128" t="str">
        <f>Planning!$Q48</f>
        <v>Kuopion PS</v>
      </c>
      <c r="G50" s="129" t="s">
        <v>4</v>
      </c>
      <c r="H50" s="128" t="str">
        <f>Planning!$S48</f>
        <v>Slovan Bratislava</v>
      </c>
      <c r="I50" s="130">
        <v>3</v>
      </c>
      <c r="J50" s="381" t="str">
        <f>Language!$E$90</f>
        <v xml:space="preserve"> - </v>
      </c>
      <c r="K50" s="131">
        <v>1</v>
      </c>
      <c r="L50" s="228"/>
      <c r="M50" s="229"/>
      <c r="O50" s="375" t="s">
        <v>6</v>
      </c>
      <c r="P50" s="374" t="str">
        <f>Language!$E$72</f>
        <v>Higher number of goals scored</v>
      </c>
      <c r="Q50" s="370"/>
      <c r="R50" s="370"/>
      <c r="S50" s="370"/>
      <c r="T50" s="370"/>
      <c r="U50" s="370"/>
      <c r="V50" s="370"/>
      <c r="W50" s="370"/>
      <c r="X50" s="370"/>
      <c r="Y50" s="370"/>
      <c r="Z50" s="370"/>
      <c r="AA50" s="370"/>
      <c r="AB50" s="143"/>
      <c r="AC50" s="143"/>
      <c r="AD50" s="143"/>
      <c r="AE50" s="279"/>
      <c r="AF50" s="280"/>
      <c r="AG50" s="143"/>
      <c r="AH50" s="143"/>
      <c r="AI50" s="143"/>
      <c r="AJ50" s="143"/>
      <c r="AK50" s="143"/>
      <c r="AL50" s="143"/>
      <c r="AM50" s="143"/>
      <c r="AN50" s="143"/>
      <c r="AO50" s="143"/>
      <c r="AP50" s="143"/>
      <c r="AQ50" s="143"/>
      <c r="AR50" s="143"/>
      <c r="AS50" s="143"/>
      <c r="AT50" s="143"/>
      <c r="AU50" s="143"/>
      <c r="AV50" s="143"/>
      <c r="AW50" s="143"/>
      <c r="AX50" s="143"/>
      <c r="AY50" s="143"/>
      <c r="AZ50" s="143"/>
      <c r="BA50" s="143"/>
      <c r="BB50" s="143"/>
      <c r="BC50" s="143"/>
      <c r="BD50" s="143"/>
      <c r="BE50" s="143"/>
      <c r="BF50" s="143"/>
      <c r="BG50" s="143"/>
      <c r="BH50" s="143"/>
      <c r="BI50" s="143"/>
      <c r="BJ50" s="143"/>
      <c r="BK50" s="143"/>
      <c r="BL50" s="143"/>
    </row>
    <row r="51" spans="2:64" ht="15.95" customHeight="1" x14ac:dyDescent="0.25">
      <c r="B51" s="194"/>
      <c r="C51" s="192">
        <v>43</v>
      </c>
      <c r="D51" s="508">
        <f>IF(Planning!$T49="","",Planning!$T49)</f>
        <v>45967</v>
      </c>
      <c r="E51" s="120">
        <f>IF(Planning!$U49="","",Planning!$U49)</f>
        <v>0.78125</v>
      </c>
      <c r="F51" s="128" t="str">
        <f>Planning!$Q49</f>
        <v>Samsunspor</v>
      </c>
      <c r="G51" s="129" t="s">
        <v>4</v>
      </c>
      <c r="H51" s="128" t="str">
        <f>Planning!$S49</f>
        <v>Hamrun Spartans</v>
      </c>
      <c r="I51" s="130">
        <v>3</v>
      </c>
      <c r="J51" s="381" t="str">
        <f>Language!$E$90</f>
        <v xml:space="preserve"> - </v>
      </c>
      <c r="K51" s="131">
        <v>0</v>
      </c>
      <c r="L51" s="228"/>
      <c r="M51" s="229"/>
      <c r="O51" s="375" t="s">
        <v>7</v>
      </c>
      <c r="P51" s="374" t="str">
        <f>Language!$E$73</f>
        <v>Higher number of away goals scored</v>
      </c>
      <c r="Q51" s="370"/>
      <c r="R51" s="370"/>
      <c r="S51" s="370"/>
      <c r="T51" s="370"/>
      <c r="U51" s="370"/>
      <c r="V51" s="370"/>
      <c r="W51" s="370"/>
      <c r="X51" s="370"/>
      <c r="Y51" s="370"/>
      <c r="Z51" s="370"/>
      <c r="AA51" s="370"/>
      <c r="AB51" s="143"/>
      <c r="AC51" s="143"/>
      <c r="AD51" s="143"/>
      <c r="AE51" s="279"/>
      <c r="AF51" s="280"/>
      <c r="AG51" s="143"/>
      <c r="AH51" s="143"/>
      <c r="AI51" s="143"/>
      <c r="AJ51" s="143"/>
      <c r="AK51" s="143"/>
      <c r="AL51" s="143"/>
      <c r="AM51" s="143"/>
      <c r="AN51" s="143"/>
      <c r="AO51" s="143"/>
      <c r="AP51" s="143"/>
      <c r="AQ51" s="143"/>
      <c r="AR51" s="143"/>
      <c r="AS51" s="143"/>
      <c r="AT51" s="143"/>
      <c r="AU51" s="143"/>
      <c r="AV51" s="143"/>
      <c r="AW51" s="143"/>
      <c r="AX51" s="143"/>
      <c r="AY51" s="143"/>
      <c r="AZ51" s="143"/>
      <c r="BA51" s="143"/>
      <c r="BB51" s="143"/>
      <c r="BC51" s="143"/>
      <c r="BD51" s="143"/>
      <c r="BE51" s="143"/>
      <c r="BF51" s="143"/>
      <c r="BG51" s="143"/>
      <c r="BH51" s="143"/>
      <c r="BI51" s="143"/>
      <c r="BJ51" s="143"/>
      <c r="BK51" s="143"/>
      <c r="BL51" s="143"/>
    </row>
    <row r="52" spans="2:64" ht="15.95" customHeight="1" x14ac:dyDescent="0.25">
      <c r="B52" s="194"/>
      <c r="C52" s="192">
        <v>44</v>
      </c>
      <c r="D52" s="508">
        <f>IF(Planning!$T50="","",Planning!$T50)</f>
        <v>45967</v>
      </c>
      <c r="E52" s="120">
        <f>IF(Planning!$U50="","",Planning!$U50)</f>
        <v>0.78125</v>
      </c>
      <c r="F52" s="128" t="str">
        <f>Planning!$Q50</f>
        <v>AEK Larnaka</v>
      </c>
      <c r="G52" s="129" t="s">
        <v>4</v>
      </c>
      <c r="H52" s="128" t="str">
        <f>Planning!$S50</f>
        <v>FC Aberdeen</v>
      </c>
      <c r="I52" s="130">
        <v>0</v>
      </c>
      <c r="J52" s="381" t="str">
        <f>Language!$E$90</f>
        <v xml:space="preserve"> - </v>
      </c>
      <c r="K52" s="131">
        <v>0</v>
      </c>
      <c r="L52" s="228"/>
      <c r="M52" s="229"/>
      <c r="O52" s="375" t="s">
        <v>8</v>
      </c>
      <c r="P52" s="374" t="str">
        <f>Language!$E$74</f>
        <v>Higher number of wins</v>
      </c>
      <c r="Q52" s="370"/>
      <c r="R52" s="370"/>
      <c r="S52" s="370"/>
      <c r="T52" s="370"/>
      <c r="U52" s="370"/>
      <c r="V52" s="370"/>
      <c r="W52" s="370"/>
      <c r="X52" s="370"/>
      <c r="Y52" s="370"/>
      <c r="Z52" s="370"/>
      <c r="AA52" s="370"/>
      <c r="AB52" s="143"/>
      <c r="AC52" s="143"/>
      <c r="AD52" s="143"/>
      <c r="AE52" s="279"/>
      <c r="AF52" s="280"/>
      <c r="AG52" s="143"/>
      <c r="AH52" s="143"/>
      <c r="AI52" s="143"/>
      <c r="AJ52" s="143"/>
      <c r="AK52" s="143"/>
      <c r="AL52" s="143"/>
      <c r="AM52" s="143"/>
      <c r="AN52" s="143"/>
      <c r="AO52" s="143"/>
      <c r="AP52" s="143"/>
      <c r="AQ52" s="143"/>
      <c r="AR52" s="143"/>
      <c r="AS52" s="143"/>
      <c r="AT52" s="143"/>
      <c r="AU52" s="143"/>
      <c r="AV52" s="143"/>
      <c r="AW52" s="143"/>
      <c r="AX52" s="143"/>
      <c r="AY52" s="143"/>
      <c r="AZ52" s="143"/>
      <c r="BA52" s="143"/>
      <c r="BB52" s="143"/>
      <c r="BC52" s="143"/>
      <c r="BD52" s="143"/>
      <c r="BE52" s="143"/>
      <c r="BF52" s="143"/>
      <c r="BG52" s="143"/>
      <c r="BH52" s="143"/>
      <c r="BI52" s="143"/>
      <c r="BJ52" s="143"/>
      <c r="BK52" s="143"/>
      <c r="BL52" s="143"/>
    </row>
    <row r="53" spans="2:64" ht="15.95" customHeight="1" x14ac:dyDescent="0.25">
      <c r="B53" s="194"/>
      <c r="C53" s="192">
        <v>45</v>
      </c>
      <c r="D53" s="508">
        <f>IF(Planning!$T51="","",Planning!$T51)</f>
        <v>45967</v>
      </c>
      <c r="E53" s="120">
        <f>IF(Planning!$U51="","",Planning!$U51)</f>
        <v>0.78125</v>
      </c>
      <c r="F53" s="128" t="str">
        <f>Planning!$Q51</f>
        <v>FC Noah</v>
      </c>
      <c r="G53" s="129" t="s">
        <v>4</v>
      </c>
      <c r="H53" s="128" t="str">
        <f>Planning!$S51</f>
        <v>Sigma Olmütz</v>
      </c>
      <c r="I53" s="130">
        <v>1</v>
      </c>
      <c r="J53" s="381" t="str">
        <f>Language!$E$90</f>
        <v xml:space="preserve"> - </v>
      </c>
      <c r="K53" s="131">
        <v>2</v>
      </c>
      <c r="L53" s="228"/>
      <c r="M53" s="229"/>
      <c r="O53" s="375" t="s">
        <v>9</v>
      </c>
      <c r="P53" s="374" t="str">
        <f>Language!$E$75</f>
        <v>Higher number of away wins</v>
      </c>
      <c r="Q53" s="370"/>
      <c r="R53" s="370"/>
      <c r="S53" s="370"/>
      <c r="T53" s="370"/>
      <c r="U53" s="370"/>
      <c r="V53" s="370"/>
      <c r="W53" s="370"/>
      <c r="X53" s="370"/>
      <c r="Y53" s="370"/>
      <c r="Z53" s="370"/>
      <c r="AA53" s="370"/>
      <c r="AB53" s="143"/>
      <c r="AC53" s="143"/>
      <c r="AD53" s="143"/>
      <c r="AE53" s="279"/>
      <c r="AF53" s="280"/>
      <c r="AG53" s="143"/>
      <c r="AH53" s="143"/>
      <c r="AI53" s="143"/>
      <c r="AJ53" s="143"/>
      <c r="AK53" s="143"/>
      <c r="AL53" s="143"/>
      <c r="AM53" s="143"/>
      <c r="AN53" s="143"/>
      <c r="AO53" s="143"/>
      <c r="AP53" s="143"/>
      <c r="AQ53" s="143"/>
      <c r="AR53" s="143"/>
      <c r="AS53" s="143"/>
      <c r="AT53" s="143"/>
      <c r="AU53" s="143"/>
      <c r="AV53" s="143"/>
      <c r="AW53" s="143"/>
      <c r="AX53" s="143"/>
      <c r="AY53" s="143"/>
      <c r="AZ53" s="143"/>
      <c r="BA53" s="143"/>
      <c r="BB53" s="143"/>
      <c r="BC53" s="143"/>
      <c r="BD53" s="143"/>
      <c r="BE53" s="143"/>
      <c r="BF53" s="143"/>
      <c r="BG53" s="143"/>
      <c r="BH53" s="143"/>
      <c r="BI53" s="143"/>
      <c r="BJ53" s="143"/>
      <c r="BK53" s="143"/>
      <c r="BL53" s="143"/>
    </row>
    <row r="54" spans="2:64" ht="15.95" customHeight="1" x14ac:dyDescent="0.2">
      <c r="B54" s="194"/>
      <c r="C54" s="192">
        <v>46</v>
      </c>
      <c r="D54" s="508">
        <f>IF(Planning!$T52="","",Planning!$T52)</f>
        <v>45967</v>
      </c>
      <c r="E54" s="120">
        <f>IF(Planning!$U52="","",Planning!$U52)</f>
        <v>0.875</v>
      </c>
      <c r="F54" s="128" t="str">
        <f>Planning!$Q52</f>
        <v>Rapid Wien</v>
      </c>
      <c r="G54" s="129" t="s">
        <v>4</v>
      </c>
      <c r="H54" s="128" t="str">
        <f>Planning!$S52</f>
        <v>Universitatea Craiova</v>
      </c>
      <c r="I54" s="130">
        <v>0</v>
      </c>
      <c r="J54" s="381" t="str">
        <f>Language!$E$90</f>
        <v xml:space="preserve"> - </v>
      </c>
      <c r="K54" s="131">
        <v>1</v>
      </c>
      <c r="L54" s="228"/>
      <c r="M54" s="229"/>
      <c r="Q54" s="370"/>
      <c r="R54" s="370"/>
      <c r="S54" s="370"/>
      <c r="T54" s="370"/>
      <c r="U54" s="370"/>
      <c r="V54" s="370"/>
      <c r="W54" s="370"/>
      <c r="X54" s="370"/>
      <c r="Y54" s="370"/>
      <c r="Z54" s="370"/>
      <c r="AA54" s="370"/>
      <c r="AB54" s="143"/>
      <c r="AC54" s="143"/>
      <c r="AD54" s="143"/>
      <c r="AE54" s="279"/>
      <c r="AF54" s="280"/>
      <c r="AG54" s="143"/>
      <c r="AH54" s="143"/>
      <c r="AI54" s="143"/>
      <c r="AJ54" s="143"/>
      <c r="AK54" s="143"/>
      <c r="AL54" s="143"/>
      <c r="AM54" s="143"/>
      <c r="AN54" s="143"/>
      <c r="AO54" s="143"/>
      <c r="AP54" s="143"/>
      <c r="AQ54" s="143"/>
      <c r="AR54" s="143"/>
      <c r="AS54" s="143"/>
      <c r="AT54" s="143"/>
      <c r="AU54" s="143"/>
      <c r="AV54" s="143"/>
      <c r="AW54" s="143"/>
      <c r="AX54" s="143"/>
      <c r="AY54" s="143"/>
      <c r="AZ54" s="143"/>
      <c r="BA54" s="143"/>
      <c r="BB54" s="143"/>
      <c r="BC54" s="143"/>
      <c r="BD54" s="143"/>
      <c r="BE54" s="143"/>
      <c r="BF54" s="143"/>
      <c r="BG54" s="143"/>
      <c r="BH54" s="143"/>
      <c r="BI54" s="143"/>
      <c r="BJ54" s="143"/>
      <c r="BK54" s="143"/>
      <c r="BL54" s="143"/>
    </row>
    <row r="55" spans="2:64" ht="15.95" customHeight="1" x14ac:dyDescent="0.25">
      <c r="B55" s="194"/>
      <c r="C55" s="192">
        <v>47</v>
      </c>
      <c r="D55" s="508">
        <f>IF(Planning!$T53="","",Planning!$T53)</f>
        <v>45967</v>
      </c>
      <c r="E55" s="120">
        <f>IF(Planning!$U53="","",Planning!$U53)</f>
        <v>0.875</v>
      </c>
      <c r="F55" s="128" t="str">
        <f>Planning!$Q53</f>
        <v>Crystal Palace</v>
      </c>
      <c r="G55" s="129" t="s">
        <v>4</v>
      </c>
      <c r="H55" s="128" t="str">
        <f>Planning!$S53</f>
        <v>AZ Alkmaar</v>
      </c>
      <c r="I55" s="130">
        <v>3</v>
      </c>
      <c r="J55" s="381" t="str">
        <f>Language!$E$90</f>
        <v xml:space="preserve"> - </v>
      </c>
      <c r="K55" s="131">
        <v>1</v>
      </c>
      <c r="L55" s="228"/>
      <c r="M55" s="229"/>
      <c r="O55" s="196" t="str">
        <f>Language!$E$76</f>
        <v>These five criteria are taken into account in the table above.</v>
      </c>
      <c r="Q55" s="370"/>
      <c r="R55" s="370"/>
      <c r="S55" s="370"/>
      <c r="T55" s="370"/>
      <c r="U55" s="370"/>
      <c r="V55" s="370"/>
      <c r="W55" s="370"/>
      <c r="X55" s="370"/>
      <c r="Y55" s="370"/>
      <c r="Z55" s="370"/>
      <c r="AA55" s="370"/>
      <c r="AB55" s="143"/>
      <c r="AC55" s="143"/>
      <c r="AD55" s="143"/>
      <c r="AE55" s="279"/>
      <c r="AF55" s="280"/>
      <c r="AG55" s="143"/>
      <c r="AH55" s="143"/>
      <c r="AI55" s="143"/>
      <c r="AJ55" s="143"/>
      <c r="AK55" s="143"/>
      <c r="AL55" s="143"/>
      <c r="AM55" s="143"/>
      <c r="AN55" s="143"/>
      <c r="AO55" s="143"/>
      <c r="AP55" s="143"/>
      <c r="AQ55" s="143"/>
      <c r="AR55" s="143"/>
      <c r="AS55" s="143"/>
      <c r="AT55" s="143"/>
      <c r="AU55" s="143"/>
      <c r="AV55" s="143"/>
      <c r="AW55" s="143"/>
      <c r="AX55" s="143"/>
      <c r="AY55" s="143"/>
      <c r="AZ55" s="143"/>
      <c r="BA55" s="143"/>
      <c r="BB55" s="143"/>
      <c r="BC55" s="143"/>
      <c r="BD55" s="143"/>
      <c r="BE55" s="143"/>
      <c r="BF55" s="143"/>
      <c r="BG55" s="143"/>
      <c r="BH55" s="143"/>
      <c r="BI55" s="143"/>
      <c r="BJ55" s="143"/>
      <c r="BK55" s="143"/>
      <c r="BL55" s="143"/>
    </row>
    <row r="56" spans="2:64" ht="15.95" customHeight="1" x14ac:dyDescent="0.2">
      <c r="B56" s="194"/>
      <c r="C56" s="192">
        <v>48</v>
      </c>
      <c r="D56" s="508">
        <f>IF(Planning!$T54="","",Planning!$T54)</f>
        <v>45967</v>
      </c>
      <c r="E56" s="120">
        <f>IF(Planning!$U54="","",Planning!$U54)</f>
        <v>0.875</v>
      </c>
      <c r="F56" s="128" t="str">
        <f>Planning!$Q54</f>
        <v>Dynamo Kiew</v>
      </c>
      <c r="G56" s="129" t="s">
        <v>4</v>
      </c>
      <c r="H56" s="128" t="str">
        <f>Planning!$S54</f>
        <v>Zrinjski Mostar</v>
      </c>
      <c r="I56" s="130">
        <v>6</v>
      </c>
      <c r="J56" s="381" t="str">
        <f>Language!$E$90</f>
        <v xml:space="preserve"> - </v>
      </c>
      <c r="K56" s="131">
        <v>0</v>
      </c>
      <c r="L56" s="228"/>
      <c r="M56" s="229"/>
      <c r="Q56" s="370"/>
      <c r="R56" s="370"/>
      <c r="S56" s="370"/>
      <c r="T56" s="370"/>
      <c r="U56" s="370"/>
      <c r="V56" s="370"/>
      <c r="W56" s="370"/>
      <c r="X56" s="370"/>
      <c r="Y56" s="370"/>
      <c r="Z56" s="370"/>
      <c r="AA56" s="370"/>
      <c r="AB56" s="143"/>
      <c r="AC56" s="143"/>
      <c r="AD56" s="143"/>
      <c r="AE56" s="279"/>
      <c r="AF56" s="280"/>
      <c r="AG56" s="143"/>
      <c r="AH56" s="143"/>
      <c r="AI56" s="143"/>
      <c r="AJ56" s="143"/>
      <c r="AK56" s="143"/>
      <c r="AL56" s="143"/>
      <c r="AM56" s="143"/>
      <c r="AN56" s="143"/>
      <c r="AO56" s="143"/>
      <c r="AP56" s="143"/>
      <c r="AQ56" s="143"/>
      <c r="AR56" s="143"/>
      <c r="AS56" s="143"/>
      <c r="AT56" s="143"/>
      <c r="AU56" s="143"/>
      <c r="AV56" s="143"/>
      <c r="AW56" s="143"/>
      <c r="AX56" s="143"/>
      <c r="AY56" s="143"/>
      <c r="AZ56" s="143"/>
      <c r="BA56" s="143"/>
      <c r="BB56" s="143"/>
      <c r="BC56" s="143"/>
      <c r="BD56" s="143"/>
      <c r="BE56" s="143"/>
      <c r="BF56" s="143"/>
      <c r="BG56" s="143"/>
      <c r="BH56" s="143"/>
      <c r="BI56" s="143"/>
      <c r="BJ56" s="143"/>
      <c r="BK56" s="143"/>
      <c r="BL56" s="143"/>
    </row>
    <row r="57" spans="2:64" ht="15.95" customHeight="1" x14ac:dyDescent="0.2">
      <c r="B57" s="194"/>
      <c r="C57" s="192">
        <v>49</v>
      </c>
      <c r="D57" s="508">
        <f>IF(Planning!$T55="","",Planning!$T55)</f>
        <v>45967</v>
      </c>
      <c r="E57" s="120">
        <f>IF(Planning!$U55="","",Planning!$U55)</f>
        <v>0.875</v>
      </c>
      <c r="F57" s="128" t="str">
        <f>Planning!$Q55</f>
        <v>Rayo Vallecano</v>
      </c>
      <c r="G57" s="129" t="s">
        <v>4</v>
      </c>
      <c r="H57" s="128" t="str">
        <f>Planning!$S55</f>
        <v>Lech Posen</v>
      </c>
      <c r="I57" s="130">
        <v>3</v>
      </c>
      <c r="J57" s="381" t="str">
        <f>Language!$E$90</f>
        <v xml:space="preserve"> - </v>
      </c>
      <c r="K57" s="131">
        <v>2</v>
      </c>
      <c r="L57" s="228"/>
      <c r="M57" s="229"/>
      <c r="Q57" s="370"/>
      <c r="R57" s="370"/>
      <c r="S57" s="370"/>
      <c r="T57" s="370"/>
      <c r="U57" s="370"/>
      <c r="V57" s="370"/>
      <c r="W57" s="370"/>
      <c r="X57" s="370"/>
      <c r="Y57" s="370"/>
      <c r="Z57" s="370"/>
      <c r="AA57" s="371"/>
      <c r="AB57" s="220"/>
      <c r="AC57" s="117"/>
      <c r="AD57" s="118"/>
      <c r="AE57" s="279"/>
      <c r="AF57" s="280"/>
      <c r="AG57" s="143"/>
      <c r="AH57" s="143"/>
      <c r="AI57" s="143"/>
      <c r="AJ57" s="143"/>
      <c r="AK57" s="143"/>
      <c r="AL57" s="143"/>
      <c r="AM57" s="143"/>
      <c r="AN57" s="143"/>
      <c r="AO57" s="143"/>
      <c r="AP57" s="143"/>
      <c r="AQ57" s="143"/>
      <c r="AR57" s="143"/>
      <c r="AS57" s="143"/>
      <c r="AT57" s="143"/>
      <c r="AU57" s="143"/>
      <c r="AV57" s="143"/>
      <c r="AW57" s="143"/>
      <c r="AX57" s="143"/>
      <c r="AY57" s="143"/>
      <c r="AZ57" s="143"/>
      <c r="BA57" s="143"/>
      <c r="BB57" s="143"/>
      <c r="BC57" s="143"/>
      <c r="BD57" s="143"/>
      <c r="BE57" s="143"/>
      <c r="BF57" s="143"/>
      <c r="BG57" s="143"/>
      <c r="BH57" s="143"/>
      <c r="BI57" s="143"/>
      <c r="BJ57" s="143"/>
      <c r="BK57" s="143"/>
      <c r="BL57" s="143"/>
    </row>
    <row r="58" spans="2:64" ht="15.95" customHeight="1" x14ac:dyDescent="0.25">
      <c r="B58" s="194"/>
      <c r="C58" s="192">
        <v>50</v>
      </c>
      <c r="D58" s="508">
        <f>IF(Planning!$T56="","",Planning!$T56)</f>
        <v>45967</v>
      </c>
      <c r="E58" s="120">
        <f>IF(Planning!$U56="","",Planning!$U56)</f>
        <v>0.875</v>
      </c>
      <c r="F58" s="128" t="str">
        <f>Planning!$Q56</f>
        <v>Lincoln Red Imps Fc</v>
      </c>
      <c r="G58" s="129" t="s">
        <v>4</v>
      </c>
      <c r="H58" s="128" t="str">
        <f>Planning!$S56</f>
        <v>HNK Rijeka</v>
      </c>
      <c r="I58" s="130">
        <v>1</v>
      </c>
      <c r="J58" s="381" t="str">
        <f>Language!$E$90</f>
        <v xml:space="preserve"> - </v>
      </c>
      <c r="K58" s="131">
        <v>1</v>
      </c>
      <c r="L58" s="228"/>
      <c r="M58" s="229"/>
      <c r="O58" s="378" t="str">
        <f>Language!$E$77</f>
        <v>At the end of the league phase, in the event of a tie, the following criteria will also be used:</v>
      </c>
      <c r="Q58" s="370"/>
      <c r="R58" s="370"/>
      <c r="S58" s="370"/>
      <c r="T58" s="370"/>
      <c r="U58" s="370"/>
      <c r="V58" s="370"/>
      <c r="W58" s="370"/>
      <c r="X58" s="370"/>
      <c r="Y58" s="370"/>
      <c r="Z58" s="370"/>
      <c r="AA58" s="371"/>
      <c r="AB58" s="220"/>
      <c r="AC58" s="117"/>
      <c r="AD58" s="118"/>
      <c r="AE58" s="279"/>
      <c r="AF58" s="280"/>
      <c r="AG58" s="143"/>
      <c r="AH58" s="143"/>
      <c r="AI58" s="143"/>
      <c r="AJ58" s="143"/>
      <c r="AK58" s="143"/>
      <c r="AL58" s="143"/>
      <c r="AM58" s="143"/>
      <c r="AN58" s="143"/>
      <c r="AO58" s="143"/>
      <c r="AP58" s="143"/>
      <c r="AQ58" s="143"/>
      <c r="AR58" s="143"/>
      <c r="AS58" s="143"/>
      <c r="AT58" s="143"/>
      <c r="AU58" s="143"/>
      <c r="AV58" s="143"/>
      <c r="AW58" s="143"/>
      <c r="AX58" s="143"/>
      <c r="AY58" s="143"/>
      <c r="AZ58" s="143"/>
      <c r="BA58" s="143"/>
      <c r="BB58" s="143"/>
      <c r="BC58" s="143"/>
      <c r="BD58" s="143"/>
      <c r="BE58" s="143"/>
      <c r="BF58" s="143"/>
      <c r="BG58" s="143"/>
      <c r="BH58" s="143"/>
      <c r="BI58" s="143"/>
      <c r="BJ58" s="143"/>
      <c r="BK58" s="143"/>
      <c r="BL58" s="143"/>
    </row>
    <row r="59" spans="2:64" ht="15.95" customHeight="1" x14ac:dyDescent="0.2">
      <c r="B59" s="194"/>
      <c r="C59" s="192">
        <v>51</v>
      </c>
      <c r="D59" s="508">
        <f>IF(Planning!$T57="","",Planning!$T57)</f>
        <v>45967</v>
      </c>
      <c r="E59" s="120">
        <f>IF(Planning!$U57="","",Planning!$U57)</f>
        <v>0.875</v>
      </c>
      <c r="F59" s="128" t="str">
        <f>Planning!$Q57</f>
        <v>Shkendija Tetovo</v>
      </c>
      <c r="G59" s="129" t="s">
        <v>4</v>
      </c>
      <c r="H59" s="128" t="str">
        <f>Planning!$S57</f>
        <v>Jagiellonia Bialystok</v>
      </c>
      <c r="I59" s="130">
        <v>1</v>
      </c>
      <c r="J59" s="381" t="str">
        <f>Language!$E$90</f>
        <v xml:space="preserve"> - </v>
      </c>
      <c r="K59" s="131">
        <v>1</v>
      </c>
      <c r="L59" s="228"/>
      <c r="M59" s="229"/>
      <c r="Q59" s="370"/>
      <c r="R59" s="370"/>
      <c r="S59" s="370"/>
      <c r="T59" s="370"/>
      <c r="U59" s="370"/>
      <c r="V59" s="370"/>
      <c r="W59" s="370"/>
      <c r="X59" s="370"/>
      <c r="Y59" s="370"/>
      <c r="Z59" s="370"/>
      <c r="AA59" s="371"/>
      <c r="AB59" s="220"/>
      <c r="AC59" s="117"/>
      <c r="AD59" s="118"/>
      <c r="AE59" s="279"/>
      <c r="AF59" s="280"/>
      <c r="AG59" s="143"/>
      <c r="AH59" s="143"/>
      <c r="AI59" s="143"/>
      <c r="AJ59" s="143"/>
      <c r="AK59" s="143"/>
      <c r="AL59" s="143"/>
      <c r="AM59" s="143"/>
      <c r="AN59" s="143"/>
      <c r="AO59" s="143"/>
      <c r="AP59" s="143"/>
      <c r="AQ59" s="143"/>
      <c r="AR59" s="143"/>
      <c r="AS59" s="143"/>
      <c r="AT59" s="143"/>
      <c r="AU59" s="143"/>
      <c r="AV59" s="143"/>
      <c r="AW59" s="143"/>
      <c r="AX59" s="143"/>
      <c r="AY59" s="143"/>
      <c r="AZ59" s="143"/>
      <c r="BA59" s="143"/>
      <c r="BB59" s="143"/>
      <c r="BC59" s="143"/>
      <c r="BD59" s="143"/>
      <c r="BE59" s="143"/>
      <c r="BF59" s="143"/>
      <c r="BG59" s="143"/>
      <c r="BH59" s="143"/>
      <c r="BI59" s="143"/>
      <c r="BJ59" s="143"/>
      <c r="BK59" s="143"/>
      <c r="BL59" s="143"/>
    </row>
    <row r="60" spans="2:64" ht="15.95" customHeight="1" x14ac:dyDescent="0.2">
      <c r="B60" s="194"/>
      <c r="C60" s="192">
        <v>52</v>
      </c>
      <c r="D60" s="508">
        <f>IF(Planning!$T58="","",Planning!$T58)</f>
        <v>45967</v>
      </c>
      <c r="E60" s="120">
        <f>IF(Planning!$U58="","",Planning!$U58)</f>
        <v>0.875</v>
      </c>
      <c r="F60" s="128" t="str">
        <f>Planning!$Q58</f>
        <v>BK Häcken</v>
      </c>
      <c r="G60" s="129" t="s">
        <v>4</v>
      </c>
      <c r="H60" s="128" t="str">
        <f>Planning!$S58</f>
        <v>Racing Straßburg</v>
      </c>
      <c r="I60" s="130">
        <v>1</v>
      </c>
      <c r="J60" s="381" t="str">
        <f>Language!$E$90</f>
        <v xml:space="preserve"> - </v>
      </c>
      <c r="K60" s="131">
        <v>2</v>
      </c>
      <c r="L60" s="228"/>
      <c r="M60" s="229"/>
      <c r="O60" s="379" t="s">
        <v>10</v>
      </c>
      <c r="P60" s="374" t="str">
        <f>Language!$E$78</f>
        <v>Higher number of points earned by the eight opponents of the club in question</v>
      </c>
      <c r="Q60" s="370"/>
      <c r="R60" s="370"/>
      <c r="S60" s="370"/>
      <c r="T60" s="370"/>
      <c r="U60" s="370"/>
      <c r="V60" s="370"/>
      <c r="W60" s="370"/>
      <c r="X60" s="370"/>
      <c r="Y60" s="370"/>
      <c r="Z60" s="370"/>
      <c r="AA60" s="371"/>
      <c r="AB60" s="220"/>
      <c r="AC60" s="117"/>
      <c r="AD60" s="118"/>
      <c r="AE60" s="279"/>
      <c r="AF60" s="280"/>
      <c r="AG60" s="143"/>
      <c r="AH60" s="143"/>
      <c r="AI60" s="143"/>
      <c r="AJ60" s="143"/>
      <c r="AK60" s="143"/>
      <c r="AL60" s="143"/>
      <c r="AM60" s="143"/>
      <c r="AN60" s="143"/>
      <c r="AO60" s="143"/>
      <c r="AP60" s="143"/>
      <c r="AQ60" s="143"/>
      <c r="AR60" s="143"/>
      <c r="AS60" s="143"/>
      <c r="AT60" s="143"/>
      <c r="AU60" s="143"/>
      <c r="AV60" s="143"/>
      <c r="AW60" s="143"/>
      <c r="AX60" s="143"/>
      <c r="AY60" s="143"/>
      <c r="AZ60" s="143"/>
      <c r="BA60" s="143"/>
      <c r="BB60" s="143"/>
      <c r="BC60" s="143"/>
      <c r="BD60" s="143"/>
      <c r="BE60" s="143"/>
      <c r="BF60" s="143"/>
      <c r="BG60" s="143"/>
      <c r="BH60" s="143"/>
      <c r="BI60" s="143"/>
      <c r="BJ60" s="143"/>
      <c r="BK60" s="143"/>
      <c r="BL60" s="143"/>
    </row>
    <row r="61" spans="2:64" ht="15.95" customHeight="1" x14ac:dyDescent="0.2">
      <c r="B61" s="194"/>
      <c r="C61" s="192">
        <v>53</v>
      </c>
      <c r="D61" s="508">
        <f>IF(Planning!$T59="","",Planning!$T59)</f>
        <v>45967</v>
      </c>
      <c r="E61" s="120">
        <f>IF(Planning!$U59="","",Planning!$U59)</f>
        <v>0.875</v>
      </c>
      <c r="F61" s="128" t="str">
        <f>Planning!$Q59</f>
        <v>FC Shelbourne</v>
      </c>
      <c r="G61" s="129" t="s">
        <v>4</v>
      </c>
      <c r="H61" s="128" t="str">
        <f>Planning!$S59</f>
        <v>KF Drita Gjilan</v>
      </c>
      <c r="I61" s="130">
        <v>0</v>
      </c>
      <c r="J61" s="381" t="str">
        <f>Language!$E$90</f>
        <v xml:space="preserve"> - </v>
      </c>
      <c r="K61" s="131">
        <v>1</v>
      </c>
      <c r="L61" s="228"/>
      <c r="M61" s="229"/>
      <c r="O61" s="376" t="s">
        <v>13</v>
      </c>
      <c r="P61" s="374" t="str">
        <f>Language!$E$79</f>
        <v>Better combined goal difference of the eight opponents</v>
      </c>
      <c r="Q61" s="372"/>
      <c r="R61" s="372"/>
      <c r="S61" s="372"/>
      <c r="T61" s="372"/>
      <c r="U61" s="372"/>
      <c r="V61" s="372"/>
      <c r="W61" s="372"/>
      <c r="X61" s="372"/>
      <c r="Y61" s="372"/>
      <c r="Z61" s="372"/>
      <c r="AA61" s="372"/>
      <c r="AB61" s="157"/>
      <c r="AC61" s="157"/>
      <c r="AD61" s="157"/>
      <c r="AE61" s="279"/>
      <c r="AF61" s="280"/>
      <c r="AG61" s="143"/>
      <c r="AH61" s="143"/>
      <c r="AI61" s="143"/>
      <c r="AJ61" s="143"/>
      <c r="AK61" s="143"/>
      <c r="AL61" s="143"/>
      <c r="AM61" s="143"/>
      <c r="AN61" s="143"/>
      <c r="AO61" s="143"/>
      <c r="AP61" s="143"/>
      <c r="AQ61" s="143"/>
      <c r="AR61" s="143"/>
      <c r="AS61" s="143"/>
      <c r="AT61" s="143"/>
      <c r="AU61" s="143"/>
      <c r="AV61" s="143"/>
      <c r="AW61" s="143"/>
      <c r="AX61" s="143"/>
      <c r="AY61" s="143"/>
      <c r="AZ61" s="143"/>
      <c r="BA61" s="143"/>
      <c r="BB61" s="143"/>
      <c r="BC61" s="143"/>
      <c r="BD61" s="143"/>
      <c r="BE61" s="143"/>
      <c r="BF61" s="143"/>
      <c r="BG61" s="143"/>
      <c r="BH61" s="143"/>
      <c r="BI61" s="143"/>
      <c r="BJ61" s="143"/>
      <c r="BK61" s="143"/>
      <c r="BL61" s="143"/>
    </row>
    <row r="62" spans="2:64" ht="15.95" customHeight="1" thickBot="1" x14ac:dyDescent="0.25">
      <c r="B62" s="194"/>
      <c r="C62" s="248">
        <v>54</v>
      </c>
      <c r="D62" s="509">
        <f>IF(Planning!$T60="","",Planning!$T60)</f>
        <v>45967</v>
      </c>
      <c r="E62" s="249">
        <f>IF(Planning!$U60="","",Planning!$U60)</f>
        <v>0.875</v>
      </c>
      <c r="F62" s="250" t="str">
        <f>Planning!$Q60</f>
        <v>FC Lausanne-Sport</v>
      </c>
      <c r="G62" s="251" t="s">
        <v>4</v>
      </c>
      <c r="H62" s="250" t="str">
        <f>Planning!$S60</f>
        <v>Omonia Nikosia</v>
      </c>
      <c r="I62" s="252">
        <v>1</v>
      </c>
      <c r="J62" s="382" t="str">
        <f>Language!$E$90</f>
        <v xml:space="preserve"> - </v>
      </c>
      <c r="K62" s="253">
        <v>1</v>
      </c>
      <c r="L62" s="254"/>
      <c r="M62" s="255"/>
      <c r="O62" s="376" t="s">
        <v>14</v>
      </c>
      <c r="P62" s="374" t="str">
        <f>Language!$E$80</f>
        <v>Higher number of goals scored by the eight opponents</v>
      </c>
      <c r="Q62" s="372"/>
      <c r="R62" s="372"/>
      <c r="S62" s="372"/>
      <c r="T62" s="372"/>
      <c r="U62" s="372"/>
      <c r="V62" s="372"/>
      <c r="W62" s="372"/>
      <c r="X62" s="372"/>
      <c r="Y62" s="372"/>
      <c r="Z62" s="372"/>
      <c r="AA62" s="372"/>
      <c r="AB62" s="157"/>
      <c r="AC62" s="157"/>
      <c r="AD62" s="157"/>
      <c r="AE62" s="279"/>
      <c r="AF62" s="280"/>
      <c r="AG62" s="143"/>
      <c r="AH62" s="143"/>
      <c r="AI62" s="143"/>
      <c r="AJ62" s="143"/>
      <c r="AK62" s="143"/>
      <c r="AL62" s="143"/>
      <c r="AM62" s="143"/>
      <c r="AN62" s="143"/>
      <c r="AO62" s="143"/>
      <c r="AP62" s="143"/>
      <c r="AQ62" s="143"/>
      <c r="AR62" s="143"/>
      <c r="AS62" s="143"/>
      <c r="AT62" s="143"/>
      <c r="AU62" s="143"/>
      <c r="AV62" s="143"/>
      <c r="AW62" s="143"/>
      <c r="AX62" s="143"/>
      <c r="AY62" s="143"/>
      <c r="AZ62" s="143"/>
      <c r="BA62" s="143"/>
      <c r="BB62" s="143"/>
      <c r="BC62" s="143"/>
      <c r="BD62" s="143"/>
      <c r="BE62" s="143"/>
      <c r="BF62" s="143"/>
      <c r="BG62" s="143"/>
      <c r="BH62" s="143"/>
      <c r="BI62" s="143"/>
      <c r="BJ62" s="143"/>
      <c r="BK62" s="143"/>
      <c r="BL62" s="143"/>
    </row>
    <row r="63" spans="2:64" ht="15.95" customHeight="1" x14ac:dyDescent="0.2">
      <c r="B63" s="269">
        <v>4</v>
      </c>
      <c r="C63" s="270">
        <v>55</v>
      </c>
      <c r="D63" s="510">
        <f>IF(Planning!$T61="","",Planning!$T61)</f>
        <v>45988</v>
      </c>
      <c r="E63" s="271">
        <f>IF(Planning!$U61="","",Planning!$U61)</f>
        <v>0.78125</v>
      </c>
      <c r="F63" s="272" t="str">
        <f>Planning!$Q61</f>
        <v>Slovan Bratislava</v>
      </c>
      <c r="G63" s="273" t="s">
        <v>4</v>
      </c>
      <c r="H63" s="272" t="str">
        <f>Planning!$S61</f>
        <v>Rayo Vallecano</v>
      </c>
      <c r="I63" s="274">
        <v>2</v>
      </c>
      <c r="J63" s="383" t="str">
        <f>Language!$E$90</f>
        <v xml:space="preserve"> - </v>
      </c>
      <c r="K63" s="275">
        <v>1</v>
      </c>
      <c r="L63" s="276"/>
      <c r="M63" s="277"/>
      <c r="O63" s="376" t="s">
        <v>15</v>
      </c>
      <c r="P63" s="370" t="str">
        <f>Language!$E$81</f>
        <v>Fair play rating</v>
      </c>
      <c r="Q63" s="370"/>
      <c r="R63" s="370"/>
      <c r="S63" s="370"/>
      <c r="T63" s="370"/>
      <c r="U63" s="370"/>
      <c r="V63" s="370"/>
      <c r="W63" s="370"/>
      <c r="X63" s="370"/>
      <c r="Y63" s="370"/>
      <c r="Z63" s="370"/>
      <c r="AA63" s="370"/>
      <c r="AB63" s="155"/>
      <c r="AC63" s="155"/>
      <c r="AD63" s="155"/>
      <c r="AE63" s="279"/>
      <c r="AF63" s="280"/>
      <c r="AG63" s="143"/>
      <c r="AH63" s="143"/>
      <c r="AI63" s="143"/>
      <c r="AJ63" s="143"/>
      <c r="AK63" s="143"/>
      <c r="AL63" s="143"/>
      <c r="AM63" s="143"/>
      <c r="AN63" s="143"/>
      <c r="AO63" s="143"/>
      <c r="AP63" s="143"/>
      <c r="AQ63" s="143"/>
      <c r="AR63" s="143"/>
      <c r="AS63" s="143"/>
      <c r="AT63" s="143"/>
      <c r="AU63" s="143"/>
      <c r="AV63" s="143"/>
      <c r="AW63" s="143"/>
      <c r="AX63" s="143"/>
      <c r="AY63" s="143"/>
      <c r="AZ63" s="143"/>
      <c r="BA63" s="143"/>
      <c r="BB63" s="143"/>
      <c r="BC63" s="143"/>
      <c r="BD63" s="143"/>
      <c r="BE63" s="143"/>
      <c r="BF63" s="143"/>
      <c r="BG63" s="143"/>
      <c r="BH63" s="143"/>
      <c r="BI63" s="143"/>
      <c r="BJ63" s="143"/>
      <c r="BK63" s="143"/>
      <c r="BL63" s="143"/>
    </row>
    <row r="64" spans="2:64" ht="15.95" customHeight="1" x14ac:dyDescent="0.2">
      <c r="B64" s="194"/>
      <c r="C64" s="192">
        <v>56</v>
      </c>
      <c r="D64" s="508">
        <f>IF(Planning!$T62="","",Planning!$T62)</f>
        <v>45988</v>
      </c>
      <c r="E64" s="120">
        <f>IF(Planning!$U62="","",Planning!$U62)</f>
        <v>0.78125</v>
      </c>
      <c r="F64" s="128" t="str">
        <f>Planning!$Q62</f>
        <v>AZ Alkmaar</v>
      </c>
      <c r="G64" s="129" t="s">
        <v>4</v>
      </c>
      <c r="H64" s="128" t="str">
        <f>Planning!$S62</f>
        <v>FC Shelbourne</v>
      </c>
      <c r="I64" s="130">
        <v>2</v>
      </c>
      <c r="J64" s="381" t="str">
        <f>Language!$E$90</f>
        <v xml:space="preserve"> - </v>
      </c>
      <c r="K64" s="131">
        <v>0</v>
      </c>
      <c r="L64" s="228"/>
      <c r="M64" s="229"/>
      <c r="O64" s="376" t="s">
        <v>21</v>
      </c>
      <c r="P64" s="370" t="str">
        <f>Language!$E$82</f>
        <v>UEFA coefficient</v>
      </c>
      <c r="Q64" s="373"/>
      <c r="R64" s="373"/>
      <c r="S64" s="373"/>
      <c r="T64" s="373"/>
      <c r="U64" s="373"/>
      <c r="V64" s="373"/>
      <c r="W64" s="373"/>
      <c r="X64" s="373"/>
      <c r="Y64" s="373"/>
      <c r="Z64" s="373"/>
      <c r="AA64" s="373"/>
      <c r="AB64" s="116"/>
      <c r="AC64" s="183"/>
      <c r="AD64" s="116"/>
      <c r="AE64" s="279"/>
      <c r="AF64" s="280"/>
      <c r="AG64" s="143"/>
      <c r="AH64" s="143"/>
      <c r="AI64" s="143"/>
      <c r="AJ64" s="143"/>
      <c r="AK64" s="143"/>
      <c r="AL64" s="143"/>
      <c r="AM64" s="143"/>
      <c r="AN64" s="143"/>
      <c r="AO64" s="143"/>
      <c r="AP64" s="143"/>
      <c r="AQ64" s="143"/>
      <c r="AR64" s="143"/>
      <c r="AS64" s="143"/>
      <c r="AT64" s="143"/>
      <c r="AU64" s="143"/>
      <c r="AV64" s="143"/>
      <c r="AW64" s="143"/>
      <c r="AX64" s="143"/>
      <c r="AY64" s="143"/>
      <c r="AZ64" s="143"/>
      <c r="BA64" s="143"/>
      <c r="BB64" s="143"/>
      <c r="BC64" s="143"/>
      <c r="BD64" s="143"/>
      <c r="BE64" s="143"/>
      <c r="BF64" s="143"/>
      <c r="BG64" s="143"/>
      <c r="BH64" s="143"/>
      <c r="BI64" s="143"/>
      <c r="BJ64" s="143"/>
      <c r="BK64" s="143"/>
      <c r="BL64" s="143"/>
    </row>
    <row r="65" spans="2:64" ht="15.95" customHeight="1" x14ac:dyDescent="0.2">
      <c r="B65" s="194"/>
      <c r="C65" s="192">
        <v>57</v>
      </c>
      <c r="D65" s="508">
        <f>IF(Planning!$T63="","",Planning!$T63)</f>
        <v>45988</v>
      </c>
      <c r="E65" s="120">
        <f>IF(Planning!$U63="","",Planning!$U63)</f>
        <v>0.78125</v>
      </c>
      <c r="F65" s="128" t="str">
        <f>Planning!$Q63</f>
        <v>Lech Posen</v>
      </c>
      <c r="G65" s="129" t="s">
        <v>4</v>
      </c>
      <c r="H65" s="128" t="str">
        <f>Planning!$S63</f>
        <v>FC Lausanne-Sport</v>
      </c>
      <c r="I65" s="130">
        <v>2</v>
      </c>
      <c r="J65" s="381" t="str">
        <f>Language!$E$90</f>
        <v xml:space="preserve"> - </v>
      </c>
      <c r="K65" s="131">
        <v>0</v>
      </c>
      <c r="L65" s="228"/>
      <c r="M65" s="229"/>
      <c r="Q65" s="370"/>
      <c r="R65" s="370"/>
      <c r="S65" s="370"/>
      <c r="T65" s="370"/>
      <c r="U65" s="370"/>
      <c r="V65" s="370"/>
      <c r="W65" s="370"/>
      <c r="X65" s="370"/>
      <c r="Y65" s="370"/>
      <c r="Z65" s="370"/>
      <c r="AA65" s="370"/>
      <c r="AB65" s="143"/>
      <c r="AC65" s="143"/>
      <c r="AD65" s="143"/>
      <c r="AE65" s="279"/>
      <c r="AF65" s="280"/>
      <c r="AG65" s="143"/>
      <c r="AH65" s="143"/>
      <c r="AI65" s="143"/>
      <c r="AJ65" s="143"/>
      <c r="AK65" s="143"/>
      <c r="AL65" s="143"/>
      <c r="AM65" s="143"/>
      <c r="AN65" s="143"/>
      <c r="AO65" s="143"/>
      <c r="AP65" s="143"/>
      <c r="AQ65" s="143"/>
      <c r="AR65" s="143"/>
      <c r="AS65" s="143"/>
      <c r="AT65" s="143"/>
      <c r="AU65" s="143"/>
      <c r="AV65" s="143"/>
      <c r="AW65" s="143"/>
      <c r="AX65" s="143"/>
      <c r="AY65" s="143"/>
      <c r="AZ65" s="143"/>
      <c r="BA65" s="143"/>
      <c r="BB65" s="143"/>
      <c r="BC65" s="143"/>
      <c r="BD65" s="143"/>
      <c r="BE65" s="143"/>
      <c r="BF65" s="143"/>
      <c r="BG65" s="143"/>
      <c r="BH65" s="143"/>
      <c r="BI65" s="143"/>
      <c r="BJ65" s="143"/>
      <c r="BK65" s="143"/>
      <c r="BL65" s="143"/>
    </row>
    <row r="66" spans="2:64" ht="15.95" customHeight="1" x14ac:dyDescent="0.25">
      <c r="B66" s="194"/>
      <c r="C66" s="192">
        <v>58</v>
      </c>
      <c r="D66" s="508">
        <f>IF(Planning!$T64="","",Planning!$T64)</f>
        <v>45988</v>
      </c>
      <c r="E66" s="120">
        <f>IF(Planning!$U64="","",Planning!$U64)</f>
        <v>0.78125</v>
      </c>
      <c r="F66" s="128" t="str">
        <f>Planning!$Q64</f>
        <v>Zrinjski Mostar</v>
      </c>
      <c r="G66" s="129" t="s">
        <v>4</v>
      </c>
      <c r="H66" s="128" t="str">
        <f>Planning!$S64</f>
        <v>BK Häcken</v>
      </c>
      <c r="I66" s="130">
        <v>2</v>
      </c>
      <c r="J66" s="381" t="str">
        <f>Language!$E$90</f>
        <v xml:space="preserve"> - </v>
      </c>
      <c r="K66" s="131">
        <v>1</v>
      </c>
      <c r="L66" s="228"/>
      <c r="M66" s="229"/>
      <c r="O66" s="196" t="str">
        <f>Language!$E$83</f>
        <v>Should this happen, a bonus point can be entered for the better team on the 'Tie_Break' sheet.</v>
      </c>
      <c r="Q66" s="370"/>
      <c r="R66" s="370"/>
      <c r="S66" s="370"/>
      <c r="T66" s="370"/>
      <c r="U66" s="370"/>
      <c r="V66" s="370"/>
      <c r="W66" s="370"/>
      <c r="X66" s="370"/>
      <c r="Y66" s="370"/>
      <c r="Z66" s="370"/>
      <c r="AA66" s="370"/>
      <c r="AB66" s="143"/>
      <c r="AC66" s="143"/>
      <c r="AD66" s="143"/>
      <c r="AE66" s="279"/>
      <c r="AF66" s="280"/>
      <c r="AG66" s="143"/>
      <c r="AH66" s="143"/>
      <c r="AI66" s="143"/>
      <c r="AJ66" s="143"/>
      <c r="AK66" s="143"/>
      <c r="AL66" s="143"/>
      <c r="AM66" s="143"/>
      <c r="AN66" s="143"/>
      <c r="AO66" s="143"/>
      <c r="AP66" s="143"/>
      <c r="AQ66" s="143"/>
      <c r="AR66" s="143"/>
      <c r="AS66" s="143"/>
      <c r="AT66" s="143"/>
      <c r="AU66" s="143"/>
      <c r="AV66" s="143"/>
      <c r="AW66" s="143"/>
      <c r="AX66" s="143"/>
      <c r="AY66" s="143"/>
      <c r="AZ66" s="143"/>
      <c r="BA66" s="143"/>
      <c r="BB66" s="143"/>
      <c r="BC66" s="143"/>
      <c r="BD66" s="143"/>
      <c r="BE66" s="143"/>
      <c r="BF66" s="143"/>
      <c r="BG66" s="143"/>
      <c r="BH66" s="143"/>
      <c r="BI66" s="143"/>
      <c r="BJ66" s="143"/>
      <c r="BK66" s="143"/>
      <c r="BL66" s="143"/>
    </row>
    <row r="67" spans="2:64" ht="15.95" customHeight="1" x14ac:dyDescent="0.2">
      <c r="B67" s="194"/>
      <c r="C67" s="192">
        <v>59</v>
      </c>
      <c r="D67" s="508">
        <f>IF(Planning!$T65="","",Planning!$T65)</f>
        <v>45988</v>
      </c>
      <c r="E67" s="120">
        <f>IF(Planning!$U65="","",Planning!$U65)</f>
        <v>0.78125</v>
      </c>
      <c r="F67" s="128" t="str">
        <f>Planning!$Q65</f>
        <v>Omonia Nikosia</v>
      </c>
      <c r="G67" s="129" t="s">
        <v>4</v>
      </c>
      <c r="H67" s="128" t="str">
        <f>Planning!$S65</f>
        <v>Dynamo Kiew</v>
      </c>
      <c r="I67" s="130">
        <v>2</v>
      </c>
      <c r="J67" s="381" t="str">
        <f>Language!$E$90</f>
        <v xml:space="preserve"> - </v>
      </c>
      <c r="K67" s="131">
        <v>0</v>
      </c>
      <c r="L67" s="228"/>
      <c r="M67" s="229"/>
      <c r="Q67" s="370"/>
      <c r="R67" s="370"/>
      <c r="S67" s="370"/>
      <c r="T67" s="370"/>
      <c r="U67" s="370"/>
      <c r="V67" s="370"/>
      <c r="W67" s="370"/>
      <c r="X67" s="370"/>
      <c r="Y67" s="370"/>
      <c r="Z67" s="370"/>
      <c r="AA67" s="370"/>
      <c r="AB67" s="143"/>
      <c r="AC67" s="143"/>
      <c r="AD67" s="143"/>
      <c r="AE67" s="279"/>
      <c r="AF67" s="280"/>
      <c r="AG67" s="143"/>
      <c r="AH67" s="143"/>
      <c r="AI67" s="143"/>
      <c r="AJ67" s="143"/>
      <c r="AK67" s="143"/>
      <c r="AL67" s="143"/>
      <c r="AM67" s="143"/>
      <c r="AN67" s="143"/>
      <c r="AO67" s="143"/>
      <c r="AP67" s="143"/>
      <c r="AQ67" s="143"/>
      <c r="AR67" s="143"/>
      <c r="AS67" s="143"/>
      <c r="AT67" s="143"/>
      <c r="AU67" s="143"/>
      <c r="AV67" s="143"/>
      <c r="AW67" s="143"/>
      <c r="AX67" s="143"/>
      <c r="AY67" s="143"/>
      <c r="AZ67" s="143"/>
      <c r="BA67" s="143"/>
      <c r="BB67" s="143"/>
      <c r="BC67" s="143"/>
      <c r="BD67" s="143"/>
      <c r="BE67" s="143"/>
      <c r="BF67" s="143"/>
      <c r="BG67" s="143"/>
      <c r="BH67" s="143"/>
      <c r="BI67" s="143"/>
      <c r="BJ67" s="143"/>
      <c r="BK67" s="143"/>
      <c r="BL67" s="143"/>
    </row>
    <row r="68" spans="2:64" ht="15.95" customHeight="1" x14ac:dyDescent="0.25">
      <c r="B68" s="194"/>
      <c r="C68" s="192">
        <v>60</v>
      </c>
      <c r="D68" s="508">
        <f>IF(Planning!$T66="","",Planning!$T66)</f>
        <v>45988</v>
      </c>
      <c r="E68" s="120">
        <f>IF(Planning!$U66="","",Planning!$U66)</f>
        <v>0.78125</v>
      </c>
      <c r="F68" s="128" t="str">
        <f>Planning!$Q66</f>
        <v>Sigma Olmütz</v>
      </c>
      <c r="G68" s="129" t="s">
        <v>4</v>
      </c>
      <c r="H68" s="128" t="str">
        <f>Planning!$S66</f>
        <v>NK Celje</v>
      </c>
      <c r="I68" s="130">
        <v>2</v>
      </c>
      <c r="J68" s="381" t="str">
        <f>Language!$E$90</f>
        <v xml:space="preserve"> - </v>
      </c>
      <c r="K68" s="131">
        <v>1</v>
      </c>
      <c r="L68" s="228"/>
      <c r="M68" s="229"/>
      <c r="O68" s="378" t="str">
        <f>Language!$E$84</f>
        <v>For comparison:</v>
      </c>
      <c r="Q68" s="370"/>
      <c r="R68" s="370"/>
      <c r="S68" s="370"/>
      <c r="T68" s="370"/>
      <c r="U68" s="370"/>
      <c r="V68" s="370"/>
      <c r="W68" s="370"/>
      <c r="X68" s="370"/>
      <c r="Y68" s="370"/>
      <c r="Z68" s="370"/>
      <c r="AA68" s="370"/>
      <c r="AB68" s="143"/>
      <c r="AC68" s="143"/>
      <c r="AD68" s="143"/>
      <c r="AE68" s="279"/>
      <c r="AF68" s="280"/>
      <c r="AG68" s="143"/>
      <c r="AH68" s="143"/>
      <c r="AI68" s="143"/>
      <c r="AJ68" s="143"/>
      <c r="AK68" s="143"/>
      <c r="AL68" s="143"/>
      <c r="AM68" s="143"/>
      <c r="AN68" s="143"/>
      <c r="AO68" s="143"/>
      <c r="AP68" s="143"/>
      <c r="AQ68" s="143"/>
      <c r="AR68" s="143"/>
      <c r="AS68" s="143"/>
      <c r="AT68" s="143"/>
      <c r="AU68" s="143"/>
      <c r="AV68" s="143"/>
      <c r="AW68" s="143"/>
      <c r="AX68" s="143"/>
      <c r="AY68" s="143"/>
      <c r="AZ68" s="143"/>
      <c r="BA68" s="143"/>
      <c r="BB68" s="143"/>
      <c r="BC68" s="143"/>
      <c r="BD68" s="143"/>
      <c r="BE68" s="143"/>
      <c r="BF68" s="143"/>
      <c r="BG68" s="143"/>
      <c r="BH68" s="143"/>
      <c r="BI68" s="143"/>
      <c r="BJ68" s="143"/>
      <c r="BK68" s="143"/>
      <c r="BL68" s="143"/>
    </row>
    <row r="69" spans="2:64" ht="15.95" customHeight="1" x14ac:dyDescent="0.25">
      <c r="B69" s="194"/>
      <c r="C69" s="192">
        <v>61</v>
      </c>
      <c r="D69" s="508">
        <f>IF(Planning!$T67="","",Planning!$T67)</f>
        <v>45988</v>
      </c>
      <c r="E69" s="120">
        <f>IF(Planning!$U67="","",Planning!$U67)</f>
        <v>0.78125</v>
      </c>
      <c r="F69" s="128" t="str">
        <f>Planning!$Q67</f>
        <v>Rakow Tschenstochau</v>
      </c>
      <c r="G69" s="129" t="s">
        <v>4</v>
      </c>
      <c r="H69" s="128" t="str">
        <f>Planning!$S67</f>
        <v>Rapid Wien</v>
      </c>
      <c r="I69" s="130">
        <v>4</v>
      </c>
      <c r="J69" s="381" t="str">
        <f>Language!$E$90</f>
        <v xml:space="preserve"> - </v>
      </c>
      <c r="K69" s="131">
        <v>1</v>
      </c>
      <c r="L69" s="228"/>
      <c r="M69" s="229"/>
      <c r="O69" s="540" t="s">
        <v>320</v>
      </c>
      <c r="P69" s="541"/>
      <c r="Q69" s="541"/>
      <c r="R69" s="541"/>
      <c r="S69" s="541"/>
      <c r="T69" s="370"/>
      <c r="U69" s="370"/>
      <c r="V69" s="370"/>
      <c r="W69" s="370"/>
      <c r="X69" s="370"/>
      <c r="Y69" s="370"/>
      <c r="Z69" s="370"/>
      <c r="AA69" s="370"/>
      <c r="AB69" s="143"/>
      <c r="AC69" s="143"/>
      <c r="AD69" s="143"/>
      <c r="AE69" s="279"/>
      <c r="AF69" s="280"/>
      <c r="AG69" s="143"/>
      <c r="AH69" s="143"/>
      <c r="AI69" s="143"/>
      <c r="AJ69" s="143"/>
      <c r="AK69" s="143"/>
      <c r="AL69" s="143"/>
      <c r="AM69" s="143"/>
      <c r="AN69" s="143"/>
      <c r="AO69" s="143"/>
      <c r="AP69" s="143"/>
      <c r="AQ69" s="143"/>
      <c r="AR69" s="143"/>
      <c r="AS69" s="143"/>
      <c r="AT69" s="143"/>
      <c r="AU69" s="143"/>
      <c r="AV69" s="143"/>
      <c r="AW69" s="143"/>
      <c r="AX69" s="143"/>
      <c r="AY69" s="143"/>
      <c r="AZ69" s="143"/>
      <c r="BA69" s="143"/>
      <c r="BB69" s="143"/>
      <c r="BC69" s="143"/>
      <c r="BD69" s="143"/>
      <c r="BE69" s="143"/>
      <c r="BF69" s="143"/>
      <c r="BG69" s="143"/>
      <c r="BH69" s="143"/>
      <c r="BI69" s="143"/>
      <c r="BJ69" s="143"/>
      <c r="BK69" s="143"/>
      <c r="BL69" s="143"/>
    </row>
    <row r="70" spans="2:64" ht="15.95" customHeight="1" x14ac:dyDescent="0.2">
      <c r="B70" s="194"/>
      <c r="C70" s="192">
        <v>62</v>
      </c>
      <c r="D70" s="508">
        <f>IF(Planning!$T68="","",Planning!$T68)</f>
        <v>45988</v>
      </c>
      <c r="E70" s="120">
        <f>IF(Planning!$U68="","",Planning!$U68)</f>
        <v>0.78125</v>
      </c>
      <c r="F70" s="128" t="str">
        <f>Planning!$Q68</f>
        <v>Universitatea Craiova</v>
      </c>
      <c r="G70" s="129" t="s">
        <v>4</v>
      </c>
      <c r="H70" s="128" t="str">
        <f>Planning!$S68</f>
        <v>1. FSV Mainz 05</v>
      </c>
      <c r="I70" s="130">
        <v>1</v>
      </c>
      <c r="J70" s="381" t="str">
        <f>Language!$E$90</f>
        <v xml:space="preserve"> - </v>
      </c>
      <c r="K70" s="131">
        <v>0</v>
      </c>
      <c r="L70" s="228"/>
      <c r="M70" s="229"/>
      <c r="Q70" s="370"/>
      <c r="R70" s="370"/>
      <c r="S70" s="370"/>
      <c r="T70" s="370"/>
      <c r="U70" s="370"/>
      <c r="V70" s="370"/>
      <c r="W70" s="370"/>
      <c r="X70" s="370"/>
      <c r="Y70" s="370"/>
      <c r="Z70" s="370"/>
      <c r="AA70" s="370"/>
      <c r="AB70" s="143"/>
      <c r="AC70" s="143"/>
      <c r="AD70" s="143"/>
      <c r="AE70" s="279"/>
      <c r="AF70" s="280"/>
      <c r="AG70" s="143"/>
      <c r="AH70" s="143"/>
      <c r="AI70" s="143"/>
      <c r="AJ70" s="143"/>
      <c r="AK70" s="143"/>
      <c r="AL70" s="143"/>
      <c r="AM70" s="143"/>
      <c r="AN70" s="143"/>
      <c r="AO70" s="143"/>
      <c r="AP70" s="143"/>
      <c r="AQ70" s="143"/>
      <c r="AR70" s="143"/>
      <c r="AS70" s="143"/>
      <c r="AT70" s="143"/>
      <c r="AU70" s="143"/>
      <c r="AV70" s="143"/>
      <c r="AW70" s="143"/>
      <c r="AX70" s="143"/>
      <c r="AY70" s="143"/>
      <c r="AZ70" s="143"/>
      <c r="BA70" s="143"/>
      <c r="BB70" s="143"/>
      <c r="BC70" s="143"/>
      <c r="BD70" s="143"/>
      <c r="BE70" s="143"/>
      <c r="BF70" s="143"/>
      <c r="BG70" s="143"/>
      <c r="BH70" s="143"/>
      <c r="BI70" s="143"/>
      <c r="BJ70" s="143"/>
      <c r="BK70" s="143"/>
      <c r="BL70" s="143"/>
    </row>
    <row r="71" spans="2:64" ht="15.95" customHeight="1" x14ac:dyDescent="0.25">
      <c r="B71" s="194"/>
      <c r="C71" s="192">
        <v>63</v>
      </c>
      <c r="D71" s="508">
        <f>IF(Planning!$T69="","",Planning!$T69)</f>
        <v>45988</v>
      </c>
      <c r="E71" s="120">
        <f>IF(Planning!$U69="","",Planning!$U69)</f>
        <v>0.78125</v>
      </c>
      <c r="F71" s="128" t="str">
        <f>Planning!$Q69</f>
        <v>Hamrun Spartans</v>
      </c>
      <c r="G71" s="129" t="s">
        <v>4</v>
      </c>
      <c r="H71" s="128" t="str">
        <f>Planning!$S69</f>
        <v>Lincoln Red Imps Fc</v>
      </c>
      <c r="I71" s="130">
        <v>3</v>
      </c>
      <c r="J71" s="381" t="str">
        <f>Language!$E$90</f>
        <v xml:space="preserve"> - </v>
      </c>
      <c r="K71" s="131">
        <v>1</v>
      </c>
      <c r="L71" s="228"/>
      <c r="M71" s="229"/>
      <c r="O71" s="378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 s="143"/>
      <c r="AH71" s="143"/>
      <c r="AI71" s="143"/>
      <c r="AJ71" s="143"/>
      <c r="AK71" s="143"/>
      <c r="AL71" s="143"/>
      <c r="AM71" s="143"/>
      <c r="AN71" s="143"/>
      <c r="AO71" s="143"/>
      <c r="AP71" s="143"/>
      <c r="AQ71" s="143"/>
      <c r="AR71" s="143"/>
      <c r="AS71" s="143"/>
      <c r="AT71" s="143"/>
      <c r="AU71" s="143"/>
      <c r="AV71" s="143"/>
      <c r="AW71" s="143"/>
      <c r="AX71" s="143"/>
      <c r="AY71" s="143"/>
      <c r="AZ71" s="143"/>
      <c r="BA71" s="143"/>
      <c r="BB71" s="143"/>
      <c r="BC71" s="143"/>
      <c r="BD71" s="143"/>
      <c r="BE71" s="143"/>
      <c r="BF71" s="143"/>
      <c r="BG71" s="143"/>
      <c r="BH71" s="143"/>
      <c r="BI71" s="143"/>
      <c r="BJ71" s="143"/>
      <c r="BK71" s="143"/>
      <c r="BL71" s="143"/>
    </row>
    <row r="72" spans="2:64" ht="15.95" customHeight="1" x14ac:dyDescent="0.25">
      <c r="B72" s="194"/>
      <c r="C72" s="192">
        <v>64</v>
      </c>
      <c r="D72" s="508">
        <f>IF(Planning!$T70="","",Planning!$T70)</f>
        <v>45988</v>
      </c>
      <c r="E72" s="120">
        <f>IF(Planning!$U70="","",Planning!$U70)</f>
        <v>0.875</v>
      </c>
      <c r="F72" s="128" t="str">
        <f>Planning!$Q70</f>
        <v>AC Florenz</v>
      </c>
      <c r="G72" s="129" t="s">
        <v>4</v>
      </c>
      <c r="H72" s="128" t="str">
        <f>Planning!$S70</f>
        <v>AEK Athen</v>
      </c>
      <c r="I72" s="130">
        <v>0</v>
      </c>
      <c r="J72" s="381" t="str">
        <f>Language!$E$90</f>
        <v xml:space="preserve"> - </v>
      </c>
      <c r="K72" s="131">
        <v>1</v>
      </c>
      <c r="L72" s="228"/>
      <c r="M72" s="229"/>
      <c r="O72" s="386"/>
      <c r="P72" s="386"/>
      <c r="Q72" s="386"/>
      <c r="R72" s="386"/>
      <c r="S72" s="386"/>
      <c r="T72" s="386"/>
      <c r="U72" s="386"/>
      <c r="V72" s="386"/>
      <c r="W72" s="386"/>
      <c r="X72" s="386"/>
      <c r="Y72" s="386"/>
      <c r="Z72" s="386"/>
      <c r="AA72" s="386"/>
      <c r="AB72" s="386"/>
      <c r="AC72" s="386"/>
      <c r="AD72" s="386"/>
      <c r="AE72" s="386"/>
      <c r="AF72"/>
      <c r="AG72"/>
      <c r="AH72" s="143"/>
      <c r="AI72" s="143"/>
      <c r="AJ72" s="143"/>
      <c r="AK72" s="143"/>
      <c r="AL72" s="143"/>
      <c r="AM72" s="143"/>
      <c r="AN72" s="143"/>
      <c r="AO72" s="143"/>
      <c r="AP72" s="143"/>
      <c r="AQ72" s="143"/>
      <c r="AR72" s="143"/>
      <c r="AS72" s="143"/>
      <c r="AT72" s="143"/>
      <c r="AU72" s="143"/>
      <c r="AV72" s="143"/>
      <c r="AW72" s="143"/>
      <c r="AX72" s="143"/>
      <c r="AY72" s="143"/>
      <c r="AZ72" s="143"/>
      <c r="BA72" s="143"/>
      <c r="BB72" s="143"/>
      <c r="BC72" s="143"/>
      <c r="BD72" s="143"/>
      <c r="BE72" s="143"/>
      <c r="BF72" s="143"/>
      <c r="BG72" s="143"/>
      <c r="BH72" s="143"/>
      <c r="BI72" s="143"/>
      <c r="BJ72" s="143"/>
      <c r="BK72" s="143"/>
      <c r="BL72" s="143"/>
    </row>
    <row r="73" spans="2:64" ht="15.95" customHeight="1" x14ac:dyDescent="0.25">
      <c r="B73" s="194"/>
      <c r="C73" s="192">
        <v>65</v>
      </c>
      <c r="D73" s="508">
        <f>IF(Planning!$T71="","",Planning!$T71)</f>
        <v>45988</v>
      </c>
      <c r="E73" s="120">
        <f>IF(Planning!$U71="","",Planning!$U71)</f>
        <v>0.875</v>
      </c>
      <c r="F73" s="128" t="str">
        <f>Planning!$Q71</f>
        <v>Legia Warschau</v>
      </c>
      <c r="G73" s="129" t="s">
        <v>4</v>
      </c>
      <c r="H73" s="128" t="str">
        <f>Planning!$S71</f>
        <v>Sparta Prag</v>
      </c>
      <c r="I73" s="130">
        <v>0</v>
      </c>
      <c r="J73" s="381" t="str">
        <f>Language!$E$90</f>
        <v xml:space="preserve"> - </v>
      </c>
      <c r="K73" s="131">
        <v>1</v>
      </c>
      <c r="L73" s="228"/>
      <c r="M73" s="229"/>
      <c r="O73" s="378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 s="143"/>
      <c r="AI73" s="143"/>
      <c r="AJ73" s="143"/>
      <c r="AK73" s="143"/>
      <c r="AL73" s="143"/>
      <c r="AM73" s="143"/>
      <c r="AN73" s="143"/>
      <c r="AO73" s="143"/>
      <c r="AP73" s="143"/>
      <c r="AQ73" s="143"/>
      <c r="AR73" s="143"/>
      <c r="AS73" s="143"/>
      <c r="AT73" s="143"/>
      <c r="AU73" s="143"/>
      <c r="AV73" s="143"/>
      <c r="AW73" s="143"/>
      <c r="AX73" s="143"/>
      <c r="AY73" s="143"/>
      <c r="AZ73" s="143"/>
      <c r="BA73" s="143"/>
      <c r="BB73" s="143"/>
      <c r="BC73" s="143"/>
      <c r="BD73" s="143"/>
      <c r="BE73" s="143"/>
      <c r="BF73" s="143"/>
      <c r="BG73" s="143"/>
      <c r="BH73" s="143"/>
      <c r="BI73" s="143"/>
      <c r="BJ73" s="143"/>
      <c r="BK73" s="143"/>
      <c r="BL73" s="143"/>
    </row>
    <row r="74" spans="2:64" ht="15.95" customHeight="1" x14ac:dyDescent="0.25">
      <c r="B74" s="194"/>
      <c r="C74" s="192">
        <v>66</v>
      </c>
      <c r="D74" s="508">
        <f>IF(Planning!$T72="","",Planning!$T72)</f>
        <v>45988</v>
      </c>
      <c r="E74" s="120">
        <f>IF(Planning!$U72="","",Planning!$U72)</f>
        <v>0.875</v>
      </c>
      <c r="F74" s="128" t="str">
        <f>Planning!$Q72</f>
        <v>Shamrock Rovers</v>
      </c>
      <c r="G74" s="129" t="s">
        <v>4</v>
      </c>
      <c r="H74" s="128" t="str">
        <f>Planning!$S72</f>
        <v>Schachtar Donezk</v>
      </c>
      <c r="I74" s="130">
        <v>1</v>
      </c>
      <c r="J74" s="381" t="str">
        <f>Language!$E$90</f>
        <v xml:space="preserve"> - </v>
      </c>
      <c r="K74" s="131">
        <v>2</v>
      </c>
      <c r="L74" s="228"/>
      <c r="M74" s="229"/>
      <c r="O74" s="541"/>
      <c r="P74" s="541"/>
      <c r="Q74" s="541"/>
      <c r="R74" s="541"/>
      <c r="S74" s="541"/>
      <c r="T74" s="541"/>
      <c r="U74" s="541"/>
      <c r="V74" s="541"/>
      <c r="W74" s="541"/>
      <c r="X74" s="541"/>
      <c r="Y74" s="541"/>
      <c r="Z74" s="541"/>
      <c r="AA74" s="541"/>
      <c r="AB74" s="541"/>
      <c r="AC74" s="541"/>
      <c r="AD74" s="541"/>
      <c r="AE74" s="541"/>
      <c r="AF74" s="541"/>
      <c r="AG74"/>
      <c r="AH74" s="143"/>
      <c r="AI74" s="143"/>
      <c r="AJ74" s="143"/>
      <c r="AK74" s="143"/>
      <c r="AL74" s="143"/>
      <c r="AM74" s="143"/>
      <c r="AN74" s="143"/>
      <c r="AO74" s="143"/>
      <c r="AP74" s="143"/>
      <c r="AQ74" s="143"/>
      <c r="AR74" s="143"/>
      <c r="AS74" s="143"/>
      <c r="AT74" s="143"/>
      <c r="AU74" s="143"/>
      <c r="AV74" s="143"/>
      <c r="AW74" s="143"/>
      <c r="AX74" s="143"/>
      <c r="AY74" s="143"/>
      <c r="AZ74" s="143"/>
      <c r="BA74" s="143"/>
      <c r="BB74" s="143"/>
      <c r="BC74" s="143"/>
      <c r="BD74" s="143"/>
      <c r="BE74" s="143"/>
      <c r="BF74" s="143"/>
      <c r="BG74" s="143"/>
      <c r="BH74" s="143"/>
      <c r="BI74" s="143"/>
      <c r="BJ74" s="143"/>
      <c r="BK74" s="143"/>
      <c r="BL74" s="143"/>
    </row>
    <row r="75" spans="2:64" ht="15.95" customHeight="1" x14ac:dyDescent="0.25">
      <c r="B75" s="194"/>
      <c r="C75" s="192">
        <v>67</v>
      </c>
      <c r="D75" s="508">
        <f>IF(Planning!$T73="","",Planning!$T73)</f>
        <v>45988</v>
      </c>
      <c r="E75" s="120">
        <f>IF(Planning!$U73="","",Planning!$U73)</f>
        <v>0.875</v>
      </c>
      <c r="F75" s="128" t="str">
        <f>Planning!$Q73</f>
        <v>Jagiellonia Bialystok</v>
      </c>
      <c r="G75" s="129" t="s">
        <v>4</v>
      </c>
      <c r="H75" s="128" t="str">
        <f>Planning!$S73</f>
        <v>Kuopion PS</v>
      </c>
      <c r="I75" s="130">
        <v>1</v>
      </c>
      <c r="J75" s="381" t="str">
        <f>Language!$E$90</f>
        <v xml:space="preserve"> - </v>
      </c>
      <c r="K75" s="131">
        <v>0</v>
      </c>
      <c r="L75" s="228"/>
      <c r="M75" s="229"/>
      <c r="AG75" s="385"/>
      <c r="AH75" s="143"/>
      <c r="AI75" s="143"/>
      <c r="AJ75" s="143"/>
      <c r="AK75" s="143"/>
      <c r="AL75" s="143"/>
      <c r="AM75" s="143"/>
      <c r="AN75" s="143"/>
      <c r="AO75" s="143"/>
      <c r="AP75" s="143"/>
      <c r="AQ75" s="143"/>
      <c r="AR75" s="143"/>
      <c r="AS75" s="143"/>
      <c r="AT75" s="143"/>
      <c r="AU75" s="143"/>
      <c r="AV75" s="143"/>
      <c r="AW75" s="143"/>
      <c r="AX75" s="143"/>
      <c r="AY75" s="143"/>
      <c r="AZ75" s="143"/>
      <c r="BA75" s="143"/>
      <c r="BB75" s="143"/>
      <c r="BC75" s="143"/>
      <c r="BD75" s="143"/>
      <c r="BE75" s="143"/>
      <c r="BF75" s="143"/>
      <c r="BG75" s="143"/>
      <c r="BH75" s="143"/>
      <c r="BI75" s="143"/>
      <c r="BJ75" s="143"/>
      <c r="BK75" s="143"/>
      <c r="BL75" s="143"/>
    </row>
    <row r="76" spans="2:64" ht="15.95" customHeight="1" thickBot="1" x14ac:dyDescent="0.25">
      <c r="B76" s="194"/>
      <c r="C76" s="192">
        <v>68</v>
      </c>
      <c r="D76" s="508">
        <f>IF(Planning!$T74="","",Planning!$T74)</f>
        <v>45988</v>
      </c>
      <c r="E76" s="120">
        <f>IF(Planning!$U74="","",Planning!$U74)</f>
        <v>0.875</v>
      </c>
      <c r="F76" s="128" t="str">
        <f>Planning!$Q74</f>
        <v>Racing Straßburg</v>
      </c>
      <c r="G76" s="129" t="s">
        <v>4</v>
      </c>
      <c r="H76" s="128" t="str">
        <f>Planning!$S74</f>
        <v>Crystal Palace</v>
      </c>
      <c r="I76" s="130">
        <v>2</v>
      </c>
      <c r="J76" s="381" t="str">
        <f>Language!$E$90</f>
        <v xml:space="preserve"> - </v>
      </c>
      <c r="K76" s="131">
        <v>1</v>
      </c>
      <c r="L76" s="228"/>
      <c r="M76" s="229"/>
      <c r="Q76" s="112"/>
      <c r="R76" s="112"/>
      <c r="S76" s="112"/>
      <c r="T76" s="112"/>
      <c r="U76" s="112"/>
      <c r="V76" s="112"/>
      <c r="W76" s="112"/>
      <c r="X76" s="112"/>
      <c r="Y76" s="112"/>
      <c r="Z76" s="112"/>
      <c r="AA76" s="112"/>
      <c r="AB76" s="112"/>
      <c r="AC76" s="112"/>
      <c r="AD76" s="112"/>
      <c r="AE76" s="279"/>
      <c r="AF76" s="280"/>
      <c r="AG76" s="143"/>
      <c r="AH76" s="143"/>
      <c r="AI76" s="143"/>
      <c r="AJ76" s="143"/>
      <c r="AK76" s="143"/>
      <c r="AL76" s="143"/>
      <c r="AM76" s="143"/>
      <c r="AN76" s="143"/>
      <c r="AO76" s="143"/>
      <c r="AP76" s="143"/>
      <c r="AQ76" s="143"/>
      <c r="AR76" s="143"/>
      <c r="AS76" s="143"/>
      <c r="AT76" s="143"/>
      <c r="AU76" s="143"/>
      <c r="AV76" s="143"/>
      <c r="AW76" s="143"/>
      <c r="AX76" s="143"/>
      <c r="AY76" s="143"/>
      <c r="AZ76" s="143"/>
      <c r="BA76" s="143"/>
      <c r="BB76" s="143"/>
      <c r="BC76" s="143"/>
      <c r="BD76" s="143"/>
      <c r="BE76" s="143"/>
      <c r="BF76" s="143"/>
      <c r="BG76" s="143"/>
      <c r="BH76" s="143"/>
      <c r="BI76" s="143"/>
      <c r="BJ76" s="143"/>
      <c r="BK76" s="143"/>
      <c r="BL76" s="143"/>
    </row>
    <row r="77" spans="2:64" ht="15.95" customHeight="1" thickTop="1" x14ac:dyDescent="0.2">
      <c r="B77" s="194"/>
      <c r="C77" s="192">
        <v>69</v>
      </c>
      <c r="D77" s="508">
        <f>IF(Planning!$T75="","",Planning!$T75)</f>
        <v>45988</v>
      </c>
      <c r="E77" s="120">
        <f>IF(Planning!$U75="","",Planning!$U75)</f>
        <v>0.875</v>
      </c>
      <c r="F77" s="128" t="str">
        <f>Planning!$Q75</f>
        <v>HNK Rijeka</v>
      </c>
      <c r="G77" s="129" t="s">
        <v>4</v>
      </c>
      <c r="H77" s="128" t="str">
        <f>Planning!$S75</f>
        <v>AEK Larnaka</v>
      </c>
      <c r="I77" s="130">
        <v>0</v>
      </c>
      <c r="J77" s="381" t="str">
        <f>Language!$E$90</f>
        <v xml:space="preserve"> - </v>
      </c>
      <c r="K77" s="131">
        <v>0</v>
      </c>
      <c r="L77" s="228"/>
      <c r="M77" s="229"/>
      <c r="O77" s="387"/>
      <c r="P77" s="388"/>
      <c r="Q77" s="197" t="str">
        <f>$Q$8</f>
        <v>Pl</v>
      </c>
      <c r="R77" s="198" t="str">
        <f>$R$8</f>
        <v>W</v>
      </c>
      <c r="S77" s="198" t="str">
        <f>$S$8</f>
        <v>D</v>
      </c>
      <c r="T77" s="384" t="str">
        <f>$T$8</f>
        <v>L</v>
      </c>
      <c r="U77" s="529" t="str">
        <f>$U$8</f>
        <v>GF  -  GA</v>
      </c>
      <c r="V77" s="530"/>
      <c r="W77" s="531"/>
      <c r="X77" s="198" t="str">
        <f>$X$8</f>
        <v>GD</v>
      </c>
      <c r="Y77" s="384" t="str">
        <f>$Y$8</f>
        <v>AGls</v>
      </c>
      <c r="Z77" s="384" t="str">
        <f>$Z$8</f>
        <v>AWin</v>
      </c>
      <c r="AA77" s="200" t="str">
        <f>$AA$8</f>
        <v>Pts</v>
      </c>
      <c r="AB77" s="223" t="str">
        <f>$AB$8</f>
        <v>PenPts</v>
      </c>
      <c r="AC77" s="112"/>
      <c r="AD77" s="112"/>
      <c r="AE77" s="279"/>
      <c r="AF77" s="280"/>
      <c r="AG77" s="143"/>
      <c r="AH77" s="143"/>
      <c r="AI77" s="143"/>
      <c r="AJ77" s="143"/>
      <c r="AK77" s="143"/>
      <c r="AL77" s="143"/>
      <c r="AM77" s="143"/>
      <c r="AN77" s="143"/>
      <c r="AO77" s="143"/>
      <c r="AP77" s="143"/>
      <c r="AQ77" s="143"/>
      <c r="AR77" s="143"/>
      <c r="AS77" s="143"/>
      <c r="AT77" s="143"/>
      <c r="AU77" s="143"/>
      <c r="AV77" s="143"/>
      <c r="AW77" s="143"/>
      <c r="AX77" s="143"/>
      <c r="AY77" s="143"/>
      <c r="AZ77" s="143"/>
      <c r="BA77" s="143"/>
      <c r="BB77" s="143"/>
      <c r="BC77" s="143"/>
      <c r="BD77" s="143"/>
      <c r="BE77" s="143"/>
      <c r="BF77" s="143"/>
      <c r="BG77" s="143"/>
      <c r="BH77" s="143"/>
      <c r="BI77" s="143"/>
      <c r="BJ77" s="143"/>
      <c r="BK77" s="143"/>
      <c r="BL77" s="143"/>
    </row>
    <row r="78" spans="2:64" ht="15.95" customHeight="1" x14ac:dyDescent="0.2">
      <c r="B78" s="194"/>
      <c r="C78" s="192">
        <v>70</v>
      </c>
      <c r="D78" s="508">
        <f>IF(Planning!$T76="","",Planning!$T76)</f>
        <v>45988</v>
      </c>
      <c r="E78" s="120">
        <f>IF(Planning!$U76="","",Planning!$U76)</f>
        <v>0.875</v>
      </c>
      <c r="F78" s="128" t="str">
        <f>Planning!$Q76</f>
        <v>KF Drita Gjilan</v>
      </c>
      <c r="G78" s="129" t="s">
        <v>4</v>
      </c>
      <c r="H78" s="128" t="str">
        <f>Planning!$S76</f>
        <v>Shkendija Tetovo</v>
      </c>
      <c r="I78" s="130">
        <v>1</v>
      </c>
      <c r="J78" s="381" t="str">
        <f>Language!$E$90</f>
        <v xml:space="preserve"> - </v>
      </c>
      <c r="K78" s="131">
        <v>0</v>
      </c>
      <c r="L78" s="228"/>
      <c r="M78" s="229"/>
      <c r="O78" s="300">
        <f t="array" ref="O78:AB113">IF($O$9:$AB$44="","",$O$9:$AB$44)</f>
        <v>1</v>
      </c>
      <c r="P78" s="301" t="str">
        <v>Racing Straßburg</v>
      </c>
      <c r="Q78" s="302">
        <v>6</v>
      </c>
      <c r="R78" s="303">
        <v>5</v>
      </c>
      <c r="S78" s="303">
        <v>1</v>
      </c>
      <c r="T78" s="304">
        <v>0</v>
      </c>
      <c r="U78" s="305">
        <v>11</v>
      </c>
      <c r="V78" s="306" t="str">
        <v xml:space="preserve"> - </v>
      </c>
      <c r="W78" s="307">
        <v>5</v>
      </c>
      <c r="X78" s="308">
        <v>6</v>
      </c>
      <c r="Y78" s="309">
        <v>5</v>
      </c>
      <c r="Z78" s="309">
        <v>3</v>
      </c>
      <c r="AA78" s="310">
        <v>16</v>
      </c>
      <c r="AB78" s="230" t="str">
        <v/>
      </c>
      <c r="AC78" s="112"/>
      <c r="AD78" s="112"/>
      <c r="AE78" s="279"/>
      <c r="AF78" s="280"/>
      <c r="AG78" s="143"/>
      <c r="AH78" s="143"/>
      <c r="AI78" s="143"/>
      <c r="AJ78" s="143"/>
      <c r="AK78" s="143"/>
      <c r="AL78" s="143"/>
      <c r="AM78" s="143"/>
      <c r="AN78" s="143"/>
      <c r="AO78" s="143"/>
      <c r="AP78" s="143"/>
      <c r="AQ78" s="143"/>
      <c r="AR78" s="143"/>
      <c r="AS78" s="143"/>
      <c r="AT78" s="143"/>
      <c r="AU78" s="143"/>
      <c r="AV78" s="143"/>
      <c r="AW78" s="143"/>
      <c r="AX78" s="143"/>
      <c r="AY78" s="143"/>
      <c r="AZ78" s="143"/>
      <c r="BA78" s="143"/>
      <c r="BB78" s="143"/>
      <c r="BC78" s="143"/>
      <c r="BD78" s="143"/>
      <c r="BE78" s="143"/>
      <c r="BF78" s="143"/>
      <c r="BG78" s="143"/>
      <c r="BH78" s="143"/>
      <c r="BI78" s="143"/>
      <c r="BJ78" s="143"/>
      <c r="BK78" s="143"/>
      <c r="BL78" s="143"/>
    </row>
    <row r="79" spans="2:64" ht="15.95" customHeight="1" x14ac:dyDescent="0.2">
      <c r="B79" s="194"/>
      <c r="C79" s="192">
        <v>71</v>
      </c>
      <c r="D79" s="508">
        <f>IF(Planning!$T77="","",Planning!$T77)</f>
        <v>45988</v>
      </c>
      <c r="E79" s="120">
        <f>IF(Planning!$U77="","",Planning!$U77)</f>
        <v>0.875</v>
      </c>
      <c r="F79" s="128" t="str">
        <f>Planning!$Q77</f>
        <v>FC Aberdeen</v>
      </c>
      <c r="G79" s="129" t="s">
        <v>4</v>
      </c>
      <c r="H79" s="128" t="str">
        <f>Planning!$S77</f>
        <v>FC Noah</v>
      </c>
      <c r="I79" s="130">
        <v>1</v>
      </c>
      <c r="J79" s="381" t="str">
        <f>Language!$E$90</f>
        <v xml:space="preserve"> - </v>
      </c>
      <c r="K79" s="131">
        <v>1</v>
      </c>
      <c r="L79" s="228"/>
      <c r="M79" s="229"/>
      <c r="O79" s="311">
        <v>2</v>
      </c>
      <c r="P79" s="312" t="str">
        <v>Rakow Tschenstochau</v>
      </c>
      <c r="Q79" s="313">
        <v>6</v>
      </c>
      <c r="R79" s="314">
        <v>4</v>
      </c>
      <c r="S79" s="314">
        <v>2</v>
      </c>
      <c r="T79" s="315">
        <v>0</v>
      </c>
      <c r="U79" s="316">
        <v>9</v>
      </c>
      <c r="V79" s="317" t="str">
        <v xml:space="preserve"> - </v>
      </c>
      <c r="W79" s="318">
        <v>2</v>
      </c>
      <c r="X79" s="319">
        <v>7</v>
      </c>
      <c r="Y79" s="320">
        <v>2</v>
      </c>
      <c r="Z79" s="320">
        <v>1</v>
      </c>
      <c r="AA79" s="321">
        <v>14</v>
      </c>
      <c r="AB79" s="231" t="str">
        <v/>
      </c>
      <c r="AC79" s="112"/>
      <c r="AD79" s="112"/>
      <c r="AE79" s="279"/>
      <c r="AF79" s="280"/>
      <c r="AG79" s="143"/>
      <c r="AH79" s="143"/>
      <c r="AI79" s="143"/>
      <c r="AJ79" s="143"/>
      <c r="AK79" s="143"/>
      <c r="AL79" s="143"/>
      <c r="AM79" s="143"/>
      <c r="AN79" s="143"/>
      <c r="AO79" s="143"/>
      <c r="AP79" s="143"/>
      <c r="AQ79" s="143"/>
      <c r="AR79" s="143"/>
      <c r="AS79" s="143"/>
      <c r="AT79" s="143"/>
      <c r="AU79" s="143"/>
      <c r="AV79" s="143"/>
      <c r="AW79" s="143"/>
      <c r="AX79" s="143"/>
      <c r="AY79" s="143"/>
      <c r="AZ79" s="143"/>
      <c r="BA79" s="143"/>
      <c r="BB79" s="143"/>
      <c r="BC79" s="143"/>
      <c r="BD79" s="143"/>
      <c r="BE79" s="143"/>
      <c r="BF79" s="143"/>
      <c r="BG79" s="143"/>
      <c r="BH79" s="143"/>
      <c r="BI79" s="143"/>
      <c r="BJ79" s="143"/>
      <c r="BK79" s="143"/>
      <c r="BL79" s="143"/>
    </row>
    <row r="80" spans="2:64" ht="15.95" customHeight="1" thickBot="1" x14ac:dyDescent="0.25">
      <c r="B80" s="194"/>
      <c r="C80" s="248">
        <v>72</v>
      </c>
      <c r="D80" s="509">
        <f>IF(Planning!$T78="","",Planning!$T78)</f>
        <v>45988</v>
      </c>
      <c r="E80" s="249">
        <f>IF(Planning!$U78="","",Planning!$U78)</f>
        <v>0.875</v>
      </c>
      <c r="F80" s="250" t="str">
        <f>Planning!$Q78</f>
        <v>UMF Breidablik</v>
      </c>
      <c r="G80" s="251" t="s">
        <v>4</v>
      </c>
      <c r="H80" s="250" t="str">
        <f>Planning!$S78</f>
        <v>Samsunspor</v>
      </c>
      <c r="I80" s="252">
        <v>2</v>
      </c>
      <c r="J80" s="382" t="str">
        <f>Language!$E$90</f>
        <v xml:space="preserve"> - </v>
      </c>
      <c r="K80" s="253">
        <v>2</v>
      </c>
      <c r="L80" s="254"/>
      <c r="M80" s="255"/>
      <c r="O80" s="311">
        <v>3</v>
      </c>
      <c r="P80" s="312" t="str">
        <v>AEK Athen</v>
      </c>
      <c r="Q80" s="313">
        <v>6</v>
      </c>
      <c r="R80" s="314">
        <v>4</v>
      </c>
      <c r="S80" s="314">
        <v>1</v>
      </c>
      <c r="T80" s="315">
        <v>1</v>
      </c>
      <c r="U80" s="316">
        <v>14</v>
      </c>
      <c r="V80" s="317" t="str">
        <v xml:space="preserve"> - </v>
      </c>
      <c r="W80" s="318">
        <v>7</v>
      </c>
      <c r="X80" s="319">
        <v>7</v>
      </c>
      <c r="Y80" s="320">
        <v>4</v>
      </c>
      <c r="Z80" s="320">
        <v>2</v>
      </c>
      <c r="AA80" s="321">
        <v>13</v>
      </c>
      <c r="AB80" s="231" t="str">
        <v/>
      </c>
      <c r="AC80" s="112"/>
      <c r="AD80" s="112"/>
    </row>
    <row r="81" spans="2:41" ht="15.75" x14ac:dyDescent="0.2">
      <c r="B81" s="269">
        <v>5</v>
      </c>
      <c r="C81" s="270">
        <v>73</v>
      </c>
      <c r="D81" s="510">
        <f>IF(Planning!$T79="","",Planning!$T79)</f>
        <v>46002</v>
      </c>
      <c r="E81" s="271">
        <f>IF(Planning!$U79="","",Planning!$U79)</f>
        <v>0.78125</v>
      </c>
      <c r="F81" s="272" t="str">
        <f>Planning!$Q79</f>
        <v>AC Florenz</v>
      </c>
      <c r="G81" s="273" t="s">
        <v>4</v>
      </c>
      <c r="H81" s="272" t="str">
        <f>Planning!$S79</f>
        <v>Dynamo Kiew</v>
      </c>
      <c r="I81" s="274">
        <v>2</v>
      </c>
      <c r="J81" s="383" t="str">
        <f>Language!$E$90</f>
        <v xml:space="preserve"> - </v>
      </c>
      <c r="K81" s="275">
        <v>1</v>
      </c>
      <c r="L81" s="276"/>
      <c r="M81" s="277"/>
      <c r="O81" s="311">
        <v>4</v>
      </c>
      <c r="P81" s="312" t="str">
        <v>Sparta Prag</v>
      </c>
      <c r="Q81" s="313">
        <v>6</v>
      </c>
      <c r="R81" s="314">
        <v>4</v>
      </c>
      <c r="S81" s="314">
        <v>1</v>
      </c>
      <c r="T81" s="315">
        <v>1</v>
      </c>
      <c r="U81" s="316">
        <v>10</v>
      </c>
      <c r="V81" s="317" t="str">
        <v xml:space="preserve"> - </v>
      </c>
      <c r="W81" s="318">
        <v>3</v>
      </c>
      <c r="X81" s="319">
        <v>7</v>
      </c>
      <c r="Y81" s="320">
        <v>3</v>
      </c>
      <c r="Z81" s="320">
        <v>2</v>
      </c>
      <c r="AA81" s="321">
        <v>13</v>
      </c>
      <c r="AB81" s="231" t="str">
        <v/>
      </c>
      <c r="AC81" s="112"/>
      <c r="AD81" s="112"/>
      <c r="AE81" s="112"/>
      <c r="AF81" s="112"/>
      <c r="AG81" s="112"/>
      <c r="AH81" s="112"/>
      <c r="AI81" s="112"/>
      <c r="AJ81" s="112"/>
      <c r="AK81" s="112"/>
      <c r="AL81" s="143"/>
      <c r="AM81" s="112"/>
      <c r="AN81" s="112"/>
      <c r="AO81" s="112"/>
    </row>
    <row r="82" spans="2:41" ht="15.75" x14ac:dyDescent="0.2">
      <c r="B82" s="194"/>
      <c r="C82" s="192">
        <v>74</v>
      </c>
      <c r="D82" s="508">
        <f>IF(Planning!$T80="","",Planning!$T80)</f>
        <v>46002</v>
      </c>
      <c r="E82" s="120">
        <f>IF(Planning!$U80="","",Planning!$U80)</f>
        <v>0.78125</v>
      </c>
      <c r="F82" s="128" t="str">
        <f>Planning!$Q80</f>
        <v>Jagiellonia Bialystok</v>
      </c>
      <c r="G82" s="129" t="s">
        <v>4</v>
      </c>
      <c r="H82" s="128" t="str">
        <f>Planning!$S80</f>
        <v>Rayo Vallecano</v>
      </c>
      <c r="I82" s="130">
        <v>1</v>
      </c>
      <c r="J82" s="381" t="str">
        <f>Language!$E$90</f>
        <v xml:space="preserve"> - </v>
      </c>
      <c r="K82" s="131">
        <v>2</v>
      </c>
      <c r="L82" s="228"/>
      <c r="M82" s="229"/>
      <c r="O82" s="311">
        <v>5</v>
      </c>
      <c r="P82" s="312" t="str">
        <v>Rayo Vallecano</v>
      </c>
      <c r="Q82" s="313">
        <v>6</v>
      </c>
      <c r="R82" s="314">
        <v>4</v>
      </c>
      <c r="S82" s="314">
        <v>1</v>
      </c>
      <c r="T82" s="315">
        <v>1</v>
      </c>
      <c r="U82" s="316">
        <v>13</v>
      </c>
      <c r="V82" s="317" t="str">
        <v xml:space="preserve"> - </v>
      </c>
      <c r="W82" s="318">
        <v>7</v>
      </c>
      <c r="X82" s="319">
        <v>6</v>
      </c>
      <c r="Y82" s="320">
        <v>5</v>
      </c>
      <c r="Z82" s="320">
        <v>1</v>
      </c>
      <c r="AA82" s="321">
        <v>13</v>
      </c>
      <c r="AB82" s="231" t="str">
        <v/>
      </c>
      <c r="AC82" s="112"/>
      <c r="AD82" s="112"/>
      <c r="AE82" s="112"/>
      <c r="AF82" s="112"/>
      <c r="AG82" s="112"/>
      <c r="AH82" s="112"/>
      <c r="AI82" s="112"/>
      <c r="AJ82" s="112"/>
      <c r="AK82" s="112"/>
      <c r="AL82" s="112"/>
      <c r="AM82" s="143"/>
      <c r="AN82" s="112"/>
      <c r="AO82" s="112"/>
    </row>
    <row r="83" spans="2:41" ht="15.75" x14ac:dyDescent="0.2">
      <c r="B83" s="194"/>
      <c r="C83" s="192">
        <v>75</v>
      </c>
      <c r="D83" s="508">
        <f>IF(Planning!$T81="","",Planning!$T81)</f>
        <v>46002</v>
      </c>
      <c r="E83" s="120">
        <f>IF(Planning!$U81="","",Planning!$U81)</f>
        <v>0.78125</v>
      </c>
      <c r="F83" s="128" t="str">
        <f>Planning!$Q81</f>
        <v>KF Drita Gjilan</v>
      </c>
      <c r="G83" s="129" t="s">
        <v>4</v>
      </c>
      <c r="H83" s="128" t="str">
        <f>Planning!$S81</f>
        <v>AZ Alkmaar</v>
      </c>
      <c r="I83" s="130">
        <v>0</v>
      </c>
      <c r="J83" s="381" t="str">
        <f>Language!$E$90</f>
        <v xml:space="preserve"> - </v>
      </c>
      <c r="K83" s="131">
        <v>3</v>
      </c>
      <c r="L83" s="228"/>
      <c r="M83" s="229"/>
      <c r="O83" s="311">
        <v>6</v>
      </c>
      <c r="P83" s="312" t="str">
        <v>Schachtar Donezk</v>
      </c>
      <c r="Q83" s="313">
        <v>6</v>
      </c>
      <c r="R83" s="314">
        <v>4</v>
      </c>
      <c r="S83" s="314">
        <v>1</v>
      </c>
      <c r="T83" s="315">
        <v>1</v>
      </c>
      <c r="U83" s="316">
        <v>10</v>
      </c>
      <c r="V83" s="317" t="str">
        <v xml:space="preserve"> - </v>
      </c>
      <c r="W83" s="318">
        <v>5</v>
      </c>
      <c r="X83" s="319">
        <v>5</v>
      </c>
      <c r="Y83" s="320">
        <v>7</v>
      </c>
      <c r="Z83" s="320">
        <v>3</v>
      </c>
      <c r="AA83" s="321">
        <v>13</v>
      </c>
      <c r="AB83" s="231" t="str">
        <v/>
      </c>
      <c r="AC83" s="112"/>
      <c r="AD83" s="112"/>
      <c r="AE83" s="112"/>
      <c r="AF83" s="112"/>
      <c r="AG83" s="112"/>
      <c r="AH83" s="112"/>
      <c r="AI83" s="112"/>
      <c r="AJ83" s="112"/>
      <c r="AK83" s="112"/>
      <c r="AL83" s="112"/>
      <c r="AM83" s="112"/>
      <c r="AN83" s="143"/>
      <c r="AO83" s="112"/>
    </row>
    <row r="84" spans="2:41" ht="15.75" x14ac:dyDescent="0.2">
      <c r="B84" s="194"/>
      <c r="C84" s="192">
        <v>76</v>
      </c>
      <c r="D84" s="508">
        <f>IF(Planning!$T82="","",Planning!$T82)</f>
        <v>46002</v>
      </c>
      <c r="E84" s="120">
        <f>IF(Planning!$U82="","",Planning!$U82)</f>
        <v>0.78125</v>
      </c>
      <c r="F84" s="128" t="str">
        <f>Planning!$Q82</f>
        <v>Samsunspor</v>
      </c>
      <c r="G84" s="129" t="s">
        <v>4</v>
      </c>
      <c r="H84" s="128" t="str">
        <f>Planning!$S82</f>
        <v>AEK Athen</v>
      </c>
      <c r="I84" s="130">
        <v>1</v>
      </c>
      <c r="J84" s="381" t="str">
        <f>Language!$E$90</f>
        <v xml:space="preserve"> - </v>
      </c>
      <c r="K84" s="131">
        <v>2</v>
      </c>
      <c r="L84" s="228"/>
      <c r="M84" s="229"/>
      <c r="O84" s="311">
        <v>7</v>
      </c>
      <c r="P84" s="312" t="str">
        <v>1. FSV Mainz 05</v>
      </c>
      <c r="Q84" s="313">
        <v>6</v>
      </c>
      <c r="R84" s="314">
        <v>4</v>
      </c>
      <c r="S84" s="314">
        <v>1</v>
      </c>
      <c r="T84" s="315">
        <v>1</v>
      </c>
      <c r="U84" s="316">
        <v>7</v>
      </c>
      <c r="V84" s="317" t="str">
        <v xml:space="preserve"> - </v>
      </c>
      <c r="W84" s="318">
        <v>3</v>
      </c>
      <c r="X84" s="319">
        <v>4</v>
      </c>
      <c r="Y84" s="320">
        <v>2</v>
      </c>
      <c r="Z84" s="320">
        <v>1</v>
      </c>
      <c r="AA84" s="321">
        <v>13</v>
      </c>
      <c r="AB84" s="231" t="str">
        <v/>
      </c>
      <c r="AC84" s="112"/>
      <c r="AD84" s="112"/>
      <c r="AE84" s="112"/>
      <c r="AF84" s="112"/>
      <c r="AG84" s="112"/>
      <c r="AH84" s="112"/>
      <c r="AI84" s="112"/>
      <c r="AJ84" s="112"/>
      <c r="AK84" s="112"/>
      <c r="AL84" s="112"/>
      <c r="AM84" s="112"/>
      <c r="AN84" s="112"/>
      <c r="AO84" s="143"/>
    </row>
    <row r="85" spans="2:41" ht="15.75" x14ac:dyDescent="0.2">
      <c r="B85" s="194"/>
      <c r="C85" s="192">
        <v>77</v>
      </c>
      <c r="D85" s="508">
        <f>IF(Planning!$T83="","",Planning!$T83)</f>
        <v>46002</v>
      </c>
      <c r="E85" s="120">
        <f>IF(Planning!$U83="","",Planning!$U83)</f>
        <v>0.78125</v>
      </c>
      <c r="F85" s="128" t="str">
        <f>Planning!$Q83</f>
        <v>UMF Breidablik</v>
      </c>
      <c r="G85" s="129" t="s">
        <v>4</v>
      </c>
      <c r="H85" s="128" t="str">
        <f>Planning!$S83</f>
        <v>Shamrock Rovers</v>
      </c>
      <c r="I85" s="130">
        <v>3</v>
      </c>
      <c r="J85" s="381" t="str">
        <f>Language!$E$90</f>
        <v xml:space="preserve"> - </v>
      </c>
      <c r="K85" s="131">
        <v>1</v>
      </c>
      <c r="L85" s="228"/>
      <c r="M85" s="229"/>
      <c r="O85" s="311">
        <v>8</v>
      </c>
      <c r="P85" s="312" t="str">
        <v>AEK Larnaka</v>
      </c>
      <c r="Q85" s="313">
        <v>6</v>
      </c>
      <c r="R85" s="314">
        <v>3</v>
      </c>
      <c r="S85" s="314">
        <v>3</v>
      </c>
      <c r="T85" s="315">
        <v>0</v>
      </c>
      <c r="U85" s="316">
        <v>7</v>
      </c>
      <c r="V85" s="317" t="str">
        <v xml:space="preserve"> - </v>
      </c>
      <c r="W85" s="318">
        <v>1</v>
      </c>
      <c r="X85" s="319">
        <v>6</v>
      </c>
      <c r="Y85" s="320">
        <v>2</v>
      </c>
      <c r="Z85" s="320">
        <v>1</v>
      </c>
      <c r="AA85" s="321">
        <v>12</v>
      </c>
      <c r="AB85" s="231" t="str">
        <v/>
      </c>
    </row>
    <row r="86" spans="2:41" ht="15.75" x14ac:dyDescent="0.2">
      <c r="B86" s="194"/>
      <c r="C86" s="192">
        <v>78</v>
      </c>
      <c r="D86" s="508">
        <f>IF(Planning!$T84="","",Planning!$T84)</f>
        <v>46002</v>
      </c>
      <c r="E86" s="120">
        <f>IF(Planning!$U84="","",Planning!$U84)</f>
        <v>0.78125</v>
      </c>
      <c r="F86" s="128" t="str">
        <f>Planning!$Q84</f>
        <v>Shkendija Tetovo</v>
      </c>
      <c r="G86" s="129" t="s">
        <v>4</v>
      </c>
      <c r="H86" s="128" t="str">
        <f>Planning!$S84</f>
        <v>Slovan Bratislava</v>
      </c>
      <c r="I86" s="130">
        <v>2</v>
      </c>
      <c r="J86" s="381" t="str">
        <f>Language!$E$90</f>
        <v xml:space="preserve"> - </v>
      </c>
      <c r="K86" s="131">
        <v>0</v>
      </c>
      <c r="L86" s="228"/>
      <c r="M86" s="229"/>
      <c r="O86" s="322">
        <v>9</v>
      </c>
      <c r="P86" s="323" t="str">
        <v>Crystal Palace</v>
      </c>
      <c r="Q86" s="324">
        <v>6</v>
      </c>
      <c r="R86" s="325">
        <v>3</v>
      </c>
      <c r="S86" s="325">
        <v>1</v>
      </c>
      <c r="T86" s="326">
        <v>2</v>
      </c>
      <c r="U86" s="327">
        <v>11</v>
      </c>
      <c r="V86" s="328" t="str">
        <v xml:space="preserve"> - </v>
      </c>
      <c r="W86" s="329">
        <v>6</v>
      </c>
      <c r="X86" s="330">
        <v>5</v>
      </c>
      <c r="Y86" s="331">
        <v>6</v>
      </c>
      <c r="Z86" s="331">
        <v>2</v>
      </c>
      <c r="AA86" s="332">
        <v>10</v>
      </c>
      <c r="AB86" s="231" t="str">
        <v/>
      </c>
    </row>
    <row r="87" spans="2:41" ht="15.75" x14ac:dyDescent="0.2">
      <c r="B87" s="194"/>
      <c r="C87" s="192">
        <v>79</v>
      </c>
      <c r="D87" s="508">
        <f>IF(Planning!$T85="","",Planning!$T85)</f>
        <v>46002</v>
      </c>
      <c r="E87" s="120">
        <f>IF(Planning!$U85="","",Planning!$U85)</f>
        <v>0.78125</v>
      </c>
      <c r="F87" s="128" t="str">
        <f>Planning!$Q85</f>
        <v>BK Häcken</v>
      </c>
      <c r="G87" s="129" t="s">
        <v>4</v>
      </c>
      <c r="H87" s="128" t="str">
        <f>Planning!$S85</f>
        <v>AEK Larnaka</v>
      </c>
      <c r="I87" s="130">
        <v>1</v>
      </c>
      <c r="J87" s="381" t="str">
        <f>Language!$E$90</f>
        <v xml:space="preserve"> - </v>
      </c>
      <c r="K87" s="131">
        <v>1</v>
      </c>
      <c r="L87" s="228"/>
      <c r="M87" s="229"/>
      <c r="O87" s="322">
        <v>10</v>
      </c>
      <c r="P87" s="323" t="str">
        <v>Lech Posen</v>
      </c>
      <c r="Q87" s="324">
        <v>6</v>
      </c>
      <c r="R87" s="325">
        <v>3</v>
      </c>
      <c r="S87" s="325">
        <v>1</v>
      </c>
      <c r="T87" s="326">
        <v>2</v>
      </c>
      <c r="U87" s="327">
        <v>12</v>
      </c>
      <c r="V87" s="328" t="str">
        <v xml:space="preserve"> - </v>
      </c>
      <c r="W87" s="329">
        <v>8</v>
      </c>
      <c r="X87" s="330">
        <v>4</v>
      </c>
      <c r="Y87" s="331">
        <v>5</v>
      </c>
      <c r="Z87" s="331">
        <v>1</v>
      </c>
      <c r="AA87" s="332">
        <v>10</v>
      </c>
      <c r="AB87" s="231" t="str">
        <v/>
      </c>
    </row>
    <row r="88" spans="2:41" ht="15.75" x14ac:dyDescent="0.2">
      <c r="B88" s="194"/>
      <c r="C88" s="192">
        <v>80</v>
      </c>
      <c r="D88" s="508">
        <f>IF(Planning!$T86="","",Planning!$T86)</f>
        <v>46002</v>
      </c>
      <c r="E88" s="120">
        <f>IF(Planning!$U86="","",Planning!$U86)</f>
        <v>0.78125</v>
      </c>
      <c r="F88" s="128" t="str">
        <f>Planning!$Q86</f>
        <v>Universitatea Craiova</v>
      </c>
      <c r="G88" s="129" t="s">
        <v>4</v>
      </c>
      <c r="H88" s="128" t="str">
        <f>Planning!$S86</f>
        <v>Sparta Prag</v>
      </c>
      <c r="I88" s="130">
        <v>1</v>
      </c>
      <c r="J88" s="381" t="str">
        <f>Language!$E$90</f>
        <v xml:space="preserve"> - </v>
      </c>
      <c r="K88" s="131">
        <v>2</v>
      </c>
      <c r="L88" s="228"/>
      <c r="M88" s="229"/>
      <c r="O88" s="322">
        <v>11</v>
      </c>
      <c r="P88" s="323" t="str">
        <v>Samsunspor</v>
      </c>
      <c r="Q88" s="324">
        <v>6</v>
      </c>
      <c r="R88" s="325">
        <v>3</v>
      </c>
      <c r="S88" s="325">
        <v>1</v>
      </c>
      <c r="T88" s="326">
        <v>2</v>
      </c>
      <c r="U88" s="327">
        <v>10</v>
      </c>
      <c r="V88" s="328" t="str">
        <v xml:space="preserve"> - </v>
      </c>
      <c r="W88" s="329">
        <v>6</v>
      </c>
      <c r="X88" s="330">
        <v>4</v>
      </c>
      <c r="Y88" s="331">
        <v>3</v>
      </c>
      <c r="Z88" s="331">
        <v>1</v>
      </c>
      <c r="AA88" s="332">
        <v>10</v>
      </c>
      <c r="AB88" s="231" t="str">
        <v/>
      </c>
    </row>
    <row r="89" spans="2:41" ht="15.75" x14ac:dyDescent="0.2">
      <c r="B89" s="194"/>
      <c r="C89" s="192">
        <v>81</v>
      </c>
      <c r="D89" s="508">
        <f>IF(Planning!$T87="","",Planning!$T87)</f>
        <v>46002</v>
      </c>
      <c r="E89" s="120">
        <f>IF(Planning!$U87="","",Planning!$U87)</f>
        <v>0.78125</v>
      </c>
      <c r="F89" s="128" t="str">
        <f>Planning!$Q87</f>
        <v>FC Noah</v>
      </c>
      <c r="G89" s="129" t="s">
        <v>4</v>
      </c>
      <c r="H89" s="128" t="str">
        <f>Planning!$S87</f>
        <v>Legia Warschau</v>
      </c>
      <c r="I89" s="130">
        <v>2</v>
      </c>
      <c r="J89" s="381" t="str">
        <f>Language!$E$90</f>
        <v xml:space="preserve"> - </v>
      </c>
      <c r="K89" s="131">
        <v>1</v>
      </c>
      <c r="L89" s="228"/>
      <c r="M89" s="229"/>
      <c r="O89" s="322">
        <v>12</v>
      </c>
      <c r="P89" s="323" t="str">
        <v>NK Celje</v>
      </c>
      <c r="Q89" s="324">
        <v>6</v>
      </c>
      <c r="R89" s="325">
        <v>3</v>
      </c>
      <c r="S89" s="325">
        <v>1</v>
      </c>
      <c r="T89" s="326">
        <v>2</v>
      </c>
      <c r="U89" s="327">
        <v>8</v>
      </c>
      <c r="V89" s="328" t="str">
        <v xml:space="preserve"> - </v>
      </c>
      <c r="W89" s="329">
        <v>7</v>
      </c>
      <c r="X89" s="330">
        <v>1</v>
      </c>
      <c r="Y89" s="331">
        <v>3</v>
      </c>
      <c r="Z89" s="331">
        <v>1</v>
      </c>
      <c r="AA89" s="332">
        <v>10</v>
      </c>
      <c r="AB89" s="231" t="str">
        <v/>
      </c>
    </row>
    <row r="90" spans="2:41" ht="15.75" x14ac:dyDescent="0.2">
      <c r="B90" s="194"/>
      <c r="C90" s="192">
        <v>82</v>
      </c>
      <c r="D90" s="508">
        <f>IF(Planning!$T88="","",Planning!$T88)</f>
        <v>46002</v>
      </c>
      <c r="E90" s="120">
        <f>IF(Planning!$U88="","",Planning!$U88)</f>
        <v>0.875</v>
      </c>
      <c r="F90" s="128" t="str">
        <f>Planning!$Q88</f>
        <v>Rapid Wien</v>
      </c>
      <c r="G90" s="129" t="s">
        <v>4</v>
      </c>
      <c r="H90" s="128" t="str">
        <f>Planning!$S88</f>
        <v>Omonia Nikosia</v>
      </c>
      <c r="I90" s="130">
        <v>0</v>
      </c>
      <c r="J90" s="381" t="str">
        <f>Language!$E$90</f>
        <v xml:space="preserve"> - </v>
      </c>
      <c r="K90" s="131">
        <v>1</v>
      </c>
      <c r="L90" s="228"/>
      <c r="M90" s="229"/>
      <c r="O90" s="322">
        <v>13</v>
      </c>
      <c r="P90" s="323" t="str">
        <v>AZ Alkmaar</v>
      </c>
      <c r="Q90" s="324">
        <v>6</v>
      </c>
      <c r="R90" s="325">
        <v>3</v>
      </c>
      <c r="S90" s="325">
        <v>1</v>
      </c>
      <c r="T90" s="326">
        <v>2</v>
      </c>
      <c r="U90" s="327">
        <v>7</v>
      </c>
      <c r="V90" s="328" t="str">
        <v xml:space="preserve"> - </v>
      </c>
      <c r="W90" s="329">
        <v>7</v>
      </c>
      <c r="X90" s="330">
        <v>0</v>
      </c>
      <c r="Y90" s="331">
        <v>4</v>
      </c>
      <c r="Z90" s="331">
        <v>1</v>
      </c>
      <c r="AA90" s="332">
        <v>10</v>
      </c>
      <c r="AB90" s="231" t="str">
        <v/>
      </c>
    </row>
    <row r="91" spans="2:41" ht="15.75" x14ac:dyDescent="0.2">
      <c r="B91" s="194"/>
      <c r="C91" s="192">
        <v>83</v>
      </c>
      <c r="D91" s="508">
        <f>IF(Planning!$T89="","",Planning!$T89)</f>
        <v>46002</v>
      </c>
      <c r="E91" s="120">
        <f>IF(Planning!$U89="","",Planning!$U89)</f>
        <v>0.875</v>
      </c>
      <c r="F91" s="128" t="str">
        <f>Planning!$Q89</f>
        <v>Lech Posen</v>
      </c>
      <c r="G91" s="129" t="s">
        <v>4</v>
      </c>
      <c r="H91" s="128" t="str">
        <f>Planning!$S89</f>
        <v>1. FSV Mainz 05</v>
      </c>
      <c r="I91" s="130">
        <v>1</v>
      </c>
      <c r="J91" s="381" t="str">
        <f>Language!$E$90</f>
        <v xml:space="preserve"> - </v>
      </c>
      <c r="K91" s="131">
        <v>1</v>
      </c>
      <c r="L91" s="228"/>
      <c r="M91" s="229"/>
      <c r="O91" s="322">
        <v>14</v>
      </c>
      <c r="P91" s="323" t="str">
        <v>AC Florenz</v>
      </c>
      <c r="Q91" s="324">
        <v>6</v>
      </c>
      <c r="R91" s="325">
        <v>3</v>
      </c>
      <c r="S91" s="325">
        <v>0</v>
      </c>
      <c r="T91" s="326">
        <v>3</v>
      </c>
      <c r="U91" s="327">
        <v>8</v>
      </c>
      <c r="V91" s="328" t="str">
        <v xml:space="preserve"> - </v>
      </c>
      <c r="W91" s="329">
        <v>5</v>
      </c>
      <c r="X91" s="330">
        <v>3</v>
      </c>
      <c r="Y91" s="331">
        <v>4</v>
      </c>
      <c r="Z91" s="331">
        <v>1</v>
      </c>
      <c r="AA91" s="332">
        <v>9</v>
      </c>
      <c r="AB91" s="231" t="str">
        <v/>
      </c>
    </row>
    <row r="92" spans="2:41" ht="15.75" x14ac:dyDescent="0.2">
      <c r="B92" s="194"/>
      <c r="C92" s="192">
        <v>84</v>
      </c>
      <c r="D92" s="508">
        <f>IF(Planning!$T90="","",Planning!$T90)</f>
        <v>46002</v>
      </c>
      <c r="E92" s="120">
        <f>IF(Planning!$U90="","",Planning!$U90)</f>
        <v>0.875</v>
      </c>
      <c r="F92" s="128" t="str">
        <f>Planning!$Q90</f>
        <v>HNK Rijeka</v>
      </c>
      <c r="G92" s="129" t="s">
        <v>4</v>
      </c>
      <c r="H92" s="128" t="str">
        <f>Planning!$S90</f>
        <v>NK Celje</v>
      </c>
      <c r="I92" s="130">
        <v>3</v>
      </c>
      <c r="J92" s="381" t="str">
        <f>Language!$E$90</f>
        <v xml:space="preserve"> - </v>
      </c>
      <c r="K92" s="131">
        <v>0</v>
      </c>
      <c r="L92" s="228"/>
      <c r="M92" s="229"/>
      <c r="O92" s="322">
        <v>15</v>
      </c>
      <c r="P92" s="323" t="str">
        <v>HNK Rijeka</v>
      </c>
      <c r="Q92" s="324">
        <v>6</v>
      </c>
      <c r="R92" s="325">
        <v>2</v>
      </c>
      <c r="S92" s="325">
        <v>3</v>
      </c>
      <c r="T92" s="326">
        <v>1</v>
      </c>
      <c r="U92" s="327">
        <v>5</v>
      </c>
      <c r="V92" s="328" t="str">
        <v xml:space="preserve"> - </v>
      </c>
      <c r="W92" s="329">
        <v>2</v>
      </c>
      <c r="X92" s="330">
        <v>3</v>
      </c>
      <c r="Y92" s="331">
        <v>1</v>
      </c>
      <c r="Z92" s="331">
        <v>0</v>
      </c>
      <c r="AA92" s="332">
        <v>9</v>
      </c>
      <c r="AB92" s="231" t="str">
        <v/>
      </c>
    </row>
    <row r="93" spans="2:41" ht="15.75" x14ac:dyDescent="0.2">
      <c r="B93" s="194"/>
      <c r="C93" s="192">
        <v>85</v>
      </c>
      <c r="D93" s="508">
        <f>IF(Planning!$T91="","",Planning!$T91)</f>
        <v>46002</v>
      </c>
      <c r="E93" s="120">
        <f>IF(Planning!$U91="","",Planning!$U91)</f>
        <v>0.875</v>
      </c>
      <c r="F93" s="128" t="str">
        <f>Planning!$Q91</f>
        <v>Lincoln Red Imps Fc</v>
      </c>
      <c r="G93" s="129" t="s">
        <v>4</v>
      </c>
      <c r="H93" s="128" t="str">
        <f>Planning!$S91</f>
        <v>Sigma Olmütz</v>
      </c>
      <c r="I93" s="130">
        <v>2</v>
      </c>
      <c r="J93" s="381" t="str">
        <f>Language!$E$90</f>
        <v xml:space="preserve"> - </v>
      </c>
      <c r="K93" s="131">
        <v>1</v>
      </c>
      <c r="L93" s="228"/>
      <c r="M93" s="229"/>
      <c r="O93" s="322">
        <v>16</v>
      </c>
      <c r="P93" s="323" t="str">
        <v>FC Lausanne-Sport</v>
      </c>
      <c r="Q93" s="324">
        <v>6</v>
      </c>
      <c r="R93" s="325">
        <v>2</v>
      </c>
      <c r="S93" s="325">
        <v>3</v>
      </c>
      <c r="T93" s="326">
        <v>1</v>
      </c>
      <c r="U93" s="327">
        <v>6</v>
      </c>
      <c r="V93" s="328" t="str">
        <v xml:space="preserve"> - </v>
      </c>
      <c r="W93" s="329">
        <v>4</v>
      </c>
      <c r="X93" s="330">
        <v>2</v>
      </c>
      <c r="Y93" s="331">
        <v>1</v>
      </c>
      <c r="Z93" s="331">
        <v>0</v>
      </c>
      <c r="AA93" s="332">
        <v>9</v>
      </c>
      <c r="AB93" s="231" t="str">
        <v/>
      </c>
    </row>
    <row r="94" spans="2:41" ht="15.75" x14ac:dyDescent="0.2">
      <c r="B94" s="194"/>
      <c r="C94" s="192">
        <v>86</v>
      </c>
      <c r="D94" s="508">
        <f>IF(Planning!$T92="","",Planning!$T92)</f>
        <v>46002</v>
      </c>
      <c r="E94" s="120">
        <f>IF(Planning!$U92="","",Planning!$U92)</f>
        <v>0.875</v>
      </c>
      <c r="F94" s="128" t="str">
        <f>Planning!$Q92</f>
        <v>FC Aberdeen</v>
      </c>
      <c r="G94" s="129" t="s">
        <v>4</v>
      </c>
      <c r="H94" s="128" t="str">
        <f>Planning!$S92</f>
        <v>Racing Straßburg</v>
      </c>
      <c r="I94" s="130">
        <v>0</v>
      </c>
      <c r="J94" s="381" t="str">
        <f>Language!$E$90</f>
        <v xml:space="preserve"> - </v>
      </c>
      <c r="K94" s="131">
        <v>1</v>
      </c>
      <c r="L94" s="228"/>
      <c r="M94" s="229"/>
      <c r="O94" s="333">
        <v>17</v>
      </c>
      <c r="P94" s="334" t="str">
        <v>Jagiellonia Bialystok</v>
      </c>
      <c r="Q94" s="335">
        <v>6</v>
      </c>
      <c r="R94" s="336">
        <v>2</v>
      </c>
      <c r="S94" s="336">
        <v>3</v>
      </c>
      <c r="T94" s="337">
        <v>1</v>
      </c>
      <c r="U94" s="338">
        <v>5</v>
      </c>
      <c r="V94" s="339" t="str">
        <v xml:space="preserve"> - </v>
      </c>
      <c r="W94" s="340">
        <v>4</v>
      </c>
      <c r="X94" s="341">
        <v>1</v>
      </c>
      <c r="Y94" s="342">
        <v>2</v>
      </c>
      <c r="Z94" s="342">
        <v>0</v>
      </c>
      <c r="AA94" s="343">
        <v>9</v>
      </c>
      <c r="AB94" s="231" t="str">
        <v/>
      </c>
    </row>
    <row r="95" spans="2:41" ht="15.75" x14ac:dyDescent="0.2">
      <c r="B95" s="194"/>
      <c r="C95" s="192">
        <v>87</v>
      </c>
      <c r="D95" s="508">
        <f>IF(Planning!$T93="","",Planning!$T93)</f>
        <v>46002</v>
      </c>
      <c r="E95" s="120">
        <f>IF(Planning!$U93="","",Planning!$U93)</f>
        <v>0.875</v>
      </c>
      <c r="F95" s="128" t="str">
        <f>Planning!$Q93</f>
        <v>Kuopion PS</v>
      </c>
      <c r="G95" s="129" t="s">
        <v>4</v>
      </c>
      <c r="H95" s="128" t="str">
        <f>Planning!$S93</f>
        <v>FC Lausanne-Sport</v>
      </c>
      <c r="I95" s="130">
        <v>0</v>
      </c>
      <c r="J95" s="381" t="str">
        <f>Language!$E$90</f>
        <v xml:space="preserve"> - </v>
      </c>
      <c r="K95" s="131">
        <v>0</v>
      </c>
      <c r="L95" s="228"/>
      <c r="M95" s="229"/>
      <c r="O95" s="333">
        <v>18</v>
      </c>
      <c r="P95" s="334" t="str">
        <v>Omonia Nikosia</v>
      </c>
      <c r="Q95" s="335">
        <v>6</v>
      </c>
      <c r="R95" s="336">
        <v>2</v>
      </c>
      <c r="S95" s="336">
        <v>2</v>
      </c>
      <c r="T95" s="337">
        <v>2</v>
      </c>
      <c r="U95" s="338">
        <v>5</v>
      </c>
      <c r="V95" s="339" t="str">
        <v xml:space="preserve"> - </v>
      </c>
      <c r="W95" s="340">
        <v>4</v>
      </c>
      <c r="X95" s="341">
        <v>1</v>
      </c>
      <c r="Y95" s="342">
        <v>3</v>
      </c>
      <c r="Z95" s="342">
        <v>1</v>
      </c>
      <c r="AA95" s="343">
        <v>8</v>
      </c>
      <c r="AB95" s="231" t="str">
        <v/>
      </c>
    </row>
    <row r="96" spans="2:41" ht="15.75" x14ac:dyDescent="0.2">
      <c r="B96" s="194"/>
      <c r="C96" s="192">
        <v>88</v>
      </c>
      <c r="D96" s="508">
        <f>IF(Planning!$T94="","",Planning!$T94)</f>
        <v>46002</v>
      </c>
      <c r="E96" s="120">
        <f>IF(Planning!$U94="","",Planning!$U94)</f>
        <v>0.875</v>
      </c>
      <c r="F96" s="128" t="str">
        <f>Planning!$Q94</f>
        <v>Rakow Tschenstochau</v>
      </c>
      <c r="G96" s="129" t="s">
        <v>4</v>
      </c>
      <c r="H96" s="128" t="str">
        <f>Planning!$S94</f>
        <v>Zrinjski Mostar</v>
      </c>
      <c r="I96" s="130">
        <v>1</v>
      </c>
      <c r="J96" s="381" t="str">
        <f>Language!$E$90</f>
        <v xml:space="preserve"> - </v>
      </c>
      <c r="K96" s="131">
        <v>0</v>
      </c>
      <c r="L96" s="228"/>
      <c r="M96" s="229"/>
      <c r="O96" s="333">
        <v>19</v>
      </c>
      <c r="P96" s="334" t="str">
        <v>FC Noah</v>
      </c>
      <c r="Q96" s="335">
        <v>6</v>
      </c>
      <c r="R96" s="336">
        <v>2</v>
      </c>
      <c r="S96" s="336">
        <v>2</v>
      </c>
      <c r="T96" s="337">
        <v>2</v>
      </c>
      <c r="U96" s="338">
        <v>6</v>
      </c>
      <c r="V96" s="339" t="str">
        <v xml:space="preserve"> - </v>
      </c>
      <c r="W96" s="340">
        <v>7</v>
      </c>
      <c r="X96" s="341">
        <v>-1</v>
      </c>
      <c r="Y96" s="342">
        <v>2</v>
      </c>
      <c r="Z96" s="342">
        <v>0</v>
      </c>
      <c r="AA96" s="343">
        <v>8</v>
      </c>
      <c r="AB96" s="231" t="str">
        <v/>
      </c>
    </row>
    <row r="97" spans="2:28" ht="15.75" x14ac:dyDescent="0.2">
      <c r="B97" s="194"/>
      <c r="C97" s="192">
        <v>89</v>
      </c>
      <c r="D97" s="508">
        <f>IF(Planning!$T95="","",Planning!$T95)</f>
        <v>46002</v>
      </c>
      <c r="E97" s="120">
        <f>IF(Planning!$U95="","",Planning!$U95)</f>
        <v>0.875</v>
      </c>
      <c r="F97" s="128" t="str">
        <f>Planning!$Q95</f>
        <v>FC Shelbourne</v>
      </c>
      <c r="G97" s="129" t="s">
        <v>4</v>
      </c>
      <c r="H97" s="128" t="str">
        <f>Planning!$S95</f>
        <v>Crystal Palace</v>
      </c>
      <c r="I97" s="130">
        <v>0</v>
      </c>
      <c r="J97" s="381" t="str">
        <f>Language!$E$90</f>
        <v xml:space="preserve"> - </v>
      </c>
      <c r="K97" s="131">
        <v>3</v>
      </c>
      <c r="L97" s="228"/>
      <c r="M97" s="229"/>
      <c r="O97" s="333">
        <v>20</v>
      </c>
      <c r="P97" s="334" t="str">
        <v>KF Drita Gjilan</v>
      </c>
      <c r="Q97" s="335">
        <v>6</v>
      </c>
      <c r="R97" s="336">
        <v>2</v>
      </c>
      <c r="S97" s="336">
        <v>2</v>
      </c>
      <c r="T97" s="337">
        <v>2</v>
      </c>
      <c r="U97" s="338">
        <v>4</v>
      </c>
      <c r="V97" s="339" t="str">
        <v xml:space="preserve"> - </v>
      </c>
      <c r="W97" s="340">
        <v>8</v>
      </c>
      <c r="X97" s="341">
        <v>-4</v>
      </c>
      <c r="Y97" s="342">
        <v>2</v>
      </c>
      <c r="Z97" s="342">
        <v>1</v>
      </c>
      <c r="AA97" s="343">
        <v>8</v>
      </c>
      <c r="AB97" s="231" t="str">
        <v/>
      </c>
    </row>
    <row r="98" spans="2:28" ht="16.5" thickBot="1" x14ac:dyDescent="0.25">
      <c r="B98" s="194"/>
      <c r="C98" s="248">
        <v>90</v>
      </c>
      <c r="D98" s="509">
        <f>IF(Planning!$T96="","",Planning!$T96)</f>
        <v>46002</v>
      </c>
      <c r="E98" s="249">
        <f>IF(Planning!$U96="","",Planning!$U96)</f>
        <v>0.875</v>
      </c>
      <c r="F98" s="250" t="str">
        <f>Planning!$Q96</f>
        <v>Hamrun Spartans</v>
      </c>
      <c r="G98" s="251" t="s">
        <v>4</v>
      </c>
      <c r="H98" s="250" t="str">
        <f>Planning!$S96</f>
        <v>Schachtar Donezk</v>
      </c>
      <c r="I98" s="252">
        <v>0</v>
      </c>
      <c r="J98" s="382" t="str">
        <f>Language!$E$90</f>
        <v xml:space="preserve"> - </v>
      </c>
      <c r="K98" s="253">
        <v>2</v>
      </c>
      <c r="L98" s="254"/>
      <c r="M98" s="255"/>
      <c r="O98" s="333">
        <v>21</v>
      </c>
      <c r="P98" s="334" t="str">
        <v>Kuopion PS</v>
      </c>
      <c r="Q98" s="335">
        <v>6</v>
      </c>
      <c r="R98" s="336">
        <v>1</v>
      </c>
      <c r="S98" s="336">
        <v>4</v>
      </c>
      <c r="T98" s="337">
        <v>1</v>
      </c>
      <c r="U98" s="338">
        <v>6</v>
      </c>
      <c r="V98" s="339" t="str">
        <v xml:space="preserve"> - </v>
      </c>
      <c r="W98" s="340">
        <v>5</v>
      </c>
      <c r="X98" s="341">
        <v>1</v>
      </c>
      <c r="Y98" s="342">
        <v>2</v>
      </c>
      <c r="Z98" s="342">
        <v>0</v>
      </c>
      <c r="AA98" s="343">
        <v>7</v>
      </c>
      <c r="AB98" s="231" t="str">
        <v/>
      </c>
    </row>
    <row r="99" spans="2:28" ht="15.75" x14ac:dyDescent="0.2">
      <c r="B99" s="269">
        <v>6</v>
      </c>
      <c r="C99" s="270">
        <v>91</v>
      </c>
      <c r="D99" s="510">
        <f>IF(Planning!$T97="","",Planning!$T97)</f>
        <v>46009</v>
      </c>
      <c r="E99" s="271">
        <f>IF(Planning!$U97="","",Planning!$U97)</f>
        <v>0.875</v>
      </c>
      <c r="F99" s="272" t="str">
        <f>Planning!$Q97</f>
        <v>Slovan Bratislava</v>
      </c>
      <c r="G99" s="273" t="s">
        <v>4</v>
      </c>
      <c r="H99" s="272" t="str">
        <f>Planning!$S97</f>
        <v>BK Häcken</v>
      </c>
      <c r="I99" s="274">
        <v>1</v>
      </c>
      <c r="J99" s="383" t="str">
        <f>Language!$E$90</f>
        <v xml:space="preserve"> - </v>
      </c>
      <c r="K99" s="275">
        <v>0</v>
      </c>
      <c r="L99" s="276"/>
      <c r="M99" s="277"/>
      <c r="O99" s="333">
        <v>22</v>
      </c>
      <c r="P99" s="334" t="str">
        <v>Shkendija Tetovo</v>
      </c>
      <c r="Q99" s="335">
        <v>6</v>
      </c>
      <c r="R99" s="336">
        <v>2</v>
      </c>
      <c r="S99" s="336">
        <v>1</v>
      </c>
      <c r="T99" s="337">
        <v>3</v>
      </c>
      <c r="U99" s="338">
        <v>4</v>
      </c>
      <c r="V99" s="339" t="str">
        <v xml:space="preserve"> - </v>
      </c>
      <c r="W99" s="340">
        <v>5</v>
      </c>
      <c r="X99" s="341">
        <v>-1</v>
      </c>
      <c r="Y99" s="342">
        <v>0</v>
      </c>
      <c r="Z99" s="342">
        <v>0</v>
      </c>
      <c r="AA99" s="343">
        <v>7</v>
      </c>
      <c r="AB99" s="231" t="str">
        <v/>
      </c>
    </row>
    <row r="100" spans="2:28" ht="15.75" x14ac:dyDescent="0.2">
      <c r="B100" s="194"/>
      <c r="C100" s="192">
        <v>92</v>
      </c>
      <c r="D100" s="508">
        <f>IF(Planning!$T98="","",Planning!$T98)</f>
        <v>46009</v>
      </c>
      <c r="E100" s="120">
        <f>IF(Planning!$U98="","",Planning!$U98)</f>
        <v>0.875</v>
      </c>
      <c r="F100" s="128" t="str">
        <f>Planning!$Q98</f>
        <v>Schachtar Donezk</v>
      </c>
      <c r="G100" s="129" t="s">
        <v>4</v>
      </c>
      <c r="H100" s="128" t="str">
        <f>Planning!$S98</f>
        <v>HNK Rijeka</v>
      </c>
      <c r="I100" s="130">
        <v>0</v>
      </c>
      <c r="J100" s="381" t="str">
        <f>Language!$E$90</f>
        <v xml:space="preserve"> - </v>
      </c>
      <c r="K100" s="131">
        <v>0</v>
      </c>
      <c r="L100" s="228"/>
      <c r="M100" s="229"/>
      <c r="O100" s="333">
        <v>23</v>
      </c>
      <c r="P100" s="334" t="str">
        <v>Zrinjski Mostar</v>
      </c>
      <c r="Q100" s="335">
        <v>6</v>
      </c>
      <c r="R100" s="336">
        <v>2</v>
      </c>
      <c r="S100" s="336">
        <v>1</v>
      </c>
      <c r="T100" s="337">
        <v>3</v>
      </c>
      <c r="U100" s="338">
        <v>8</v>
      </c>
      <c r="V100" s="339" t="str">
        <v xml:space="preserve"> - </v>
      </c>
      <c r="W100" s="340">
        <v>10</v>
      </c>
      <c r="X100" s="341">
        <v>-2</v>
      </c>
      <c r="Y100" s="342">
        <v>0</v>
      </c>
      <c r="Z100" s="342">
        <v>0</v>
      </c>
      <c r="AA100" s="343">
        <v>7</v>
      </c>
      <c r="AB100" s="231" t="str">
        <v/>
      </c>
    </row>
    <row r="101" spans="2:28" ht="15.75" x14ac:dyDescent="0.2">
      <c r="B101" s="194"/>
      <c r="C101" s="192">
        <v>93</v>
      </c>
      <c r="D101" s="508">
        <f>IF(Planning!$T99="","",Planning!$T99)</f>
        <v>46009</v>
      </c>
      <c r="E101" s="120">
        <f>IF(Planning!$U99="","",Planning!$U99)</f>
        <v>0.875</v>
      </c>
      <c r="F101" s="128" t="str">
        <f>Planning!$Q99</f>
        <v>AZ Alkmaar</v>
      </c>
      <c r="G101" s="129" t="s">
        <v>4</v>
      </c>
      <c r="H101" s="128" t="str">
        <f>Planning!$S99</f>
        <v>Jagiellonia Bialystok</v>
      </c>
      <c r="I101" s="130">
        <v>0</v>
      </c>
      <c r="J101" s="381" t="str">
        <f>Language!$E$90</f>
        <v xml:space="preserve"> - </v>
      </c>
      <c r="K101" s="131">
        <v>0</v>
      </c>
      <c r="L101" s="228"/>
      <c r="M101" s="229"/>
      <c r="O101" s="333">
        <v>24</v>
      </c>
      <c r="P101" s="334" t="str">
        <v>Sigma Olmütz</v>
      </c>
      <c r="Q101" s="335">
        <v>6</v>
      </c>
      <c r="R101" s="336">
        <v>2</v>
      </c>
      <c r="S101" s="336">
        <v>1</v>
      </c>
      <c r="T101" s="337">
        <v>3</v>
      </c>
      <c r="U101" s="338">
        <v>7</v>
      </c>
      <c r="V101" s="339" t="str">
        <v xml:space="preserve"> - </v>
      </c>
      <c r="W101" s="340">
        <v>9</v>
      </c>
      <c r="X101" s="341">
        <v>-2</v>
      </c>
      <c r="Y101" s="342">
        <v>3</v>
      </c>
      <c r="Z101" s="342">
        <v>1</v>
      </c>
      <c r="AA101" s="343">
        <v>7</v>
      </c>
      <c r="AB101" s="231" t="str">
        <v/>
      </c>
    </row>
    <row r="102" spans="2:28" ht="15.75" x14ac:dyDescent="0.2">
      <c r="B102" s="194"/>
      <c r="C102" s="192">
        <v>94</v>
      </c>
      <c r="D102" s="508">
        <f>IF(Planning!$T100="","",Planning!$T100)</f>
        <v>46009</v>
      </c>
      <c r="E102" s="120">
        <f>IF(Planning!$U100="","",Planning!$U100)</f>
        <v>0.875</v>
      </c>
      <c r="F102" s="128" t="str">
        <f>Planning!$Q100</f>
        <v>Legia Warschau</v>
      </c>
      <c r="G102" s="129" t="s">
        <v>4</v>
      </c>
      <c r="H102" s="128" t="str">
        <f>Planning!$S100</f>
        <v>Lincoln Red Imps Fc</v>
      </c>
      <c r="I102" s="130">
        <v>4</v>
      </c>
      <c r="J102" s="381" t="str">
        <f>Language!$E$90</f>
        <v xml:space="preserve"> - </v>
      </c>
      <c r="K102" s="131">
        <v>1</v>
      </c>
      <c r="L102" s="228"/>
      <c r="M102" s="229"/>
      <c r="O102" s="344">
        <v>25</v>
      </c>
      <c r="P102" s="345" t="str">
        <v>Universitatea Craiova</v>
      </c>
      <c r="Q102" s="346">
        <v>6</v>
      </c>
      <c r="R102" s="347">
        <v>2</v>
      </c>
      <c r="S102" s="347">
        <v>1</v>
      </c>
      <c r="T102" s="348">
        <v>3</v>
      </c>
      <c r="U102" s="349">
        <v>6</v>
      </c>
      <c r="V102" s="350" t="str">
        <v xml:space="preserve"> - </v>
      </c>
      <c r="W102" s="351">
        <v>8</v>
      </c>
      <c r="X102" s="352">
        <v>-2</v>
      </c>
      <c r="Y102" s="353">
        <v>3</v>
      </c>
      <c r="Z102" s="353">
        <v>1</v>
      </c>
      <c r="AA102" s="354">
        <v>7</v>
      </c>
      <c r="AB102" s="231" t="str">
        <v/>
      </c>
    </row>
    <row r="103" spans="2:28" ht="15.75" x14ac:dyDescent="0.2">
      <c r="B103" s="194"/>
      <c r="C103" s="192">
        <v>95</v>
      </c>
      <c r="D103" s="508">
        <f>IF(Planning!$T101="","",Planning!$T101)</f>
        <v>46009</v>
      </c>
      <c r="E103" s="120">
        <f>IF(Planning!$U101="","",Planning!$U101)</f>
        <v>0.875</v>
      </c>
      <c r="F103" s="128" t="str">
        <f>Planning!$Q101</f>
        <v>Crystal Palace</v>
      </c>
      <c r="G103" s="129" t="s">
        <v>4</v>
      </c>
      <c r="H103" s="128" t="str">
        <f>Planning!$S101</f>
        <v>Kuopion PS</v>
      </c>
      <c r="I103" s="130">
        <v>2</v>
      </c>
      <c r="J103" s="381" t="str">
        <f>Language!$E$90</f>
        <v xml:space="preserve"> - </v>
      </c>
      <c r="K103" s="131">
        <v>2</v>
      </c>
      <c r="L103" s="228"/>
      <c r="M103" s="229"/>
      <c r="O103" s="344">
        <v>26</v>
      </c>
      <c r="P103" s="345" t="str">
        <v>Lincoln Red Imps Fc</v>
      </c>
      <c r="Q103" s="346">
        <v>6</v>
      </c>
      <c r="R103" s="347">
        <v>2</v>
      </c>
      <c r="S103" s="347">
        <v>1</v>
      </c>
      <c r="T103" s="348">
        <v>3</v>
      </c>
      <c r="U103" s="349">
        <v>7</v>
      </c>
      <c r="V103" s="350" t="str">
        <v xml:space="preserve"> - </v>
      </c>
      <c r="W103" s="351">
        <v>15</v>
      </c>
      <c r="X103" s="352">
        <v>-8</v>
      </c>
      <c r="Y103" s="353">
        <v>2</v>
      </c>
      <c r="Z103" s="353">
        <v>0</v>
      </c>
      <c r="AA103" s="354">
        <v>7</v>
      </c>
      <c r="AB103" s="231" t="str">
        <v/>
      </c>
    </row>
    <row r="104" spans="2:28" ht="15.75" x14ac:dyDescent="0.2">
      <c r="B104" s="194"/>
      <c r="C104" s="192">
        <v>96</v>
      </c>
      <c r="D104" s="508">
        <f>IF(Planning!$T102="","",Planning!$T102)</f>
        <v>46009</v>
      </c>
      <c r="E104" s="120">
        <f>IF(Planning!$U102="","",Planning!$U102)</f>
        <v>0.875</v>
      </c>
      <c r="F104" s="128" t="str">
        <f>Planning!$Q102</f>
        <v>Dynamo Kiew</v>
      </c>
      <c r="G104" s="129" t="s">
        <v>4</v>
      </c>
      <c r="H104" s="128" t="str">
        <f>Planning!$S102</f>
        <v>FC Noah</v>
      </c>
      <c r="I104" s="130">
        <v>2</v>
      </c>
      <c r="J104" s="381" t="str">
        <f>Language!$E$90</f>
        <v xml:space="preserve"> - </v>
      </c>
      <c r="K104" s="131">
        <v>0</v>
      </c>
      <c r="L104" s="228"/>
      <c r="M104" s="229"/>
      <c r="O104" s="344">
        <v>27</v>
      </c>
      <c r="P104" s="345" t="str">
        <v>Dynamo Kiew</v>
      </c>
      <c r="Q104" s="346">
        <v>6</v>
      </c>
      <c r="R104" s="347">
        <v>2</v>
      </c>
      <c r="S104" s="347">
        <v>0</v>
      </c>
      <c r="T104" s="348">
        <v>4</v>
      </c>
      <c r="U104" s="349">
        <v>9</v>
      </c>
      <c r="V104" s="350" t="str">
        <v xml:space="preserve"> - </v>
      </c>
      <c r="W104" s="351">
        <v>9</v>
      </c>
      <c r="X104" s="352">
        <v>0</v>
      </c>
      <c r="Y104" s="353">
        <v>1</v>
      </c>
      <c r="Z104" s="353">
        <v>0</v>
      </c>
      <c r="AA104" s="354">
        <v>6</v>
      </c>
      <c r="AB104" s="231" t="str">
        <v/>
      </c>
    </row>
    <row r="105" spans="2:28" ht="15.75" x14ac:dyDescent="0.2">
      <c r="B105" s="194"/>
      <c r="C105" s="192">
        <v>97</v>
      </c>
      <c r="D105" s="508">
        <f>IF(Planning!$T103="","",Planning!$T103)</f>
        <v>46009</v>
      </c>
      <c r="E105" s="120">
        <f>IF(Planning!$U103="","",Planning!$U103)</f>
        <v>0.875</v>
      </c>
      <c r="F105" s="128" t="str">
        <f>Planning!$Q103</f>
        <v>Rayo Vallecano</v>
      </c>
      <c r="G105" s="129" t="s">
        <v>4</v>
      </c>
      <c r="H105" s="128" t="str">
        <f>Planning!$S103</f>
        <v>KF Drita Gjilan</v>
      </c>
      <c r="I105" s="130">
        <v>3</v>
      </c>
      <c r="J105" s="381" t="str">
        <f>Language!$E$90</f>
        <v xml:space="preserve"> - </v>
      </c>
      <c r="K105" s="131">
        <v>0</v>
      </c>
      <c r="L105" s="228"/>
      <c r="M105" s="229"/>
      <c r="O105" s="344">
        <v>28</v>
      </c>
      <c r="P105" s="345" t="str">
        <v>Legia Warschau</v>
      </c>
      <c r="Q105" s="346">
        <v>6</v>
      </c>
      <c r="R105" s="347">
        <v>2</v>
      </c>
      <c r="S105" s="347">
        <v>0</v>
      </c>
      <c r="T105" s="348">
        <v>4</v>
      </c>
      <c r="U105" s="349">
        <v>8</v>
      </c>
      <c r="V105" s="350" t="str">
        <v xml:space="preserve"> - </v>
      </c>
      <c r="W105" s="351">
        <v>8</v>
      </c>
      <c r="X105" s="352">
        <v>0</v>
      </c>
      <c r="Y105" s="353">
        <v>4</v>
      </c>
      <c r="Z105" s="353">
        <v>1</v>
      </c>
      <c r="AA105" s="354">
        <v>6</v>
      </c>
      <c r="AB105" s="231" t="str">
        <v/>
      </c>
    </row>
    <row r="106" spans="2:28" ht="15.75" x14ac:dyDescent="0.2">
      <c r="B106" s="194"/>
      <c r="C106" s="192">
        <v>98</v>
      </c>
      <c r="D106" s="508">
        <f>IF(Planning!$T104="","",Planning!$T104)</f>
        <v>46009</v>
      </c>
      <c r="E106" s="120">
        <f>IF(Planning!$U104="","",Planning!$U104)</f>
        <v>0.875</v>
      </c>
      <c r="F106" s="128" t="str">
        <f>Planning!$Q104</f>
        <v>Sparta Prag</v>
      </c>
      <c r="G106" s="129" t="s">
        <v>4</v>
      </c>
      <c r="H106" s="128" t="str">
        <f>Planning!$S104</f>
        <v>FC Aberdeen</v>
      </c>
      <c r="I106" s="130">
        <v>3</v>
      </c>
      <c r="J106" s="381" t="str">
        <f>Language!$E$90</f>
        <v xml:space="preserve"> - </v>
      </c>
      <c r="K106" s="131">
        <v>0</v>
      </c>
      <c r="L106" s="228"/>
      <c r="M106" s="229"/>
      <c r="O106" s="344">
        <v>29</v>
      </c>
      <c r="P106" s="345" t="str">
        <v>Slovan Bratislava</v>
      </c>
      <c r="Q106" s="346">
        <v>6</v>
      </c>
      <c r="R106" s="347">
        <v>2</v>
      </c>
      <c r="S106" s="347">
        <v>0</v>
      </c>
      <c r="T106" s="348">
        <v>4</v>
      </c>
      <c r="U106" s="349">
        <v>5</v>
      </c>
      <c r="V106" s="350" t="str">
        <v xml:space="preserve"> - </v>
      </c>
      <c r="W106" s="351">
        <v>9</v>
      </c>
      <c r="X106" s="352">
        <v>-4</v>
      </c>
      <c r="Y106" s="353">
        <v>1</v>
      </c>
      <c r="Z106" s="353">
        <v>0</v>
      </c>
      <c r="AA106" s="354">
        <v>6</v>
      </c>
      <c r="AB106" s="231" t="str">
        <v/>
      </c>
    </row>
    <row r="107" spans="2:28" ht="15.75" x14ac:dyDescent="0.2">
      <c r="B107" s="194"/>
      <c r="C107" s="192">
        <v>99</v>
      </c>
      <c r="D107" s="508">
        <f>IF(Planning!$T105="","",Planning!$T105)</f>
        <v>46009</v>
      </c>
      <c r="E107" s="120">
        <f>IF(Planning!$U105="","",Planning!$U105)</f>
        <v>0.875</v>
      </c>
      <c r="F107" s="128" t="str">
        <f>Planning!$Q105</f>
        <v>Shamrock Rovers</v>
      </c>
      <c r="G107" s="129" t="s">
        <v>4</v>
      </c>
      <c r="H107" s="128" t="str">
        <f>Planning!$S105</f>
        <v>Hamrun Spartans</v>
      </c>
      <c r="I107" s="130">
        <v>3</v>
      </c>
      <c r="J107" s="381" t="str">
        <f>Language!$E$90</f>
        <v xml:space="preserve"> - </v>
      </c>
      <c r="K107" s="131">
        <v>1</v>
      </c>
      <c r="L107" s="228"/>
      <c r="M107" s="229"/>
      <c r="O107" s="344">
        <v>30</v>
      </c>
      <c r="P107" s="345" t="str">
        <v>UMF Breidablik</v>
      </c>
      <c r="Q107" s="346">
        <v>6</v>
      </c>
      <c r="R107" s="347">
        <v>1</v>
      </c>
      <c r="S107" s="347">
        <v>2</v>
      </c>
      <c r="T107" s="348">
        <v>3</v>
      </c>
      <c r="U107" s="349">
        <v>6</v>
      </c>
      <c r="V107" s="350" t="str">
        <v xml:space="preserve"> - </v>
      </c>
      <c r="W107" s="351">
        <v>11</v>
      </c>
      <c r="X107" s="352">
        <v>-5</v>
      </c>
      <c r="Y107" s="353">
        <v>1</v>
      </c>
      <c r="Z107" s="353">
        <v>0</v>
      </c>
      <c r="AA107" s="354">
        <v>5</v>
      </c>
      <c r="AB107" s="231" t="str">
        <v/>
      </c>
    </row>
    <row r="108" spans="2:28" ht="15.75" x14ac:dyDescent="0.2">
      <c r="B108" s="194"/>
      <c r="C108" s="192">
        <v>100</v>
      </c>
      <c r="D108" s="508">
        <f>IF(Planning!$T106="","",Planning!$T106)</f>
        <v>46009</v>
      </c>
      <c r="E108" s="120">
        <f>IF(Planning!$U106="","",Planning!$U106)</f>
        <v>0.875</v>
      </c>
      <c r="F108" s="128" t="str">
        <f>Planning!$Q106</f>
        <v>1. FSV Mainz 05</v>
      </c>
      <c r="G108" s="129" t="s">
        <v>4</v>
      </c>
      <c r="H108" s="128" t="str">
        <f>Planning!$S106</f>
        <v>Samsunspor</v>
      </c>
      <c r="I108" s="130">
        <v>2</v>
      </c>
      <c r="J108" s="381" t="str">
        <f>Language!$E$90</f>
        <v xml:space="preserve"> - </v>
      </c>
      <c r="K108" s="131">
        <v>0</v>
      </c>
      <c r="L108" s="228"/>
      <c r="M108" s="229"/>
      <c r="O108" s="344">
        <v>31</v>
      </c>
      <c r="P108" s="345" t="str">
        <v>Shamrock Rovers</v>
      </c>
      <c r="Q108" s="346">
        <v>6</v>
      </c>
      <c r="R108" s="347">
        <v>1</v>
      </c>
      <c r="S108" s="347">
        <v>1</v>
      </c>
      <c r="T108" s="348">
        <v>4</v>
      </c>
      <c r="U108" s="349">
        <v>7</v>
      </c>
      <c r="V108" s="350" t="str">
        <v xml:space="preserve"> - </v>
      </c>
      <c r="W108" s="351">
        <v>13</v>
      </c>
      <c r="X108" s="352">
        <v>-6</v>
      </c>
      <c r="Y108" s="353">
        <v>3</v>
      </c>
      <c r="Z108" s="353">
        <v>0</v>
      </c>
      <c r="AA108" s="354">
        <v>4</v>
      </c>
      <c r="AB108" s="231" t="str">
        <v/>
      </c>
    </row>
    <row r="109" spans="2:28" ht="15.75" x14ac:dyDescent="0.2">
      <c r="B109" s="194"/>
      <c r="C109" s="192">
        <v>101</v>
      </c>
      <c r="D109" s="508">
        <f>IF(Planning!$T107="","",Planning!$T107)</f>
        <v>46009</v>
      </c>
      <c r="E109" s="120">
        <f>IF(Planning!$U107="","",Planning!$U107)</f>
        <v>0.875</v>
      </c>
      <c r="F109" s="128" t="str">
        <f>Planning!$Q107</f>
        <v>Zrinjski Mostar</v>
      </c>
      <c r="G109" s="129" t="s">
        <v>4</v>
      </c>
      <c r="H109" s="128" t="str">
        <f>Planning!$S107</f>
        <v>Rapid Wien</v>
      </c>
      <c r="I109" s="130">
        <v>1</v>
      </c>
      <c r="J109" s="381" t="str">
        <f>Language!$E$90</f>
        <v xml:space="preserve"> - </v>
      </c>
      <c r="K109" s="131">
        <v>1</v>
      </c>
      <c r="L109" s="228"/>
      <c r="M109" s="229"/>
      <c r="O109" s="344">
        <v>32</v>
      </c>
      <c r="P109" s="345" t="str">
        <v>Hamrun Spartans</v>
      </c>
      <c r="Q109" s="346">
        <v>6</v>
      </c>
      <c r="R109" s="347">
        <v>1</v>
      </c>
      <c r="S109" s="347">
        <v>1</v>
      </c>
      <c r="T109" s="348">
        <v>4</v>
      </c>
      <c r="U109" s="349">
        <v>5</v>
      </c>
      <c r="V109" s="350" t="str">
        <v xml:space="preserve"> - </v>
      </c>
      <c r="W109" s="351">
        <v>11</v>
      </c>
      <c r="X109" s="352">
        <v>-6</v>
      </c>
      <c r="Y109" s="353">
        <v>1</v>
      </c>
      <c r="Z109" s="353">
        <v>0</v>
      </c>
      <c r="AA109" s="354">
        <v>4</v>
      </c>
      <c r="AB109" s="231" t="str">
        <v/>
      </c>
    </row>
    <row r="110" spans="2:28" ht="15.75" x14ac:dyDescent="0.2">
      <c r="B110" s="194"/>
      <c r="C110" s="192">
        <v>102</v>
      </c>
      <c r="D110" s="508">
        <f>IF(Planning!$T108="","",Planning!$T108)</f>
        <v>46009</v>
      </c>
      <c r="E110" s="120">
        <f>IF(Planning!$U108="","",Planning!$U108)</f>
        <v>0.875</v>
      </c>
      <c r="F110" s="128" t="str">
        <f>Planning!$Q108</f>
        <v>NK Celje</v>
      </c>
      <c r="G110" s="129" t="s">
        <v>4</v>
      </c>
      <c r="H110" s="128" t="str">
        <f>Planning!$S108</f>
        <v>FC Shelbourne</v>
      </c>
      <c r="I110" s="130">
        <v>0</v>
      </c>
      <c r="J110" s="381" t="str">
        <f>Language!$E$90</f>
        <v xml:space="preserve"> - </v>
      </c>
      <c r="K110" s="131">
        <v>0</v>
      </c>
      <c r="L110" s="228"/>
      <c r="M110" s="229"/>
      <c r="O110" s="344">
        <v>33</v>
      </c>
      <c r="P110" s="345" t="str">
        <v>BK Häcken</v>
      </c>
      <c r="Q110" s="346">
        <v>6</v>
      </c>
      <c r="R110" s="347">
        <v>0</v>
      </c>
      <c r="S110" s="347">
        <v>3</v>
      </c>
      <c r="T110" s="348">
        <v>3</v>
      </c>
      <c r="U110" s="349">
        <v>5</v>
      </c>
      <c r="V110" s="350" t="str">
        <v xml:space="preserve"> - </v>
      </c>
      <c r="W110" s="351">
        <v>8</v>
      </c>
      <c r="X110" s="352">
        <v>-3</v>
      </c>
      <c r="Y110" s="353">
        <v>1</v>
      </c>
      <c r="Z110" s="353">
        <v>0</v>
      </c>
      <c r="AA110" s="354">
        <v>3</v>
      </c>
      <c r="AB110" s="231" t="str">
        <v/>
      </c>
    </row>
    <row r="111" spans="2:28" ht="15.75" x14ac:dyDescent="0.2">
      <c r="B111" s="194"/>
      <c r="C111" s="192">
        <v>103</v>
      </c>
      <c r="D111" s="508">
        <f>IF(Planning!$T109="","",Planning!$T109)</f>
        <v>46009</v>
      </c>
      <c r="E111" s="120">
        <f>IF(Planning!$U109="","",Planning!$U109)</f>
        <v>0.875</v>
      </c>
      <c r="F111" s="128" t="str">
        <f>Planning!$Q109</f>
        <v>Racing Straßburg</v>
      </c>
      <c r="G111" s="129" t="s">
        <v>4</v>
      </c>
      <c r="H111" s="128" t="str">
        <f>Planning!$S109</f>
        <v>UMF Breidablik</v>
      </c>
      <c r="I111" s="130">
        <v>3</v>
      </c>
      <c r="J111" s="381" t="str">
        <f>Language!$E$90</f>
        <v xml:space="preserve"> - </v>
      </c>
      <c r="K111" s="131">
        <v>1</v>
      </c>
      <c r="L111" s="228"/>
      <c r="M111" s="229"/>
      <c r="O111" s="344">
        <v>34</v>
      </c>
      <c r="P111" s="345" t="str">
        <v>FC Shelbourne</v>
      </c>
      <c r="Q111" s="346">
        <v>6</v>
      </c>
      <c r="R111" s="347">
        <v>0</v>
      </c>
      <c r="S111" s="347">
        <v>2</v>
      </c>
      <c r="T111" s="348">
        <v>4</v>
      </c>
      <c r="U111" s="349">
        <v>0</v>
      </c>
      <c r="V111" s="350" t="str">
        <v xml:space="preserve"> - </v>
      </c>
      <c r="W111" s="351">
        <v>7</v>
      </c>
      <c r="X111" s="352">
        <v>-7</v>
      </c>
      <c r="Y111" s="353">
        <v>0</v>
      </c>
      <c r="Z111" s="353">
        <v>0</v>
      </c>
      <c r="AA111" s="354">
        <v>2</v>
      </c>
      <c r="AB111" s="231" t="str">
        <v/>
      </c>
    </row>
    <row r="112" spans="2:28" ht="15.75" x14ac:dyDescent="0.2">
      <c r="B112" s="194"/>
      <c r="C112" s="192">
        <v>104</v>
      </c>
      <c r="D112" s="508">
        <f>IF(Planning!$T110="","",Planning!$T110)</f>
        <v>46009</v>
      </c>
      <c r="E112" s="120">
        <f>IF(Planning!$U110="","",Planning!$U110)</f>
        <v>0.875</v>
      </c>
      <c r="F112" s="128" t="str">
        <f>Planning!$Q110</f>
        <v>AEK Athen</v>
      </c>
      <c r="G112" s="129" t="s">
        <v>4</v>
      </c>
      <c r="H112" s="128" t="str">
        <f>Planning!$S110</f>
        <v>Universitatea Craiova</v>
      </c>
      <c r="I112" s="130">
        <v>3</v>
      </c>
      <c r="J112" s="381" t="str">
        <f>Language!$E$90</f>
        <v xml:space="preserve"> - </v>
      </c>
      <c r="K112" s="131">
        <v>2</v>
      </c>
      <c r="L112" s="228"/>
      <c r="M112" s="229"/>
      <c r="O112" s="344">
        <v>35</v>
      </c>
      <c r="P112" s="345" t="str">
        <v>FC Aberdeen</v>
      </c>
      <c r="Q112" s="346">
        <v>6</v>
      </c>
      <c r="R112" s="347">
        <v>0</v>
      </c>
      <c r="S112" s="347">
        <v>2</v>
      </c>
      <c r="T112" s="348">
        <v>4</v>
      </c>
      <c r="U112" s="349">
        <v>3</v>
      </c>
      <c r="V112" s="350" t="str">
        <v xml:space="preserve"> - </v>
      </c>
      <c r="W112" s="351">
        <v>14</v>
      </c>
      <c r="X112" s="352">
        <v>-11</v>
      </c>
      <c r="Y112" s="353">
        <v>0</v>
      </c>
      <c r="Z112" s="353">
        <v>0</v>
      </c>
      <c r="AA112" s="354">
        <v>2</v>
      </c>
      <c r="AB112" s="231" t="str">
        <v/>
      </c>
    </row>
    <row r="113" spans="2:28" ht="16.5" thickBot="1" x14ac:dyDescent="0.25">
      <c r="B113" s="194"/>
      <c r="C113" s="192">
        <v>105</v>
      </c>
      <c r="D113" s="508">
        <f>IF(Planning!$T111="","",Planning!$T111)</f>
        <v>46009</v>
      </c>
      <c r="E113" s="120">
        <f>IF(Planning!$U111="","",Planning!$U111)</f>
        <v>0.875</v>
      </c>
      <c r="F113" s="128" t="str">
        <f>Planning!$Q111</f>
        <v>Omonia Nikosia</v>
      </c>
      <c r="G113" s="129" t="s">
        <v>4</v>
      </c>
      <c r="H113" s="128" t="str">
        <f>Planning!$S111</f>
        <v>Rakow Tschenstochau</v>
      </c>
      <c r="I113" s="130">
        <v>0</v>
      </c>
      <c r="J113" s="381" t="str">
        <f>Language!$E$90</f>
        <v xml:space="preserve"> - </v>
      </c>
      <c r="K113" s="131">
        <v>1</v>
      </c>
      <c r="L113" s="228"/>
      <c r="M113" s="229"/>
      <c r="O113" s="355">
        <v>36</v>
      </c>
      <c r="P113" s="356" t="str">
        <v>Rapid Wien</v>
      </c>
      <c r="Q113" s="357">
        <v>6</v>
      </c>
      <c r="R113" s="358">
        <v>0</v>
      </c>
      <c r="S113" s="358">
        <v>1</v>
      </c>
      <c r="T113" s="359">
        <v>5</v>
      </c>
      <c r="U113" s="360">
        <v>3</v>
      </c>
      <c r="V113" s="361" t="str">
        <v xml:space="preserve"> - </v>
      </c>
      <c r="W113" s="362">
        <v>14</v>
      </c>
      <c r="X113" s="363">
        <v>-11</v>
      </c>
      <c r="Y113" s="364">
        <v>3</v>
      </c>
      <c r="Z113" s="364">
        <v>0</v>
      </c>
      <c r="AA113" s="365">
        <v>1</v>
      </c>
      <c r="AB113" s="232" t="str">
        <v/>
      </c>
    </row>
    <row r="114" spans="2:28" ht="16.5" thickTop="1" x14ac:dyDescent="0.2">
      <c r="B114" s="194"/>
      <c r="C114" s="192">
        <v>106</v>
      </c>
      <c r="D114" s="508">
        <f>IF(Planning!$T112="","",Planning!$T112)</f>
        <v>46009</v>
      </c>
      <c r="E114" s="120">
        <f>IF(Planning!$U112="","",Planning!$U112)</f>
        <v>0.875</v>
      </c>
      <c r="F114" s="128" t="str">
        <f>Planning!$Q112</f>
        <v>Sigma Olmütz</v>
      </c>
      <c r="G114" s="129" t="s">
        <v>4</v>
      </c>
      <c r="H114" s="128" t="str">
        <f>Planning!$S112</f>
        <v>Lech Posen</v>
      </c>
      <c r="I114" s="130">
        <v>1</v>
      </c>
      <c r="J114" s="381" t="str">
        <f>Language!$E$90</f>
        <v xml:space="preserve"> - </v>
      </c>
      <c r="K114" s="131">
        <v>2</v>
      </c>
      <c r="L114" s="228"/>
      <c r="M114" s="229"/>
    </row>
    <row r="115" spans="2:28" ht="16.5" thickBot="1" x14ac:dyDescent="0.25">
      <c r="B115" s="194"/>
      <c r="C115" s="192">
        <v>107</v>
      </c>
      <c r="D115" s="508">
        <f>IF(Planning!$T113="","",Planning!$T113)</f>
        <v>46009</v>
      </c>
      <c r="E115" s="120">
        <f>IF(Planning!$U113="","",Planning!$U113)</f>
        <v>0.875</v>
      </c>
      <c r="F115" s="128" t="str">
        <f>Planning!$Q113</f>
        <v>AEK Larnaka</v>
      </c>
      <c r="G115" s="129" t="s">
        <v>4</v>
      </c>
      <c r="H115" s="128" t="str">
        <f>Planning!$S113</f>
        <v>Shkendija Tetovo</v>
      </c>
      <c r="I115" s="130">
        <v>1</v>
      </c>
      <c r="J115" s="381" t="str">
        <f>Language!$E$90</f>
        <v xml:space="preserve"> - </v>
      </c>
      <c r="K115" s="131">
        <v>0</v>
      </c>
      <c r="L115" s="228"/>
      <c r="M115" s="229"/>
    </row>
    <row r="116" spans="2:28" ht="16.5" thickTop="1" x14ac:dyDescent="0.2">
      <c r="B116" s="469"/>
      <c r="C116" s="456">
        <v>108</v>
      </c>
      <c r="D116" s="511">
        <f>IF(Planning!$T114="","",Planning!$T114)</f>
        <v>46009</v>
      </c>
      <c r="E116" s="457">
        <f>IF(Planning!$U114="","",Planning!$U114)</f>
        <v>0.875</v>
      </c>
      <c r="F116" s="458" t="str">
        <f>Planning!$Q114</f>
        <v>FC Lausanne-Sport</v>
      </c>
      <c r="G116" s="459" t="s">
        <v>4</v>
      </c>
      <c r="H116" s="458" t="str">
        <f>Planning!$S114</f>
        <v>AC Florenz</v>
      </c>
      <c r="I116" s="460">
        <v>1</v>
      </c>
      <c r="J116" s="461" t="str">
        <f>Language!$E$90</f>
        <v xml:space="preserve"> - </v>
      </c>
      <c r="K116" s="462">
        <v>0</v>
      </c>
      <c r="L116" s="463"/>
      <c r="M116" s="464"/>
      <c r="O116" s="387"/>
      <c r="P116" s="388"/>
      <c r="Q116" s="197" t="str">
        <f>$Q$8</f>
        <v>Pl</v>
      </c>
      <c r="R116" s="198" t="str">
        <f>$R$8</f>
        <v>W</v>
      </c>
      <c r="S116" s="198" t="str">
        <f>$S$8</f>
        <v>D</v>
      </c>
      <c r="T116" s="384" t="str">
        <f>$T$8</f>
        <v>L</v>
      </c>
      <c r="U116" s="529" t="str">
        <f>$U$8</f>
        <v>GF  -  GA</v>
      </c>
      <c r="V116" s="530" t="str">
        <f t="shared" ref="V116:W116" si="6">$Q$8</f>
        <v>Pl</v>
      </c>
      <c r="W116" s="531" t="str">
        <f t="shared" si="6"/>
        <v>Pl</v>
      </c>
      <c r="X116" s="198" t="str">
        <f>$X$8</f>
        <v>GD</v>
      </c>
      <c r="Y116" s="384" t="str">
        <f>$Y$8</f>
        <v>AGls</v>
      </c>
      <c r="Z116" s="384" t="str">
        <f>$Z$8</f>
        <v>AWin</v>
      </c>
      <c r="AA116" s="200" t="str">
        <f>$AA$8</f>
        <v>Pts</v>
      </c>
      <c r="AB116" s="223" t="str">
        <f>$AB$8</f>
        <v>PenPts</v>
      </c>
    </row>
    <row r="117" spans="2:28" ht="15.75" x14ac:dyDescent="0.2">
      <c r="B117" s="450"/>
      <c r="C117" s="452"/>
      <c r="D117" s="453"/>
      <c r="E117" s="454"/>
      <c r="F117" s="455"/>
      <c r="G117" s="222"/>
      <c r="H117" s="455"/>
      <c r="I117" s="465"/>
      <c r="J117" s="466"/>
      <c r="K117" s="467"/>
      <c r="L117" s="468"/>
      <c r="M117" s="468"/>
      <c r="O117" s="300">
        <f t="array" ref="O117:AB152">IF($O$9:$AB$44="","",$O$9:$AB$44)</f>
        <v>1</v>
      </c>
      <c r="P117" s="301" t="str">
        <v>Racing Straßburg</v>
      </c>
      <c r="Q117" s="302">
        <v>6</v>
      </c>
      <c r="R117" s="303">
        <v>5</v>
      </c>
      <c r="S117" s="303">
        <v>1</v>
      </c>
      <c r="T117" s="304">
        <v>0</v>
      </c>
      <c r="U117" s="305">
        <v>11</v>
      </c>
      <c r="V117" s="306" t="str">
        <v xml:space="preserve"> - </v>
      </c>
      <c r="W117" s="307">
        <v>5</v>
      </c>
      <c r="X117" s="308">
        <v>6</v>
      </c>
      <c r="Y117" s="309">
        <v>5</v>
      </c>
      <c r="Z117" s="309">
        <v>3</v>
      </c>
      <c r="AA117" s="310">
        <v>16</v>
      </c>
      <c r="AB117" s="230" t="str">
        <v/>
      </c>
    </row>
    <row r="118" spans="2:28" ht="15.75" x14ac:dyDescent="0.2">
      <c r="B118" s="450"/>
      <c r="C118" s="452"/>
      <c r="D118" s="453"/>
      <c r="E118" s="454"/>
      <c r="F118" s="455"/>
      <c r="G118" s="222"/>
      <c r="H118" s="455"/>
      <c r="I118" s="465"/>
      <c r="J118" s="466"/>
      <c r="K118" s="467"/>
      <c r="L118" s="468"/>
      <c r="M118" s="468"/>
      <c r="O118" s="311">
        <v>2</v>
      </c>
      <c r="P118" s="312" t="str">
        <v>Rakow Tschenstochau</v>
      </c>
      <c r="Q118" s="313">
        <v>6</v>
      </c>
      <c r="R118" s="314">
        <v>4</v>
      </c>
      <c r="S118" s="314">
        <v>2</v>
      </c>
      <c r="T118" s="315">
        <v>0</v>
      </c>
      <c r="U118" s="316">
        <v>9</v>
      </c>
      <c r="V118" s="317" t="str">
        <v xml:space="preserve"> - </v>
      </c>
      <c r="W118" s="318">
        <v>2</v>
      </c>
      <c r="X118" s="319">
        <v>7</v>
      </c>
      <c r="Y118" s="320">
        <v>2</v>
      </c>
      <c r="Z118" s="320">
        <v>1</v>
      </c>
      <c r="AA118" s="321">
        <v>14</v>
      </c>
      <c r="AB118" s="231" t="str">
        <v/>
      </c>
    </row>
    <row r="119" spans="2:28" ht="15.75" x14ac:dyDescent="0.2">
      <c r="B119" s="450"/>
      <c r="C119" s="452"/>
      <c r="D119" s="453"/>
      <c r="E119" s="454"/>
      <c r="F119" s="455"/>
      <c r="G119" s="222"/>
      <c r="H119" s="455"/>
      <c r="I119" s="465"/>
      <c r="J119" s="466"/>
      <c r="K119" s="467"/>
      <c r="L119" s="468"/>
      <c r="M119" s="468"/>
      <c r="O119" s="311">
        <v>3</v>
      </c>
      <c r="P119" s="312" t="str">
        <v>AEK Athen</v>
      </c>
      <c r="Q119" s="313">
        <v>6</v>
      </c>
      <c r="R119" s="314">
        <v>4</v>
      </c>
      <c r="S119" s="314">
        <v>1</v>
      </c>
      <c r="T119" s="315">
        <v>1</v>
      </c>
      <c r="U119" s="316">
        <v>14</v>
      </c>
      <c r="V119" s="317" t="str">
        <v xml:space="preserve"> - </v>
      </c>
      <c r="W119" s="318">
        <v>7</v>
      </c>
      <c r="X119" s="319">
        <v>7</v>
      </c>
      <c r="Y119" s="320">
        <v>4</v>
      </c>
      <c r="Z119" s="320">
        <v>2</v>
      </c>
      <c r="AA119" s="321">
        <v>13</v>
      </c>
      <c r="AB119" s="231" t="str">
        <v/>
      </c>
    </row>
    <row r="120" spans="2:28" ht="15.75" x14ac:dyDescent="0.2">
      <c r="B120" s="450"/>
      <c r="C120" s="452"/>
      <c r="D120" s="453"/>
      <c r="E120" s="454"/>
      <c r="F120" s="455"/>
      <c r="G120" s="222"/>
      <c r="H120" s="455"/>
      <c r="I120" s="465"/>
      <c r="J120" s="466"/>
      <c r="K120" s="467"/>
      <c r="L120" s="468"/>
      <c r="M120" s="468"/>
      <c r="O120" s="311">
        <v>4</v>
      </c>
      <c r="P120" s="312" t="str">
        <v>Sparta Prag</v>
      </c>
      <c r="Q120" s="313">
        <v>6</v>
      </c>
      <c r="R120" s="314">
        <v>4</v>
      </c>
      <c r="S120" s="314">
        <v>1</v>
      </c>
      <c r="T120" s="315">
        <v>1</v>
      </c>
      <c r="U120" s="316">
        <v>10</v>
      </c>
      <c r="V120" s="317" t="str">
        <v xml:space="preserve"> - </v>
      </c>
      <c r="W120" s="318">
        <v>3</v>
      </c>
      <c r="X120" s="319">
        <v>7</v>
      </c>
      <c r="Y120" s="320">
        <v>3</v>
      </c>
      <c r="Z120" s="320">
        <v>2</v>
      </c>
      <c r="AA120" s="321">
        <v>13</v>
      </c>
      <c r="AB120" s="231" t="str">
        <v/>
      </c>
    </row>
    <row r="121" spans="2:28" ht="15.75" x14ac:dyDescent="0.2">
      <c r="B121" s="450"/>
      <c r="C121" s="452"/>
      <c r="D121" s="453"/>
      <c r="E121" s="454"/>
      <c r="F121" s="455"/>
      <c r="G121" s="222"/>
      <c r="H121" s="455"/>
      <c r="I121" s="465"/>
      <c r="J121" s="466"/>
      <c r="K121" s="467"/>
      <c r="L121" s="468"/>
      <c r="M121" s="468"/>
      <c r="O121" s="311">
        <v>5</v>
      </c>
      <c r="P121" s="312" t="str">
        <v>Rayo Vallecano</v>
      </c>
      <c r="Q121" s="313">
        <v>6</v>
      </c>
      <c r="R121" s="314">
        <v>4</v>
      </c>
      <c r="S121" s="314">
        <v>1</v>
      </c>
      <c r="T121" s="315">
        <v>1</v>
      </c>
      <c r="U121" s="316">
        <v>13</v>
      </c>
      <c r="V121" s="317" t="str">
        <v xml:space="preserve"> - </v>
      </c>
      <c r="W121" s="318">
        <v>7</v>
      </c>
      <c r="X121" s="319">
        <v>6</v>
      </c>
      <c r="Y121" s="320">
        <v>5</v>
      </c>
      <c r="Z121" s="320">
        <v>1</v>
      </c>
      <c r="AA121" s="321">
        <v>13</v>
      </c>
      <c r="AB121" s="231" t="str">
        <v/>
      </c>
    </row>
    <row r="122" spans="2:28" ht="15.75" x14ac:dyDescent="0.2">
      <c r="B122" s="450"/>
      <c r="C122" s="452"/>
      <c r="D122" s="453"/>
      <c r="E122" s="454"/>
      <c r="F122" s="455"/>
      <c r="G122" s="222"/>
      <c r="H122" s="455"/>
      <c r="I122" s="465"/>
      <c r="J122" s="466"/>
      <c r="K122" s="467"/>
      <c r="L122" s="468"/>
      <c r="M122" s="468"/>
      <c r="O122" s="311">
        <v>6</v>
      </c>
      <c r="P122" s="312" t="str">
        <v>Schachtar Donezk</v>
      </c>
      <c r="Q122" s="313">
        <v>6</v>
      </c>
      <c r="R122" s="314">
        <v>4</v>
      </c>
      <c r="S122" s="314">
        <v>1</v>
      </c>
      <c r="T122" s="315">
        <v>1</v>
      </c>
      <c r="U122" s="316">
        <v>10</v>
      </c>
      <c r="V122" s="317" t="str">
        <v xml:space="preserve"> - </v>
      </c>
      <c r="W122" s="318">
        <v>5</v>
      </c>
      <c r="X122" s="319">
        <v>5</v>
      </c>
      <c r="Y122" s="320">
        <v>7</v>
      </c>
      <c r="Z122" s="320">
        <v>3</v>
      </c>
      <c r="AA122" s="321">
        <v>13</v>
      </c>
      <c r="AB122" s="231" t="str">
        <v/>
      </c>
    </row>
    <row r="123" spans="2:28" ht="15.75" x14ac:dyDescent="0.2">
      <c r="B123" s="450"/>
      <c r="C123" s="452"/>
      <c r="D123" s="453"/>
      <c r="E123" s="454"/>
      <c r="F123" s="455"/>
      <c r="G123" s="222"/>
      <c r="H123" s="455"/>
      <c r="I123" s="465"/>
      <c r="J123" s="466"/>
      <c r="K123" s="467"/>
      <c r="L123" s="468"/>
      <c r="M123" s="468"/>
      <c r="O123" s="311">
        <v>7</v>
      </c>
      <c r="P123" s="312" t="str">
        <v>1. FSV Mainz 05</v>
      </c>
      <c r="Q123" s="313">
        <v>6</v>
      </c>
      <c r="R123" s="314">
        <v>4</v>
      </c>
      <c r="S123" s="314">
        <v>1</v>
      </c>
      <c r="T123" s="315">
        <v>1</v>
      </c>
      <c r="U123" s="316">
        <v>7</v>
      </c>
      <c r="V123" s="317" t="str">
        <v xml:space="preserve"> - </v>
      </c>
      <c r="W123" s="318">
        <v>3</v>
      </c>
      <c r="X123" s="319">
        <v>4</v>
      </c>
      <c r="Y123" s="320">
        <v>2</v>
      </c>
      <c r="Z123" s="320">
        <v>1</v>
      </c>
      <c r="AA123" s="321">
        <v>13</v>
      </c>
      <c r="AB123" s="231" t="str">
        <v/>
      </c>
    </row>
    <row r="124" spans="2:28" ht="15.75" x14ac:dyDescent="0.2">
      <c r="B124" s="450"/>
      <c r="C124" s="452"/>
      <c r="D124" s="453"/>
      <c r="E124" s="454"/>
      <c r="F124" s="455"/>
      <c r="G124" s="222"/>
      <c r="H124" s="455"/>
      <c r="I124" s="465"/>
      <c r="J124" s="466"/>
      <c r="K124" s="467"/>
      <c r="L124" s="468"/>
      <c r="M124" s="468"/>
      <c r="O124" s="311">
        <v>8</v>
      </c>
      <c r="P124" s="312" t="str">
        <v>AEK Larnaka</v>
      </c>
      <c r="Q124" s="313">
        <v>6</v>
      </c>
      <c r="R124" s="314">
        <v>3</v>
      </c>
      <c r="S124" s="314">
        <v>3</v>
      </c>
      <c r="T124" s="315">
        <v>0</v>
      </c>
      <c r="U124" s="316">
        <v>7</v>
      </c>
      <c r="V124" s="317" t="str">
        <v xml:space="preserve"> - </v>
      </c>
      <c r="W124" s="318">
        <v>1</v>
      </c>
      <c r="X124" s="319">
        <v>6</v>
      </c>
      <c r="Y124" s="320">
        <v>2</v>
      </c>
      <c r="Z124" s="320">
        <v>1</v>
      </c>
      <c r="AA124" s="321">
        <v>12</v>
      </c>
      <c r="AB124" s="231" t="str">
        <v/>
      </c>
    </row>
    <row r="125" spans="2:28" ht="15.75" x14ac:dyDescent="0.2">
      <c r="B125" s="450"/>
      <c r="C125" s="452"/>
      <c r="D125" s="453"/>
      <c r="E125" s="454"/>
      <c r="F125" s="455"/>
      <c r="G125" s="222"/>
      <c r="H125" s="455"/>
      <c r="I125" s="465"/>
      <c r="J125" s="466"/>
      <c r="K125" s="467"/>
      <c r="L125" s="468"/>
      <c r="M125" s="468"/>
      <c r="O125" s="322">
        <v>9</v>
      </c>
      <c r="P125" s="323" t="str">
        <v>Crystal Palace</v>
      </c>
      <c r="Q125" s="324">
        <v>6</v>
      </c>
      <c r="R125" s="325">
        <v>3</v>
      </c>
      <c r="S125" s="325">
        <v>1</v>
      </c>
      <c r="T125" s="326">
        <v>2</v>
      </c>
      <c r="U125" s="327">
        <v>11</v>
      </c>
      <c r="V125" s="328" t="str">
        <v xml:space="preserve"> - </v>
      </c>
      <c r="W125" s="329">
        <v>6</v>
      </c>
      <c r="X125" s="330">
        <v>5</v>
      </c>
      <c r="Y125" s="331">
        <v>6</v>
      </c>
      <c r="Z125" s="331">
        <v>2</v>
      </c>
      <c r="AA125" s="332">
        <v>10</v>
      </c>
      <c r="AB125" s="231" t="str">
        <v/>
      </c>
    </row>
    <row r="126" spans="2:28" ht="15.75" x14ac:dyDescent="0.2">
      <c r="B126" s="450"/>
      <c r="C126" s="452"/>
      <c r="D126" s="453"/>
      <c r="E126" s="454"/>
      <c r="F126" s="455"/>
      <c r="G126" s="222"/>
      <c r="H126" s="455"/>
      <c r="I126" s="465"/>
      <c r="J126" s="466"/>
      <c r="K126" s="467"/>
      <c r="L126" s="468"/>
      <c r="M126" s="468"/>
      <c r="O126" s="322">
        <v>10</v>
      </c>
      <c r="P126" s="323" t="str">
        <v>Lech Posen</v>
      </c>
      <c r="Q126" s="324">
        <v>6</v>
      </c>
      <c r="R126" s="325">
        <v>3</v>
      </c>
      <c r="S126" s="325">
        <v>1</v>
      </c>
      <c r="T126" s="326">
        <v>2</v>
      </c>
      <c r="U126" s="327">
        <v>12</v>
      </c>
      <c r="V126" s="328" t="str">
        <v xml:space="preserve"> - </v>
      </c>
      <c r="W126" s="329">
        <v>8</v>
      </c>
      <c r="X126" s="330">
        <v>4</v>
      </c>
      <c r="Y126" s="331">
        <v>5</v>
      </c>
      <c r="Z126" s="331">
        <v>1</v>
      </c>
      <c r="AA126" s="332">
        <v>10</v>
      </c>
      <c r="AB126" s="231" t="str">
        <v/>
      </c>
    </row>
    <row r="127" spans="2:28" ht="15.75" x14ac:dyDescent="0.2">
      <c r="B127" s="450"/>
      <c r="C127" s="452"/>
      <c r="D127" s="453"/>
      <c r="E127" s="454"/>
      <c r="F127" s="455"/>
      <c r="G127" s="222"/>
      <c r="H127" s="455"/>
      <c r="I127" s="465"/>
      <c r="J127" s="466"/>
      <c r="K127" s="467"/>
      <c r="L127" s="468"/>
      <c r="M127" s="468"/>
      <c r="O127" s="322">
        <v>11</v>
      </c>
      <c r="P127" s="323" t="str">
        <v>Samsunspor</v>
      </c>
      <c r="Q127" s="324">
        <v>6</v>
      </c>
      <c r="R127" s="325">
        <v>3</v>
      </c>
      <c r="S127" s="325">
        <v>1</v>
      </c>
      <c r="T127" s="326">
        <v>2</v>
      </c>
      <c r="U127" s="327">
        <v>10</v>
      </c>
      <c r="V127" s="328" t="str">
        <v xml:space="preserve"> - </v>
      </c>
      <c r="W127" s="329">
        <v>6</v>
      </c>
      <c r="X127" s="330">
        <v>4</v>
      </c>
      <c r="Y127" s="331">
        <v>3</v>
      </c>
      <c r="Z127" s="331">
        <v>1</v>
      </c>
      <c r="AA127" s="332">
        <v>10</v>
      </c>
      <c r="AB127" s="231" t="str">
        <v/>
      </c>
    </row>
    <row r="128" spans="2:28" ht="15.75" x14ac:dyDescent="0.2">
      <c r="B128" s="450"/>
      <c r="C128" s="452"/>
      <c r="D128" s="453"/>
      <c r="E128" s="454"/>
      <c r="F128" s="455"/>
      <c r="G128" s="222"/>
      <c r="H128" s="455"/>
      <c r="I128" s="465"/>
      <c r="J128" s="466"/>
      <c r="K128" s="467"/>
      <c r="L128" s="468"/>
      <c r="M128" s="468"/>
      <c r="O128" s="322">
        <v>12</v>
      </c>
      <c r="P128" s="323" t="str">
        <v>NK Celje</v>
      </c>
      <c r="Q128" s="324">
        <v>6</v>
      </c>
      <c r="R128" s="325">
        <v>3</v>
      </c>
      <c r="S128" s="325">
        <v>1</v>
      </c>
      <c r="T128" s="326">
        <v>2</v>
      </c>
      <c r="U128" s="327">
        <v>8</v>
      </c>
      <c r="V128" s="328" t="str">
        <v xml:space="preserve"> - </v>
      </c>
      <c r="W128" s="329">
        <v>7</v>
      </c>
      <c r="X128" s="330">
        <v>1</v>
      </c>
      <c r="Y128" s="331">
        <v>3</v>
      </c>
      <c r="Z128" s="331">
        <v>1</v>
      </c>
      <c r="AA128" s="332">
        <v>10</v>
      </c>
      <c r="AB128" s="231" t="str">
        <v/>
      </c>
    </row>
    <row r="129" spans="2:28" ht="15.75" x14ac:dyDescent="0.2">
      <c r="B129" s="450"/>
      <c r="C129" s="452"/>
      <c r="D129" s="453"/>
      <c r="E129" s="454"/>
      <c r="F129" s="455"/>
      <c r="G129" s="222"/>
      <c r="H129" s="455"/>
      <c r="I129" s="465"/>
      <c r="J129" s="466"/>
      <c r="K129" s="467"/>
      <c r="L129" s="468"/>
      <c r="M129" s="468"/>
      <c r="O129" s="322">
        <v>13</v>
      </c>
      <c r="P129" s="323" t="str">
        <v>AZ Alkmaar</v>
      </c>
      <c r="Q129" s="324">
        <v>6</v>
      </c>
      <c r="R129" s="325">
        <v>3</v>
      </c>
      <c r="S129" s="325">
        <v>1</v>
      </c>
      <c r="T129" s="326">
        <v>2</v>
      </c>
      <c r="U129" s="327">
        <v>7</v>
      </c>
      <c r="V129" s="328" t="str">
        <v xml:space="preserve"> - </v>
      </c>
      <c r="W129" s="329">
        <v>7</v>
      </c>
      <c r="X129" s="330">
        <v>0</v>
      </c>
      <c r="Y129" s="331">
        <v>4</v>
      </c>
      <c r="Z129" s="331">
        <v>1</v>
      </c>
      <c r="AA129" s="332">
        <v>10</v>
      </c>
      <c r="AB129" s="231" t="str">
        <v/>
      </c>
    </row>
    <row r="130" spans="2:28" ht="15.75" x14ac:dyDescent="0.2">
      <c r="B130" s="450"/>
      <c r="C130" s="452"/>
      <c r="D130" s="453"/>
      <c r="E130" s="454"/>
      <c r="F130" s="455"/>
      <c r="G130" s="222"/>
      <c r="H130" s="455"/>
      <c r="I130" s="465"/>
      <c r="J130" s="466"/>
      <c r="K130" s="467"/>
      <c r="L130" s="468"/>
      <c r="M130" s="468"/>
      <c r="O130" s="322">
        <v>14</v>
      </c>
      <c r="P130" s="323" t="str">
        <v>AC Florenz</v>
      </c>
      <c r="Q130" s="324">
        <v>6</v>
      </c>
      <c r="R130" s="325">
        <v>3</v>
      </c>
      <c r="S130" s="325">
        <v>0</v>
      </c>
      <c r="T130" s="326">
        <v>3</v>
      </c>
      <c r="U130" s="327">
        <v>8</v>
      </c>
      <c r="V130" s="328" t="str">
        <v xml:space="preserve"> - </v>
      </c>
      <c r="W130" s="329">
        <v>5</v>
      </c>
      <c r="X130" s="330">
        <v>3</v>
      </c>
      <c r="Y130" s="331">
        <v>4</v>
      </c>
      <c r="Z130" s="331">
        <v>1</v>
      </c>
      <c r="AA130" s="332">
        <v>9</v>
      </c>
      <c r="AB130" s="231" t="str">
        <v/>
      </c>
    </row>
    <row r="131" spans="2:28" ht="15.75" x14ac:dyDescent="0.2">
      <c r="B131" s="450"/>
      <c r="C131" s="452"/>
      <c r="D131" s="453"/>
      <c r="E131" s="454"/>
      <c r="F131" s="455"/>
      <c r="G131" s="222"/>
      <c r="H131" s="455"/>
      <c r="I131" s="465"/>
      <c r="J131" s="466"/>
      <c r="K131" s="467"/>
      <c r="L131" s="468"/>
      <c r="M131" s="468"/>
      <c r="O131" s="322">
        <v>15</v>
      </c>
      <c r="P131" s="323" t="str">
        <v>HNK Rijeka</v>
      </c>
      <c r="Q131" s="324">
        <v>6</v>
      </c>
      <c r="R131" s="325">
        <v>2</v>
      </c>
      <c r="S131" s="325">
        <v>3</v>
      </c>
      <c r="T131" s="326">
        <v>1</v>
      </c>
      <c r="U131" s="327">
        <v>5</v>
      </c>
      <c r="V131" s="328" t="str">
        <v xml:space="preserve"> - </v>
      </c>
      <c r="W131" s="329">
        <v>2</v>
      </c>
      <c r="X131" s="330">
        <v>3</v>
      </c>
      <c r="Y131" s="331">
        <v>1</v>
      </c>
      <c r="Z131" s="331">
        <v>0</v>
      </c>
      <c r="AA131" s="332">
        <v>9</v>
      </c>
      <c r="AB131" s="231" t="str">
        <v/>
      </c>
    </row>
    <row r="132" spans="2:28" ht="15.75" x14ac:dyDescent="0.2">
      <c r="B132" s="450"/>
      <c r="C132" s="452"/>
      <c r="D132" s="453"/>
      <c r="E132" s="454"/>
      <c r="F132" s="455"/>
      <c r="G132" s="222"/>
      <c r="H132" s="455"/>
      <c r="I132" s="465"/>
      <c r="J132" s="466"/>
      <c r="K132" s="467"/>
      <c r="L132" s="468"/>
      <c r="M132" s="468"/>
      <c r="O132" s="322">
        <v>16</v>
      </c>
      <c r="P132" s="323" t="str">
        <v>FC Lausanne-Sport</v>
      </c>
      <c r="Q132" s="324">
        <v>6</v>
      </c>
      <c r="R132" s="325">
        <v>2</v>
      </c>
      <c r="S132" s="325">
        <v>3</v>
      </c>
      <c r="T132" s="326">
        <v>1</v>
      </c>
      <c r="U132" s="327">
        <v>6</v>
      </c>
      <c r="V132" s="328" t="str">
        <v xml:space="preserve"> - </v>
      </c>
      <c r="W132" s="329">
        <v>4</v>
      </c>
      <c r="X132" s="330">
        <v>2</v>
      </c>
      <c r="Y132" s="331">
        <v>1</v>
      </c>
      <c r="Z132" s="331">
        <v>0</v>
      </c>
      <c r="AA132" s="332">
        <v>9</v>
      </c>
      <c r="AB132" s="231" t="str">
        <v/>
      </c>
    </row>
    <row r="133" spans="2:28" ht="15.75" x14ac:dyDescent="0.2">
      <c r="B133" s="450"/>
      <c r="C133" s="452"/>
      <c r="D133" s="453"/>
      <c r="E133" s="454"/>
      <c r="F133" s="455"/>
      <c r="G133" s="222"/>
      <c r="H133" s="455"/>
      <c r="I133" s="465"/>
      <c r="J133" s="466"/>
      <c r="K133" s="467"/>
      <c r="L133" s="468"/>
      <c r="M133" s="468"/>
      <c r="O133" s="333">
        <v>17</v>
      </c>
      <c r="P133" s="334" t="str">
        <v>Jagiellonia Bialystok</v>
      </c>
      <c r="Q133" s="335">
        <v>6</v>
      </c>
      <c r="R133" s="336">
        <v>2</v>
      </c>
      <c r="S133" s="336">
        <v>3</v>
      </c>
      <c r="T133" s="337">
        <v>1</v>
      </c>
      <c r="U133" s="338">
        <v>5</v>
      </c>
      <c r="V133" s="339" t="str">
        <v xml:space="preserve"> - </v>
      </c>
      <c r="W133" s="340">
        <v>4</v>
      </c>
      <c r="X133" s="341">
        <v>1</v>
      </c>
      <c r="Y133" s="342">
        <v>2</v>
      </c>
      <c r="Z133" s="342">
        <v>0</v>
      </c>
      <c r="AA133" s="343">
        <v>9</v>
      </c>
      <c r="AB133" s="231" t="str">
        <v/>
      </c>
    </row>
    <row r="134" spans="2:28" ht="15.75" x14ac:dyDescent="0.2">
      <c r="B134" s="450"/>
      <c r="C134" s="452"/>
      <c r="D134" s="453"/>
      <c r="E134" s="454"/>
      <c r="F134" s="455"/>
      <c r="G134" s="222"/>
      <c r="H134" s="455"/>
      <c r="I134" s="465"/>
      <c r="J134" s="466"/>
      <c r="K134" s="467"/>
      <c r="L134" s="468"/>
      <c r="M134" s="468"/>
      <c r="O134" s="333">
        <v>18</v>
      </c>
      <c r="P134" s="334" t="str">
        <v>Omonia Nikosia</v>
      </c>
      <c r="Q134" s="335">
        <v>6</v>
      </c>
      <c r="R134" s="336">
        <v>2</v>
      </c>
      <c r="S134" s="336">
        <v>2</v>
      </c>
      <c r="T134" s="337">
        <v>2</v>
      </c>
      <c r="U134" s="338">
        <v>5</v>
      </c>
      <c r="V134" s="339" t="str">
        <v xml:space="preserve"> - </v>
      </c>
      <c r="W134" s="340">
        <v>4</v>
      </c>
      <c r="X134" s="341">
        <v>1</v>
      </c>
      <c r="Y134" s="342">
        <v>3</v>
      </c>
      <c r="Z134" s="342">
        <v>1</v>
      </c>
      <c r="AA134" s="343">
        <v>8</v>
      </c>
      <c r="AB134" s="231" t="str">
        <v/>
      </c>
    </row>
    <row r="135" spans="2:28" ht="15.75" x14ac:dyDescent="0.2">
      <c r="B135" s="450"/>
      <c r="C135" s="452"/>
      <c r="D135" s="453"/>
      <c r="E135" s="454"/>
      <c r="F135" s="455"/>
      <c r="G135" s="222"/>
      <c r="H135" s="455"/>
      <c r="I135" s="465"/>
      <c r="J135" s="466"/>
      <c r="K135" s="467"/>
      <c r="L135" s="468"/>
      <c r="M135" s="468"/>
      <c r="O135" s="333">
        <v>19</v>
      </c>
      <c r="P135" s="334" t="str">
        <v>FC Noah</v>
      </c>
      <c r="Q135" s="335">
        <v>6</v>
      </c>
      <c r="R135" s="336">
        <v>2</v>
      </c>
      <c r="S135" s="336">
        <v>2</v>
      </c>
      <c r="T135" s="337">
        <v>2</v>
      </c>
      <c r="U135" s="338">
        <v>6</v>
      </c>
      <c r="V135" s="339" t="str">
        <v xml:space="preserve"> - </v>
      </c>
      <c r="W135" s="340">
        <v>7</v>
      </c>
      <c r="X135" s="341">
        <v>-1</v>
      </c>
      <c r="Y135" s="342">
        <v>2</v>
      </c>
      <c r="Z135" s="342">
        <v>0</v>
      </c>
      <c r="AA135" s="343">
        <v>8</v>
      </c>
      <c r="AB135" s="231" t="str">
        <v/>
      </c>
    </row>
    <row r="136" spans="2:28" ht="15.75" x14ac:dyDescent="0.2">
      <c r="B136" s="450"/>
      <c r="C136" s="452"/>
      <c r="D136" s="453"/>
      <c r="E136" s="454"/>
      <c r="F136" s="455"/>
      <c r="G136" s="222"/>
      <c r="H136" s="455"/>
      <c r="I136" s="465"/>
      <c r="J136" s="466"/>
      <c r="K136" s="467"/>
      <c r="L136" s="468"/>
      <c r="M136" s="468"/>
      <c r="O136" s="333">
        <v>20</v>
      </c>
      <c r="P136" s="334" t="str">
        <v>KF Drita Gjilan</v>
      </c>
      <c r="Q136" s="335">
        <v>6</v>
      </c>
      <c r="R136" s="336">
        <v>2</v>
      </c>
      <c r="S136" s="336">
        <v>2</v>
      </c>
      <c r="T136" s="337">
        <v>2</v>
      </c>
      <c r="U136" s="338">
        <v>4</v>
      </c>
      <c r="V136" s="339" t="str">
        <v xml:space="preserve"> - </v>
      </c>
      <c r="W136" s="340">
        <v>8</v>
      </c>
      <c r="X136" s="341">
        <v>-4</v>
      </c>
      <c r="Y136" s="342">
        <v>2</v>
      </c>
      <c r="Z136" s="342">
        <v>1</v>
      </c>
      <c r="AA136" s="343">
        <v>8</v>
      </c>
      <c r="AB136" s="231" t="str">
        <v/>
      </c>
    </row>
    <row r="137" spans="2:28" ht="15.75" x14ac:dyDescent="0.2">
      <c r="B137" s="450"/>
      <c r="C137" s="452"/>
      <c r="D137" s="453"/>
      <c r="E137" s="454"/>
      <c r="F137" s="455"/>
      <c r="G137" s="222"/>
      <c r="H137" s="455"/>
      <c r="I137" s="465"/>
      <c r="J137" s="466"/>
      <c r="K137" s="467"/>
      <c r="L137" s="468"/>
      <c r="M137" s="468"/>
      <c r="O137" s="333">
        <v>21</v>
      </c>
      <c r="P137" s="334" t="str">
        <v>Kuopion PS</v>
      </c>
      <c r="Q137" s="335">
        <v>6</v>
      </c>
      <c r="R137" s="336">
        <v>1</v>
      </c>
      <c r="S137" s="336">
        <v>4</v>
      </c>
      <c r="T137" s="337">
        <v>1</v>
      </c>
      <c r="U137" s="338">
        <v>6</v>
      </c>
      <c r="V137" s="339" t="str">
        <v xml:space="preserve"> - </v>
      </c>
      <c r="W137" s="340">
        <v>5</v>
      </c>
      <c r="X137" s="341">
        <v>1</v>
      </c>
      <c r="Y137" s="342">
        <v>2</v>
      </c>
      <c r="Z137" s="342">
        <v>0</v>
      </c>
      <c r="AA137" s="343">
        <v>7</v>
      </c>
      <c r="AB137" s="231" t="str">
        <v/>
      </c>
    </row>
    <row r="138" spans="2:28" ht="15.75" x14ac:dyDescent="0.2">
      <c r="B138" s="450"/>
      <c r="C138" s="452"/>
      <c r="D138" s="453"/>
      <c r="E138" s="454"/>
      <c r="F138" s="455"/>
      <c r="G138" s="222"/>
      <c r="H138" s="455"/>
      <c r="I138" s="465"/>
      <c r="J138" s="466"/>
      <c r="K138" s="467"/>
      <c r="L138" s="468"/>
      <c r="M138" s="468"/>
      <c r="O138" s="333">
        <v>22</v>
      </c>
      <c r="P138" s="334" t="str">
        <v>Shkendija Tetovo</v>
      </c>
      <c r="Q138" s="335">
        <v>6</v>
      </c>
      <c r="R138" s="336">
        <v>2</v>
      </c>
      <c r="S138" s="336">
        <v>1</v>
      </c>
      <c r="T138" s="337">
        <v>3</v>
      </c>
      <c r="U138" s="338">
        <v>4</v>
      </c>
      <c r="V138" s="339" t="str">
        <v xml:space="preserve"> - </v>
      </c>
      <c r="W138" s="340">
        <v>5</v>
      </c>
      <c r="X138" s="341">
        <v>-1</v>
      </c>
      <c r="Y138" s="342">
        <v>0</v>
      </c>
      <c r="Z138" s="342">
        <v>0</v>
      </c>
      <c r="AA138" s="343">
        <v>7</v>
      </c>
      <c r="AB138" s="231" t="str">
        <v/>
      </c>
    </row>
    <row r="139" spans="2:28" ht="15.75" x14ac:dyDescent="0.2">
      <c r="B139" s="450"/>
      <c r="C139" s="452"/>
      <c r="D139" s="453"/>
      <c r="E139" s="454"/>
      <c r="F139" s="455"/>
      <c r="G139" s="222"/>
      <c r="H139" s="455"/>
      <c r="I139" s="465"/>
      <c r="J139" s="466"/>
      <c r="K139" s="467"/>
      <c r="L139" s="468"/>
      <c r="M139" s="468"/>
      <c r="O139" s="333">
        <v>23</v>
      </c>
      <c r="P139" s="334" t="str">
        <v>Zrinjski Mostar</v>
      </c>
      <c r="Q139" s="335">
        <v>6</v>
      </c>
      <c r="R139" s="336">
        <v>2</v>
      </c>
      <c r="S139" s="336">
        <v>1</v>
      </c>
      <c r="T139" s="337">
        <v>3</v>
      </c>
      <c r="U139" s="338">
        <v>8</v>
      </c>
      <c r="V139" s="339" t="str">
        <v xml:space="preserve"> - </v>
      </c>
      <c r="W139" s="340">
        <v>10</v>
      </c>
      <c r="X139" s="341">
        <v>-2</v>
      </c>
      <c r="Y139" s="342">
        <v>0</v>
      </c>
      <c r="Z139" s="342">
        <v>0</v>
      </c>
      <c r="AA139" s="343">
        <v>7</v>
      </c>
      <c r="AB139" s="231" t="str">
        <v/>
      </c>
    </row>
    <row r="140" spans="2:28" ht="15.75" x14ac:dyDescent="0.2">
      <c r="B140" s="450"/>
      <c r="C140" s="452"/>
      <c r="D140" s="453"/>
      <c r="E140" s="454"/>
      <c r="F140" s="455"/>
      <c r="G140" s="222"/>
      <c r="H140" s="455"/>
      <c r="I140" s="465"/>
      <c r="J140" s="466"/>
      <c r="K140" s="467"/>
      <c r="L140" s="468"/>
      <c r="M140" s="468"/>
      <c r="O140" s="333">
        <v>24</v>
      </c>
      <c r="P140" s="334" t="str">
        <v>Sigma Olmütz</v>
      </c>
      <c r="Q140" s="335">
        <v>6</v>
      </c>
      <c r="R140" s="336">
        <v>2</v>
      </c>
      <c r="S140" s="336">
        <v>1</v>
      </c>
      <c r="T140" s="337">
        <v>3</v>
      </c>
      <c r="U140" s="338">
        <v>7</v>
      </c>
      <c r="V140" s="339" t="str">
        <v xml:space="preserve"> - </v>
      </c>
      <c r="W140" s="340">
        <v>9</v>
      </c>
      <c r="X140" s="341">
        <v>-2</v>
      </c>
      <c r="Y140" s="342">
        <v>3</v>
      </c>
      <c r="Z140" s="342">
        <v>1</v>
      </c>
      <c r="AA140" s="343">
        <v>7</v>
      </c>
      <c r="AB140" s="231" t="str">
        <v/>
      </c>
    </row>
    <row r="141" spans="2:28" ht="15.75" x14ac:dyDescent="0.2">
      <c r="B141" s="450"/>
      <c r="C141" s="452"/>
      <c r="D141" s="453"/>
      <c r="E141" s="454"/>
      <c r="F141" s="455"/>
      <c r="G141" s="222"/>
      <c r="H141" s="455"/>
      <c r="I141" s="465"/>
      <c r="J141" s="466"/>
      <c r="K141" s="467"/>
      <c r="L141" s="468"/>
      <c r="M141" s="468"/>
      <c r="O141" s="344">
        <v>25</v>
      </c>
      <c r="P141" s="345" t="str">
        <v>Universitatea Craiova</v>
      </c>
      <c r="Q141" s="346">
        <v>6</v>
      </c>
      <c r="R141" s="347">
        <v>2</v>
      </c>
      <c r="S141" s="347">
        <v>1</v>
      </c>
      <c r="T141" s="348">
        <v>3</v>
      </c>
      <c r="U141" s="349">
        <v>6</v>
      </c>
      <c r="V141" s="350" t="str">
        <v xml:space="preserve"> - </v>
      </c>
      <c r="W141" s="351">
        <v>8</v>
      </c>
      <c r="X141" s="352">
        <v>-2</v>
      </c>
      <c r="Y141" s="353">
        <v>3</v>
      </c>
      <c r="Z141" s="353">
        <v>1</v>
      </c>
      <c r="AA141" s="354">
        <v>7</v>
      </c>
      <c r="AB141" s="231" t="str">
        <v/>
      </c>
    </row>
    <row r="142" spans="2:28" ht="15.75" x14ac:dyDescent="0.2">
      <c r="B142" s="450"/>
      <c r="C142" s="452"/>
      <c r="D142" s="453"/>
      <c r="E142" s="454"/>
      <c r="F142" s="455"/>
      <c r="G142" s="222"/>
      <c r="H142" s="455"/>
      <c r="I142" s="465"/>
      <c r="J142" s="466"/>
      <c r="K142" s="467"/>
      <c r="L142" s="468"/>
      <c r="M142" s="468"/>
      <c r="O142" s="344">
        <v>26</v>
      </c>
      <c r="P142" s="345" t="str">
        <v>Lincoln Red Imps Fc</v>
      </c>
      <c r="Q142" s="346">
        <v>6</v>
      </c>
      <c r="R142" s="347">
        <v>2</v>
      </c>
      <c r="S142" s="347">
        <v>1</v>
      </c>
      <c r="T142" s="348">
        <v>3</v>
      </c>
      <c r="U142" s="349">
        <v>7</v>
      </c>
      <c r="V142" s="350" t="str">
        <v xml:space="preserve"> - </v>
      </c>
      <c r="W142" s="351">
        <v>15</v>
      </c>
      <c r="X142" s="352">
        <v>-8</v>
      </c>
      <c r="Y142" s="353">
        <v>2</v>
      </c>
      <c r="Z142" s="353">
        <v>0</v>
      </c>
      <c r="AA142" s="354">
        <v>7</v>
      </c>
      <c r="AB142" s="231" t="str">
        <v/>
      </c>
    </row>
    <row r="143" spans="2:28" ht="15.75" x14ac:dyDescent="0.2">
      <c r="B143" s="450"/>
      <c r="C143" s="452"/>
      <c r="D143" s="453"/>
      <c r="E143" s="454"/>
      <c r="F143" s="455"/>
      <c r="G143" s="222"/>
      <c r="H143" s="455"/>
      <c r="I143" s="465"/>
      <c r="J143" s="466"/>
      <c r="K143" s="467"/>
      <c r="L143" s="468"/>
      <c r="M143" s="468"/>
      <c r="O143" s="344">
        <v>27</v>
      </c>
      <c r="P143" s="345" t="str">
        <v>Dynamo Kiew</v>
      </c>
      <c r="Q143" s="346">
        <v>6</v>
      </c>
      <c r="R143" s="347">
        <v>2</v>
      </c>
      <c r="S143" s="347">
        <v>0</v>
      </c>
      <c r="T143" s="348">
        <v>4</v>
      </c>
      <c r="U143" s="349">
        <v>9</v>
      </c>
      <c r="V143" s="350" t="str">
        <v xml:space="preserve"> - </v>
      </c>
      <c r="W143" s="351">
        <v>9</v>
      </c>
      <c r="X143" s="352">
        <v>0</v>
      </c>
      <c r="Y143" s="353">
        <v>1</v>
      </c>
      <c r="Z143" s="353">
        <v>0</v>
      </c>
      <c r="AA143" s="354">
        <v>6</v>
      </c>
      <c r="AB143" s="231" t="str">
        <v/>
      </c>
    </row>
    <row r="144" spans="2:28" ht="15.75" x14ac:dyDescent="0.2">
      <c r="B144" s="450"/>
      <c r="C144" s="452"/>
      <c r="D144" s="453"/>
      <c r="E144" s="454"/>
      <c r="F144" s="455"/>
      <c r="G144" s="222"/>
      <c r="H144" s="455"/>
      <c r="I144" s="465"/>
      <c r="J144" s="466"/>
      <c r="K144" s="467"/>
      <c r="L144" s="468"/>
      <c r="M144" s="468"/>
      <c r="O144" s="344">
        <v>28</v>
      </c>
      <c r="P144" s="345" t="str">
        <v>Legia Warschau</v>
      </c>
      <c r="Q144" s="346">
        <v>6</v>
      </c>
      <c r="R144" s="347">
        <v>2</v>
      </c>
      <c r="S144" s="347">
        <v>0</v>
      </c>
      <c r="T144" s="348">
        <v>4</v>
      </c>
      <c r="U144" s="349">
        <v>8</v>
      </c>
      <c r="V144" s="350" t="str">
        <v xml:space="preserve"> - </v>
      </c>
      <c r="W144" s="351">
        <v>8</v>
      </c>
      <c r="X144" s="352">
        <v>0</v>
      </c>
      <c r="Y144" s="353">
        <v>4</v>
      </c>
      <c r="Z144" s="353">
        <v>1</v>
      </c>
      <c r="AA144" s="354">
        <v>6</v>
      </c>
      <c r="AB144" s="231" t="str">
        <v/>
      </c>
    </row>
    <row r="145" spans="2:28" ht="15.75" x14ac:dyDescent="0.2">
      <c r="B145" s="450"/>
      <c r="C145" s="452"/>
      <c r="D145" s="453"/>
      <c r="E145" s="454"/>
      <c r="F145" s="455"/>
      <c r="G145" s="222"/>
      <c r="H145" s="455"/>
      <c r="I145" s="465"/>
      <c r="J145" s="466"/>
      <c r="K145" s="467"/>
      <c r="L145" s="468"/>
      <c r="M145" s="468"/>
      <c r="O145" s="344">
        <v>29</v>
      </c>
      <c r="P145" s="345" t="str">
        <v>Slovan Bratislava</v>
      </c>
      <c r="Q145" s="346">
        <v>6</v>
      </c>
      <c r="R145" s="347">
        <v>2</v>
      </c>
      <c r="S145" s="347">
        <v>0</v>
      </c>
      <c r="T145" s="348">
        <v>4</v>
      </c>
      <c r="U145" s="349">
        <v>5</v>
      </c>
      <c r="V145" s="350" t="str">
        <v xml:space="preserve"> - </v>
      </c>
      <c r="W145" s="351">
        <v>9</v>
      </c>
      <c r="X145" s="352">
        <v>-4</v>
      </c>
      <c r="Y145" s="353">
        <v>1</v>
      </c>
      <c r="Z145" s="353">
        <v>0</v>
      </c>
      <c r="AA145" s="354">
        <v>6</v>
      </c>
      <c r="AB145" s="231" t="str">
        <v/>
      </c>
    </row>
    <row r="146" spans="2:28" ht="15.75" x14ac:dyDescent="0.2">
      <c r="B146" s="450"/>
      <c r="C146" s="452"/>
      <c r="D146" s="453"/>
      <c r="E146" s="454"/>
      <c r="F146" s="455"/>
      <c r="G146" s="222"/>
      <c r="H146" s="455"/>
      <c r="I146" s="465"/>
      <c r="J146" s="466"/>
      <c r="K146" s="467"/>
      <c r="L146" s="468"/>
      <c r="M146" s="468"/>
      <c r="O146" s="344">
        <v>30</v>
      </c>
      <c r="P146" s="345" t="str">
        <v>UMF Breidablik</v>
      </c>
      <c r="Q146" s="346">
        <v>6</v>
      </c>
      <c r="R146" s="347">
        <v>1</v>
      </c>
      <c r="S146" s="347">
        <v>2</v>
      </c>
      <c r="T146" s="348">
        <v>3</v>
      </c>
      <c r="U146" s="349">
        <v>6</v>
      </c>
      <c r="V146" s="350" t="str">
        <v xml:space="preserve"> - </v>
      </c>
      <c r="W146" s="351">
        <v>11</v>
      </c>
      <c r="X146" s="352">
        <v>-5</v>
      </c>
      <c r="Y146" s="353">
        <v>1</v>
      </c>
      <c r="Z146" s="353">
        <v>0</v>
      </c>
      <c r="AA146" s="354">
        <v>5</v>
      </c>
      <c r="AB146" s="231" t="str">
        <v/>
      </c>
    </row>
    <row r="147" spans="2:28" ht="15.75" x14ac:dyDescent="0.2">
      <c r="B147" s="450"/>
      <c r="C147" s="452"/>
      <c r="D147" s="453"/>
      <c r="E147" s="454"/>
      <c r="F147" s="455"/>
      <c r="G147" s="222"/>
      <c r="H147" s="455"/>
      <c r="I147" s="465"/>
      <c r="J147" s="466"/>
      <c r="K147" s="467"/>
      <c r="L147" s="468"/>
      <c r="M147" s="468"/>
      <c r="O147" s="344">
        <v>31</v>
      </c>
      <c r="P147" s="345" t="str">
        <v>Shamrock Rovers</v>
      </c>
      <c r="Q147" s="346">
        <v>6</v>
      </c>
      <c r="R147" s="347">
        <v>1</v>
      </c>
      <c r="S147" s="347">
        <v>1</v>
      </c>
      <c r="T147" s="348">
        <v>4</v>
      </c>
      <c r="U147" s="349">
        <v>7</v>
      </c>
      <c r="V147" s="350" t="str">
        <v xml:space="preserve"> - </v>
      </c>
      <c r="W147" s="351">
        <v>13</v>
      </c>
      <c r="X147" s="352">
        <v>-6</v>
      </c>
      <c r="Y147" s="353">
        <v>3</v>
      </c>
      <c r="Z147" s="353">
        <v>0</v>
      </c>
      <c r="AA147" s="354">
        <v>4</v>
      </c>
      <c r="AB147" s="231" t="str">
        <v/>
      </c>
    </row>
    <row r="148" spans="2:28" ht="15.75" x14ac:dyDescent="0.2">
      <c r="B148" s="450"/>
      <c r="C148" s="452"/>
      <c r="D148" s="453"/>
      <c r="E148" s="454"/>
      <c r="F148" s="455"/>
      <c r="G148" s="222"/>
      <c r="H148" s="455"/>
      <c r="I148" s="465"/>
      <c r="J148" s="466"/>
      <c r="K148" s="467"/>
      <c r="L148" s="468"/>
      <c r="M148" s="468"/>
      <c r="O148" s="344">
        <v>32</v>
      </c>
      <c r="P148" s="345" t="str">
        <v>Hamrun Spartans</v>
      </c>
      <c r="Q148" s="346">
        <v>6</v>
      </c>
      <c r="R148" s="347">
        <v>1</v>
      </c>
      <c r="S148" s="347">
        <v>1</v>
      </c>
      <c r="T148" s="348">
        <v>4</v>
      </c>
      <c r="U148" s="349">
        <v>5</v>
      </c>
      <c r="V148" s="350" t="str">
        <v xml:space="preserve"> - </v>
      </c>
      <c r="W148" s="351">
        <v>11</v>
      </c>
      <c r="X148" s="352">
        <v>-6</v>
      </c>
      <c r="Y148" s="353">
        <v>1</v>
      </c>
      <c r="Z148" s="353">
        <v>0</v>
      </c>
      <c r="AA148" s="354">
        <v>4</v>
      </c>
      <c r="AB148" s="231" t="str">
        <v/>
      </c>
    </row>
    <row r="149" spans="2:28" ht="15.75" x14ac:dyDescent="0.2">
      <c r="B149" s="450"/>
      <c r="C149" s="452"/>
      <c r="D149" s="453"/>
      <c r="E149" s="454"/>
      <c r="F149" s="455"/>
      <c r="G149" s="222"/>
      <c r="H149" s="455"/>
      <c r="I149" s="465"/>
      <c r="J149" s="466"/>
      <c r="K149" s="467"/>
      <c r="L149" s="468"/>
      <c r="M149" s="468"/>
      <c r="O149" s="344">
        <v>33</v>
      </c>
      <c r="P149" s="345" t="str">
        <v>BK Häcken</v>
      </c>
      <c r="Q149" s="346">
        <v>6</v>
      </c>
      <c r="R149" s="347">
        <v>0</v>
      </c>
      <c r="S149" s="347">
        <v>3</v>
      </c>
      <c r="T149" s="348">
        <v>3</v>
      </c>
      <c r="U149" s="349">
        <v>5</v>
      </c>
      <c r="V149" s="350" t="str">
        <v xml:space="preserve"> - </v>
      </c>
      <c r="W149" s="351">
        <v>8</v>
      </c>
      <c r="X149" s="352">
        <v>-3</v>
      </c>
      <c r="Y149" s="353">
        <v>1</v>
      </c>
      <c r="Z149" s="353">
        <v>0</v>
      </c>
      <c r="AA149" s="354">
        <v>3</v>
      </c>
      <c r="AB149" s="231" t="str">
        <v/>
      </c>
    </row>
    <row r="150" spans="2:28" ht="15.75" x14ac:dyDescent="0.2">
      <c r="B150" s="450"/>
      <c r="C150" s="452"/>
      <c r="D150" s="453"/>
      <c r="E150" s="454"/>
      <c r="F150" s="455"/>
      <c r="G150" s="222"/>
      <c r="H150" s="455"/>
      <c r="I150" s="465"/>
      <c r="J150" s="466"/>
      <c r="K150" s="467"/>
      <c r="L150" s="468"/>
      <c r="M150" s="468"/>
      <c r="O150" s="344">
        <v>34</v>
      </c>
      <c r="P150" s="345" t="str">
        <v>FC Shelbourne</v>
      </c>
      <c r="Q150" s="346">
        <v>6</v>
      </c>
      <c r="R150" s="347">
        <v>0</v>
      </c>
      <c r="S150" s="347">
        <v>2</v>
      </c>
      <c r="T150" s="348">
        <v>4</v>
      </c>
      <c r="U150" s="349">
        <v>0</v>
      </c>
      <c r="V150" s="350" t="str">
        <v xml:space="preserve"> - </v>
      </c>
      <c r="W150" s="351">
        <v>7</v>
      </c>
      <c r="X150" s="352">
        <v>-7</v>
      </c>
      <c r="Y150" s="353">
        <v>0</v>
      </c>
      <c r="Z150" s="353">
        <v>0</v>
      </c>
      <c r="AA150" s="354">
        <v>2</v>
      </c>
      <c r="AB150" s="231" t="str">
        <v/>
      </c>
    </row>
    <row r="151" spans="2:28" ht="15.75" x14ac:dyDescent="0.2">
      <c r="B151" s="450"/>
      <c r="C151" s="452"/>
      <c r="D151" s="453"/>
      <c r="E151" s="454"/>
      <c r="F151" s="455"/>
      <c r="G151" s="222"/>
      <c r="H151" s="455"/>
      <c r="I151" s="465"/>
      <c r="J151" s="466"/>
      <c r="K151" s="467"/>
      <c r="L151" s="468"/>
      <c r="M151" s="468"/>
      <c r="O151" s="344">
        <v>35</v>
      </c>
      <c r="P151" s="345" t="str">
        <v>FC Aberdeen</v>
      </c>
      <c r="Q151" s="346">
        <v>6</v>
      </c>
      <c r="R151" s="347">
        <v>0</v>
      </c>
      <c r="S151" s="347">
        <v>2</v>
      </c>
      <c r="T151" s="348">
        <v>4</v>
      </c>
      <c r="U151" s="349">
        <v>3</v>
      </c>
      <c r="V151" s="350" t="str">
        <v xml:space="preserve"> - </v>
      </c>
      <c r="W151" s="351">
        <v>14</v>
      </c>
      <c r="X151" s="352">
        <v>-11</v>
      </c>
      <c r="Y151" s="353">
        <v>0</v>
      </c>
      <c r="Z151" s="353">
        <v>0</v>
      </c>
      <c r="AA151" s="354">
        <v>2</v>
      </c>
      <c r="AB151" s="231" t="str">
        <v/>
      </c>
    </row>
    <row r="152" spans="2:28" ht="16.5" thickBot="1" x14ac:dyDescent="0.25">
      <c r="B152" s="450"/>
      <c r="C152" s="452"/>
      <c r="D152" s="453"/>
      <c r="E152" s="454"/>
      <c r="F152" s="455"/>
      <c r="G152" s="222"/>
      <c r="H152" s="455"/>
      <c r="I152" s="465"/>
      <c r="J152" s="466"/>
      <c r="K152" s="467"/>
      <c r="L152" s="468"/>
      <c r="M152" s="468"/>
      <c r="O152" s="355">
        <v>36</v>
      </c>
      <c r="P152" s="356" t="str">
        <v>Rapid Wien</v>
      </c>
      <c r="Q152" s="357">
        <v>6</v>
      </c>
      <c r="R152" s="358">
        <v>0</v>
      </c>
      <c r="S152" s="358">
        <v>1</v>
      </c>
      <c r="T152" s="359">
        <v>5</v>
      </c>
      <c r="U152" s="360">
        <v>3</v>
      </c>
      <c r="V152" s="361" t="str">
        <v xml:space="preserve"> - </v>
      </c>
      <c r="W152" s="362">
        <v>14</v>
      </c>
      <c r="X152" s="363">
        <v>-11</v>
      </c>
      <c r="Y152" s="364">
        <v>3</v>
      </c>
      <c r="Z152" s="364">
        <v>0</v>
      </c>
      <c r="AA152" s="365">
        <v>1</v>
      </c>
      <c r="AB152" s="232" t="str">
        <v/>
      </c>
    </row>
    <row r="153" spans="2:28" ht="16.5" thickTop="1" x14ac:dyDescent="0.25">
      <c r="B153" s="450"/>
      <c r="C153" s="451"/>
      <c r="D153" s="451"/>
      <c r="E153" s="451"/>
      <c r="F153" s="451"/>
      <c r="G153" s="451"/>
      <c r="H153" s="451"/>
      <c r="I153" s="451"/>
      <c r="J153" s="451"/>
      <c r="K153" s="451"/>
      <c r="L153" s="451"/>
      <c r="M153" s="451"/>
      <c r="N153" s="389"/>
      <c r="O153" s="389"/>
      <c r="P153" s="389"/>
      <c r="Q153" s="389"/>
      <c r="R153" s="389"/>
      <c r="S153" s="389"/>
      <c r="T153" s="389"/>
      <c r="U153" s="389"/>
      <c r="V153" s="389"/>
      <c r="W153" s="389"/>
      <c r="X153" s="389"/>
      <c r="Y153" s="389"/>
      <c r="Z153" s="389"/>
      <c r="AA153" s="389"/>
      <c r="AB153" s="389"/>
    </row>
    <row r="154" spans="2:28" x14ac:dyDescent="0.2"/>
    <row r="155" spans="2:28" x14ac:dyDescent="0.2"/>
    <row r="156" spans="2:28" x14ac:dyDescent="0.2"/>
  </sheetData>
  <sheetProtection sheet="1" objects="1" scenarios="1" selectLockedCells="1"/>
  <mergeCells count="16">
    <mergeCell ref="AG6:AZ6"/>
    <mergeCell ref="O6:P6"/>
    <mergeCell ref="U116:W116"/>
    <mergeCell ref="O69:S69"/>
    <mergeCell ref="U77:W77"/>
    <mergeCell ref="O74:AF74"/>
    <mergeCell ref="G3:Q3"/>
    <mergeCell ref="G4:Q4"/>
    <mergeCell ref="R6:AA6"/>
    <mergeCell ref="F8:H8"/>
    <mergeCell ref="I8:K8"/>
    <mergeCell ref="C7:K7"/>
    <mergeCell ref="U8:W8"/>
    <mergeCell ref="O8:P8"/>
    <mergeCell ref="L8:M8"/>
    <mergeCell ref="Y7:Z7"/>
  </mergeCells>
  <conditionalFormatting sqref="O64">
    <cfRule type="expression" dxfId="61" priority="287">
      <formula>$P$10=""</formula>
    </cfRule>
    <cfRule type="expression" dxfId="60" priority="302">
      <formula>OR(AND($O$10=$O$9,$P$9&lt;&gt;""),AND($O$10=$O$11,$P$11&lt;&gt;""))</formula>
    </cfRule>
  </conditionalFormatting>
  <conditionalFormatting sqref="AE49:AF49 AE66:AF67">
    <cfRule type="expression" dxfId="59" priority="43">
      <formula>$P10=""</formula>
    </cfRule>
    <cfRule type="expression" dxfId="58" priority="118">
      <formula>OR(AND($O10=$O9,$P9&lt;&gt;""),AND($O10=$O11,$P11&lt;&gt;""))</formula>
    </cfRule>
  </conditionalFormatting>
  <conditionalFormatting sqref="AE48:AF48">
    <cfRule type="expression" dxfId="57" priority="44">
      <formula>$P9=""</formula>
    </cfRule>
    <cfRule type="expression" dxfId="56" priority="116">
      <formula>AND($O$9=$O$10,$P$10&lt;&gt;"")</formula>
    </cfRule>
  </conditionalFormatting>
  <conditionalFormatting sqref="AE50:AF50">
    <cfRule type="expression" dxfId="55" priority="40">
      <formula>$P11=""</formula>
    </cfRule>
    <cfRule type="expression" dxfId="54" priority="41">
      <formula>OR(AND($O11=$O10,$P10&lt;&gt;""),AND($O11=$O12,$P12&lt;&gt;""))</formula>
    </cfRule>
  </conditionalFormatting>
  <conditionalFormatting sqref="AE51:AF51">
    <cfRule type="expression" dxfId="53" priority="38">
      <formula>$P12=""</formula>
    </cfRule>
    <cfRule type="expression" dxfId="52" priority="39">
      <formula>OR(AND($O12=$O11,$P11&lt;&gt;""),AND($O12=$O13,$P13&lt;&gt;""))</formula>
    </cfRule>
  </conditionalFormatting>
  <conditionalFormatting sqref="AE52:AF52">
    <cfRule type="expression" dxfId="51" priority="36">
      <formula>$P13=""</formula>
    </cfRule>
    <cfRule type="expression" dxfId="50" priority="37">
      <formula>OR(AND($O13=$O12,$P12&lt;&gt;""),AND($O13=$O14,$P14&lt;&gt;""))</formula>
    </cfRule>
  </conditionalFormatting>
  <conditionalFormatting sqref="AE53:AF53">
    <cfRule type="expression" dxfId="49" priority="34">
      <formula>$P14=""</formula>
    </cfRule>
    <cfRule type="expression" dxfId="48" priority="35">
      <formula>OR(AND($O14=$O13,$P13&lt;&gt;""),AND($O14=$O15,$P15&lt;&gt;""))</formula>
    </cfRule>
  </conditionalFormatting>
  <conditionalFormatting sqref="AE54:AF54">
    <cfRule type="expression" dxfId="47" priority="32">
      <formula>$P15=""</formula>
    </cfRule>
    <cfRule type="expression" dxfId="46" priority="33">
      <formula>OR(AND($O15=$O14,$P14&lt;&gt;""),AND($O15=$O16,$P16&lt;&gt;""))</formula>
    </cfRule>
  </conditionalFormatting>
  <conditionalFormatting sqref="AE55:AF55">
    <cfRule type="expression" dxfId="45" priority="30">
      <formula>$P16=""</formula>
    </cfRule>
    <cfRule type="expression" dxfId="44" priority="31">
      <formula>OR(AND($O16=$O15,$P15&lt;&gt;""),AND($O16=$O17,$P17&lt;&gt;""))</formula>
    </cfRule>
  </conditionalFormatting>
  <conditionalFormatting sqref="AE56:AF56">
    <cfRule type="expression" dxfId="43" priority="28">
      <formula>$P17=""</formula>
    </cfRule>
    <cfRule type="expression" dxfId="42" priority="29">
      <formula>OR(AND($O17=$O16,$P16&lt;&gt;""),AND($O17=$O18,$P18&lt;&gt;""))</formula>
    </cfRule>
  </conditionalFormatting>
  <conditionalFormatting sqref="AE57:AF57">
    <cfRule type="expression" dxfId="41" priority="26">
      <formula>$P18=""</formula>
    </cfRule>
    <cfRule type="expression" dxfId="40" priority="27">
      <formula>OR(AND($O18=$O17,$P17&lt;&gt;""),AND($O18=$O19,$P19&lt;&gt;""))</formula>
    </cfRule>
  </conditionalFormatting>
  <conditionalFormatting sqref="AE58:AF58">
    <cfRule type="expression" dxfId="39" priority="24">
      <formula>$P19=""</formula>
    </cfRule>
    <cfRule type="expression" dxfId="38" priority="25">
      <formula>OR(AND($O19=$O18,$P18&lt;&gt;""),AND($O19=$O20,$P20&lt;&gt;""))</formula>
    </cfRule>
  </conditionalFormatting>
  <conditionalFormatting sqref="AE59:AF59">
    <cfRule type="expression" dxfId="37" priority="22">
      <formula>$P20=""</formula>
    </cfRule>
    <cfRule type="expression" dxfId="36" priority="23">
      <formula>OR(AND($O20=$O19,$P19&lt;&gt;""),AND($O20=$O21,$P21&lt;&gt;""))</formula>
    </cfRule>
  </conditionalFormatting>
  <conditionalFormatting sqref="AE60:AF60">
    <cfRule type="expression" dxfId="35" priority="20">
      <formula>$P21=""</formula>
    </cfRule>
    <cfRule type="expression" dxfId="34" priority="21">
      <formula>OR(AND($O21=$O20,$P20&lt;&gt;""),AND($O21=$O22,$P22&lt;&gt;""))</formula>
    </cfRule>
  </conditionalFormatting>
  <conditionalFormatting sqref="AE61:AF61">
    <cfRule type="expression" dxfId="33" priority="18">
      <formula>$P22=""</formula>
    </cfRule>
    <cfRule type="expression" dxfId="32" priority="19">
      <formula>OR(AND($O22=$O21,$P21&lt;&gt;""),AND($O22=$O23,$P23&lt;&gt;""))</formula>
    </cfRule>
  </conditionalFormatting>
  <conditionalFormatting sqref="AE62:AF62">
    <cfRule type="expression" dxfId="31" priority="16">
      <formula>$P23=""</formula>
    </cfRule>
    <cfRule type="expression" dxfId="30" priority="17">
      <formula>OR(AND($O23=$O22,$P22&lt;&gt;""),AND($O23=$O24,$P24&lt;&gt;""))</formula>
    </cfRule>
  </conditionalFormatting>
  <conditionalFormatting sqref="AE63:AF63">
    <cfRule type="expression" dxfId="29" priority="14">
      <formula>$P24=""</formula>
    </cfRule>
    <cfRule type="expression" dxfId="28" priority="15">
      <formula>OR(AND($O24=$O23,$P23&lt;&gt;""),AND($O24=$O25,$P25&lt;&gt;""))</formula>
    </cfRule>
  </conditionalFormatting>
  <conditionalFormatting sqref="AE64:AF64">
    <cfRule type="expression" dxfId="27" priority="12">
      <formula>$P25=""</formula>
    </cfRule>
    <cfRule type="expression" dxfId="26" priority="13">
      <formula>OR(AND($O25=$O24,$P24&lt;&gt;""),AND($O25=$O26,$P26&lt;&gt;""))</formula>
    </cfRule>
  </conditionalFormatting>
  <conditionalFormatting sqref="AE65:AF65">
    <cfRule type="expression" dxfId="25" priority="10">
      <formula>$P26=""</formula>
    </cfRule>
    <cfRule type="expression" dxfId="24" priority="11">
      <formula>OR(AND($O26=$O25,$P25&lt;&gt;""),AND($O26=$O27,$P27&lt;&gt;""))</formula>
    </cfRule>
  </conditionalFormatting>
  <conditionalFormatting sqref="AE76:AF79">
    <cfRule type="expression" dxfId="23" priority="8">
      <formula>$P37=""</formula>
    </cfRule>
    <cfRule type="expression" dxfId="22" priority="9">
      <formula>OR(AND($O37=$O36,$P36&lt;&gt;""),AND($O37=$O38,$P38&lt;&gt;""))</formula>
    </cfRule>
  </conditionalFormatting>
  <conditionalFormatting sqref="O9:O44 AE9:AE44">
    <cfRule type="expression" dxfId="21" priority="3">
      <formula>O9=O8</formula>
    </cfRule>
  </conditionalFormatting>
  <conditionalFormatting sqref="O117:O152">
    <cfRule type="expression" dxfId="20" priority="2">
      <formula>O117=O116</formula>
    </cfRule>
  </conditionalFormatting>
  <conditionalFormatting sqref="O78:O113">
    <cfRule type="expression" dxfId="19" priority="1">
      <formula>O78=O77</formula>
    </cfRule>
  </conditionalFormatting>
  <conditionalFormatting sqref="AE68:AF70">
    <cfRule type="expression" dxfId="18" priority="348">
      <formula>$P30=""</formula>
    </cfRule>
    <cfRule type="expression" dxfId="17" priority="349">
      <formula>OR(AND($O30=$O29,$P29&lt;&gt;""),AND($O30=$O31,$P31&lt;&gt;""))</formula>
    </cfRule>
  </conditionalFormatting>
  <dataValidations count="2">
    <dataValidation type="whole" allowBlank="1" showErrorMessage="1" errorTitle="Error" error="Maximal 999 !" sqref="K9:K152 I9:I152" xr:uid="{00000000-0002-0000-0000-000000000000}">
      <formula1>0</formula1>
      <formula2>999</formula2>
    </dataValidation>
    <dataValidation type="whole" allowBlank="1" showErrorMessage="1" errorTitle="Error" error="Maximal 999 !" sqref="L9:M152" xr:uid="{00000000-0002-0000-0000-000001000000}">
      <formula1>-999</formula1>
      <formula2>999</formula2>
    </dataValidation>
  </dataValidations>
  <hyperlinks>
    <hyperlink ref="O69" r:id="rId1" xr:uid="{00000000-0004-0000-0000-000000000000}"/>
  </hyperlinks>
  <pageMargins left="0.7" right="0.7" top="0.78740157499999996" bottom="0.78740157499999996" header="0.3" footer="0.3"/>
  <pageSetup paperSize="9" orientation="portrait" horizontalDpi="4294967293" r:id="rId2"/>
  <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45" id="{F4F10527-B686-4CA2-80FD-18E51A3B22D2}">
            <xm:f>OR(Planning!$F$6&gt;2,Planning!$B$6&gt;1)</xm:f>
            <x14:dxf>
              <numFmt numFmtId="30" formatCode="@"/>
            </x14:dxf>
          </x14:cfRule>
          <xm:sqref>AC4:AF4 R6</xm:sqref>
        </x14:conditionalFormatting>
        <x14:conditionalFormatting xmlns:xm="http://schemas.microsoft.com/office/excel/2006/main">
          <x14:cfRule type="expression" priority="164" id="{53B520CA-9173-4CE5-AAB8-807CC57F70AD}">
            <xm:f>Planning!$F$6=2</xm:f>
            <x14:dxf>
              <font>
                <color rgb="FF00B050"/>
              </font>
              <numFmt numFmtId="30" formatCode="@"/>
            </x14:dxf>
          </x14:cfRule>
          <xm:sqref>AF45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2000000}">
          <x14:formula1>
            <xm:f>Calc2!$A$1:$A$8</xm:f>
          </x14:formula1>
          <xm:sqref>Q6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R50"/>
  <sheetViews>
    <sheetView showGridLines="0" showRowColHeaders="0" tabSelected="1" topLeftCell="A19" workbookViewId="0">
      <selection activeCell="H36" sqref="H36"/>
    </sheetView>
  </sheetViews>
  <sheetFormatPr baseColWidth="10" defaultColWidth="0" defaultRowHeight="15.75" zeroHeight="1" x14ac:dyDescent="0.25"/>
  <cols>
    <col min="1" max="1" width="5.85546875" style="391" customWidth="1"/>
    <col min="2" max="2" width="7.42578125" style="392" customWidth="1"/>
    <col min="3" max="3" width="12.42578125" style="392" customWidth="1"/>
    <col min="4" max="4" width="11.42578125" style="392" customWidth="1"/>
    <col min="5" max="5" width="24.7109375" style="391" customWidth="1"/>
    <col min="6" max="6" width="2.28515625" style="391" customWidth="1"/>
    <col min="7" max="7" width="24.7109375" style="391" customWidth="1"/>
    <col min="8" max="8" width="6.7109375" style="391" customWidth="1"/>
    <col min="9" max="9" width="2" style="391" customWidth="1"/>
    <col min="10" max="11" width="6.7109375" style="391" customWidth="1"/>
    <col min="12" max="12" width="2" style="391" customWidth="1"/>
    <col min="13" max="14" width="6.7109375" style="391" customWidth="1"/>
    <col min="15" max="15" width="2" style="391" customWidth="1"/>
    <col min="16" max="16" width="6.7109375" style="391" customWidth="1"/>
    <col min="17" max="17" width="6.85546875" style="391" customWidth="1"/>
    <col min="18" max="18" width="2.42578125" style="391" customWidth="1"/>
    <col min="19" max="19" width="9.140625" style="391" customWidth="1"/>
    <col min="20" max="20" width="6.7109375" style="391" customWidth="1"/>
    <col min="21" max="21" width="26.7109375" style="391" customWidth="1"/>
    <col min="22" max="32" width="6.7109375" style="391" customWidth="1"/>
    <col min="33" max="33" width="6.5703125" style="391" customWidth="1"/>
    <col min="34" max="34" width="4.7109375" style="392" hidden="1" customWidth="1"/>
    <col min="35" max="35" width="1.42578125" style="392" hidden="1" customWidth="1"/>
    <col min="36" max="37" width="4.7109375" style="392" hidden="1" customWidth="1"/>
    <col min="38" max="38" width="1.5703125" style="392" hidden="1" customWidth="1"/>
    <col min="39" max="40" width="4.7109375" style="392" hidden="1" customWidth="1"/>
    <col min="41" max="41" width="1.140625" style="392" hidden="1" customWidth="1"/>
    <col min="42" max="42" width="4.7109375" style="392" hidden="1" customWidth="1"/>
    <col min="43" max="43" width="22.5703125" style="391" hidden="1" customWidth="1"/>
    <col min="44" max="44" width="21" style="391" hidden="1" customWidth="1"/>
    <col min="45" max="16384" width="11.42578125" style="391" hidden="1"/>
  </cols>
  <sheetData>
    <row r="1" spans="2:44" x14ac:dyDescent="0.25"/>
    <row r="2" spans="2:44" ht="29.25" customHeight="1" thickBot="1" x14ac:dyDescent="0.4">
      <c r="B2" s="393" t="str">
        <f>Language!$E$38</f>
        <v>Playoffs</v>
      </c>
      <c r="G2" s="415" t="str">
        <f>Language!$E$88</f>
        <v>These teams have home advantage in the return match.</v>
      </c>
      <c r="H2" s="549">
        <v>46072</v>
      </c>
      <c r="I2" s="550"/>
      <c r="J2" s="550"/>
      <c r="K2" s="549">
        <v>46079</v>
      </c>
      <c r="L2" s="550"/>
      <c r="M2" s="550"/>
      <c r="N2" s="543" t="str">
        <f>Language!$E$33</f>
        <v>Penalty shootout</v>
      </c>
      <c r="O2" s="544"/>
      <c r="P2" s="545"/>
      <c r="T2" s="542" t="str">
        <f>Language!$E$42</f>
        <v>League table</v>
      </c>
      <c r="U2" s="542"/>
    </row>
    <row r="3" spans="2:44" ht="17.25" thickTop="1" thickBot="1" x14ac:dyDescent="0.3">
      <c r="G3" s="416" t="s">
        <v>272</v>
      </c>
      <c r="H3" s="551" t="str">
        <f>Language!$E$31</f>
        <v>First leg</v>
      </c>
      <c r="I3" s="551"/>
      <c r="J3" s="551"/>
      <c r="K3" s="551" t="str">
        <f>Language!$E$32</f>
        <v>Second leg</v>
      </c>
      <c r="L3" s="551"/>
      <c r="M3" s="551"/>
      <c r="N3" s="546"/>
      <c r="O3" s="547"/>
      <c r="P3" s="548"/>
      <c r="S3" s="426" t="str">
        <f>Language!$E$39</f>
        <v>League rank</v>
      </c>
      <c r="T3" s="387"/>
      <c r="U3" s="388"/>
      <c r="V3" s="197" t="str">
        <f>Results!$Q$8</f>
        <v>Pl</v>
      </c>
      <c r="W3" s="198" t="str">
        <f>Results!$R$8</f>
        <v>W</v>
      </c>
      <c r="X3" s="198" t="str">
        <f>Results!$S$8</f>
        <v>D</v>
      </c>
      <c r="Y3" s="390" t="str">
        <f>Results!$T$8</f>
        <v>L</v>
      </c>
      <c r="Z3" s="529" t="str">
        <f>Results!$U$8</f>
        <v>GF  -  GA</v>
      </c>
      <c r="AA3" s="530"/>
      <c r="AB3" s="531"/>
      <c r="AC3" s="198" t="str">
        <f>Results!$X$8</f>
        <v>GD</v>
      </c>
      <c r="AD3" s="390" t="str">
        <f>Results!$Y$8</f>
        <v>AGls</v>
      </c>
      <c r="AE3" s="390" t="str">
        <f>Results!$Z$8</f>
        <v>AWin</v>
      </c>
      <c r="AF3" s="200" t="str">
        <f>Results!$AA$8</f>
        <v>Pts</v>
      </c>
    </row>
    <row r="4" spans="2:44" ht="16.5" thickTop="1" x14ac:dyDescent="0.25">
      <c r="B4" s="417" t="s">
        <v>209</v>
      </c>
      <c r="C4" s="443" t="s">
        <v>231</v>
      </c>
      <c r="D4" s="446" t="s">
        <v>204</v>
      </c>
      <c r="E4" s="400" t="str">
        <f>IF(ISNUMBER(FIND("/",$C4)),"",INDEX(Results!$P$9:$P$44,MID($C4,4,2)))</f>
        <v>Kuopion PS</v>
      </c>
      <c r="F4" s="401" t="s">
        <v>4</v>
      </c>
      <c r="G4" s="406" t="str">
        <f>IF(ISNUMBER(FIND("/",$D4)),"",INDEX(Results!$P$9:$P$44,MID($D4,4,2)))</f>
        <v>Lech Posen</v>
      </c>
      <c r="H4" s="427">
        <v>0</v>
      </c>
      <c r="I4" s="439" t="str">
        <f>Language!$E$90</f>
        <v xml:space="preserve"> - </v>
      </c>
      <c r="J4" s="430">
        <v>2</v>
      </c>
      <c r="K4" s="427">
        <v>0</v>
      </c>
      <c r="L4" s="439" t="str">
        <f>Language!$E$90</f>
        <v xml:space="preserve"> - </v>
      </c>
      <c r="M4" s="430">
        <v>1</v>
      </c>
      <c r="N4" s="427"/>
      <c r="O4" s="439" t="str">
        <f>Language!$E$90</f>
        <v xml:space="preserve"> - </v>
      </c>
      <c r="P4" s="433"/>
      <c r="R4" s="392"/>
      <c r="S4" s="421" t="s">
        <v>208</v>
      </c>
      <c r="T4" s="300">
        <f t="array" ref="T4:AF39">IF(Results!$O$9:$AB$44="","",Results!$O$9:$AB$44)</f>
        <v>1</v>
      </c>
      <c r="U4" s="301" t="str">
        <v>Racing Straßburg</v>
      </c>
      <c r="V4" s="302">
        <v>6</v>
      </c>
      <c r="W4" s="303">
        <v>5</v>
      </c>
      <c r="X4" s="303">
        <v>1</v>
      </c>
      <c r="Y4" s="304">
        <v>0</v>
      </c>
      <c r="Z4" s="305">
        <v>11</v>
      </c>
      <c r="AA4" s="306" t="str">
        <v xml:space="preserve"> - </v>
      </c>
      <c r="AB4" s="307">
        <v>5</v>
      </c>
      <c r="AC4" s="308">
        <v>6</v>
      </c>
      <c r="AD4" s="309">
        <v>5</v>
      </c>
      <c r="AE4" s="309">
        <v>3</v>
      </c>
      <c r="AF4" s="310">
        <v>16</v>
      </c>
    </row>
    <row r="5" spans="2:44" x14ac:dyDescent="0.25">
      <c r="B5" s="418" t="s">
        <v>210</v>
      </c>
      <c r="C5" s="444" t="s">
        <v>233</v>
      </c>
      <c r="D5" s="447" t="s">
        <v>238</v>
      </c>
      <c r="E5" s="402" t="str">
        <f>IF(ISNUMBER(FIND("/",$C5)),"",INDEX(Results!$P$9:$P$44,MID($C5,4,2)))</f>
        <v>FC Noah</v>
      </c>
      <c r="F5" s="403" t="s">
        <v>4</v>
      </c>
      <c r="G5" s="407" t="str">
        <f>IF(ISNUMBER(FIND("/",$D5)),"",INDEX(Results!$P$9:$P$44,MID($D5,4,2)))</f>
        <v>AZ Alkmaar</v>
      </c>
      <c r="H5" s="428">
        <v>1</v>
      </c>
      <c r="I5" s="440" t="str">
        <f>Language!$E$90</f>
        <v xml:space="preserve"> - </v>
      </c>
      <c r="J5" s="431">
        <v>0</v>
      </c>
      <c r="K5" s="428">
        <v>0</v>
      </c>
      <c r="L5" s="440" t="str">
        <f>Language!$E$90</f>
        <v xml:space="preserve"> - </v>
      </c>
      <c r="M5" s="431">
        <v>4</v>
      </c>
      <c r="N5" s="428"/>
      <c r="O5" s="440" t="str">
        <f>Language!$E$90</f>
        <v xml:space="preserve"> - </v>
      </c>
      <c r="P5" s="434"/>
      <c r="R5" s="392"/>
      <c r="S5" s="422" t="s">
        <v>203</v>
      </c>
      <c r="T5" s="311">
        <v>2</v>
      </c>
      <c r="U5" s="312" t="str">
        <v>Rakow Tschenstochau</v>
      </c>
      <c r="V5" s="313">
        <v>6</v>
      </c>
      <c r="W5" s="314">
        <v>4</v>
      </c>
      <c r="X5" s="314">
        <v>2</v>
      </c>
      <c r="Y5" s="315">
        <v>0</v>
      </c>
      <c r="Z5" s="316">
        <v>9</v>
      </c>
      <c r="AA5" s="317" t="str">
        <v xml:space="preserve"> - </v>
      </c>
      <c r="AB5" s="318">
        <v>2</v>
      </c>
      <c r="AC5" s="319">
        <v>7</v>
      </c>
      <c r="AD5" s="320">
        <v>2</v>
      </c>
      <c r="AE5" s="320">
        <v>1</v>
      </c>
      <c r="AF5" s="321">
        <v>14</v>
      </c>
    </row>
    <row r="6" spans="2:44" x14ac:dyDescent="0.25">
      <c r="B6" s="418" t="s">
        <v>211</v>
      </c>
      <c r="C6" s="444" t="s">
        <v>202</v>
      </c>
      <c r="D6" s="447" t="s">
        <v>201</v>
      </c>
      <c r="E6" s="402" t="str">
        <f>IF(ISNUMBER(FIND("/",$C6)),"",INDEX(Results!$P$9:$P$44,MID($C6,4,2)))</f>
        <v>Zrinjski Mostar</v>
      </c>
      <c r="F6" s="403" t="s">
        <v>4</v>
      </c>
      <c r="G6" s="407" t="str">
        <f>IF(ISNUMBER(FIND("/",$D6)),"",INDEX(Results!$P$9:$P$44,MID($D6,4,2)))</f>
        <v>Crystal Palace</v>
      </c>
      <c r="H6" s="428">
        <v>1</v>
      </c>
      <c r="I6" s="440" t="str">
        <f>Language!$E$90</f>
        <v xml:space="preserve"> - </v>
      </c>
      <c r="J6" s="431">
        <v>1</v>
      </c>
      <c r="K6" s="428">
        <v>0</v>
      </c>
      <c r="L6" s="440" t="str">
        <f>Language!$E$90</f>
        <v xml:space="preserve"> - </v>
      </c>
      <c r="M6" s="431">
        <v>2</v>
      </c>
      <c r="N6" s="428"/>
      <c r="O6" s="440" t="str">
        <f>Language!$E$90</f>
        <v xml:space="preserve"> - </v>
      </c>
      <c r="P6" s="434"/>
      <c r="R6" s="392"/>
      <c r="S6" s="422" t="s">
        <v>225</v>
      </c>
      <c r="T6" s="311">
        <v>3</v>
      </c>
      <c r="U6" s="312" t="str">
        <v>AEK Athen</v>
      </c>
      <c r="V6" s="313">
        <v>6</v>
      </c>
      <c r="W6" s="314">
        <v>4</v>
      </c>
      <c r="X6" s="314">
        <v>1</v>
      </c>
      <c r="Y6" s="315">
        <v>1</v>
      </c>
      <c r="Z6" s="316">
        <v>14</v>
      </c>
      <c r="AA6" s="317" t="str">
        <v xml:space="preserve"> - </v>
      </c>
      <c r="AB6" s="318">
        <v>7</v>
      </c>
      <c r="AC6" s="319">
        <v>7</v>
      </c>
      <c r="AD6" s="320">
        <v>4</v>
      </c>
      <c r="AE6" s="320">
        <v>2</v>
      </c>
      <c r="AF6" s="321">
        <v>13</v>
      </c>
    </row>
    <row r="7" spans="2:44" x14ac:dyDescent="0.25">
      <c r="B7" s="418" t="s">
        <v>212</v>
      </c>
      <c r="C7" s="444" t="s">
        <v>206</v>
      </c>
      <c r="D7" s="447" t="s">
        <v>239</v>
      </c>
      <c r="E7" s="402" t="str">
        <f>IF(ISNUMBER(FIND("/",$C7)),"",INDEX(Results!$P$9:$P$44,MID($C7,4,2)))</f>
        <v>Jagiellonia Bialystok</v>
      </c>
      <c r="F7" s="403" t="s">
        <v>4</v>
      </c>
      <c r="G7" s="407" t="str">
        <f>IF(ISNUMBER(FIND("/",$D7)),"",INDEX(Results!$P$9:$P$44,MID($D7,4,2)))</f>
        <v>AC Florenz</v>
      </c>
      <c r="H7" s="428">
        <v>0</v>
      </c>
      <c r="I7" s="440" t="str">
        <f>Language!$E$90</f>
        <v xml:space="preserve"> - </v>
      </c>
      <c r="J7" s="431">
        <v>3</v>
      </c>
      <c r="K7" s="428">
        <v>4</v>
      </c>
      <c r="L7" s="440" t="str">
        <f>Language!$E$90</f>
        <v xml:space="preserve"> - </v>
      </c>
      <c r="M7" s="431">
        <v>2</v>
      </c>
      <c r="N7" s="428"/>
      <c r="O7" s="440" t="str">
        <f>Language!$E$90</f>
        <v xml:space="preserve"> - </v>
      </c>
      <c r="P7" s="434"/>
      <c r="R7" s="392"/>
      <c r="S7" s="422" t="s">
        <v>226</v>
      </c>
      <c r="T7" s="311">
        <v>4</v>
      </c>
      <c r="U7" s="312" t="str">
        <v>Sparta Prag</v>
      </c>
      <c r="V7" s="313">
        <v>6</v>
      </c>
      <c r="W7" s="314">
        <v>4</v>
      </c>
      <c r="X7" s="314">
        <v>1</v>
      </c>
      <c r="Y7" s="315">
        <v>1</v>
      </c>
      <c r="Z7" s="316">
        <v>10</v>
      </c>
      <c r="AA7" s="317" t="str">
        <v xml:space="preserve"> - </v>
      </c>
      <c r="AB7" s="318">
        <v>3</v>
      </c>
      <c r="AC7" s="319">
        <v>7</v>
      </c>
      <c r="AD7" s="320">
        <v>3</v>
      </c>
      <c r="AE7" s="320">
        <v>2</v>
      </c>
      <c r="AF7" s="321">
        <v>13</v>
      </c>
    </row>
    <row r="8" spans="2:44" x14ac:dyDescent="0.25">
      <c r="B8" s="418" t="s">
        <v>213</v>
      </c>
      <c r="C8" s="444" t="s">
        <v>232</v>
      </c>
      <c r="D8" s="447" t="s">
        <v>236</v>
      </c>
      <c r="E8" s="402" t="str">
        <f>IF(ISNUMBER(FIND("/",$C8)),"",INDEX(Results!$P$9:$P$44,MID($C8,4,2)))</f>
        <v>Shkendija Tetovo</v>
      </c>
      <c r="F8" s="403" t="s">
        <v>4</v>
      </c>
      <c r="G8" s="407" t="str">
        <f>IF(ISNUMBER(FIND("/",$D8)),"",INDEX(Results!$P$9:$P$44,MID($D8,4,2)))</f>
        <v>Samsunspor</v>
      </c>
      <c r="H8" s="428">
        <v>0</v>
      </c>
      <c r="I8" s="440" t="str">
        <f>Language!$E$90</f>
        <v xml:space="preserve"> - </v>
      </c>
      <c r="J8" s="431">
        <v>1</v>
      </c>
      <c r="K8" s="428">
        <v>0</v>
      </c>
      <c r="L8" s="440" t="str">
        <f>Language!$E$90</f>
        <v xml:space="preserve"> - </v>
      </c>
      <c r="M8" s="431">
        <v>4</v>
      </c>
      <c r="N8" s="428"/>
      <c r="O8" s="440" t="str">
        <f>Language!$E$90</f>
        <v xml:space="preserve"> - </v>
      </c>
      <c r="P8" s="434"/>
      <c r="R8" s="392"/>
      <c r="S8" s="422" t="s">
        <v>227</v>
      </c>
      <c r="T8" s="311">
        <v>5</v>
      </c>
      <c r="U8" s="312" t="str">
        <v>Rayo Vallecano</v>
      </c>
      <c r="V8" s="313">
        <v>6</v>
      </c>
      <c r="W8" s="314">
        <v>4</v>
      </c>
      <c r="X8" s="314">
        <v>1</v>
      </c>
      <c r="Y8" s="315">
        <v>1</v>
      </c>
      <c r="Z8" s="316">
        <v>13</v>
      </c>
      <c r="AA8" s="317" t="str">
        <v xml:space="preserve"> - </v>
      </c>
      <c r="AB8" s="318">
        <v>7</v>
      </c>
      <c r="AC8" s="319">
        <v>6</v>
      </c>
      <c r="AD8" s="320">
        <v>5</v>
      </c>
      <c r="AE8" s="320">
        <v>1</v>
      </c>
      <c r="AF8" s="321">
        <v>13</v>
      </c>
    </row>
    <row r="9" spans="2:44" x14ac:dyDescent="0.25">
      <c r="B9" s="418" t="s">
        <v>214</v>
      </c>
      <c r="C9" s="444" t="s">
        <v>234</v>
      </c>
      <c r="D9" s="447" t="s">
        <v>237</v>
      </c>
      <c r="E9" s="402" t="str">
        <f>IF(ISNUMBER(FIND("/",$C9)),"",INDEX(Results!$P$9:$P$44,MID($C9,4,2)))</f>
        <v>KF Drita Gjilan</v>
      </c>
      <c r="F9" s="403" t="s">
        <v>4</v>
      </c>
      <c r="G9" s="407" t="str">
        <f>IF(ISNUMBER(FIND("/",$D9)),"",INDEX(Results!$P$9:$P$44,MID($D9,4,2)))</f>
        <v>NK Celje</v>
      </c>
      <c r="H9" s="428">
        <v>2</v>
      </c>
      <c r="I9" s="440" t="str">
        <f>Language!$E$90</f>
        <v xml:space="preserve"> - </v>
      </c>
      <c r="J9" s="431">
        <v>3</v>
      </c>
      <c r="K9" s="428">
        <v>2</v>
      </c>
      <c r="L9" s="440" t="str">
        <f>Language!$E$90</f>
        <v xml:space="preserve"> - </v>
      </c>
      <c r="M9" s="431">
        <v>3</v>
      </c>
      <c r="N9" s="428"/>
      <c r="O9" s="440" t="str">
        <f>Language!$E$90</f>
        <v xml:space="preserve"> - </v>
      </c>
      <c r="P9" s="434"/>
      <c r="R9" s="392"/>
      <c r="S9" s="422" t="s">
        <v>228</v>
      </c>
      <c r="T9" s="311">
        <v>6</v>
      </c>
      <c r="U9" s="312" t="str">
        <v>Schachtar Donezk</v>
      </c>
      <c r="V9" s="313">
        <v>6</v>
      </c>
      <c r="W9" s="314">
        <v>4</v>
      </c>
      <c r="X9" s="314">
        <v>1</v>
      </c>
      <c r="Y9" s="315">
        <v>1</v>
      </c>
      <c r="Z9" s="316">
        <v>10</v>
      </c>
      <c r="AA9" s="317" t="str">
        <v xml:space="preserve"> - </v>
      </c>
      <c r="AB9" s="318">
        <v>5</v>
      </c>
      <c r="AC9" s="319">
        <v>5</v>
      </c>
      <c r="AD9" s="320">
        <v>7</v>
      </c>
      <c r="AE9" s="320">
        <v>3</v>
      </c>
      <c r="AF9" s="321">
        <v>13</v>
      </c>
    </row>
    <row r="10" spans="2:44" x14ac:dyDescent="0.25">
      <c r="B10" s="418" t="s">
        <v>215</v>
      </c>
      <c r="C10" s="444" t="s">
        <v>205</v>
      </c>
      <c r="D10" s="447" t="s">
        <v>241</v>
      </c>
      <c r="E10" s="402" t="str">
        <f>IF(ISNUMBER(FIND("/",$C10)),"",INDEX(Results!$P$9:$P$44,MID($C10,4,2)))</f>
        <v>Sigma Olmütz</v>
      </c>
      <c r="F10" s="403" t="s">
        <v>4</v>
      </c>
      <c r="G10" s="407" t="str">
        <f>IF(ISNUMBER(FIND("/",$D10)),"",INDEX(Results!$P$9:$P$44,MID($D10,4,2)))</f>
        <v>FC Lausanne-Sport</v>
      </c>
      <c r="H10" s="428">
        <v>1</v>
      </c>
      <c r="I10" s="440" t="str">
        <f>Language!$E$90</f>
        <v xml:space="preserve"> - </v>
      </c>
      <c r="J10" s="431">
        <v>1</v>
      </c>
      <c r="K10" s="428">
        <v>2</v>
      </c>
      <c r="L10" s="440" t="str">
        <f>Language!$E$90</f>
        <v xml:space="preserve"> - </v>
      </c>
      <c r="M10" s="431">
        <v>1</v>
      </c>
      <c r="N10" s="428"/>
      <c r="O10" s="440" t="str">
        <f>Language!$E$90</f>
        <v xml:space="preserve"> - </v>
      </c>
      <c r="P10" s="434"/>
      <c r="R10" s="392"/>
      <c r="S10" s="422" t="s">
        <v>229</v>
      </c>
      <c r="T10" s="311">
        <v>7</v>
      </c>
      <c r="U10" s="312" t="str">
        <v>1. FSV Mainz 05</v>
      </c>
      <c r="V10" s="313">
        <v>6</v>
      </c>
      <c r="W10" s="314">
        <v>4</v>
      </c>
      <c r="X10" s="314">
        <v>1</v>
      </c>
      <c r="Y10" s="315">
        <v>1</v>
      </c>
      <c r="Z10" s="316">
        <v>7</v>
      </c>
      <c r="AA10" s="317" t="str">
        <v xml:space="preserve"> - </v>
      </c>
      <c r="AB10" s="318">
        <v>3</v>
      </c>
      <c r="AC10" s="319">
        <v>4</v>
      </c>
      <c r="AD10" s="320">
        <v>2</v>
      </c>
      <c r="AE10" s="320">
        <v>1</v>
      </c>
      <c r="AF10" s="321">
        <v>13</v>
      </c>
    </row>
    <row r="11" spans="2:44" ht="16.5" thickBot="1" x14ac:dyDescent="0.3">
      <c r="B11" s="419" t="s">
        <v>216</v>
      </c>
      <c r="C11" s="445" t="s">
        <v>235</v>
      </c>
      <c r="D11" s="448" t="s">
        <v>240</v>
      </c>
      <c r="E11" s="404" t="str">
        <f>IF(ISNUMBER(FIND("/",$C11)),"",INDEX(Results!$P$9:$P$44,MID($C11,4,2)))</f>
        <v>Omonia Nikosia</v>
      </c>
      <c r="F11" s="405" t="s">
        <v>4</v>
      </c>
      <c r="G11" s="408" t="str">
        <f>IF(ISNUMBER(FIND("/",$D11)),"",INDEX(Results!$P$9:$P$44,MID($D11,4,2)))</f>
        <v>HNK Rijeka</v>
      </c>
      <c r="H11" s="429">
        <v>0</v>
      </c>
      <c r="I11" s="441" t="str">
        <f>Language!$E$90</f>
        <v xml:space="preserve"> - </v>
      </c>
      <c r="J11" s="432">
        <v>1</v>
      </c>
      <c r="K11" s="429">
        <v>1</v>
      </c>
      <c r="L11" s="441" t="str">
        <f>Language!$E$90</f>
        <v xml:space="preserve"> - </v>
      </c>
      <c r="M11" s="432">
        <v>3</v>
      </c>
      <c r="N11" s="429"/>
      <c r="O11" s="441" t="str">
        <f>Language!$E$90</f>
        <v xml:space="preserve"> - </v>
      </c>
      <c r="P11" s="435"/>
      <c r="R11" s="392"/>
      <c r="S11" s="422" t="s">
        <v>230</v>
      </c>
      <c r="T11" s="311">
        <v>8</v>
      </c>
      <c r="U11" s="312" t="str">
        <v>AEK Larnaka</v>
      </c>
      <c r="V11" s="313">
        <v>6</v>
      </c>
      <c r="W11" s="314">
        <v>3</v>
      </c>
      <c r="X11" s="314">
        <v>3</v>
      </c>
      <c r="Y11" s="315">
        <v>0</v>
      </c>
      <c r="Z11" s="316">
        <v>7</v>
      </c>
      <c r="AA11" s="317" t="str">
        <v xml:space="preserve"> - </v>
      </c>
      <c r="AB11" s="318">
        <v>1</v>
      </c>
      <c r="AC11" s="319">
        <v>6</v>
      </c>
      <c r="AD11" s="320">
        <v>2</v>
      </c>
      <c r="AE11" s="320">
        <v>1</v>
      </c>
      <c r="AF11" s="321">
        <v>12</v>
      </c>
    </row>
    <row r="12" spans="2:44" ht="16.5" thickTop="1" x14ac:dyDescent="0.25">
      <c r="S12" s="423" t="s">
        <v>201</v>
      </c>
      <c r="T12" s="322">
        <v>9</v>
      </c>
      <c r="U12" s="323" t="str">
        <v>Crystal Palace</v>
      </c>
      <c r="V12" s="324">
        <v>6</v>
      </c>
      <c r="W12" s="325">
        <v>3</v>
      </c>
      <c r="X12" s="325">
        <v>1</v>
      </c>
      <c r="Y12" s="326">
        <v>2</v>
      </c>
      <c r="Z12" s="327">
        <v>11</v>
      </c>
      <c r="AA12" s="328" t="str">
        <v xml:space="preserve"> - </v>
      </c>
      <c r="AB12" s="329">
        <v>6</v>
      </c>
      <c r="AC12" s="330">
        <v>5</v>
      </c>
      <c r="AD12" s="331">
        <v>6</v>
      </c>
      <c r="AE12" s="331">
        <v>2</v>
      </c>
      <c r="AF12" s="332">
        <v>10</v>
      </c>
    </row>
    <row r="13" spans="2:44" x14ac:dyDescent="0.25">
      <c r="S13" s="423" t="s">
        <v>204</v>
      </c>
      <c r="T13" s="322">
        <v>10</v>
      </c>
      <c r="U13" s="323" t="str">
        <v>Lech Posen</v>
      </c>
      <c r="V13" s="324">
        <v>6</v>
      </c>
      <c r="W13" s="325">
        <v>3</v>
      </c>
      <c r="X13" s="325">
        <v>1</v>
      </c>
      <c r="Y13" s="326">
        <v>2</v>
      </c>
      <c r="Z13" s="327">
        <v>12</v>
      </c>
      <c r="AA13" s="328" t="str">
        <v xml:space="preserve"> - </v>
      </c>
      <c r="AB13" s="329">
        <v>8</v>
      </c>
      <c r="AC13" s="330">
        <v>4</v>
      </c>
      <c r="AD13" s="331">
        <v>5</v>
      </c>
      <c r="AE13" s="331">
        <v>1</v>
      </c>
      <c r="AF13" s="332">
        <v>10</v>
      </c>
    </row>
    <row r="14" spans="2:44" ht="23.25" customHeight="1" x14ac:dyDescent="0.35">
      <c r="B14" s="393" t="str">
        <f>Language!$E$34</f>
        <v>Round of 16</v>
      </c>
      <c r="G14" s="409"/>
      <c r="H14" s="549">
        <v>46093</v>
      </c>
      <c r="I14" s="550"/>
      <c r="J14" s="550"/>
      <c r="K14" s="549">
        <v>46100</v>
      </c>
      <c r="L14" s="550"/>
      <c r="M14" s="550"/>
      <c r="N14" s="543" t="str">
        <f>Language!$E$33</f>
        <v>Penalty shootout</v>
      </c>
      <c r="O14" s="544"/>
      <c r="P14" s="545"/>
      <c r="S14" s="423" t="s">
        <v>236</v>
      </c>
      <c r="T14" s="322">
        <v>11</v>
      </c>
      <c r="U14" s="323" t="str">
        <v>Samsunspor</v>
      </c>
      <c r="V14" s="324">
        <v>6</v>
      </c>
      <c r="W14" s="325">
        <v>3</v>
      </c>
      <c r="X14" s="325">
        <v>1</v>
      </c>
      <c r="Y14" s="326">
        <v>2</v>
      </c>
      <c r="Z14" s="327">
        <v>10</v>
      </c>
      <c r="AA14" s="328" t="str">
        <v xml:space="preserve"> - </v>
      </c>
      <c r="AB14" s="329">
        <v>6</v>
      </c>
      <c r="AC14" s="330">
        <v>4</v>
      </c>
      <c r="AD14" s="331">
        <v>3</v>
      </c>
      <c r="AE14" s="331">
        <v>1</v>
      </c>
      <c r="AF14" s="332">
        <v>10</v>
      </c>
    </row>
    <row r="15" spans="2:44" ht="16.5" customHeight="1" thickBot="1" x14ac:dyDescent="0.3">
      <c r="G15" s="410"/>
      <c r="H15" s="551" t="str">
        <f>Language!$E$31</f>
        <v>First leg</v>
      </c>
      <c r="I15" s="551"/>
      <c r="J15" s="551"/>
      <c r="K15" s="551" t="str">
        <f>Language!$E$32</f>
        <v>Second leg</v>
      </c>
      <c r="L15" s="551"/>
      <c r="M15" s="551"/>
      <c r="N15" s="546"/>
      <c r="O15" s="547"/>
      <c r="P15" s="548"/>
      <c r="S15" s="423" t="s">
        <v>237</v>
      </c>
      <c r="T15" s="322">
        <v>12</v>
      </c>
      <c r="U15" s="323" t="str">
        <v>NK Celje</v>
      </c>
      <c r="V15" s="324">
        <v>6</v>
      </c>
      <c r="W15" s="325">
        <v>3</v>
      </c>
      <c r="X15" s="325">
        <v>1</v>
      </c>
      <c r="Y15" s="326">
        <v>2</v>
      </c>
      <c r="Z15" s="327">
        <v>8</v>
      </c>
      <c r="AA15" s="328" t="str">
        <v xml:space="preserve"> - </v>
      </c>
      <c r="AB15" s="329">
        <v>7</v>
      </c>
      <c r="AC15" s="330">
        <v>1</v>
      </c>
      <c r="AD15" s="331">
        <v>3</v>
      </c>
      <c r="AE15" s="331">
        <v>1</v>
      </c>
      <c r="AF15" s="332">
        <v>10</v>
      </c>
    </row>
    <row r="16" spans="2:44" ht="16.5" thickTop="1" x14ac:dyDescent="0.25">
      <c r="B16" s="417" t="s">
        <v>217</v>
      </c>
      <c r="C16" s="443" t="s">
        <v>321</v>
      </c>
      <c r="D16" s="446" t="s">
        <v>228</v>
      </c>
      <c r="E16" s="400" t="str">
        <f>IF(ISNUMBER(FIND("/",$C16)),"",IF(NOT(AND(ISNUMBER($AH16),ISNUMBER($AJ16),ISNUMBER($AK16),ISNUMBER($AM16))),"",IF($AH16+$AK16&gt;$AJ16+$AM16,$AQ16,IF($AH16+$AK16&lt;$AJ16+$AM16,$AR16,IF(OR(NOT(ISNUMBER($AN16)),NOT(ISNUMBER($AP16)),$AN16=$AP16),"",IF($AN16&gt;$AP16,$AQ16,$AR16))))))</f>
        <v>Lech Posen</v>
      </c>
      <c r="F16" s="401" t="s">
        <v>4</v>
      </c>
      <c r="G16" s="406" t="str">
        <f>IF(ISNUMBER(FIND("/",$D16)),"",INDEX(Results!$P$9:$P$44,MID($D16,4,2)))</f>
        <v>Schachtar Donezk</v>
      </c>
      <c r="H16" s="427">
        <v>1</v>
      </c>
      <c r="I16" s="439" t="str">
        <f>Language!$E$90</f>
        <v xml:space="preserve"> - </v>
      </c>
      <c r="J16" s="430">
        <v>3</v>
      </c>
      <c r="K16" s="427">
        <v>1</v>
      </c>
      <c r="L16" s="439" t="str">
        <f>Language!$E$90</f>
        <v xml:space="preserve"> - </v>
      </c>
      <c r="M16" s="430">
        <v>2</v>
      </c>
      <c r="N16" s="427"/>
      <c r="O16" s="439" t="str">
        <f>Language!$E$90</f>
        <v xml:space="preserve"> - </v>
      </c>
      <c r="P16" s="433"/>
      <c r="S16" s="423" t="s">
        <v>238</v>
      </c>
      <c r="T16" s="322">
        <v>13</v>
      </c>
      <c r="U16" s="323" t="str">
        <v>AZ Alkmaar</v>
      </c>
      <c r="V16" s="324">
        <v>6</v>
      </c>
      <c r="W16" s="325">
        <v>3</v>
      </c>
      <c r="X16" s="325">
        <v>1</v>
      </c>
      <c r="Y16" s="326">
        <v>2</v>
      </c>
      <c r="Z16" s="327">
        <v>7</v>
      </c>
      <c r="AA16" s="328" t="str">
        <v xml:space="preserve"> - </v>
      </c>
      <c r="AB16" s="329">
        <v>7</v>
      </c>
      <c r="AC16" s="330">
        <v>0</v>
      </c>
      <c r="AD16" s="331">
        <v>4</v>
      </c>
      <c r="AE16" s="331">
        <v>1</v>
      </c>
      <c r="AF16" s="332">
        <v>10</v>
      </c>
      <c r="AH16" s="392">
        <f>IF(ISNUMBER(INDEX($H$4:$H$11,MID($C16,8,1))),INDEX($H$4:$H$11,MID($C16,8,1)),"")</f>
        <v>0</v>
      </c>
      <c r="AJ16" s="392">
        <f>IF(ISNUMBER(INDEX($J$4:$J$11,MID($C16,8,1))),INDEX($J$4:$J$11,MID($C16,8,1)),"")</f>
        <v>2</v>
      </c>
      <c r="AK16" s="392">
        <f>IF(ISNUMBER(INDEX($K$4:$K$11,MID($C16,8,1))),INDEX($K$4:$K$11,MID($C16,8,1)),"")</f>
        <v>0</v>
      </c>
      <c r="AM16" s="392">
        <f>IF(ISNUMBER(INDEX($M$4:$M$11,MID($C16,8,1))),INDEX($M$4:$M$11,MID($C16,8,1)),"")</f>
        <v>1</v>
      </c>
      <c r="AN16" s="392" t="str">
        <f>IF(ISNUMBER(INDEX($N$4:$N$11,MID($C16,8,1))),INDEX($N$4:$N$11,MID($C16,8,1)),"")</f>
        <v/>
      </c>
      <c r="AP16" s="392" t="str">
        <f>IF(ISNUMBER(INDEX($P$4:$P$11,MID($C16,8,1))),INDEX($P$4:$P$11,MID($C16,8,1)),"")</f>
        <v/>
      </c>
      <c r="AQ16" s="391" t="str">
        <f>IF(INDEX($E$4:$E$11,MID($C16,8,1))="","",INDEX($E$4:$E$11,MID($C16,8,1)))</f>
        <v>Kuopion PS</v>
      </c>
      <c r="AR16" s="391" t="str">
        <f>IF(INDEX($G$4:$G$11,MID($C16,8,1))="","",INDEX($G$4:$G$11,MID($C16,8,1)))</f>
        <v>Lech Posen</v>
      </c>
    </row>
    <row r="17" spans="2:44" x14ac:dyDescent="0.25">
      <c r="B17" s="418" t="s">
        <v>218</v>
      </c>
      <c r="C17" s="444" t="s">
        <v>322</v>
      </c>
      <c r="D17" s="447" t="s">
        <v>226</v>
      </c>
      <c r="E17" s="402" t="str">
        <f t="shared" ref="E17:E23" si="0">IF(ISNUMBER(FIND("/",$C17)),"",IF(NOT(AND(ISNUMBER($AH17),ISNUMBER($AJ17),ISNUMBER($AK17),ISNUMBER($AM17))),"",IF($AH17+$AK17&gt;$AJ17+$AM17,$AQ17,IF($AH17+$AK17&lt;$AJ17+$AM17,$AR17,IF(OR(NOT(ISNUMBER($AN17)),NOT(ISNUMBER($AP17)),$AN17=$AP17),"",IF($AN17&gt;$AP17,$AQ17,$AR17))))))</f>
        <v>AZ Alkmaar</v>
      </c>
      <c r="F17" s="403" t="s">
        <v>4</v>
      </c>
      <c r="G17" s="407" t="str">
        <f>IF(ISNUMBER(FIND("/",$D17)),"",INDEX(Results!$P$9:$P$44,MID($D17,4,2)))</f>
        <v>Sparta Prag</v>
      </c>
      <c r="H17" s="428">
        <v>2</v>
      </c>
      <c r="I17" s="440" t="str">
        <f>Language!$E$90</f>
        <v xml:space="preserve"> - </v>
      </c>
      <c r="J17" s="431">
        <v>1</v>
      </c>
      <c r="K17" s="428">
        <v>4</v>
      </c>
      <c r="L17" s="440" t="str">
        <f>Language!$E$90</f>
        <v xml:space="preserve"> - </v>
      </c>
      <c r="M17" s="431">
        <v>0</v>
      </c>
      <c r="N17" s="428"/>
      <c r="O17" s="440" t="str">
        <f>Language!$E$90</f>
        <v xml:space="preserve"> - </v>
      </c>
      <c r="P17" s="434"/>
      <c r="S17" s="423" t="s">
        <v>239</v>
      </c>
      <c r="T17" s="322">
        <v>14</v>
      </c>
      <c r="U17" s="323" t="str">
        <v>AC Florenz</v>
      </c>
      <c r="V17" s="324">
        <v>6</v>
      </c>
      <c r="W17" s="325">
        <v>3</v>
      </c>
      <c r="X17" s="325">
        <v>0</v>
      </c>
      <c r="Y17" s="326">
        <v>3</v>
      </c>
      <c r="Z17" s="327">
        <v>8</v>
      </c>
      <c r="AA17" s="328" t="str">
        <v xml:space="preserve"> - </v>
      </c>
      <c r="AB17" s="329">
        <v>5</v>
      </c>
      <c r="AC17" s="330">
        <v>3</v>
      </c>
      <c r="AD17" s="331">
        <v>4</v>
      </c>
      <c r="AE17" s="331">
        <v>1</v>
      </c>
      <c r="AF17" s="332">
        <v>9</v>
      </c>
      <c r="AH17" s="392">
        <f t="shared" ref="AH17:AH23" si="1">IF(ISNUMBER(INDEX($H$4:$H$11,MID($C17,8,1))),INDEX($H$4:$H$11,MID($C17,8,1)),"")</f>
        <v>1</v>
      </c>
      <c r="AJ17" s="392">
        <f t="shared" ref="AJ17:AJ23" si="2">IF(ISNUMBER(INDEX($J$4:$J$11,MID($C17,8,1))),INDEX($J$4:$J$11,MID($C17,8,1)),"")</f>
        <v>0</v>
      </c>
      <c r="AK17" s="392">
        <f t="shared" ref="AK17:AK23" si="3">IF(ISNUMBER(INDEX($K$4:$K$11,MID($C17,8,1))),INDEX($K$4:$K$11,MID($C17,8,1)),"")</f>
        <v>0</v>
      </c>
      <c r="AM17" s="392">
        <f t="shared" ref="AM17:AM23" si="4">IF(ISNUMBER(INDEX($M$4:$M$11,MID($C17,8,1))),INDEX($M$4:$M$11,MID($C17,8,1)),"")</f>
        <v>4</v>
      </c>
      <c r="AN17" s="392" t="str">
        <f t="shared" ref="AN17:AN23" si="5">IF(ISNUMBER(INDEX($N$4:$N$11,MID($C17,8,1))),INDEX($N$4:$N$11,MID($C17,8,1)),"")</f>
        <v/>
      </c>
      <c r="AP17" s="392" t="str">
        <f t="shared" ref="AP17:AP23" si="6">IF(ISNUMBER(INDEX($P$4:$P$11,MID($C17,8,1))),INDEX($P$4:$P$11,MID($C17,8,1)),"")</f>
        <v/>
      </c>
      <c r="AQ17" s="391" t="str">
        <f t="shared" ref="AQ17:AQ23" si="7">IF(INDEX($E$4:$E$11,MID($C17,8,1))="","",INDEX($E$4:$E$11,MID($C17,8,1)))</f>
        <v>FC Noah</v>
      </c>
      <c r="AR17" s="391" t="str">
        <f t="shared" ref="AR17:AR23" si="8">IF(INDEX($G$4:$G$11,MID($C17,8,1))="","",INDEX($G$4:$G$11,MID($C17,8,1)))</f>
        <v>AZ Alkmaar</v>
      </c>
    </row>
    <row r="18" spans="2:44" x14ac:dyDescent="0.25">
      <c r="B18" s="418" t="s">
        <v>219</v>
      </c>
      <c r="C18" s="444" t="s">
        <v>323</v>
      </c>
      <c r="D18" s="447" t="s">
        <v>230</v>
      </c>
      <c r="E18" s="402" t="str">
        <f t="shared" si="0"/>
        <v>Crystal Palace</v>
      </c>
      <c r="F18" s="403" t="s">
        <v>4</v>
      </c>
      <c r="G18" s="407" t="str">
        <f>IF(ISNUMBER(FIND("/",$D18)),"",INDEX(Results!$P$9:$P$44,MID($D18,4,2)))</f>
        <v>AEK Larnaka</v>
      </c>
      <c r="H18" s="428">
        <v>0</v>
      </c>
      <c r="I18" s="440" t="str">
        <f>Language!$E$90</f>
        <v xml:space="preserve"> - </v>
      </c>
      <c r="J18" s="431">
        <v>0</v>
      </c>
      <c r="K18" s="428">
        <v>2</v>
      </c>
      <c r="L18" s="440" t="str">
        <f>Language!$E$90</f>
        <v xml:space="preserve"> - </v>
      </c>
      <c r="M18" s="431">
        <v>1</v>
      </c>
      <c r="N18" s="428"/>
      <c r="O18" s="440" t="str">
        <f>Language!$E$90</f>
        <v xml:space="preserve"> - </v>
      </c>
      <c r="P18" s="434"/>
      <c r="S18" s="423" t="s">
        <v>240</v>
      </c>
      <c r="T18" s="322">
        <v>15</v>
      </c>
      <c r="U18" s="323" t="str">
        <v>HNK Rijeka</v>
      </c>
      <c r="V18" s="324">
        <v>6</v>
      </c>
      <c r="W18" s="325">
        <v>2</v>
      </c>
      <c r="X18" s="325">
        <v>3</v>
      </c>
      <c r="Y18" s="326">
        <v>1</v>
      </c>
      <c r="Z18" s="327">
        <v>5</v>
      </c>
      <c r="AA18" s="328" t="str">
        <v xml:space="preserve"> - </v>
      </c>
      <c r="AB18" s="329">
        <v>2</v>
      </c>
      <c r="AC18" s="330">
        <v>3</v>
      </c>
      <c r="AD18" s="331">
        <v>1</v>
      </c>
      <c r="AE18" s="331">
        <v>0</v>
      </c>
      <c r="AF18" s="332">
        <v>9</v>
      </c>
      <c r="AH18" s="392">
        <f t="shared" si="1"/>
        <v>1</v>
      </c>
      <c r="AJ18" s="392">
        <f t="shared" si="2"/>
        <v>1</v>
      </c>
      <c r="AK18" s="392">
        <f t="shared" si="3"/>
        <v>0</v>
      </c>
      <c r="AM18" s="392">
        <f t="shared" si="4"/>
        <v>2</v>
      </c>
      <c r="AN18" s="392" t="str">
        <f t="shared" si="5"/>
        <v/>
      </c>
      <c r="AP18" s="392" t="str">
        <f t="shared" si="6"/>
        <v/>
      </c>
      <c r="AQ18" s="391" t="str">
        <f t="shared" si="7"/>
        <v>Zrinjski Mostar</v>
      </c>
      <c r="AR18" s="391" t="str">
        <f t="shared" si="8"/>
        <v>Crystal Palace</v>
      </c>
    </row>
    <row r="19" spans="2:44" x14ac:dyDescent="0.25">
      <c r="B19" s="418" t="s">
        <v>220</v>
      </c>
      <c r="C19" s="444" t="s">
        <v>324</v>
      </c>
      <c r="D19" s="447" t="s">
        <v>203</v>
      </c>
      <c r="E19" s="402" t="str">
        <f t="shared" si="0"/>
        <v>AC Florenz</v>
      </c>
      <c r="F19" s="403" t="s">
        <v>4</v>
      </c>
      <c r="G19" s="407" t="str">
        <f>IF(ISNUMBER(FIND("/",$D19)),"",INDEX(Results!$P$9:$P$44,MID($D19,4,2)))</f>
        <v>Rakow Tschenstochau</v>
      </c>
      <c r="H19" s="428">
        <v>2</v>
      </c>
      <c r="I19" s="440" t="str">
        <f>Language!$E$90</f>
        <v xml:space="preserve"> - </v>
      </c>
      <c r="J19" s="431">
        <v>1</v>
      </c>
      <c r="K19" s="428">
        <v>2</v>
      </c>
      <c r="L19" s="440" t="str">
        <f>Language!$E$90</f>
        <v xml:space="preserve"> - </v>
      </c>
      <c r="M19" s="431">
        <v>1</v>
      </c>
      <c r="N19" s="428"/>
      <c r="O19" s="440" t="str">
        <f>Language!$E$90</f>
        <v xml:space="preserve"> - </v>
      </c>
      <c r="P19" s="434"/>
      <c r="S19" s="423" t="s">
        <v>241</v>
      </c>
      <c r="T19" s="322">
        <v>16</v>
      </c>
      <c r="U19" s="323" t="str">
        <v>FC Lausanne-Sport</v>
      </c>
      <c r="V19" s="324">
        <v>6</v>
      </c>
      <c r="W19" s="325">
        <v>2</v>
      </c>
      <c r="X19" s="325">
        <v>3</v>
      </c>
      <c r="Y19" s="326">
        <v>1</v>
      </c>
      <c r="Z19" s="327">
        <v>6</v>
      </c>
      <c r="AA19" s="328" t="str">
        <v xml:space="preserve"> - </v>
      </c>
      <c r="AB19" s="329">
        <v>4</v>
      </c>
      <c r="AC19" s="330">
        <v>2</v>
      </c>
      <c r="AD19" s="331">
        <v>1</v>
      </c>
      <c r="AE19" s="331">
        <v>0</v>
      </c>
      <c r="AF19" s="332">
        <v>9</v>
      </c>
      <c r="AH19" s="392">
        <f t="shared" si="1"/>
        <v>0</v>
      </c>
      <c r="AJ19" s="392">
        <f t="shared" si="2"/>
        <v>3</v>
      </c>
      <c r="AK19" s="392">
        <f t="shared" si="3"/>
        <v>4</v>
      </c>
      <c r="AM19" s="392">
        <f t="shared" si="4"/>
        <v>2</v>
      </c>
      <c r="AN19" s="392" t="str">
        <f t="shared" si="5"/>
        <v/>
      </c>
      <c r="AP19" s="392" t="str">
        <f t="shared" si="6"/>
        <v/>
      </c>
      <c r="AQ19" s="391" t="str">
        <f t="shared" si="7"/>
        <v>Jagiellonia Bialystok</v>
      </c>
      <c r="AR19" s="391" t="str">
        <f t="shared" si="8"/>
        <v>AC Florenz</v>
      </c>
    </row>
    <row r="20" spans="2:44" x14ac:dyDescent="0.25">
      <c r="B20" s="418" t="s">
        <v>221</v>
      </c>
      <c r="C20" s="444" t="s">
        <v>325</v>
      </c>
      <c r="D20" s="447" t="s">
        <v>227</v>
      </c>
      <c r="E20" s="402" t="str">
        <f t="shared" si="0"/>
        <v>Samsunspor</v>
      </c>
      <c r="F20" s="403" t="s">
        <v>4</v>
      </c>
      <c r="G20" s="407" t="str">
        <f>IF(ISNUMBER(FIND("/",$D20)),"",INDEX(Results!$P$9:$P$44,MID($D20,4,2)))</f>
        <v>Rayo Vallecano</v>
      </c>
      <c r="H20" s="428">
        <v>1</v>
      </c>
      <c r="I20" s="440" t="str">
        <f>Language!$E$90</f>
        <v xml:space="preserve"> - </v>
      </c>
      <c r="J20" s="431">
        <v>3</v>
      </c>
      <c r="K20" s="428">
        <v>1</v>
      </c>
      <c r="L20" s="440" t="str">
        <f>Language!$E$90</f>
        <v xml:space="preserve"> - </v>
      </c>
      <c r="M20" s="431">
        <v>0</v>
      </c>
      <c r="N20" s="428"/>
      <c r="O20" s="440" t="str">
        <f>Language!$E$90</f>
        <v xml:space="preserve"> - </v>
      </c>
      <c r="P20" s="434"/>
      <c r="S20" s="424" t="s">
        <v>206</v>
      </c>
      <c r="T20" s="333">
        <v>17</v>
      </c>
      <c r="U20" s="334" t="str">
        <v>Jagiellonia Bialystok</v>
      </c>
      <c r="V20" s="335">
        <v>6</v>
      </c>
      <c r="W20" s="336">
        <v>2</v>
      </c>
      <c r="X20" s="336">
        <v>3</v>
      </c>
      <c r="Y20" s="337">
        <v>1</v>
      </c>
      <c r="Z20" s="338">
        <v>5</v>
      </c>
      <c r="AA20" s="339" t="str">
        <v xml:space="preserve"> - </v>
      </c>
      <c r="AB20" s="340">
        <v>4</v>
      </c>
      <c r="AC20" s="341">
        <v>1</v>
      </c>
      <c r="AD20" s="342">
        <v>2</v>
      </c>
      <c r="AE20" s="342">
        <v>0</v>
      </c>
      <c r="AF20" s="343">
        <v>9</v>
      </c>
      <c r="AH20" s="392">
        <f t="shared" si="1"/>
        <v>0</v>
      </c>
      <c r="AJ20" s="392">
        <f t="shared" si="2"/>
        <v>1</v>
      </c>
      <c r="AK20" s="392">
        <f t="shared" si="3"/>
        <v>0</v>
      </c>
      <c r="AM20" s="392">
        <f t="shared" si="4"/>
        <v>4</v>
      </c>
      <c r="AN20" s="392" t="str">
        <f t="shared" si="5"/>
        <v/>
      </c>
      <c r="AP20" s="392" t="str">
        <f t="shared" si="6"/>
        <v/>
      </c>
      <c r="AQ20" s="391" t="str">
        <f t="shared" si="7"/>
        <v>Shkendija Tetovo</v>
      </c>
      <c r="AR20" s="391" t="str">
        <f t="shared" si="8"/>
        <v>Samsunspor</v>
      </c>
    </row>
    <row r="21" spans="2:44" x14ac:dyDescent="0.25">
      <c r="B21" s="418" t="s">
        <v>222</v>
      </c>
      <c r="C21" s="444" t="s">
        <v>326</v>
      </c>
      <c r="D21" s="447" t="s">
        <v>225</v>
      </c>
      <c r="E21" s="402" t="str">
        <f t="shared" si="0"/>
        <v>NK Celje</v>
      </c>
      <c r="F21" s="403" t="s">
        <v>4</v>
      </c>
      <c r="G21" s="407" t="str">
        <f>IF(ISNUMBER(FIND("/",$D21)),"",INDEX(Results!$P$9:$P$44,MID($D21,4,2)))</f>
        <v>AEK Athen</v>
      </c>
      <c r="H21" s="428">
        <v>0</v>
      </c>
      <c r="I21" s="440" t="str">
        <f>Language!$E$90</f>
        <v xml:space="preserve"> - </v>
      </c>
      <c r="J21" s="431">
        <v>4</v>
      </c>
      <c r="K21" s="428">
        <v>2</v>
      </c>
      <c r="L21" s="440" t="str">
        <f>Language!$E$90</f>
        <v xml:space="preserve"> - </v>
      </c>
      <c r="M21" s="431">
        <v>0</v>
      </c>
      <c r="N21" s="428"/>
      <c r="O21" s="440" t="str">
        <f>Language!$E$90</f>
        <v xml:space="preserve"> - </v>
      </c>
      <c r="P21" s="434"/>
      <c r="S21" s="424" t="s">
        <v>235</v>
      </c>
      <c r="T21" s="333">
        <v>18</v>
      </c>
      <c r="U21" s="334" t="str">
        <v>Omonia Nikosia</v>
      </c>
      <c r="V21" s="335">
        <v>6</v>
      </c>
      <c r="W21" s="336">
        <v>2</v>
      </c>
      <c r="X21" s="336">
        <v>2</v>
      </c>
      <c r="Y21" s="337">
        <v>2</v>
      </c>
      <c r="Z21" s="338">
        <v>5</v>
      </c>
      <c r="AA21" s="339" t="str">
        <v xml:space="preserve"> - </v>
      </c>
      <c r="AB21" s="340">
        <v>4</v>
      </c>
      <c r="AC21" s="341">
        <v>1</v>
      </c>
      <c r="AD21" s="342">
        <v>3</v>
      </c>
      <c r="AE21" s="342">
        <v>1</v>
      </c>
      <c r="AF21" s="343">
        <v>8</v>
      </c>
      <c r="AH21" s="392">
        <f t="shared" si="1"/>
        <v>2</v>
      </c>
      <c r="AJ21" s="392">
        <f t="shared" si="2"/>
        <v>3</v>
      </c>
      <c r="AK21" s="392">
        <f t="shared" si="3"/>
        <v>2</v>
      </c>
      <c r="AM21" s="392">
        <f t="shared" si="4"/>
        <v>3</v>
      </c>
      <c r="AN21" s="392" t="str">
        <f t="shared" si="5"/>
        <v/>
      </c>
      <c r="AP21" s="392" t="str">
        <f t="shared" si="6"/>
        <v/>
      </c>
      <c r="AQ21" s="391" t="str">
        <f t="shared" si="7"/>
        <v>KF Drita Gjilan</v>
      </c>
      <c r="AR21" s="391" t="str">
        <f t="shared" si="8"/>
        <v>NK Celje</v>
      </c>
    </row>
    <row r="22" spans="2:44" x14ac:dyDescent="0.25">
      <c r="B22" s="418" t="s">
        <v>223</v>
      </c>
      <c r="C22" s="444" t="s">
        <v>327</v>
      </c>
      <c r="D22" s="447" t="s">
        <v>229</v>
      </c>
      <c r="E22" s="402" t="str">
        <f t="shared" si="0"/>
        <v>Sigma Olmütz</v>
      </c>
      <c r="F22" s="403" t="s">
        <v>4</v>
      </c>
      <c r="G22" s="407" t="str">
        <f>IF(ISNUMBER(FIND("/",$D22)),"",INDEX(Results!$P$9:$P$44,MID($D22,4,2)))</f>
        <v>1. FSV Mainz 05</v>
      </c>
      <c r="H22" s="428">
        <v>0</v>
      </c>
      <c r="I22" s="440" t="str">
        <f>Language!$E$90</f>
        <v xml:space="preserve"> - </v>
      </c>
      <c r="J22" s="431">
        <v>0</v>
      </c>
      <c r="K22" s="428">
        <v>0</v>
      </c>
      <c r="L22" s="440" t="str">
        <f>Language!$E$90</f>
        <v xml:space="preserve"> - </v>
      </c>
      <c r="M22" s="431">
        <v>2</v>
      </c>
      <c r="N22" s="428"/>
      <c r="O22" s="440" t="str">
        <f>Language!$E$90</f>
        <v xml:space="preserve"> - </v>
      </c>
      <c r="P22" s="434"/>
      <c r="S22" s="424" t="s">
        <v>233</v>
      </c>
      <c r="T22" s="333">
        <v>19</v>
      </c>
      <c r="U22" s="334" t="str">
        <v>FC Noah</v>
      </c>
      <c r="V22" s="335">
        <v>6</v>
      </c>
      <c r="W22" s="336">
        <v>2</v>
      </c>
      <c r="X22" s="336">
        <v>2</v>
      </c>
      <c r="Y22" s="337">
        <v>2</v>
      </c>
      <c r="Z22" s="338">
        <v>6</v>
      </c>
      <c r="AA22" s="339" t="str">
        <v xml:space="preserve"> - </v>
      </c>
      <c r="AB22" s="340">
        <v>7</v>
      </c>
      <c r="AC22" s="341">
        <v>-1</v>
      </c>
      <c r="AD22" s="342">
        <v>2</v>
      </c>
      <c r="AE22" s="342">
        <v>0</v>
      </c>
      <c r="AF22" s="343">
        <v>8</v>
      </c>
      <c r="AH22" s="392">
        <f t="shared" si="1"/>
        <v>1</v>
      </c>
      <c r="AJ22" s="392">
        <f t="shared" si="2"/>
        <v>1</v>
      </c>
      <c r="AK22" s="392">
        <f t="shared" si="3"/>
        <v>2</v>
      </c>
      <c r="AM22" s="392">
        <f t="shared" si="4"/>
        <v>1</v>
      </c>
      <c r="AN22" s="392" t="str">
        <f t="shared" si="5"/>
        <v/>
      </c>
      <c r="AP22" s="392" t="str">
        <f t="shared" si="6"/>
        <v/>
      </c>
      <c r="AQ22" s="391" t="str">
        <f t="shared" si="7"/>
        <v>Sigma Olmütz</v>
      </c>
      <c r="AR22" s="391" t="str">
        <f t="shared" si="8"/>
        <v>FC Lausanne-Sport</v>
      </c>
    </row>
    <row r="23" spans="2:44" ht="16.5" thickBot="1" x14ac:dyDescent="0.3">
      <c r="B23" s="419" t="s">
        <v>224</v>
      </c>
      <c r="C23" s="445" t="s">
        <v>328</v>
      </c>
      <c r="D23" s="448" t="s">
        <v>208</v>
      </c>
      <c r="E23" s="404" t="str">
        <f t="shared" si="0"/>
        <v>HNK Rijeka</v>
      </c>
      <c r="F23" s="405" t="s">
        <v>4</v>
      </c>
      <c r="G23" s="408" t="str">
        <f>IF(ISNUMBER(FIND("/",$D23)),"",INDEX(Results!$P$9:$P$44,MID($D23,4,2)))</f>
        <v>Racing Straßburg</v>
      </c>
      <c r="H23" s="429">
        <v>1</v>
      </c>
      <c r="I23" s="441" t="str">
        <f>Language!$E$90</f>
        <v xml:space="preserve"> - </v>
      </c>
      <c r="J23" s="432">
        <v>2</v>
      </c>
      <c r="K23" s="429">
        <v>1</v>
      </c>
      <c r="L23" s="441" t="str">
        <f>Language!$E$90</f>
        <v xml:space="preserve"> - </v>
      </c>
      <c r="M23" s="432">
        <v>1</v>
      </c>
      <c r="N23" s="429"/>
      <c r="O23" s="441" t="str">
        <f>Language!$E$90</f>
        <v xml:space="preserve"> - </v>
      </c>
      <c r="P23" s="435"/>
      <c r="S23" s="424" t="s">
        <v>234</v>
      </c>
      <c r="T23" s="333">
        <v>20</v>
      </c>
      <c r="U23" s="334" t="str">
        <v>KF Drita Gjilan</v>
      </c>
      <c r="V23" s="335">
        <v>6</v>
      </c>
      <c r="W23" s="336">
        <v>2</v>
      </c>
      <c r="X23" s="336">
        <v>2</v>
      </c>
      <c r="Y23" s="337">
        <v>2</v>
      </c>
      <c r="Z23" s="338">
        <v>4</v>
      </c>
      <c r="AA23" s="339" t="str">
        <v xml:space="preserve"> - </v>
      </c>
      <c r="AB23" s="340">
        <v>8</v>
      </c>
      <c r="AC23" s="341">
        <v>-4</v>
      </c>
      <c r="AD23" s="342">
        <v>2</v>
      </c>
      <c r="AE23" s="342">
        <v>1</v>
      </c>
      <c r="AF23" s="343">
        <v>8</v>
      </c>
      <c r="AH23" s="392">
        <f t="shared" si="1"/>
        <v>0</v>
      </c>
      <c r="AJ23" s="392">
        <f t="shared" si="2"/>
        <v>1</v>
      </c>
      <c r="AK23" s="392">
        <f t="shared" si="3"/>
        <v>1</v>
      </c>
      <c r="AM23" s="392">
        <f t="shared" si="4"/>
        <v>3</v>
      </c>
      <c r="AN23" s="392" t="str">
        <f t="shared" si="5"/>
        <v/>
      </c>
      <c r="AP23" s="392" t="str">
        <f t="shared" si="6"/>
        <v/>
      </c>
      <c r="AQ23" s="391" t="str">
        <f t="shared" si="7"/>
        <v>Omonia Nikosia</v>
      </c>
      <c r="AR23" s="391" t="str">
        <f t="shared" si="8"/>
        <v>HNK Rijeka</v>
      </c>
    </row>
    <row r="24" spans="2:44" ht="16.5" thickTop="1" x14ac:dyDescent="0.25">
      <c r="S24" s="424" t="s">
        <v>231</v>
      </c>
      <c r="T24" s="333">
        <v>21</v>
      </c>
      <c r="U24" s="334" t="str">
        <v>Kuopion PS</v>
      </c>
      <c r="V24" s="335">
        <v>6</v>
      </c>
      <c r="W24" s="336">
        <v>1</v>
      </c>
      <c r="X24" s="336">
        <v>4</v>
      </c>
      <c r="Y24" s="337">
        <v>1</v>
      </c>
      <c r="Z24" s="338">
        <v>6</v>
      </c>
      <c r="AA24" s="339" t="str">
        <v xml:space="preserve"> - </v>
      </c>
      <c r="AB24" s="340">
        <v>5</v>
      </c>
      <c r="AC24" s="341">
        <v>1</v>
      </c>
      <c r="AD24" s="342">
        <v>2</v>
      </c>
      <c r="AE24" s="342">
        <v>0</v>
      </c>
      <c r="AF24" s="343">
        <v>7</v>
      </c>
    </row>
    <row r="25" spans="2:44" x14ac:dyDescent="0.25">
      <c r="S25" s="424" t="s">
        <v>232</v>
      </c>
      <c r="T25" s="333">
        <v>22</v>
      </c>
      <c r="U25" s="334" t="str">
        <v>Shkendija Tetovo</v>
      </c>
      <c r="V25" s="335">
        <v>6</v>
      </c>
      <c r="W25" s="336">
        <v>2</v>
      </c>
      <c r="X25" s="336">
        <v>1</v>
      </c>
      <c r="Y25" s="337">
        <v>3</v>
      </c>
      <c r="Z25" s="338">
        <v>4</v>
      </c>
      <c r="AA25" s="339" t="str">
        <v xml:space="preserve"> - </v>
      </c>
      <c r="AB25" s="340">
        <v>5</v>
      </c>
      <c r="AC25" s="341">
        <v>-1</v>
      </c>
      <c r="AD25" s="342">
        <v>0</v>
      </c>
      <c r="AE25" s="342">
        <v>0</v>
      </c>
      <c r="AF25" s="343">
        <v>7</v>
      </c>
    </row>
    <row r="26" spans="2:44" ht="23.25" x14ac:dyDescent="0.35">
      <c r="B26" s="393" t="str">
        <f>Language!$E$35</f>
        <v>Quarterfinals</v>
      </c>
      <c r="H26" s="549">
        <v>46121</v>
      </c>
      <c r="I26" s="550"/>
      <c r="J26" s="550"/>
      <c r="K26" s="549">
        <v>46128</v>
      </c>
      <c r="L26" s="550"/>
      <c r="M26" s="550"/>
      <c r="N26" s="543" t="str">
        <f>Language!$E$33</f>
        <v>Penalty shootout</v>
      </c>
      <c r="O26" s="544"/>
      <c r="P26" s="545"/>
      <c r="S26" s="424" t="s">
        <v>202</v>
      </c>
      <c r="T26" s="333">
        <v>23</v>
      </c>
      <c r="U26" s="334" t="str">
        <v>Zrinjski Mostar</v>
      </c>
      <c r="V26" s="335">
        <v>6</v>
      </c>
      <c r="W26" s="336">
        <v>2</v>
      </c>
      <c r="X26" s="336">
        <v>1</v>
      </c>
      <c r="Y26" s="337">
        <v>3</v>
      </c>
      <c r="Z26" s="338">
        <v>8</v>
      </c>
      <c r="AA26" s="339" t="str">
        <v xml:space="preserve"> - </v>
      </c>
      <c r="AB26" s="340">
        <v>10</v>
      </c>
      <c r="AC26" s="341">
        <v>-2</v>
      </c>
      <c r="AD26" s="342">
        <v>0</v>
      </c>
      <c r="AE26" s="342">
        <v>0</v>
      </c>
      <c r="AF26" s="343">
        <v>7</v>
      </c>
      <c r="AP26" s="507" t="str">
        <f>MID($B16,4,1)</f>
        <v>1</v>
      </c>
      <c r="AQ26" s="391" t="str">
        <f>IF(NOT(AND(ISNUMBER($H16),ISNUMBER($J16),ISNUMBER($K16),ISNUMBER($M16))),"",IF($H16+$K16&gt;$J16+$M16,$E16,IF($H16+$K16&lt;$J16+$M16,$G16,IF(OR(NOT(ISNUMBER($N16)),NOT(ISNUMBER($P16)),$N16=$P16),"",IF($N16&gt;$P16,$E16,$G16)))))</f>
        <v>Schachtar Donezk</v>
      </c>
    </row>
    <row r="27" spans="2:44" ht="16.5" customHeight="1" thickBot="1" x14ac:dyDescent="0.3">
      <c r="H27" s="551" t="str">
        <f>Language!$E$31</f>
        <v>First leg</v>
      </c>
      <c r="I27" s="551"/>
      <c r="J27" s="551"/>
      <c r="K27" s="551" t="str">
        <f>Language!$E$32</f>
        <v>Second leg</v>
      </c>
      <c r="L27" s="551"/>
      <c r="M27" s="551"/>
      <c r="N27" s="546"/>
      <c r="O27" s="547"/>
      <c r="P27" s="548"/>
      <c r="S27" s="425" t="s">
        <v>205</v>
      </c>
      <c r="T27" s="333">
        <v>24</v>
      </c>
      <c r="U27" s="334" t="str">
        <v>Sigma Olmütz</v>
      </c>
      <c r="V27" s="335">
        <v>6</v>
      </c>
      <c r="W27" s="336">
        <v>2</v>
      </c>
      <c r="X27" s="336">
        <v>1</v>
      </c>
      <c r="Y27" s="337">
        <v>3</v>
      </c>
      <c r="Z27" s="338">
        <v>7</v>
      </c>
      <c r="AA27" s="339" t="str">
        <v xml:space="preserve"> - </v>
      </c>
      <c r="AB27" s="340">
        <v>9</v>
      </c>
      <c r="AC27" s="341">
        <v>-2</v>
      </c>
      <c r="AD27" s="342">
        <v>3</v>
      </c>
      <c r="AE27" s="342">
        <v>1</v>
      </c>
      <c r="AF27" s="343">
        <v>7</v>
      </c>
      <c r="AP27" s="507" t="str">
        <f t="shared" ref="AP27:AP33" si="9">MID($B17,4,1)</f>
        <v>2</v>
      </c>
      <c r="AQ27" s="391" t="str">
        <f t="shared" ref="AQ27:AQ33" si="10">IF(NOT(AND(ISNUMBER($H17),ISNUMBER($J17),ISNUMBER($K17),ISNUMBER($M17))),"",IF($H17+$K17&gt;$J17+$M17,$E17,IF($H17+$K17&lt;$J17+$M17,$G17,IF(OR(NOT(ISNUMBER($N17)),NOT(ISNUMBER($P17)),$N17=$P17),"",IF($N17&gt;$P17,$E17,$G17)))))</f>
        <v>AZ Alkmaar</v>
      </c>
    </row>
    <row r="28" spans="2:44" ht="16.5" thickTop="1" x14ac:dyDescent="0.25">
      <c r="B28" s="417" t="s">
        <v>243</v>
      </c>
      <c r="C28" s="397" t="s">
        <v>249</v>
      </c>
      <c r="D28" s="397" t="s">
        <v>253</v>
      </c>
      <c r="E28" s="400" t="str">
        <f>VLOOKUP(MID($C28,8,1),$AP$26:$AQ$33,2,0)</f>
        <v>Rayo Vallecano</v>
      </c>
      <c r="F28" s="401" t="s">
        <v>4</v>
      </c>
      <c r="G28" s="406" t="str">
        <f>VLOOKUP(MID($D28,8,1),$AP$26:$AQ$33,2,0)</f>
        <v>AEK Athen</v>
      </c>
      <c r="H28" s="427">
        <v>3</v>
      </c>
      <c r="I28" s="439" t="str">
        <f>Language!$E$90</f>
        <v xml:space="preserve"> - </v>
      </c>
      <c r="J28" s="430">
        <v>0</v>
      </c>
      <c r="K28" s="427">
        <v>1</v>
      </c>
      <c r="L28" s="439" t="str">
        <f>Language!$E$90</f>
        <v xml:space="preserve"> - </v>
      </c>
      <c r="M28" s="430">
        <v>3</v>
      </c>
      <c r="N28" s="427"/>
      <c r="O28" s="439" t="str">
        <f>Language!$E$90</f>
        <v xml:space="preserve"> - </v>
      </c>
      <c r="P28" s="433"/>
      <c r="T28" s="344">
        <v>25</v>
      </c>
      <c r="U28" s="345" t="str">
        <v>Universitatea Craiova</v>
      </c>
      <c r="V28" s="346">
        <v>6</v>
      </c>
      <c r="W28" s="347">
        <v>2</v>
      </c>
      <c r="X28" s="347">
        <v>1</v>
      </c>
      <c r="Y28" s="348">
        <v>3</v>
      </c>
      <c r="Z28" s="349">
        <v>6</v>
      </c>
      <c r="AA28" s="350" t="str">
        <v xml:space="preserve"> - </v>
      </c>
      <c r="AB28" s="351">
        <v>8</v>
      </c>
      <c r="AC28" s="352">
        <v>-2</v>
      </c>
      <c r="AD28" s="353">
        <v>3</v>
      </c>
      <c r="AE28" s="353">
        <v>1</v>
      </c>
      <c r="AF28" s="354">
        <v>7</v>
      </c>
      <c r="AP28" s="507" t="str">
        <f t="shared" si="9"/>
        <v>3</v>
      </c>
      <c r="AQ28" s="391" t="str">
        <f t="shared" si="10"/>
        <v>Crystal Palace</v>
      </c>
    </row>
    <row r="29" spans="2:44" x14ac:dyDescent="0.25">
      <c r="B29" s="418" t="s">
        <v>244</v>
      </c>
      <c r="C29" s="398" t="s">
        <v>247</v>
      </c>
      <c r="D29" s="398" t="s">
        <v>251</v>
      </c>
      <c r="E29" s="402" t="str">
        <f>VLOOKUP(MID($C29,8,1),$AP$26:$AQ$33,2,0)</f>
        <v>Schachtar Donezk</v>
      </c>
      <c r="F29" s="403" t="s">
        <v>4</v>
      </c>
      <c r="G29" s="407" t="str">
        <f>VLOOKUP(MID($D29,8,1),$AP$26:$AQ$33,2,0)</f>
        <v>AZ Alkmaar</v>
      </c>
      <c r="H29" s="428">
        <v>3</v>
      </c>
      <c r="I29" s="440" t="str">
        <f>Language!$E$90</f>
        <v xml:space="preserve"> - </v>
      </c>
      <c r="J29" s="431">
        <v>0</v>
      </c>
      <c r="K29" s="428">
        <v>2</v>
      </c>
      <c r="L29" s="440" t="str">
        <f>Language!$E$90</f>
        <v xml:space="preserve"> - </v>
      </c>
      <c r="M29" s="431">
        <v>2</v>
      </c>
      <c r="N29" s="428"/>
      <c r="O29" s="440" t="str">
        <f>Language!$E$90</f>
        <v xml:space="preserve"> - </v>
      </c>
      <c r="P29" s="434"/>
      <c r="T29" s="344">
        <v>26</v>
      </c>
      <c r="U29" s="345" t="str">
        <v>Lincoln Red Imps Fc</v>
      </c>
      <c r="V29" s="346">
        <v>6</v>
      </c>
      <c r="W29" s="347">
        <v>2</v>
      </c>
      <c r="X29" s="347">
        <v>1</v>
      </c>
      <c r="Y29" s="348">
        <v>3</v>
      </c>
      <c r="Z29" s="349">
        <v>7</v>
      </c>
      <c r="AA29" s="350" t="str">
        <v xml:space="preserve"> - </v>
      </c>
      <c r="AB29" s="351">
        <v>15</v>
      </c>
      <c r="AC29" s="352">
        <v>-8</v>
      </c>
      <c r="AD29" s="353">
        <v>2</v>
      </c>
      <c r="AE29" s="353">
        <v>0</v>
      </c>
      <c r="AF29" s="354">
        <v>7</v>
      </c>
      <c r="AP29" s="507" t="str">
        <f t="shared" si="9"/>
        <v>4</v>
      </c>
      <c r="AQ29" s="391" t="str">
        <f t="shared" si="10"/>
        <v>AC Florenz</v>
      </c>
    </row>
    <row r="30" spans="2:44" x14ac:dyDescent="0.25">
      <c r="B30" s="418" t="s">
        <v>245</v>
      </c>
      <c r="C30" s="398" t="s">
        <v>248</v>
      </c>
      <c r="D30" s="398" t="s">
        <v>252</v>
      </c>
      <c r="E30" s="402" t="str">
        <f>VLOOKUP(MID($C30,8,1),$AP$26:$AQ$33,2,0)</f>
        <v>Crystal Palace</v>
      </c>
      <c r="F30" s="403" t="s">
        <v>4</v>
      </c>
      <c r="G30" s="407" t="str">
        <f>VLOOKUP(MID($D30,8,1),$AP$26:$AQ$33,2,0)</f>
        <v>AC Florenz</v>
      </c>
      <c r="H30" s="428">
        <v>3</v>
      </c>
      <c r="I30" s="440" t="str">
        <f>Language!$E$90</f>
        <v xml:space="preserve"> - </v>
      </c>
      <c r="J30" s="431">
        <v>0</v>
      </c>
      <c r="K30" s="428">
        <v>1</v>
      </c>
      <c r="L30" s="440" t="str">
        <f>Language!$E$90</f>
        <v xml:space="preserve"> - </v>
      </c>
      <c r="M30" s="431">
        <v>2</v>
      </c>
      <c r="N30" s="428"/>
      <c r="O30" s="440" t="str">
        <f>Language!$E$90</f>
        <v xml:space="preserve"> - </v>
      </c>
      <c r="P30" s="434"/>
      <c r="T30" s="344">
        <v>27</v>
      </c>
      <c r="U30" s="345" t="str">
        <v>Dynamo Kiew</v>
      </c>
      <c r="V30" s="346">
        <v>6</v>
      </c>
      <c r="W30" s="347">
        <v>2</v>
      </c>
      <c r="X30" s="347">
        <v>0</v>
      </c>
      <c r="Y30" s="348">
        <v>4</v>
      </c>
      <c r="Z30" s="349">
        <v>9</v>
      </c>
      <c r="AA30" s="350" t="str">
        <v xml:space="preserve"> - </v>
      </c>
      <c r="AB30" s="351">
        <v>9</v>
      </c>
      <c r="AC30" s="352">
        <v>0</v>
      </c>
      <c r="AD30" s="353">
        <v>1</v>
      </c>
      <c r="AE30" s="353">
        <v>0</v>
      </c>
      <c r="AF30" s="354">
        <v>6</v>
      </c>
      <c r="AP30" s="507" t="str">
        <f t="shared" si="9"/>
        <v>5</v>
      </c>
      <c r="AQ30" s="391" t="str">
        <f t="shared" si="10"/>
        <v>Rayo Vallecano</v>
      </c>
    </row>
    <row r="31" spans="2:44" ht="16.5" thickBot="1" x14ac:dyDescent="0.3">
      <c r="B31" s="419" t="s">
        <v>246</v>
      </c>
      <c r="C31" s="399" t="s">
        <v>250</v>
      </c>
      <c r="D31" s="399" t="s">
        <v>254</v>
      </c>
      <c r="E31" s="404" t="str">
        <f>VLOOKUP(MID($C31,8,1),$AP$26:$AQ$33,2,0)</f>
        <v>1. FSV Mainz 05</v>
      </c>
      <c r="F31" s="405" t="s">
        <v>4</v>
      </c>
      <c r="G31" s="408" t="str">
        <f>VLOOKUP(MID($D31,8,1),$AP$26:$AQ$33,2,0)</f>
        <v>Racing Straßburg</v>
      </c>
      <c r="H31" s="429">
        <v>2</v>
      </c>
      <c r="I31" s="441" t="str">
        <f>Language!$E$90</f>
        <v xml:space="preserve"> - </v>
      </c>
      <c r="J31" s="432">
        <v>0</v>
      </c>
      <c r="K31" s="429">
        <v>0</v>
      </c>
      <c r="L31" s="441" t="str">
        <f>Language!$E$90</f>
        <v xml:space="preserve"> - </v>
      </c>
      <c r="M31" s="432">
        <v>4</v>
      </c>
      <c r="N31" s="429"/>
      <c r="O31" s="441" t="str">
        <f>Language!$E$90</f>
        <v xml:space="preserve"> - </v>
      </c>
      <c r="P31" s="435"/>
      <c r="T31" s="344">
        <v>28</v>
      </c>
      <c r="U31" s="345" t="str">
        <v>Legia Warschau</v>
      </c>
      <c r="V31" s="346">
        <v>6</v>
      </c>
      <c r="W31" s="347">
        <v>2</v>
      </c>
      <c r="X31" s="347">
        <v>0</v>
      </c>
      <c r="Y31" s="348">
        <v>4</v>
      </c>
      <c r="Z31" s="349">
        <v>8</v>
      </c>
      <c r="AA31" s="350" t="str">
        <v xml:space="preserve"> - </v>
      </c>
      <c r="AB31" s="351">
        <v>8</v>
      </c>
      <c r="AC31" s="352">
        <v>0</v>
      </c>
      <c r="AD31" s="353">
        <v>4</v>
      </c>
      <c r="AE31" s="353">
        <v>1</v>
      </c>
      <c r="AF31" s="354">
        <v>6</v>
      </c>
      <c r="AP31" s="507" t="str">
        <f t="shared" si="9"/>
        <v>6</v>
      </c>
      <c r="AQ31" s="391" t="str">
        <f t="shared" si="10"/>
        <v>AEK Athen</v>
      </c>
    </row>
    <row r="32" spans="2:44" ht="16.5" thickTop="1" x14ac:dyDescent="0.25">
      <c r="T32" s="344">
        <v>29</v>
      </c>
      <c r="U32" s="345" t="str">
        <v>Slovan Bratislava</v>
      </c>
      <c r="V32" s="346">
        <v>6</v>
      </c>
      <c r="W32" s="347">
        <v>2</v>
      </c>
      <c r="X32" s="347">
        <v>0</v>
      </c>
      <c r="Y32" s="348">
        <v>4</v>
      </c>
      <c r="Z32" s="349">
        <v>5</v>
      </c>
      <c r="AA32" s="350" t="str">
        <v xml:space="preserve"> - </v>
      </c>
      <c r="AB32" s="351">
        <v>9</v>
      </c>
      <c r="AC32" s="352">
        <v>-4</v>
      </c>
      <c r="AD32" s="353">
        <v>1</v>
      </c>
      <c r="AE32" s="353">
        <v>0</v>
      </c>
      <c r="AF32" s="354">
        <v>6</v>
      </c>
      <c r="AP32" s="507" t="str">
        <f t="shared" si="9"/>
        <v>7</v>
      </c>
      <c r="AQ32" s="391" t="str">
        <f t="shared" si="10"/>
        <v>1. FSV Mainz 05</v>
      </c>
    </row>
    <row r="33" spans="2:43" x14ac:dyDescent="0.25">
      <c r="T33" s="344">
        <v>30</v>
      </c>
      <c r="U33" s="345" t="str">
        <v>UMF Breidablik</v>
      </c>
      <c r="V33" s="346">
        <v>6</v>
      </c>
      <c r="W33" s="347">
        <v>1</v>
      </c>
      <c r="X33" s="347">
        <v>2</v>
      </c>
      <c r="Y33" s="348">
        <v>3</v>
      </c>
      <c r="Z33" s="349">
        <v>6</v>
      </c>
      <c r="AA33" s="350" t="str">
        <v xml:space="preserve"> - </v>
      </c>
      <c r="AB33" s="351">
        <v>11</v>
      </c>
      <c r="AC33" s="352">
        <v>-5</v>
      </c>
      <c r="AD33" s="353">
        <v>1</v>
      </c>
      <c r="AE33" s="353">
        <v>0</v>
      </c>
      <c r="AF33" s="354">
        <v>5</v>
      </c>
      <c r="AP33" s="507" t="str">
        <f t="shared" si="9"/>
        <v>8</v>
      </c>
      <c r="AQ33" s="391" t="str">
        <f t="shared" si="10"/>
        <v>Racing Straßburg</v>
      </c>
    </row>
    <row r="34" spans="2:43" ht="23.25" x14ac:dyDescent="0.35">
      <c r="B34" s="393" t="str">
        <f>Language!$E$36</f>
        <v>Semi-final</v>
      </c>
      <c r="H34" s="549">
        <v>46142</v>
      </c>
      <c r="I34" s="550"/>
      <c r="J34" s="550"/>
      <c r="K34" s="549">
        <v>46149</v>
      </c>
      <c r="L34" s="550"/>
      <c r="M34" s="550"/>
      <c r="N34" s="543" t="str">
        <f>Language!$E$33</f>
        <v>Penalty shootout</v>
      </c>
      <c r="O34" s="544"/>
      <c r="P34" s="545"/>
      <c r="T34" s="344">
        <v>31</v>
      </c>
      <c r="U34" s="345" t="str">
        <v>Shamrock Rovers</v>
      </c>
      <c r="V34" s="346">
        <v>6</v>
      </c>
      <c r="W34" s="347">
        <v>1</v>
      </c>
      <c r="X34" s="347">
        <v>1</v>
      </c>
      <c r="Y34" s="348">
        <v>4</v>
      </c>
      <c r="Z34" s="349">
        <v>7</v>
      </c>
      <c r="AA34" s="350" t="str">
        <v xml:space="preserve"> - </v>
      </c>
      <c r="AB34" s="351">
        <v>13</v>
      </c>
      <c r="AC34" s="352">
        <v>-6</v>
      </c>
      <c r="AD34" s="353">
        <v>3</v>
      </c>
      <c r="AE34" s="353">
        <v>0</v>
      </c>
      <c r="AF34" s="354">
        <v>4</v>
      </c>
    </row>
    <row r="35" spans="2:43" ht="16.5" customHeight="1" thickBot="1" x14ac:dyDescent="0.3">
      <c r="H35" s="551" t="str">
        <f>Language!$E$31</f>
        <v>First leg</v>
      </c>
      <c r="I35" s="551"/>
      <c r="J35" s="551"/>
      <c r="K35" s="551" t="str">
        <f>Language!$E$32</f>
        <v>Second leg</v>
      </c>
      <c r="L35" s="551"/>
      <c r="M35" s="551"/>
      <c r="N35" s="546"/>
      <c r="O35" s="547"/>
      <c r="P35" s="548"/>
      <c r="T35" s="344">
        <v>32</v>
      </c>
      <c r="U35" s="345" t="str">
        <v>Hamrun Spartans</v>
      </c>
      <c r="V35" s="346">
        <v>6</v>
      </c>
      <c r="W35" s="347">
        <v>1</v>
      </c>
      <c r="X35" s="347">
        <v>1</v>
      </c>
      <c r="Y35" s="348">
        <v>4</v>
      </c>
      <c r="Z35" s="349">
        <v>5</v>
      </c>
      <c r="AA35" s="350" t="str">
        <v xml:space="preserve"> - </v>
      </c>
      <c r="AB35" s="351">
        <v>11</v>
      </c>
      <c r="AC35" s="352">
        <v>-6</v>
      </c>
      <c r="AD35" s="353">
        <v>1</v>
      </c>
      <c r="AE35" s="353">
        <v>0</v>
      </c>
      <c r="AF35" s="354">
        <v>4</v>
      </c>
      <c r="AP35" s="507" t="str">
        <f>MID($B28,4,1)</f>
        <v>1</v>
      </c>
      <c r="AQ35" s="391" t="str">
        <f>IF(NOT(AND(ISNUMBER($H28),ISNUMBER($J28),ISNUMBER($K28),ISNUMBER($M28))),"",IF($H28+$K28&gt;$J28+$M28,$E28,IF($H28+$K28&lt;$J28+$M28,$G28,IF(OR(NOT(ISNUMBER($N28)),NOT(ISNUMBER($P28)),$N28=$P28),"",IF($N28&gt;$P28,$E28,$G28)))))</f>
        <v>Rayo Vallecano</v>
      </c>
    </row>
    <row r="36" spans="2:43" ht="16.5" thickTop="1" x14ac:dyDescent="0.25">
      <c r="B36" s="417" t="s">
        <v>256</v>
      </c>
      <c r="C36" s="397" t="s">
        <v>259</v>
      </c>
      <c r="D36" s="397" t="s">
        <v>260</v>
      </c>
      <c r="E36" s="400" t="str">
        <f>VLOOKUP(MID($C36,8,1),$AP$35:$AQ$38,2,0)</f>
        <v>Schachtar Donezk</v>
      </c>
      <c r="F36" s="401" t="s">
        <v>4</v>
      </c>
      <c r="G36" s="406" t="str">
        <f>VLOOKUP(MID($D36,8,1),$AP$35:$AQ$38,2,0)</f>
        <v>Crystal Palace</v>
      </c>
      <c r="H36" s="427"/>
      <c r="I36" s="439" t="str">
        <f>Language!$E$90</f>
        <v xml:space="preserve"> - </v>
      </c>
      <c r="J36" s="430"/>
      <c r="K36" s="427"/>
      <c r="L36" s="439" t="str">
        <f>Language!$E$90</f>
        <v xml:space="preserve"> - </v>
      </c>
      <c r="M36" s="430"/>
      <c r="N36" s="427"/>
      <c r="O36" s="439" t="str">
        <f>Language!$E$90</f>
        <v xml:space="preserve"> - </v>
      </c>
      <c r="P36" s="433"/>
      <c r="T36" s="344">
        <v>33</v>
      </c>
      <c r="U36" s="345" t="str">
        <v>BK Häcken</v>
      </c>
      <c r="V36" s="346">
        <v>6</v>
      </c>
      <c r="W36" s="347">
        <v>0</v>
      </c>
      <c r="X36" s="347">
        <v>3</v>
      </c>
      <c r="Y36" s="348">
        <v>3</v>
      </c>
      <c r="Z36" s="349">
        <v>5</v>
      </c>
      <c r="AA36" s="350" t="str">
        <v xml:space="preserve"> - </v>
      </c>
      <c r="AB36" s="351">
        <v>8</v>
      </c>
      <c r="AC36" s="352">
        <v>-3</v>
      </c>
      <c r="AD36" s="353">
        <v>1</v>
      </c>
      <c r="AE36" s="353">
        <v>0</v>
      </c>
      <c r="AF36" s="354">
        <v>3</v>
      </c>
      <c r="AP36" s="507" t="str">
        <f t="shared" ref="AP36:AP38" si="11">MID($B29,4,1)</f>
        <v>2</v>
      </c>
      <c r="AQ36" s="391" t="str">
        <f t="shared" ref="AQ36:AQ38" si="12">IF(NOT(AND(ISNUMBER($H29),ISNUMBER($J29),ISNUMBER($K29),ISNUMBER($M29))),"",IF($H29+$K29&gt;$J29+$M29,$E29,IF($H29+$K29&lt;$J29+$M29,$G29,IF(OR(NOT(ISNUMBER($N29)),NOT(ISNUMBER($P29)),$N29=$P29),"",IF($N29&gt;$P29,$E29,$G29)))))</f>
        <v>Schachtar Donezk</v>
      </c>
    </row>
    <row r="37" spans="2:43" ht="16.5" thickBot="1" x14ac:dyDescent="0.3">
      <c r="B37" s="419" t="s">
        <v>257</v>
      </c>
      <c r="C37" s="399" t="s">
        <v>261</v>
      </c>
      <c r="D37" s="399" t="s">
        <v>258</v>
      </c>
      <c r="E37" s="404" t="str">
        <f>VLOOKUP(MID($C37,8,1),$AP$35:$AQ$38,2,0)</f>
        <v>Racing Straßburg</v>
      </c>
      <c r="F37" s="405" t="s">
        <v>4</v>
      </c>
      <c r="G37" s="408" t="str">
        <f>VLOOKUP(MID($D37,8,1),$AP$35:$AQ$38,2,0)</f>
        <v>Rayo Vallecano</v>
      </c>
      <c r="H37" s="429"/>
      <c r="I37" s="441" t="str">
        <f>Language!$E$90</f>
        <v xml:space="preserve"> - </v>
      </c>
      <c r="J37" s="432"/>
      <c r="K37" s="429"/>
      <c r="L37" s="441" t="str">
        <f>Language!$E$90</f>
        <v xml:space="preserve"> - </v>
      </c>
      <c r="M37" s="432"/>
      <c r="N37" s="429"/>
      <c r="O37" s="441" t="str">
        <f>Language!$E$90</f>
        <v xml:space="preserve"> - </v>
      </c>
      <c r="P37" s="435"/>
      <c r="T37" s="344">
        <v>34</v>
      </c>
      <c r="U37" s="345" t="str">
        <v>FC Shelbourne</v>
      </c>
      <c r="V37" s="346">
        <v>6</v>
      </c>
      <c r="W37" s="347">
        <v>0</v>
      </c>
      <c r="X37" s="347">
        <v>2</v>
      </c>
      <c r="Y37" s="348">
        <v>4</v>
      </c>
      <c r="Z37" s="349">
        <v>0</v>
      </c>
      <c r="AA37" s="350" t="str">
        <v xml:space="preserve"> - </v>
      </c>
      <c r="AB37" s="351">
        <v>7</v>
      </c>
      <c r="AC37" s="352">
        <v>-7</v>
      </c>
      <c r="AD37" s="353">
        <v>0</v>
      </c>
      <c r="AE37" s="353">
        <v>0</v>
      </c>
      <c r="AF37" s="354">
        <v>2</v>
      </c>
      <c r="AP37" s="507" t="str">
        <f t="shared" si="11"/>
        <v>3</v>
      </c>
      <c r="AQ37" s="391" t="str">
        <f t="shared" si="12"/>
        <v>Crystal Palace</v>
      </c>
    </row>
    <row r="38" spans="2:43" ht="16.5" thickTop="1" x14ac:dyDescent="0.25">
      <c r="T38" s="344">
        <v>35</v>
      </c>
      <c r="U38" s="345" t="str">
        <v>FC Aberdeen</v>
      </c>
      <c r="V38" s="346">
        <v>6</v>
      </c>
      <c r="W38" s="347">
        <v>0</v>
      </c>
      <c r="X38" s="347">
        <v>2</v>
      </c>
      <c r="Y38" s="348">
        <v>4</v>
      </c>
      <c r="Z38" s="349">
        <v>3</v>
      </c>
      <c r="AA38" s="350" t="str">
        <v xml:space="preserve"> - </v>
      </c>
      <c r="AB38" s="351">
        <v>14</v>
      </c>
      <c r="AC38" s="352">
        <v>-11</v>
      </c>
      <c r="AD38" s="353">
        <v>0</v>
      </c>
      <c r="AE38" s="353">
        <v>0</v>
      </c>
      <c r="AF38" s="354">
        <v>2</v>
      </c>
      <c r="AP38" s="507" t="str">
        <f t="shared" si="11"/>
        <v>4</v>
      </c>
      <c r="AQ38" s="391" t="str">
        <f t="shared" si="12"/>
        <v>Racing Straßburg</v>
      </c>
    </row>
    <row r="39" spans="2:43" ht="16.5" thickBot="1" x14ac:dyDescent="0.3">
      <c r="T39" s="355">
        <v>36</v>
      </c>
      <c r="U39" s="356" t="str">
        <v>Rapid Wien</v>
      </c>
      <c r="V39" s="357">
        <v>6</v>
      </c>
      <c r="W39" s="358">
        <v>0</v>
      </c>
      <c r="X39" s="358">
        <v>1</v>
      </c>
      <c r="Y39" s="359">
        <v>5</v>
      </c>
      <c r="Z39" s="360">
        <v>3</v>
      </c>
      <c r="AA39" s="361" t="str">
        <v xml:space="preserve"> - </v>
      </c>
      <c r="AB39" s="362">
        <v>14</v>
      </c>
      <c r="AC39" s="363">
        <v>-11</v>
      </c>
      <c r="AD39" s="364">
        <v>3</v>
      </c>
      <c r="AE39" s="364">
        <v>0</v>
      </c>
      <c r="AF39" s="365">
        <v>1</v>
      </c>
    </row>
    <row r="40" spans="2:43" ht="24" thickTop="1" x14ac:dyDescent="0.35">
      <c r="B40" s="393" t="str">
        <f>Language!$E$37</f>
        <v>Final</v>
      </c>
      <c r="H40" s="549">
        <v>46169</v>
      </c>
      <c r="I40" s="549"/>
      <c r="J40" s="549"/>
      <c r="K40" s="543" t="str">
        <f>Language!$E$33</f>
        <v>Penalty shootout</v>
      </c>
      <c r="L40" s="544"/>
      <c r="M40" s="545"/>
    </row>
    <row r="41" spans="2:43" ht="16.5" customHeight="1" thickBot="1" x14ac:dyDescent="0.3">
      <c r="H41" s="551" t="str">
        <f>Language!$E$15</f>
        <v>Result</v>
      </c>
      <c r="I41" s="551"/>
      <c r="J41" s="551"/>
      <c r="K41" s="546"/>
      <c r="L41" s="547"/>
      <c r="M41" s="548"/>
      <c r="N41" s="396"/>
      <c r="O41" s="396"/>
      <c r="P41" s="396"/>
      <c r="AP41" s="507" t="str">
        <f>MID($B36,4,1)</f>
        <v>1</v>
      </c>
      <c r="AQ41" s="391" t="str">
        <f>IF(NOT(AND(ISNUMBER($H36),ISNUMBER($J36),ISNUMBER($K36),ISNUMBER($M36))),"",IF($H36+$K36&gt;$J36+$M36,$E36,IF($H36+$K36&lt;$J36+$M36,$G36,IF(OR(NOT(ISNUMBER($N36)),NOT(ISNUMBER($P36)),$N36=$P36),"",IF($N36&gt;$P36,$E36,$G36)))))</f>
        <v/>
      </c>
    </row>
    <row r="42" spans="2:43" ht="17.25" thickTop="1" thickBot="1" x14ac:dyDescent="0.3">
      <c r="B42" s="420" t="s">
        <v>262</v>
      </c>
      <c r="C42" s="411" t="s">
        <v>268</v>
      </c>
      <c r="D42" s="411" t="s">
        <v>269</v>
      </c>
      <c r="E42" s="412" t="str">
        <f>VLOOKUP(MID($C42,8,1),$AP$41:$AQ$42,2,0)</f>
        <v/>
      </c>
      <c r="F42" s="413" t="s">
        <v>4</v>
      </c>
      <c r="G42" s="414" t="str">
        <f>VLOOKUP(MID($D42,8,1),$AP$41:$AQ$42,2,0)</f>
        <v/>
      </c>
      <c r="H42" s="436"/>
      <c r="I42" s="442" t="str">
        <f>Language!$E$90</f>
        <v xml:space="preserve"> - </v>
      </c>
      <c r="J42" s="437"/>
      <c r="K42" s="436"/>
      <c r="L42" s="442" t="str">
        <f>Language!$E$90</f>
        <v xml:space="preserve"> - </v>
      </c>
      <c r="M42" s="438"/>
      <c r="N42" s="394"/>
      <c r="O42" s="392"/>
      <c r="P42" s="395"/>
      <c r="AP42" s="507" t="str">
        <f>MID($B37,4,1)</f>
        <v>2</v>
      </c>
      <c r="AQ42" s="391" t="str">
        <f>IF(NOT(AND(ISNUMBER($H37),ISNUMBER($J37),ISNUMBER($K37),ISNUMBER($M37))),"",IF($H37+$K37&gt;$J37+$M37,$E37,IF($H37+$K37&lt;$J37+$M37,$G37,IF(OR(NOT(ISNUMBER($N37)),NOT(ISNUMBER($P37)),$N37=$P37),"",IF($N37&gt;$P37,$E37,$G37)))))</f>
        <v/>
      </c>
    </row>
    <row r="43" spans="2:43" ht="16.5" thickTop="1" x14ac:dyDescent="0.25"/>
    <row r="44" spans="2:43" ht="21" customHeight="1" thickBot="1" x14ac:dyDescent="0.3"/>
    <row r="45" spans="2:43" ht="26.25" customHeight="1" thickTop="1" x14ac:dyDescent="0.35">
      <c r="E45" s="552" t="s">
        <v>282</v>
      </c>
      <c r="F45" s="553"/>
      <c r="G45" s="554"/>
    </row>
    <row r="46" spans="2:43" x14ac:dyDescent="0.25">
      <c r="E46" s="555" t="str">
        <f>IF(NOT(AND(ISNUMBER($H42),ISNUMBER($J42))),"",IF($H42&gt;$J42,$E42,IF($H42&lt;$J42,$G42,IF(OR(NOT(ISNUMBER($K42)),NOT(ISNUMBER($M42)),$K42=$M42),"",IF($K42&gt;$M42,$E42,$G42)))))</f>
        <v/>
      </c>
      <c r="F46" s="556"/>
      <c r="G46" s="557"/>
    </row>
    <row r="47" spans="2:43" ht="21" customHeight="1" thickBot="1" x14ac:dyDescent="0.3">
      <c r="E47" s="558"/>
      <c r="F47" s="559"/>
      <c r="G47" s="560"/>
    </row>
    <row r="48" spans="2:43" ht="16.5" thickTop="1" x14ac:dyDescent="0.25"/>
    <row r="49" x14ac:dyDescent="0.25"/>
    <row r="50" x14ac:dyDescent="0.25"/>
  </sheetData>
  <sheetProtection sheet="1" objects="1" scenarios="1" selectLockedCells="1"/>
  <mergeCells count="27">
    <mergeCell ref="E45:G45"/>
    <mergeCell ref="E46:G47"/>
    <mergeCell ref="H34:J34"/>
    <mergeCell ref="K34:M34"/>
    <mergeCell ref="H35:J35"/>
    <mergeCell ref="K35:M35"/>
    <mergeCell ref="H2:J2"/>
    <mergeCell ref="K2:M2"/>
    <mergeCell ref="H40:J40"/>
    <mergeCell ref="H15:J15"/>
    <mergeCell ref="K15:M15"/>
    <mergeCell ref="H26:J26"/>
    <mergeCell ref="K26:M26"/>
    <mergeCell ref="H27:J27"/>
    <mergeCell ref="K27:M27"/>
    <mergeCell ref="N34:P35"/>
    <mergeCell ref="K40:M41"/>
    <mergeCell ref="H14:J14"/>
    <mergeCell ref="K14:M14"/>
    <mergeCell ref="H3:J3"/>
    <mergeCell ref="K3:M3"/>
    <mergeCell ref="H41:J41"/>
    <mergeCell ref="Z3:AB3"/>
    <mergeCell ref="T2:U2"/>
    <mergeCell ref="N2:P3"/>
    <mergeCell ref="N14:P15"/>
    <mergeCell ref="N26:P27"/>
  </mergeCells>
  <conditionalFormatting sqref="T4:T39">
    <cfRule type="expression" dxfId="14" priority="1">
      <formula>T4=T3</formula>
    </cfRule>
  </conditionalFormatting>
  <pageMargins left="0.7" right="0.7" top="0.78740157499999996" bottom="0.78740157499999996" header="0.3" footer="0.3"/>
  <pageSetup paperSize="9" orientation="portrait" horizontalDpi="4294967293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4"/>
  <dimension ref="A1:W153"/>
  <sheetViews>
    <sheetView showGridLines="0" showRowColHeaders="0" zoomScaleNormal="100" workbookViewId="0">
      <selection activeCell="E7" sqref="E7"/>
    </sheetView>
  </sheetViews>
  <sheetFormatPr baseColWidth="10" defaultColWidth="0" defaultRowHeight="12.75" zeroHeight="1" x14ac:dyDescent="0.2"/>
  <cols>
    <col min="1" max="1" width="11.42578125" style="22" customWidth="1"/>
    <col min="2" max="2" width="11.42578125" style="22" hidden="1" customWidth="1"/>
    <col min="3" max="3" width="8" style="22" customWidth="1"/>
    <col min="4" max="4" width="29.85546875" style="22" customWidth="1"/>
    <col min="5" max="5" width="13" style="22" customWidth="1"/>
    <col min="6" max="9" width="11.42578125" style="22" hidden="1" customWidth="1"/>
    <col min="10" max="10" width="3.140625" style="187" customWidth="1"/>
    <col min="11" max="11" width="9.28515625" style="187" customWidth="1"/>
    <col min="12" max="12" width="11.42578125" style="185" customWidth="1"/>
    <col min="13" max="13" width="9.85546875" style="22" customWidth="1"/>
    <col min="14" max="14" width="4.7109375" style="22" customWidth="1"/>
    <col min="15" max="15" width="3" style="22" customWidth="1"/>
    <col min="16" max="16" width="4.7109375" style="22" customWidth="1"/>
    <col min="17" max="17" width="26.7109375" style="22" customWidth="1"/>
    <col min="18" max="18" width="3.85546875" style="22" customWidth="1"/>
    <col min="19" max="19" width="26.7109375" style="22" customWidth="1"/>
    <col min="20" max="20" width="14.42578125" style="22" customWidth="1"/>
    <col min="21" max="22" width="11.42578125" style="22" customWidth="1"/>
    <col min="23" max="16384" width="11.42578125" style="22" hidden="1"/>
  </cols>
  <sheetData>
    <row r="1" spans="2:23" x14ac:dyDescent="0.2">
      <c r="B1" s="87"/>
    </row>
    <row r="2" spans="2:23" ht="37.5" customHeight="1" x14ac:dyDescent="0.5">
      <c r="B2" s="86"/>
      <c r="C2" s="107" t="str">
        <f>Language!$E$44</f>
        <v>Participants and schedule</v>
      </c>
      <c r="D2" s="107"/>
      <c r="E2" s="107"/>
      <c r="F2" s="107"/>
      <c r="G2" s="107"/>
      <c r="H2" s="107"/>
      <c r="I2" s="107"/>
      <c r="J2" s="188"/>
      <c r="K2" s="188"/>
      <c r="L2" s="186"/>
      <c r="Q2" s="564" t="str">
        <f>Language!$E$69</f>
        <v>Double match pairings and matches against oneself
lead to incorrect values in the overall table!</v>
      </c>
      <c r="R2" s="564"/>
      <c r="S2" s="564"/>
      <c r="T2" s="564"/>
      <c r="U2" s="175"/>
      <c r="V2" s="175"/>
      <c r="W2" s="175"/>
    </row>
    <row r="3" spans="2:23" ht="18.75" customHeight="1" x14ac:dyDescent="0.2"/>
    <row r="4" spans="2:23" ht="19.5" customHeight="1" x14ac:dyDescent="0.4">
      <c r="C4" s="19" t="str">
        <f>Language!$E$45</f>
        <v>Participants</v>
      </c>
      <c r="M4" s="19" t="str">
        <f>Language!$E$46</f>
        <v>Schedule</v>
      </c>
      <c r="Q4" s="119"/>
      <c r="R4" s="119"/>
      <c r="S4" s="119"/>
    </row>
    <row r="5" spans="2:23" ht="19.5" customHeight="1" thickBot="1" x14ac:dyDescent="0.25">
      <c r="C5" s="561" t="str">
        <f>Language!$E$87</f>
        <v>Duplicate names</v>
      </c>
      <c r="D5" s="561"/>
      <c r="E5" s="181"/>
      <c r="F5" s="35"/>
    </row>
    <row r="6" spans="2:23" ht="21" customHeight="1" thickTop="1" x14ac:dyDescent="0.25">
      <c r="B6" s="82">
        <f>MAX($B$7:$B$38)</f>
        <v>1</v>
      </c>
      <c r="C6" s="201" t="str">
        <f>Language!$E$9</f>
        <v>No.</v>
      </c>
      <c r="D6" s="206" t="str">
        <f>Language!$E$10</f>
        <v>Participant or Team</v>
      </c>
      <c r="E6" s="202" t="str">
        <f>Language!$E$56</f>
        <v>Abbreviation</v>
      </c>
      <c r="F6" s="83">
        <f>MAX($F$7:$F$150)</f>
        <v>1</v>
      </c>
      <c r="G6" s="35"/>
      <c r="H6" s="35"/>
      <c r="I6" s="35" t="s">
        <v>100</v>
      </c>
      <c r="J6" s="35"/>
      <c r="K6" s="35"/>
      <c r="L6" s="191" t="str">
        <f>Language!$E$17</f>
        <v>Matchweek</v>
      </c>
      <c r="M6" s="210" t="str">
        <f>Language!$E$47</f>
        <v>Game no.</v>
      </c>
      <c r="N6" s="562" t="str">
        <f>Language!$E$48</f>
        <v>Pairings</v>
      </c>
      <c r="O6" s="562"/>
      <c r="P6" s="562"/>
      <c r="Q6" s="562" t="str">
        <f>Language!$E$45</f>
        <v>Participants</v>
      </c>
      <c r="R6" s="562"/>
      <c r="S6" s="563"/>
      <c r="T6" s="210" t="str">
        <f>Language!$E$59</f>
        <v>Date</v>
      </c>
      <c r="U6" s="211" t="str">
        <f>Language!$E$62</f>
        <v>Time</v>
      </c>
    </row>
    <row r="7" spans="2:23" ht="15.95" customHeight="1" x14ac:dyDescent="0.2">
      <c r="B7" s="82">
        <f>COUNTIF($D$7:$D$38,$D7)</f>
        <v>1</v>
      </c>
      <c r="C7" s="207">
        <v>1</v>
      </c>
      <c r="D7" s="203" t="s">
        <v>283</v>
      </c>
      <c r="E7" s="166"/>
      <c r="F7" s="82">
        <f t="shared" ref="F7:F38" si="0">IF($G7="",0,IF(LEFT($G7,2)=RIGHT($G7,2),100,IF(COUNTIF($G$7:$G$150,$G7)&gt;1,101,COUNTIF($G$7:$G$150,$G7)+COUNTIF($H$7:$H$150,$G7))))</f>
        <v>1</v>
      </c>
      <c r="G7" s="82" t="str">
        <f>IF(OR($N7="",$P7=""),"",TEXT($N7,"00")&amp;TEXT($P7,"00"))</f>
        <v>0102</v>
      </c>
      <c r="H7" s="82" t="str">
        <f>IF(OR($N7="",$P7=""),"",TEXT($P7,"00")&amp;TEXT($N7,"00"))</f>
        <v>0201</v>
      </c>
      <c r="I7" s="82">
        <f>IF($G7="",0,COUNTIF($G$7:$G7,$H7))</f>
        <v>0</v>
      </c>
      <c r="J7" s="184"/>
      <c r="K7" s="212" t="str">
        <f>Language!$E$85</f>
        <v>double</v>
      </c>
      <c r="L7" s="256">
        <v>1</v>
      </c>
      <c r="M7" s="95">
        <v>1</v>
      </c>
      <c r="N7" s="236">
        <v>1</v>
      </c>
      <c r="O7" s="237" t="s">
        <v>4</v>
      </c>
      <c r="P7" s="238">
        <v>2</v>
      </c>
      <c r="Q7" s="96" t="str">
        <f>IF(ISBLANK($N7),"",IF(ISBLANK(VLOOKUP($N7,$C$7:$D$42,2,0)),"",VLOOKUP($N7,$C$7:$D$42,2,0)))</f>
        <v>Dynamo Kiew</v>
      </c>
      <c r="R7" s="97" t="s">
        <v>4</v>
      </c>
      <c r="S7" s="98" t="str">
        <f>IF(ISBLANK($P7),"",IF(ISBLANK(VLOOKUP($P7,$C$7:$D$42,2,0)),"",VLOOKUP($P7,$C$7:$D$42,2,0)))</f>
        <v>Crystal Palace</v>
      </c>
      <c r="T7" s="512">
        <v>45932</v>
      </c>
      <c r="U7" s="164">
        <v>0.78125</v>
      </c>
    </row>
    <row r="8" spans="2:23" ht="15.95" customHeight="1" x14ac:dyDescent="0.2">
      <c r="B8" s="82">
        <f t="shared" ref="B8:B38" si="1">COUNTIF($D$7:$D$38,$D8)</f>
        <v>1</v>
      </c>
      <c r="C8" s="208">
        <v>2</v>
      </c>
      <c r="D8" s="204" t="s">
        <v>284</v>
      </c>
      <c r="E8" s="167"/>
      <c r="F8" s="82">
        <f t="shared" si="0"/>
        <v>1</v>
      </c>
      <c r="G8" s="82" t="str">
        <f t="shared" ref="G8:G71" si="2">IF(OR($N8="",$P8=""),"",TEXT($N8,"00")&amp;TEXT($P8,"00"))</f>
        <v>0304</v>
      </c>
      <c r="H8" s="82" t="str">
        <f t="shared" ref="H8:H71" si="3">IF(OR($N8="",$P8=""),"",TEXT($P8,"00")&amp;TEXT($N8,"00"))</f>
        <v>0403</v>
      </c>
      <c r="I8" s="82">
        <f>IF($G8="",0,COUNTIF($G$7:$G8,$H8))</f>
        <v>0</v>
      </c>
      <c r="J8" s="184"/>
      <c r="K8" s="212" t="str">
        <f>Language!$E$85</f>
        <v>double</v>
      </c>
      <c r="L8" s="189"/>
      <c r="M8" s="91">
        <v>2</v>
      </c>
      <c r="N8" s="239">
        <v>3</v>
      </c>
      <c r="O8" s="240" t="s">
        <v>4</v>
      </c>
      <c r="P8" s="241">
        <v>4</v>
      </c>
      <c r="Q8" s="96" t="str">
        <f t="shared" ref="Q8:Q71" si="4">IF(ISBLANK($N8),"",IF(ISBLANK(VLOOKUP($N8,$C$7:$D$42,2,0)),"",VLOOKUP($N8,$C$7:$D$42,2,0)))</f>
        <v>Lech Posen</v>
      </c>
      <c r="R8" s="97" t="s">
        <v>4</v>
      </c>
      <c r="S8" s="98" t="str">
        <f t="shared" ref="S8:S71" si="5">IF(ISBLANK($P8),"",IF(ISBLANK(VLOOKUP($P8,$C$7:$D$42,2,0)),"",VLOOKUP($P8,$C$7:$D$42,2,0)))</f>
        <v>Rapid Wien</v>
      </c>
      <c r="T8" s="513">
        <v>45932</v>
      </c>
      <c r="U8" s="165">
        <v>0.78125</v>
      </c>
    </row>
    <row r="9" spans="2:23" ht="15.95" customHeight="1" x14ac:dyDescent="0.2">
      <c r="B9" s="82">
        <f t="shared" si="1"/>
        <v>1</v>
      </c>
      <c r="C9" s="208">
        <v>3</v>
      </c>
      <c r="D9" s="204" t="s">
        <v>285</v>
      </c>
      <c r="E9" s="167"/>
      <c r="F9" s="82">
        <f t="shared" si="0"/>
        <v>1</v>
      </c>
      <c r="G9" s="82" t="str">
        <f t="shared" si="2"/>
        <v>0506</v>
      </c>
      <c r="H9" s="82" t="str">
        <f t="shared" si="3"/>
        <v>0605</v>
      </c>
      <c r="I9" s="82">
        <f>IF($G9="",0,COUNTIF($G$7:$G9,$H9))</f>
        <v>0</v>
      </c>
      <c r="J9" s="184"/>
      <c r="K9" s="212" t="str">
        <f>Language!$E$85</f>
        <v>double</v>
      </c>
      <c r="L9" s="189"/>
      <c r="M9" s="91">
        <v>3</v>
      </c>
      <c r="N9" s="239">
        <v>5</v>
      </c>
      <c r="O9" s="240" t="s">
        <v>4</v>
      </c>
      <c r="P9" s="241">
        <v>6</v>
      </c>
      <c r="Q9" s="96" t="str">
        <f t="shared" si="4"/>
        <v>Rayo Vallecano</v>
      </c>
      <c r="R9" s="97" t="s">
        <v>4</v>
      </c>
      <c r="S9" s="98" t="str">
        <f t="shared" si="5"/>
        <v>Shkendija Tetovo</v>
      </c>
      <c r="T9" s="513">
        <v>45932</v>
      </c>
      <c r="U9" s="165">
        <v>0.78125</v>
      </c>
    </row>
    <row r="10" spans="2:23" ht="15.95" customHeight="1" x14ac:dyDescent="0.2">
      <c r="B10" s="82">
        <f t="shared" si="1"/>
        <v>1</v>
      </c>
      <c r="C10" s="208">
        <v>4</v>
      </c>
      <c r="D10" s="204" t="s">
        <v>286</v>
      </c>
      <c r="E10" s="167"/>
      <c r="F10" s="82">
        <f t="shared" si="0"/>
        <v>1</v>
      </c>
      <c r="G10" s="82" t="str">
        <f t="shared" si="2"/>
        <v>0708</v>
      </c>
      <c r="H10" s="82" t="str">
        <f t="shared" si="3"/>
        <v>0807</v>
      </c>
      <c r="I10" s="82">
        <f>IF($G10="",0,COUNTIF($G$7:$G10,$H10))</f>
        <v>0</v>
      </c>
      <c r="J10" s="184"/>
      <c r="K10" s="212" t="str">
        <f>Language!$E$85</f>
        <v>double</v>
      </c>
      <c r="L10" s="189"/>
      <c r="M10" s="91">
        <v>4</v>
      </c>
      <c r="N10" s="239">
        <v>7</v>
      </c>
      <c r="O10" s="240" t="s">
        <v>4</v>
      </c>
      <c r="P10" s="241">
        <v>8</v>
      </c>
      <c r="Q10" s="96" t="str">
        <f t="shared" si="4"/>
        <v>Zrinjski Mostar</v>
      </c>
      <c r="R10" s="97" t="s">
        <v>4</v>
      </c>
      <c r="S10" s="98" t="str">
        <f t="shared" si="5"/>
        <v>Lincoln Red Imps Fc</v>
      </c>
      <c r="T10" s="513">
        <v>45932</v>
      </c>
      <c r="U10" s="165">
        <v>0.78125</v>
      </c>
    </row>
    <row r="11" spans="2:23" ht="15.95" customHeight="1" x14ac:dyDescent="0.2">
      <c r="B11" s="82">
        <f t="shared" si="1"/>
        <v>1</v>
      </c>
      <c r="C11" s="208">
        <v>5</v>
      </c>
      <c r="D11" s="204" t="s">
        <v>318</v>
      </c>
      <c r="E11" s="167"/>
      <c r="F11" s="82">
        <f t="shared" si="0"/>
        <v>1</v>
      </c>
      <c r="G11" s="82" t="str">
        <f t="shared" si="2"/>
        <v>0910</v>
      </c>
      <c r="H11" s="82" t="str">
        <f t="shared" si="3"/>
        <v>1009</v>
      </c>
      <c r="I11" s="82">
        <f>IF($G11="",0,COUNTIF($G$7:$G11,$H11))</f>
        <v>0</v>
      </c>
      <c r="J11" s="184"/>
      <c r="K11" s="212" t="str">
        <f>Language!$E$85</f>
        <v>double</v>
      </c>
      <c r="L11" s="189"/>
      <c r="M11" s="91">
        <v>5</v>
      </c>
      <c r="N11" s="239">
        <v>9</v>
      </c>
      <c r="O11" s="240" t="s">
        <v>4</v>
      </c>
      <c r="P11" s="241">
        <v>10</v>
      </c>
      <c r="Q11" s="96" t="str">
        <f t="shared" si="4"/>
        <v>Jagiellonia Bialystok</v>
      </c>
      <c r="R11" s="97" t="s">
        <v>4</v>
      </c>
      <c r="S11" s="98" t="str">
        <f t="shared" si="5"/>
        <v>Hamrun Spartans</v>
      </c>
      <c r="T11" s="513">
        <v>45932</v>
      </c>
      <c r="U11" s="165">
        <v>0.78125</v>
      </c>
    </row>
    <row r="12" spans="2:23" ht="15.95" customHeight="1" x14ac:dyDescent="0.2">
      <c r="B12" s="82">
        <f t="shared" si="1"/>
        <v>1</v>
      </c>
      <c r="C12" s="208">
        <v>6</v>
      </c>
      <c r="D12" s="204" t="s">
        <v>287</v>
      </c>
      <c r="E12" s="167"/>
      <c r="F12" s="82">
        <f t="shared" si="0"/>
        <v>1</v>
      </c>
      <c r="G12" s="82" t="str">
        <f t="shared" si="2"/>
        <v>1112</v>
      </c>
      <c r="H12" s="82" t="str">
        <f t="shared" si="3"/>
        <v>1211</v>
      </c>
      <c r="I12" s="82">
        <f>IF($G12="",0,COUNTIF($G$7:$G12,$H12))</f>
        <v>0</v>
      </c>
      <c r="J12" s="184"/>
      <c r="K12" s="212" t="str">
        <f>Language!$E$85</f>
        <v>double</v>
      </c>
      <c r="L12" s="189"/>
      <c r="M12" s="91">
        <v>6</v>
      </c>
      <c r="N12" s="239">
        <v>11</v>
      </c>
      <c r="O12" s="240" t="s">
        <v>4</v>
      </c>
      <c r="P12" s="241">
        <v>12</v>
      </c>
      <c r="Q12" s="96" t="str">
        <f t="shared" si="4"/>
        <v>Omonia Nikosia</v>
      </c>
      <c r="R12" s="97" t="s">
        <v>4</v>
      </c>
      <c r="S12" s="98" t="str">
        <f t="shared" si="5"/>
        <v>1. FSV Mainz 05</v>
      </c>
      <c r="T12" s="513">
        <v>45932</v>
      </c>
      <c r="U12" s="165">
        <v>0.78125</v>
      </c>
    </row>
    <row r="13" spans="2:23" ht="15.95" customHeight="1" x14ac:dyDescent="0.2">
      <c r="B13" s="82">
        <f t="shared" si="1"/>
        <v>1</v>
      </c>
      <c r="C13" s="208">
        <v>7</v>
      </c>
      <c r="D13" s="204" t="s">
        <v>288</v>
      </c>
      <c r="E13" s="167"/>
      <c r="F13" s="82">
        <f t="shared" si="0"/>
        <v>1</v>
      </c>
      <c r="G13" s="82" t="str">
        <f t="shared" si="2"/>
        <v>1314</v>
      </c>
      <c r="H13" s="82" t="str">
        <f t="shared" si="3"/>
        <v>1413</v>
      </c>
      <c r="I13" s="82">
        <f>IF($G13="",0,COUNTIF($G$7:$G13,$H13))</f>
        <v>0</v>
      </c>
      <c r="J13" s="184"/>
      <c r="K13" s="212" t="str">
        <f>Language!$E$85</f>
        <v>double</v>
      </c>
      <c r="L13" s="189"/>
      <c r="M13" s="91">
        <v>7</v>
      </c>
      <c r="N13" s="239">
        <v>13</v>
      </c>
      <c r="O13" s="240" t="s">
        <v>4</v>
      </c>
      <c r="P13" s="241">
        <v>14</v>
      </c>
      <c r="Q13" s="96" t="str">
        <f t="shared" si="4"/>
        <v>Kuopion PS</v>
      </c>
      <c r="R13" s="97" t="s">
        <v>4</v>
      </c>
      <c r="S13" s="98" t="str">
        <f t="shared" si="5"/>
        <v>KF Drita Gjilan</v>
      </c>
      <c r="T13" s="513">
        <v>45932</v>
      </c>
      <c r="U13" s="165">
        <v>0.78125</v>
      </c>
    </row>
    <row r="14" spans="2:23" ht="15.95" customHeight="1" x14ac:dyDescent="0.2">
      <c r="B14" s="82">
        <f t="shared" si="1"/>
        <v>1</v>
      </c>
      <c r="C14" s="208">
        <v>8</v>
      </c>
      <c r="D14" s="204" t="s">
        <v>289</v>
      </c>
      <c r="E14" s="167"/>
      <c r="F14" s="82">
        <f t="shared" si="0"/>
        <v>1</v>
      </c>
      <c r="G14" s="82" t="str">
        <f t="shared" si="2"/>
        <v>1516</v>
      </c>
      <c r="H14" s="82" t="str">
        <f t="shared" si="3"/>
        <v>1615</v>
      </c>
      <c r="I14" s="82">
        <f>IF($G14="",0,COUNTIF($G$7:$G14,$H14))</f>
        <v>0</v>
      </c>
      <c r="J14" s="184"/>
      <c r="K14" s="212" t="str">
        <f>Language!$E$85</f>
        <v>double</v>
      </c>
      <c r="L14" s="189"/>
      <c r="M14" s="91">
        <v>8</v>
      </c>
      <c r="N14" s="239">
        <v>15</v>
      </c>
      <c r="O14" s="240" t="s">
        <v>4</v>
      </c>
      <c r="P14" s="241">
        <v>16</v>
      </c>
      <c r="Q14" s="96" t="str">
        <f t="shared" si="4"/>
        <v>FC Noah</v>
      </c>
      <c r="R14" s="97" t="s">
        <v>4</v>
      </c>
      <c r="S14" s="98" t="str">
        <f t="shared" si="5"/>
        <v>HNK Rijeka</v>
      </c>
      <c r="T14" s="513">
        <v>45932</v>
      </c>
      <c r="U14" s="165">
        <v>0.78125</v>
      </c>
    </row>
    <row r="15" spans="2:23" ht="15.95" customHeight="1" x14ac:dyDescent="0.2">
      <c r="B15" s="82">
        <f t="shared" si="1"/>
        <v>1</v>
      </c>
      <c r="C15" s="208">
        <v>9</v>
      </c>
      <c r="D15" s="204" t="s">
        <v>290</v>
      </c>
      <c r="E15" s="167"/>
      <c r="F15" s="82">
        <f t="shared" si="0"/>
        <v>1</v>
      </c>
      <c r="G15" s="82" t="str">
        <f t="shared" si="2"/>
        <v>1718</v>
      </c>
      <c r="H15" s="82" t="str">
        <f t="shared" si="3"/>
        <v>1817</v>
      </c>
      <c r="I15" s="82">
        <f>IF($G15="",0,COUNTIF($G$7:$G15,$H15))</f>
        <v>0</v>
      </c>
      <c r="J15" s="184"/>
      <c r="K15" s="212" t="str">
        <f>Language!$E$85</f>
        <v>double</v>
      </c>
      <c r="L15" s="189"/>
      <c r="M15" s="91">
        <v>9</v>
      </c>
      <c r="N15" s="239">
        <v>17</v>
      </c>
      <c r="O15" s="240" t="s">
        <v>4</v>
      </c>
      <c r="P15" s="241">
        <v>18</v>
      </c>
      <c r="Q15" s="96" t="str">
        <f t="shared" si="4"/>
        <v>FC Lausanne-Sport</v>
      </c>
      <c r="R15" s="97" t="s">
        <v>4</v>
      </c>
      <c r="S15" s="98" t="str">
        <f t="shared" si="5"/>
        <v>UMF Breidablik</v>
      </c>
      <c r="T15" s="513">
        <v>45932</v>
      </c>
      <c r="U15" s="165">
        <v>0.78125</v>
      </c>
    </row>
    <row r="16" spans="2:23" ht="15.95" customHeight="1" x14ac:dyDescent="0.2">
      <c r="B16" s="82">
        <f t="shared" si="1"/>
        <v>1</v>
      </c>
      <c r="C16" s="208">
        <v>10</v>
      </c>
      <c r="D16" s="204" t="s">
        <v>291</v>
      </c>
      <c r="E16" s="167"/>
      <c r="F16" s="82">
        <f t="shared" si="0"/>
        <v>1</v>
      </c>
      <c r="G16" s="82" t="str">
        <f t="shared" si="2"/>
        <v>1920</v>
      </c>
      <c r="H16" s="82" t="str">
        <f t="shared" si="3"/>
        <v>2019</v>
      </c>
      <c r="I16" s="82">
        <f>IF($G16="",0,COUNTIF($G$7:$G16,$H16))</f>
        <v>0</v>
      </c>
      <c r="J16" s="82"/>
      <c r="K16" s="212" t="str">
        <f>Language!$E$85</f>
        <v>double</v>
      </c>
      <c r="L16" s="189"/>
      <c r="M16" s="91">
        <v>10</v>
      </c>
      <c r="N16" s="239">
        <v>19</v>
      </c>
      <c r="O16" s="240" t="s">
        <v>4</v>
      </c>
      <c r="P16" s="241">
        <v>20</v>
      </c>
      <c r="Q16" s="96" t="str">
        <f t="shared" si="4"/>
        <v>Slovan Bratislava</v>
      </c>
      <c r="R16" s="97" t="s">
        <v>4</v>
      </c>
      <c r="S16" s="98" t="str">
        <f t="shared" si="5"/>
        <v>Racing Straßburg</v>
      </c>
      <c r="T16" s="513">
        <v>45932</v>
      </c>
      <c r="U16" s="165">
        <v>0.875</v>
      </c>
    </row>
    <row r="17" spans="2:21" ht="15.95" customHeight="1" x14ac:dyDescent="0.2">
      <c r="B17" s="82">
        <f t="shared" si="1"/>
        <v>1</v>
      </c>
      <c r="C17" s="208">
        <v>11</v>
      </c>
      <c r="D17" s="204" t="s">
        <v>292</v>
      </c>
      <c r="E17" s="167"/>
      <c r="F17" s="82">
        <f t="shared" si="0"/>
        <v>1</v>
      </c>
      <c r="G17" s="82" t="str">
        <f t="shared" si="2"/>
        <v>2122</v>
      </c>
      <c r="H17" s="82" t="str">
        <f t="shared" si="3"/>
        <v>2221</v>
      </c>
      <c r="I17" s="82">
        <f>IF($G17="",0,COUNTIF($G$7:$G17,$H17))</f>
        <v>0</v>
      </c>
      <c r="J17" s="82"/>
      <c r="K17" s="212" t="str">
        <f>Language!$E$85</f>
        <v>double</v>
      </c>
      <c r="L17" s="189"/>
      <c r="M17" s="91">
        <v>11</v>
      </c>
      <c r="N17" s="239">
        <v>21</v>
      </c>
      <c r="O17" s="240" t="s">
        <v>4</v>
      </c>
      <c r="P17" s="241">
        <v>22</v>
      </c>
      <c r="Q17" s="96" t="str">
        <f t="shared" si="4"/>
        <v>AC Florenz</v>
      </c>
      <c r="R17" s="97" t="s">
        <v>4</v>
      </c>
      <c r="S17" s="98" t="str">
        <f t="shared" si="5"/>
        <v>Sigma Olmütz</v>
      </c>
      <c r="T17" s="513">
        <v>45932</v>
      </c>
      <c r="U17" s="165">
        <v>0.875</v>
      </c>
    </row>
    <row r="18" spans="2:21" ht="15.95" customHeight="1" x14ac:dyDescent="0.2">
      <c r="B18" s="82">
        <f t="shared" si="1"/>
        <v>1</v>
      </c>
      <c r="C18" s="208">
        <v>12</v>
      </c>
      <c r="D18" s="204" t="s">
        <v>293</v>
      </c>
      <c r="E18" s="167"/>
      <c r="F18" s="82">
        <f t="shared" si="0"/>
        <v>1</v>
      </c>
      <c r="G18" s="82" t="str">
        <f t="shared" si="2"/>
        <v>2324</v>
      </c>
      <c r="H18" s="82" t="str">
        <f t="shared" si="3"/>
        <v>2423</v>
      </c>
      <c r="I18" s="82">
        <f>IF($G18="",0,COUNTIF($G$7:$G18,$H18))</f>
        <v>0</v>
      </c>
      <c r="J18" s="82"/>
      <c r="K18" s="212" t="str">
        <f>Language!$E$85</f>
        <v>double</v>
      </c>
      <c r="L18" s="189"/>
      <c r="M18" s="91">
        <v>12</v>
      </c>
      <c r="N18" s="239">
        <v>23</v>
      </c>
      <c r="O18" s="240" t="s">
        <v>4</v>
      </c>
      <c r="P18" s="241">
        <v>24</v>
      </c>
      <c r="Q18" s="96" t="str">
        <f t="shared" si="4"/>
        <v>Legia Warschau</v>
      </c>
      <c r="R18" s="97" t="s">
        <v>4</v>
      </c>
      <c r="S18" s="98" t="str">
        <f t="shared" si="5"/>
        <v>Samsunspor</v>
      </c>
      <c r="T18" s="513">
        <v>45932</v>
      </c>
      <c r="U18" s="165">
        <v>0.875</v>
      </c>
    </row>
    <row r="19" spans="2:21" ht="15.95" customHeight="1" x14ac:dyDescent="0.2">
      <c r="B19" s="82">
        <f t="shared" si="1"/>
        <v>1</v>
      </c>
      <c r="C19" s="208">
        <v>13</v>
      </c>
      <c r="D19" s="204" t="s">
        <v>294</v>
      </c>
      <c r="E19" s="167"/>
      <c r="F19" s="82">
        <f t="shared" si="0"/>
        <v>1</v>
      </c>
      <c r="G19" s="82" t="str">
        <f t="shared" si="2"/>
        <v>2526</v>
      </c>
      <c r="H19" s="82" t="str">
        <f t="shared" si="3"/>
        <v>2625</v>
      </c>
      <c r="I19" s="82">
        <f>IF($G19="",0,COUNTIF($G$7:$G19,$H19))</f>
        <v>0</v>
      </c>
      <c r="J19" s="82"/>
      <c r="K19" s="212" t="str">
        <f>Language!$E$85</f>
        <v>double</v>
      </c>
      <c r="L19" s="189"/>
      <c r="M19" s="91">
        <v>13</v>
      </c>
      <c r="N19" s="239">
        <v>25</v>
      </c>
      <c r="O19" s="240" t="s">
        <v>4</v>
      </c>
      <c r="P19" s="241">
        <v>26</v>
      </c>
      <c r="Q19" s="96" t="str">
        <f t="shared" si="4"/>
        <v>Sparta Prag</v>
      </c>
      <c r="R19" s="97" t="s">
        <v>4</v>
      </c>
      <c r="S19" s="98" t="str">
        <f t="shared" si="5"/>
        <v>Shamrock Rovers</v>
      </c>
      <c r="T19" s="513">
        <v>45932</v>
      </c>
      <c r="U19" s="165">
        <v>0.875</v>
      </c>
    </row>
    <row r="20" spans="2:21" ht="15.95" customHeight="1" x14ac:dyDescent="0.2">
      <c r="B20" s="82">
        <f t="shared" si="1"/>
        <v>1</v>
      </c>
      <c r="C20" s="208">
        <v>14</v>
      </c>
      <c r="D20" s="204" t="s">
        <v>295</v>
      </c>
      <c r="E20" s="167"/>
      <c r="F20" s="82">
        <f t="shared" si="0"/>
        <v>1</v>
      </c>
      <c r="G20" s="82" t="str">
        <f t="shared" si="2"/>
        <v>2728</v>
      </c>
      <c r="H20" s="82" t="str">
        <f t="shared" si="3"/>
        <v>2827</v>
      </c>
      <c r="I20" s="82">
        <f>IF($G20="",0,COUNTIF($G$7:$G20,$H20))</f>
        <v>0</v>
      </c>
      <c r="J20" s="82"/>
      <c r="K20" s="212" t="str">
        <f>Language!$E$85</f>
        <v>double</v>
      </c>
      <c r="L20" s="189"/>
      <c r="M20" s="91">
        <v>14</v>
      </c>
      <c r="N20" s="239">
        <v>27</v>
      </c>
      <c r="O20" s="240" t="s">
        <v>4</v>
      </c>
      <c r="P20" s="241">
        <v>28</v>
      </c>
      <c r="Q20" s="96" t="str">
        <f t="shared" si="4"/>
        <v>NK Celje</v>
      </c>
      <c r="R20" s="97" t="s">
        <v>4</v>
      </c>
      <c r="S20" s="98" t="str">
        <f t="shared" si="5"/>
        <v>AEK Athen</v>
      </c>
      <c r="T20" s="513">
        <v>45932</v>
      </c>
      <c r="U20" s="165">
        <v>0.875</v>
      </c>
    </row>
    <row r="21" spans="2:21" ht="15.95" customHeight="1" x14ac:dyDescent="0.2">
      <c r="B21" s="82">
        <f t="shared" si="1"/>
        <v>1</v>
      </c>
      <c r="C21" s="208">
        <v>15</v>
      </c>
      <c r="D21" s="204" t="s">
        <v>296</v>
      </c>
      <c r="E21" s="167"/>
      <c r="F21" s="82">
        <f t="shared" si="0"/>
        <v>1</v>
      </c>
      <c r="G21" s="82" t="str">
        <f t="shared" si="2"/>
        <v>2930</v>
      </c>
      <c r="H21" s="82" t="str">
        <f t="shared" si="3"/>
        <v>3029</v>
      </c>
      <c r="I21" s="82">
        <f>IF($G21="",0,COUNTIF($G$7:$G21,$H21))</f>
        <v>0</v>
      </c>
      <c r="J21" s="82"/>
      <c r="K21" s="212" t="str">
        <f>Language!$E$85</f>
        <v>double</v>
      </c>
      <c r="L21" s="189"/>
      <c r="M21" s="91">
        <v>15</v>
      </c>
      <c r="N21" s="239">
        <v>29</v>
      </c>
      <c r="O21" s="240" t="s">
        <v>4</v>
      </c>
      <c r="P21" s="241">
        <v>30</v>
      </c>
      <c r="Q21" s="96" t="str">
        <f t="shared" si="4"/>
        <v>FC Aberdeen</v>
      </c>
      <c r="R21" s="97" t="s">
        <v>4</v>
      </c>
      <c r="S21" s="98" t="str">
        <f t="shared" si="5"/>
        <v>Schachtar Donezk</v>
      </c>
      <c r="T21" s="513">
        <v>45932</v>
      </c>
      <c r="U21" s="165">
        <v>0.875</v>
      </c>
    </row>
    <row r="22" spans="2:21" ht="15.95" customHeight="1" x14ac:dyDescent="0.2">
      <c r="B22" s="82">
        <f t="shared" si="1"/>
        <v>1</v>
      </c>
      <c r="C22" s="208">
        <v>16</v>
      </c>
      <c r="D22" s="204" t="s">
        <v>297</v>
      </c>
      <c r="E22" s="167"/>
      <c r="F22" s="82">
        <f t="shared" si="0"/>
        <v>1</v>
      </c>
      <c r="G22" s="82" t="str">
        <f t="shared" si="2"/>
        <v>3132</v>
      </c>
      <c r="H22" s="82" t="str">
        <f t="shared" si="3"/>
        <v>3231</v>
      </c>
      <c r="I22" s="82">
        <f>IF($G22="",0,COUNTIF($G$7:$G22,$H22))</f>
        <v>0</v>
      </c>
      <c r="J22" s="82"/>
      <c r="K22" s="212" t="str">
        <f>Language!$E$85</f>
        <v>double</v>
      </c>
      <c r="L22" s="189"/>
      <c r="M22" s="91">
        <v>16</v>
      </c>
      <c r="N22" s="239">
        <v>31</v>
      </c>
      <c r="O22" s="240" t="s">
        <v>4</v>
      </c>
      <c r="P22" s="241">
        <v>32</v>
      </c>
      <c r="Q22" s="96" t="str">
        <f t="shared" si="4"/>
        <v>Rakow Tschenstochau</v>
      </c>
      <c r="R22" s="97" t="s">
        <v>4</v>
      </c>
      <c r="S22" s="98" t="str">
        <f t="shared" si="5"/>
        <v>Universitatea Craiova</v>
      </c>
      <c r="T22" s="513">
        <v>45932</v>
      </c>
      <c r="U22" s="165">
        <v>0.875</v>
      </c>
    </row>
    <row r="23" spans="2:21" ht="15.95" customHeight="1" x14ac:dyDescent="0.2">
      <c r="B23" s="82">
        <f t="shared" si="1"/>
        <v>1</v>
      </c>
      <c r="C23" s="208">
        <v>17</v>
      </c>
      <c r="D23" s="204" t="s">
        <v>298</v>
      </c>
      <c r="E23" s="167"/>
      <c r="F23" s="82">
        <f t="shared" si="0"/>
        <v>1</v>
      </c>
      <c r="G23" s="82" t="str">
        <f t="shared" si="2"/>
        <v>3334</v>
      </c>
      <c r="H23" s="82" t="str">
        <f t="shared" si="3"/>
        <v>3433</v>
      </c>
      <c r="I23" s="82">
        <f>IF($G23="",0,COUNTIF($G$7:$G23,$H23))</f>
        <v>0</v>
      </c>
      <c r="J23" s="82"/>
      <c r="K23" s="212" t="str">
        <f>Language!$E$85</f>
        <v>double</v>
      </c>
      <c r="L23" s="189"/>
      <c r="M23" s="91">
        <v>17</v>
      </c>
      <c r="N23" s="239">
        <v>33</v>
      </c>
      <c r="O23" s="240" t="s">
        <v>4</v>
      </c>
      <c r="P23" s="241">
        <v>34</v>
      </c>
      <c r="Q23" s="96" t="str">
        <f t="shared" si="4"/>
        <v>AEK Larnaka</v>
      </c>
      <c r="R23" s="97" t="s">
        <v>4</v>
      </c>
      <c r="S23" s="98" t="str">
        <f t="shared" si="5"/>
        <v>AZ Alkmaar</v>
      </c>
      <c r="T23" s="513">
        <v>45932</v>
      </c>
      <c r="U23" s="165">
        <v>0.875</v>
      </c>
    </row>
    <row r="24" spans="2:21" ht="15.95" customHeight="1" thickBot="1" x14ac:dyDescent="0.25">
      <c r="B24" s="82">
        <f t="shared" si="1"/>
        <v>1</v>
      </c>
      <c r="C24" s="208">
        <v>18</v>
      </c>
      <c r="D24" s="204" t="s">
        <v>299</v>
      </c>
      <c r="E24" s="167"/>
      <c r="F24" s="82">
        <f t="shared" si="0"/>
        <v>1</v>
      </c>
      <c r="G24" s="82" t="str">
        <f t="shared" si="2"/>
        <v>3536</v>
      </c>
      <c r="H24" s="82" t="str">
        <f t="shared" si="3"/>
        <v>3635</v>
      </c>
      <c r="I24" s="82">
        <f>IF($G24="",0,COUNTIF($G$7:$G24,$H24))</f>
        <v>0</v>
      </c>
      <c r="J24" s="82"/>
      <c r="K24" s="212" t="str">
        <f>Language!$E$85</f>
        <v>double</v>
      </c>
      <c r="L24" s="189"/>
      <c r="M24" s="242">
        <v>18</v>
      </c>
      <c r="N24" s="257">
        <v>35</v>
      </c>
      <c r="O24" s="243" t="s">
        <v>4</v>
      </c>
      <c r="P24" s="258">
        <v>36</v>
      </c>
      <c r="Q24" s="244" t="str">
        <f t="shared" si="4"/>
        <v>FC Shelbourne</v>
      </c>
      <c r="R24" s="245" t="s">
        <v>4</v>
      </c>
      <c r="S24" s="246" t="str">
        <f t="shared" si="5"/>
        <v>BK Häcken</v>
      </c>
      <c r="T24" s="513">
        <v>45932</v>
      </c>
      <c r="U24" s="165">
        <v>0.875</v>
      </c>
    </row>
    <row r="25" spans="2:21" ht="15.95" customHeight="1" x14ac:dyDescent="0.2">
      <c r="B25" s="82">
        <f t="shared" si="1"/>
        <v>1</v>
      </c>
      <c r="C25" s="208">
        <v>19</v>
      </c>
      <c r="D25" s="204" t="s">
        <v>300</v>
      </c>
      <c r="E25" s="167"/>
      <c r="F25" s="82">
        <f t="shared" si="0"/>
        <v>1</v>
      </c>
      <c r="G25" s="82" t="str">
        <f t="shared" si="2"/>
        <v>3023</v>
      </c>
      <c r="H25" s="82" t="str">
        <f t="shared" si="3"/>
        <v>2330</v>
      </c>
      <c r="I25" s="82">
        <f>IF($G25="",0,COUNTIF($G$7:$G25,$H25))</f>
        <v>0</v>
      </c>
      <c r="J25" s="82"/>
      <c r="K25" s="212" t="str">
        <f>Language!$E$85</f>
        <v>double</v>
      </c>
      <c r="L25" s="259">
        <v>2</v>
      </c>
      <c r="M25" s="260">
        <v>19</v>
      </c>
      <c r="N25" s="261">
        <v>30</v>
      </c>
      <c r="O25" s="262" t="s">
        <v>4</v>
      </c>
      <c r="P25" s="263">
        <v>23</v>
      </c>
      <c r="Q25" s="264" t="str">
        <f t="shared" si="4"/>
        <v>Schachtar Donezk</v>
      </c>
      <c r="R25" s="265" t="s">
        <v>4</v>
      </c>
      <c r="S25" s="266" t="str">
        <f t="shared" si="5"/>
        <v>Legia Warschau</v>
      </c>
      <c r="T25" s="514">
        <v>45953</v>
      </c>
      <c r="U25" s="267">
        <v>0.78125</v>
      </c>
    </row>
    <row r="26" spans="2:21" ht="15.95" customHeight="1" x14ac:dyDescent="0.2">
      <c r="B26" s="82">
        <f t="shared" si="1"/>
        <v>1</v>
      </c>
      <c r="C26" s="208">
        <v>20</v>
      </c>
      <c r="D26" s="204" t="s">
        <v>301</v>
      </c>
      <c r="E26" s="167"/>
      <c r="F26" s="82">
        <f t="shared" si="0"/>
        <v>1</v>
      </c>
      <c r="G26" s="82" t="str">
        <f t="shared" si="2"/>
        <v>0421</v>
      </c>
      <c r="H26" s="82" t="str">
        <f t="shared" si="3"/>
        <v>2104</v>
      </c>
      <c r="I26" s="82">
        <f>IF($G26="",0,COUNTIF($G$7:$G26,$H26))</f>
        <v>0</v>
      </c>
      <c r="J26" s="82"/>
      <c r="K26" s="212" t="str">
        <f>Language!$E$85</f>
        <v>double</v>
      </c>
      <c r="L26" s="189"/>
      <c r="M26" s="91">
        <v>20</v>
      </c>
      <c r="N26" s="239">
        <v>4</v>
      </c>
      <c r="O26" s="240" t="s">
        <v>4</v>
      </c>
      <c r="P26" s="241">
        <v>21</v>
      </c>
      <c r="Q26" s="96" t="str">
        <f t="shared" si="4"/>
        <v>Rapid Wien</v>
      </c>
      <c r="R26" s="97" t="s">
        <v>4</v>
      </c>
      <c r="S26" s="98" t="str">
        <f t="shared" si="5"/>
        <v>AC Florenz</v>
      </c>
      <c r="T26" s="513">
        <v>45953</v>
      </c>
      <c r="U26" s="165">
        <v>0.78125</v>
      </c>
    </row>
    <row r="27" spans="2:21" ht="15.95" customHeight="1" x14ac:dyDescent="0.2">
      <c r="B27" s="82">
        <f t="shared" si="1"/>
        <v>1</v>
      </c>
      <c r="C27" s="208">
        <v>21</v>
      </c>
      <c r="D27" s="204" t="s">
        <v>302</v>
      </c>
      <c r="E27" s="167"/>
      <c r="F27" s="82">
        <f t="shared" si="0"/>
        <v>1</v>
      </c>
      <c r="G27" s="82" t="str">
        <f t="shared" si="2"/>
        <v>2009</v>
      </c>
      <c r="H27" s="82" t="str">
        <f t="shared" si="3"/>
        <v>0920</v>
      </c>
      <c r="I27" s="82">
        <f>IF($G27="",0,COUNTIF($G$7:$G27,$H27))</f>
        <v>0</v>
      </c>
      <c r="J27" s="82"/>
      <c r="K27" s="212" t="str">
        <f>Language!$E$85</f>
        <v>double</v>
      </c>
      <c r="L27" s="189"/>
      <c r="M27" s="91">
        <v>21</v>
      </c>
      <c r="N27" s="239">
        <v>20</v>
      </c>
      <c r="O27" s="240" t="s">
        <v>4</v>
      </c>
      <c r="P27" s="241">
        <v>9</v>
      </c>
      <c r="Q27" s="96" t="str">
        <f t="shared" si="4"/>
        <v>Racing Straßburg</v>
      </c>
      <c r="R27" s="97" t="s">
        <v>4</v>
      </c>
      <c r="S27" s="98" t="str">
        <f t="shared" si="5"/>
        <v>Jagiellonia Bialystok</v>
      </c>
      <c r="T27" s="513">
        <v>45953</v>
      </c>
      <c r="U27" s="165">
        <v>0.78125</v>
      </c>
    </row>
    <row r="28" spans="2:21" ht="15.95" customHeight="1" x14ac:dyDescent="0.2">
      <c r="B28" s="82">
        <f t="shared" si="1"/>
        <v>1</v>
      </c>
      <c r="C28" s="208">
        <v>22</v>
      </c>
      <c r="D28" s="204" t="s">
        <v>303</v>
      </c>
      <c r="E28" s="167"/>
      <c r="F28" s="82">
        <f t="shared" si="0"/>
        <v>1</v>
      </c>
      <c r="G28" s="82" t="str">
        <f t="shared" si="2"/>
        <v>2829</v>
      </c>
      <c r="H28" s="82" t="str">
        <f t="shared" si="3"/>
        <v>2928</v>
      </c>
      <c r="I28" s="82">
        <f>IF($G28="",0,COUNTIF($G$7:$G28,$H28))</f>
        <v>0</v>
      </c>
      <c r="J28" s="82"/>
      <c r="K28" s="212" t="str">
        <f>Language!$E$85</f>
        <v>double</v>
      </c>
      <c r="L28" s="189"/>
      <c r="M28" s="91">
        <v>22</v>
      </c>
      <c r="N28" s="239">
        <v>28</v>
      </c>
      <c r="O28" s="240" t="s">
        <v>4</v>
      </c>
      <c r="P28" s="241">
        <v>29</v>
      </c>
      <c r="Q28" s="96" t="str">
        <f t="shared" si="4"/>
        <v>AEK Athen</v>
      </c>
      <c r="R28" s="97" t="s">
        <v>4</v>
      </c>
      <c r="S28" s="98" t="str">
        <f t="shared" si="5"/>
        <v>FC Aberdeen</v>
      </c>
      <c r="T28" s="513">
        <v>45953</v>
      </c>
      <c r="U28" s="165">
        <v>0.78125</v>
      </c>
    </row>
    <row r="29" spans="2:21" ht="15.95" customHeight="1" x14ac:dyDescent="0.2">
      <c r="B29" s="82">
        <f t="shared" si="1"/>
        <v>1</v>
      </c>
      <c r="C29" s="208">
        <v>23</v>
      </c>
      <c r="D29" s="204" t="s">
        <v>304</v>
      </c>
      <c r="E29" s="167"/>
      <c r="F29" s="82">
        <f t="shared" si="0"/>
        <v>1</v>
      </c>
      <c r="G29" s="82" t="str">
        <f t="shared" si="2"/>
        <v>1625</v>
      </c>
      <c r="H29" s="82" t="str">
        <f t="shared" si="3"/>
        <v>2516</v>
      </c>
      <c r="I29" s="82">
        <f>IF($G29="",0,COUNTIF($G$7:$G29,$H29))</f>
        <v>0</v>
      </c>
      <c r="J29" s="82"/>
      <c r="K29" s="212" t="str">
        <f>Language!$E$85</f>
        <v>double</v>
      </c>
      <c r="L29" s="189"/>
      <c r="M29" s="91">
        <v>23</v>
      </c>
      <c r="N29" s="239">
        <v>16</v>
      </c>
      <c r="O29" s="240" t="s">
        <v>4</v>
      </c>
      <c r="P29" s="241">
        <v>25</v>
      </c>
      <c r="Q29" s="96" t="str">
        <f t="shared" si="4"/>
        <v>HNK Rijeka</v>
      </c>
      <c r="R29" s="97" t="s">
        <v>4</v>
      </c>
      <c r="S29" s="98" t="str">
        <f t="shared" si="5"/>
        <v>Sparta Prag</v>
      </c>
      <c r="T29" s="513">
        <v>45953</v>
      </c>
      <c r="U29" s="165">
        <v>0.78125</v>
      </c>
    </row>
    <row r="30" spans="2:21" ht="15.95" customHeight="1" x14ac:dyDescent="0.2">
      <c r="B30" s="82">
        <f t="shared" si="1"/>
        <v>1</v>
      </c>
      <c r="C30" s="208">
        <v>24</v>
      </c>
      <c r="D30" s="204" t="s">
        <v>305</v>
      </c>
      <c r="E30" s="167"/>
      <c r="F30" s="82">
        <f t="shared" si="0"/>
        <v>1</v>
      </c>
      <c r="G30" s="82" t="str">
        <f t="shared" si="2"/>
        <v>1411</v>
      </c>
      <c r="H30" s="82" t="str">
        <f t="shared" si="3"/>
        <v>1114</v>
      </c>
      <c r="I30" s="82">
        <f>IF($G30="",0,COUNTIF($G$7:$G30,$H30))</f>
        <v>0</v>
      </c>
      <c r="J30" s="82"/>
      <c r="K30" s="212" t="str">
        <f>Language!$E$85</f>
        <v>double</v>
      </c>
      <c r="L30" s="189"/>
      <c r="M30" s="91">
        <v>24</v>
      </c>
      <c r="N30" s="239">
        <v>14</v>
      </c>
      <c r="O30" s="240" t="s">
        <v>4</v>
      </c>
      <c r="P30" s="241">
        <v>11</v>
      </c>
      <c r="Q30" s="96" t="str">
        <f t="shared" si="4"/>
        <v>KF Drita Gjilan</v>
      </c>
      <c r="R30" s="97" t="s">
        <v>4</v>
      </c>
      <c r="S30" s="98" t="str">
        <f t="shared" si="5"/>
        <v>Omonia Nikosia</v>
      </c>
      <c r="T30" s="513">
        <v>45953</v>
      </c>
      <c r="U30" s="165">
        <v>0.78125</v>
      </c>
    </row>
    <row r="31" spans="2:21" ht="15.95" customHeight="1" x14ac:dyDescent="0.2">
      <c r="B31" s="82">
        <f t="shared" si="1"/>
        <v>1</v>
      </c>
      <c r="C31" s="208">
        <v>25</v>
      </c>
      <c r="D31" s="204" t="s">
        <v>306</v>
      </c>
      <c r="E31" s="167"/>
      <c r="F31" s="82">
        <f t="shared" si="0"/>
        <v>1</v>
      </c>
      <c r="G31" s="82" t="str">
        <f t="shared" si="2"/>
        <v>1813</v>
      </c>
      <c r="H31" s="82" t="str">
        <f t="shared" si="3"/>
        <v>1318</v>
      </c>
      <c r="I31" s="82">
        <f>IF($G31="",0,COUNTIF($G$7:$G31,$H31))</f>
        <v>0</v>
      </c>
      <c r="J31" s="82"/>
      <c r="K31" s="212" t="str">
        <f>Language!$E$85</f>
        <v>double</v>
      </c>
      <c r="L31" s="189"/>
      <c r="M31" s="91">
        <v>25</v>
      </c>
      <c r="N31" s="239">
        <v>18</v>
      </c>
      <c r="O31" s="240" t="s">
        <v>4</v>
      </c>
      <c r="P31" s="241">
        <v>13</v>
      </c>
      <c r="Q31" s="96" t="str">
        <f t="shared" si="4"/>
        <v>UMF Breidablik</v>
      </c>
      <c r="R31" s="97" t="s">
        <v>4</v>
      </c>
      <c r="S31" s="98" t="str">
        <f t="shared" si="5"/>
        <v>Kuopion PS</v>
      </c>
      <c r="T31" s="513">
        <v>45953</v>
      </c>
      <c r="U31" s="165">
        <v>0.78125</v>
      </c>
    </row>
    <row r="32" spans="2:21" ht="15.95" customHeight="1" x14ac:dyDescent="0.2">
      <c r="B32" s="82">
        <f t="shared" si="1"/>
        <v>1</v>
      </c>
      <c r="C32" s="208">
        <v>26</v>
      </c>
      <c r="D32" s="204" t="s">
        <v>307</v>
      </c>
      <c r="E32" s="167"/>
      <c r="F32" s="82">
        <f t="shared" si="0"/>
        <v>1</v>
      </c>
      <c r="G32" s="82" t="str">
        <f t="shared" si="2"/>
        <v>0635</v>
      </c>
      <c r="H32" s="82" t="str">
        <f t="shared" si="3"/>
        <v>3506</v>
      </c>
      <c r="I32" s="82">
        <f>IF($G32="",0,COUNTIF($G$7:$G32,$H32))</f>
        <v>0</v>
      </c>
      <c r="J32" s="82"/>
      <c r="K32" s="212" t="str">
        <f>Language!$E$85</f>
        <v>double</v>
      </c>
      <c r="L32" s="189"/>
      <c r="M32" s="91">
        <v>26</v>
      </c>
      <c r="N32" s="239">
        <v>6</v>
      </c>
      <c r="O32" s="240" t="s">
        <v>4</v>
      </c>
      <c r="P32" s="241">
        <v>35</v>
      </c>
      <c r="Q32" s="96" t="str">
        <f t="shared" si="4"/>
        <v>Shkendija Tetovo</v>
      </c>
      <c r="R32" s="97" t="s">
        <v>4</v>
      </c>
      <c r="S32" s="98" t="str">
        <f t="shared" si="5"/>
        <v>FC Shelbourne</v>
      </c>
      <c r="T32" s="513">
        <v>45953</v>
      </c>
      <c r="U32" s="165">
        <v>0.78125</v>
      </c>
    </row>
    <row r="33" spans="2:21" ht="15.95" customHeight="1" x14ac:dyDescent="0.2">
      <c r="B33" s="82">
        <f t="shared" si="1"/>
        <v>1</v>
      </c>
      <c r="C33" s="208">
        <v>27</v>
      </c>
      <c r="D33" s="204" t="s">
        <v>308</v>
      </c>
      <c r="E33" s="167"/>
      <c r="F33" s="82">
        <f t="shared" si="0"/>
        <v>1</v>
      </c>
      <c r="G33" s="82" t="str">
        <f t="shared" si="2"/>
        <v>3605</v>
      </c>
      <c r="H33" s="82" t="str">
        <f t="shared" si="3"/>
        <v>0536</v>
      </c>
      <c r="I33" s="82">
        <f>IF($G33="",0,COUNTIF($G$7:$G33,$H33))</f>
        <v>0</v>
      </c>
      <c r="J33" s="82"/>
      <c r="K33" s="212" t="str">
        <f>Language!$E$85</f>
        <v>double</v>
      </c>
      <c r="L33" s="189"/>
      <c r="M33" s="91">
        <v>27</v>
      </c>
      <c r="N33" s="239">
        <v>36</v>
      </c>
      <c r="O33" s="240" t="s">
        <v>4</v>
      </c>
      <c r="P33" s="241">
        <v>5</v>
      </c>
      <c r="Q33" s="96" t="str">
        <f t="shared" si="4"/>
        <v>BK Häcken</v>
      </c>
      <c r="R33" s="97" t="s">
        <v>4</v>
      </c>
      <c r="S33" s="98" t="str">
        <f t="shared" si="5"/>
        <v>Rayo Vallecano</v>
      </c>
      <c r="T33" s="513">
        <v>45953</v>
      </c>
      <c r="U33" s="165">
        <v>0.78125</v>
      </c>
    </row>
    <row r="34" spans="2:21" ht="15.95" customHeight="1" x14ac:dyDescent="0.2">
      <c r="B34" s="82">
        <f t="shared" si="1"/>
        <v>1</v>
      </c>
      <c r="C34" s="208">
        <v>28</v>
      </c>
      <c r="D34" s="204" t="s">
        <v>309</v>
      </c>
      <c r="E34" s="167"/>
      <c r="F34" s="82">
        <f t="shared" si="0"/>
        <v>1</v>
      </c>
      <c r="G34" s="82" t="str">
        <f t="shared" si="2"/>
        <v>3419</v>
      </c>
      <c r="H34" s="82" t="str">
        <f t="shared" si="3"/>
        <v>1934</v>
      </c>
      <c r="I34" s="82">
        <f>IF($G34="",0,COUNTIF($G$7:$G34,$H34))</f>
        <v>0</v>
      </c>
      <c r="J34" s="82"/>
      <c r="K34" s="212" t="str">
        <f>Language!$E$85</f>
        <v>double</v>
      </c>
      <c r="L34" s="189"/>
      <c r="M34" s="91">
        <v>28</v>
      </c>
      <c r="N34" s="239">
        <v>34</v>
      </c>
      <c r="O34" s="240" t="s">
        <v>4</v>
      </c>
      <c r="P34" s="241">
        <v>19</v>
      </c>
      <c r="Q34" s="96" t="str">
        <f t="shared" si="4"/>
        <v>AZ Alkmaar</v>
      </c>
      <c r="R34" s="97" t="s">
        <v>4</v>
      </c>
      <c r="S34" s="98" t="str">
        <f t="shared" si="5"/>
        <v>Slovan Bratislava</v>
      </c>
      <c r="T34" s="513">
        <v>45953</v>
      </c>
      <c r="U34" s="165">
        <v>0.875</v>
      </c>
    </row>
    <row r="35" spans="2:21" ht="15.95" customHeight="1" x14ac:dyDescent="0.2">
      <c r="B35" s="82">
        <f t="shared" si="1"/>
        <v>1</v>
      </c>
      <c r="C35" s="208">
        <v>29</v>
      </c>
      <c r="D35" s="204" t="s">
        <v>310</v>
      </c>
      <c r="E35" s="167"/>
      <c r="F35" s="82">
        <f t="shared" si="0"/>
        <v>1</v>
      </c>
      <c r="G35" s="82" t="str">
        <f t="shared" si="2"/>
        <v>0233</v>
      </c>
      <c r="H35" s="82" t="str">
        <f t="shared" si="3"/>
        <v>3302</v>
      </c>
      <c r="I35" s="82">
        <f>IF($G35="",0,COUNTIF($G$7:$G35,$H35))</f>
        <v>0</v>
      </c>
      <c r="J35" s="82"/>
      <c r="K35" s="212" t="str">
        <f>Language!$E$85</f>
        <v>double</v>
      </c>
      <c r="L35" s="189"/>
      <c r="M35" s="91">
        <v>29</v>
      </c>
      <c r="N35" s="239">
        <v>2</v>
      </c>
      <c r="O35" s="240" t="s">
        <v>4</v>
      </c>
      <c r="P35" s="241">
        <v>33</v>
      </c>
      <c r="Q35" s="96" t="str">
        <f t="shared" si="4"/>
        <v>Crystal Palace</v>
      </c>
      <c r="R35" s="97" t="s">
        <v>4</v>
      </c>
      <c r="S35" s="98" t="str">
        <f t="shared" si="5"/>
        <v>AEK Larnaka</v>
      </c>
      <c r="T35" s="513">
        <v>45953</v>
      </c>
      <c r="U35" s="165">
        <v>0.875</v>
      </c>
    </row>
    <row r="36" spans="2:21" ht="15.95" customHeight="1" x14ac:dyDescent="0.2">
      <c r="B36" s="82">
        <f t="shared" si="1"/>
        <v>1</v>
      </c>
      <c r="C36" s="208">
        <v>30</v>
      </c>
      <c r="D36" s="204" t="s">
        <v>311</v>
      </c>
      <c r="E36" s="167"/>
      <c r="F36" s="82">
        <f t="shared" si="0"/>
        <v>1</v>
      </c>
      <c r="G36" s="82" t="str">
        <f t="shared" si="2"/>
        <v>2627</v>
      </c>
      <c r="H36" s="82" t="str">
        <f t="shared" si="3"/>
        <v>2726</v>
      </c>
      <c r="I36" s="82">
        <f>IF($G36="",0,COUNTIF($G$7:$G36,$H36))</f>
        <v>0</v>
      </c>
      <c r="J36" s="82"/>
      <c r="K36" s="212" t="str">
        <f>Language!$E$85</f>
        <v>double</v>
      </c>
      <c r="L36" s="189"/>
      <c r="M36" s="91">
        <v>30</v>
      </c>
      <c r="N36" s="239">
        <v>26</v>
      </c>
      <c r="O36" s="240" t="s">
        <v>4</v>
      </c>
      <c r="P36" s="241">
        <v>27</v>
      </c>
      <c r="Q36" s="96" t="str">
        <f t="shared" si="4"/>
        <v>Shamrock Rovers</v>
      </c>
      <c r="R36" s="97" t="s">
        <v>4</v>
      </c>
      <c r="S36" s="98" t="str">
        <f t="shared" si="5"/>
        <v>NK Celje</v>
      </c>
      <c r="T36" s="513">
        <v>45953</v>
      </c>
      <c r="U36" s="165">
        <v>0.875</v>
      </c>
    </row>
    <row r="37" spans="2:21" ht="15.95" customHeight="1" x14ac:dyDescent="0.2">
      <c r="B37" s="82">
        <f t="shared" si="1"/>
        <v>1</v>
      </c>
      <c r="C37" s="208">
        <v>31</v>
      </c>
      <c r="D37" s="204" t="s">
        <v>312</v>
      </c>
      <c r="E37" s="167"/>
      <c r="F37" s="82">
        <f t="shared" si="0"/>
        <v>1</v>
      </c>
      <c r="G37" s="82" t="str">
        <f t="shared" si="2"/>
        <v>1207</v>
      </c>
      <c r="H37" s="82" t="str">
        <f t="shared" si="3"/>
        <v>0712</v>
      </c>
      <c r="I37" s="82">
        <f>IF($G37="",0,COUNTIF($G$7:$G37,$H37))</f>
        <v>0</v>
      </c>
      <c r="J37" s="82"/>
      <c r="K37" s="212" t="str">
        <f>Language!$E$85</f>
        <v>double</v>
      </c>
      <c r="L37" s="189"/>
      <c r="M37" s="91">
        <v>31</v>
      </c>
      <c r="N37" s="239">
        <v>12</v>
      </c>
      <c r="O37" s="240" t="s">
        <v>4</v>
      </c>
      <c r="P37" s="241">
        <v>7</v>
      </c>
      <c r="Q37" s="96" t="str">
        <f t="shared" si="4"/>
        <v>1. FSV Mainz 05</v>
      </c>
      <c r="R37" s="97" t="s">
        <v>4</v>
      </c>
      <c r="S37" s="98" t="str">
        <f t="shared" si="5"/>
        <v>Zrinjski Mostar</v>
      </c>
      <c r="T37" s="513">
        <v>45953</v>
      </c>
      <c r="U37" s="165">
        <v>0.875</v>
      </c>
    </row>
    <row r="38" spans="2:21" ht="15.95" customHeight="1" x14ac:dyDescent="0.2">
      <c r="B38" s="82">
        <f t="shared" si="1"/>
        <v>1</v>
      </c>
      <c r="C38" s="208">
        <v>32</v>
      </c>
      <c r="D38" s="204" t="s">
        <v>313</v>
      </c>
      <c r="E38" s="167"/>
      <c r="F38" s="82">
        <f t="shared" si="0"/>
        <v>1</v>
      </c>
      <c r="G38" s="82" t="str">
        <f t="shared" si="2"/>
        <v>0803</v>
      </c>
      <c r="H38" s="82" t="str">
        <f t="shared" si="3"/>
        <v>0308</v>
      </c>
      <c r="I38" s="82">
        <f>IF($G38="",0,COUNTIF($G$7:$G38,$H38))</f>
        <v>0</v>
      </c>
      <c r="J38" s="82"/>
      <c r="K38" s="212" t="str">
        <f>Language!$E$85</f>
        <v>double</v>
      </c>
      <c r="L38" s="189"/>
      <c r="M38" s="91">
        <v>32</v>
      </c>
      <c r="N38" s="239">
        <v>8</v>
      </c>
      <c r="O38" s="240" t="s">
        <v>4</v>
      </c>
      <c r="P38" s="241">
        <v>3</v>
      </c>
      <c r="Q38" s="96" t="str">
        <f t="shared" si="4"/>
        <v>Lincoln Red Imps Fc</v>
      </c>
      <c r="R38" s="97" t="s">
        <v>4</v>
      </c>
      <c r="S38" s="98" t="str">
        <f t="shared" si="5"/>
        <v>Lech Posen</v>
      </c>
      <c r="T38" s="513">
        <v>45953</v>
      </c>
      <c r="U38" s="165">
        <v>0.875</v>
      </c>
    </row>
    <row r="39" spans="2:21" ht="15.95" customHeight="1" x14ac:dyDescent="0.2">
      <c r="C39" s="208">
        <v>33</v>
      </c>
      <c r="D39" s="204" t="s">
        <v>314</v>
      </c>
      <c r="E39" s="167"/>
      <c r="F39" s="82">
        <f t="shared" ref="F39:F70" si="6">IF($G39="",0,IF(LEFT($G39,2)=RIGHT($G39,2),100,IF(COUNTIF($G$7:$G$150,$G39)&gt;1,101,COUNTIF($G$7:$G$150,$G39)+COUNTIF($H$7:$H$150,$G39))))</f>
        <v>1</v>
      </c>
      <c r="G39" s="82" t="str">
        <f t="shared" si="2"/>
        <v>2231</v>
      </c>
      <c r="H39" s="82" t="str">
        <f t="shared" si="3"/>
        <v>3122</v>
      </c>
      <c r="I39" s="82">
        <f>IF($G39="",0,COUNTIF($G$7:$G39,$H39))</f>
        <v>0</v>
      </c>
      <c r="J39" s="82"/>
      <c r="K39" s="212" t="str">
        <f>Language!$E$85</f>
        <v>double</v>
      </c>
      <c r="L39" s="189"/>
      <c r="M39" s="91">
        <v>33</v>
      </c>
      <c r="N39" s="239">
        <v>22</v>
      </c>
      <c r="O39" s="240" t="s">
        <v>4</v>
      </c>
      <c r="P39" s="241">
        <v>31</v>
      </c>
      <c r="Q39" s="96" t="str">
        <f t="shared" si="4"/>
        <v>Sigma Olmütz</v>
      </c>
      <c r="R39" s="97" t="s">
        <v>4</v>
      </c>
      <c r="S39" s="98" t="str">
        <f t="shared" si="5"/>
        <v>Rakow Tschenstochau</v>
      </c>
      <c r="T39" s="513">
        <v>45953</v>
      </c>
      <c r="U39" s="165">
        <v>0.875</v>
      </c>
    </row>
    <row r="40" spans="2:21" ht="15.95" customHeight="1" x14ac:dyDescent="0.2">
      <c r="C40" s="208">
        <v>34</v>
      </c>
      <c r="D40" s="204" t="s">
        <v>315</v>
      </c>
      <c r="E40" s="167"/>
      <c r="F40" s="82">
        <f t="shared" si="6"/>
        <v>1</v>
      </c>
      <c r="G40" s="82" t="str">
        <f t="shared" si="2"/>
        <v>2401</v>
      </c>
      <c r="H40" s="82" t="str">
        <f t="shared" si="3"/>
        <v>0124</v>
      </c>
      <c r="I40" s="82">
        <f>IF($G40="",0,COUNTIF($G$7:$G40,$H40))</f>
        <v>0</v>
      </c>
      <c r="J40" s="82"/>
      <c r="K40" s="212" t="str">
        <f>Language!$E$85</f>
        <v>double</v>
      </c>
      <c r="L40" s="189"/>
      <c r="M40" s="91">
        <v>34</v>
      </c>
      <c r="N40" s="239">
        <v>24</v>
      </c>
      <c r="O40" s="240" t="s">
        <v>4</v>
      </c>
      <c r="P40" s="241">
        <v>1</v>
      </c>
      <c r="Q40" s="96" t="str">
        <f t="shared" si="4"/>
        <v>Samsunspor</v>
      </c>
      <c r="R40" s="97" t="s">
        <v>4</v>
      </c>
      <c r="S40" s="98" t="str">
        <f t="shared" si="5"/>
        <v>Dynamo Kiew</v>
      </c>
      <c r="T40" s="513">
        <v>45953</v>
      </c>
      <c r="U40" s="165">
        <v>0.875</v>
      </c>
    </row>
    <row r="41" spans="2:21" ht="15.95" customHeight="1" x14ac:dyDescent="0.2">
      <c r="C41" s="208">
        <v>35</v>
      </c>
      <c r="D41" s="204" t="s">
        <v>316</v>
      </c>
      <c r="E41" s="167"/>
      <c r="F41" s="82">
        <f t="shared" si="6"/>
        <v>1</v>
      </c>
      <c r="G41" s="82" t="str">
        <f t="shared" si="2"/>
        <v>3215</v>
      </c>
      <c r="H41" s="82" t="str">
        <f t="shared" si="3"/>
        <v>1532</v>
      </c>
      <c r="I41" s="82">
        <f>IF($G41="",0,COUNTIF($G$7:$G41,$H41))</f>
        <v>0</v>
      </c>
      <c r="J41" s="82"/>
      <c r="K41" s="212" t="str">
        <f>Language!$E$85</f>
        <v>double</v>
      </c>
      <c r="L41" s="189"/>
      <c r="M41" s="91">
        <v>35</v>
      </c>
      <c r="N41" s="239">
        <v>32</v>
      </c>
      <c r="O41" s="240" t="s">
        <v>4</v>
      </c>
      <c r="P41" s="241">
        <v>15</v>
      </c>
      <c r="Q41" s="96" t="str">
        <f t="shared" si="4"/>
        <v>Universitatea Craiova</v>
      </c>
      <c r="R41" s="97" t="s">
        <v>4</v>
      </c>
      <c r="S41" s="98" t="str">
        <f t="shared" si="5"/>
        <v>FC Noah</v>
      </c>
      <c r="T41" s="513">
        <v>45953</v>
      </c>
      <c r="U41" s="165">
        <v>0.875</v>
      </c>
    </row>
    <row r="42" spans="2:21" ht="15.95" customHeight="1" thickBot="1" x14ac:dyDescent="0.25">
      <c r="C42" s="209">
        <v>36</v>
      </c>
      <c r="D42" s="205" t="s">
        <v>317</v>
      </c>
      <c r="E42" s="168"/>
      <c r="F42" s="82">
        <f t="shared" si="6"/>
        <v>1</v>
      </c>
      <c r="G42" s="82" t="str">
        <f t="shared" si="2"/>
        <v>1017</v>
      </c>
      <c r="H42" s="82" t="str">
        <f t="shared" si="3"/>
        <v>1710</v>
      </c>
      <c r="I42" s="82">
        <f>IF($G42="",0,COUNTIF($G$7:$G42,$H42))</f>
        <v>0</v>
      </c>
      <c r="J42" s="82"/>
      <c r="K42" s="212" t="str">
        <f>Language!$E$85</f>
        <v>double</v>
      </c>
      <c r="L42" s="189"/>
      <c r="M42" s="242">
        <v>36</v>
      </c>
      <c r="N42" s="257">
        <v>10</v>
      </c>
      <c r="O42" s="243" t="s">
        <v>4</v>
      </c>
      <c r="P42" s="258">
        <v>17</v>
      </c>
      <c r="Q42" s="244" t="str">
        <f t="shared" si="4"/>
        <v>Hamrun Spartans</v>
      </c>
      <c r="R42" s="245" t="s">
        <v>4</v>
      </c>
      <c r="S42" s="246" t="str">
        <f t="shared" si="5"/>
        <v>FC Lausanne-Sport</v>
      </c>
      <c r="T42" s="513">
        <v>45953</v>
      </c>
      <c r="U42" s="165">
        <v>0.875</v>
      </c>
    </row>
    <row r="43" spans="2:21" ht="18" thickTop="1" x14ac:dyDescent="0.2">
      <c r="F43" s="82">
        <f t="shared" si="6"/>
        <v>1</v>
      </c>
      <c r="G43" s="82" t="str">
        <f t="shared" si="2"/>
        <v>3018</v>
      </c>
      <c r="H43" s="82" t="str">
        <f t="shared" si="3"/>
        <v>1830</v>
      </c>
      <c r="I43" s="82">
        <f>IF($G43="",0,COUNTIF($G$7:$G43,$H43))</f>
        <v>0</v>
      </c>
      <c r="J43" s="82"/>
      <c r="K43" s="212" t="str">
        <f>Language!$E$85</f>
        <v>double</v>
      </c>
      <c r="L43" s="259">
        <v>3</v>
      </c>
      <c r="M43" s="260">
        <v>37</v>
      </c>
      <c r="N43" s="261">
        <v>30</v>
      </c>
      <c r="O43" s="262" t="s">
        <v>4</v>
      </c>
      <c r="P43" s="263">
        <v>18</v>
      </c>
      <c r="Q43" s="264" t="str">
        <f t="shared" si="4"/>
        <v>Schachtar Donezk</v>
      </c>
      <c r="R43" s="265" t="s">
        <v>4</v>
      </c>
      <c r="S43" s="266" t="str">
        <f t="shared" si="5"/>
        <v>UMF Breidablik</v>
      </c>
      <c r="T43" s="514">
        <v>45967</v>
      </c>
      <c r="U43" s="267">
        <v>0.78125</v>
      </c>
    </row>
    <row r="44" spans="2:21" ht="17.25" x14ac:dyDescent="0.2">
      <c r="F44" s="82">
        <f t="shared" si="6"/>
        <v>1</v>
      </c>
      <c r="G44" s="82" t="str">
        <f t="shared" si="2"/>
        <v>2531</v>
      </c>
      <c r="H44" s="82" t="str">
        <f t="shared" si="3"/>
        <v>3125</v>
      </c>
      <c r="I44" s="82">
        <f>IF($G44="",0,COUNTIF($G$7:$G44,$H44))</f>
        <v>0</v>
      </c>
      <c r="J44" s="82"/>
      <c r="K44" s="212" t="str">
        <f>Language!$E$85</f>
        <v>double</v>
      </c>
      <c r="L44" s="189"/>
      <c r="M44" s="91">
        <v>38</v>
      </c>
      <c r="N44" s="239">
        <v>25</v>
      </c>
      <c r="O44" s="240" t="s">
        <v>4</v>
      </c>
      <c r="P44" s="241">
        <v>31</v>
      </c>
      <c r="Q44" s="96" t="str">
        <f t="shared" si="4"/>
        <v>Sparta Prag</v>
      </c>
      <c r="R44" s="97" t="s">
        <v>4</v>
      </c>
      <c r="S44" s="98" t="str">
        <f t="shared" si="5"/>
        <v>Rakow Tschenstochau</v>
      </c>
      <c r="T44" s="513">
        <v>45967</v>
      </c>
      <c r="U44" s="165">
        <v>0.78125</v>
      </c>
    </row>
    <row r="45" spans="2:21" ht="17.25" x14ac:dyDescent="0.2">
      <c r="F45" s="82">
        <f t="shared" si="6"/>
        <v>1</v>
      </c>
      <c r="G45" s="82" t="str">
        <f t="shared" si="2"/>
        <v>1221</v>
      </c>
      <c r="H45" s="82" t="str">
        <f t="shared" si="3"/>
        <v>2112</v>
      </c>
      <c r="I45" s="82">
        <f>IF($G45="",0,COUNTIF($G$7:$G45,$H45))</f>
        <v>0</v>
      </c>
      <c r="J45" s="82"/>
      <c r="K45" s="212" t="str">
        <f>Language!$E$85</f>
        <v>double</v>
      </c>
      <c r="L45" s="189"/>
      <c r="M45" s="91">
        <v>39</v>
      </c>
      <c r="N45" s="239">
        <v>12</v>
      </c>
      <c r="O45" s="240" t="s">
        <v>4</v>
      </c>
      <c r="P45" s="241">
        <v>21</v>
      </c>
      <c r="Q45" s="96" t="str">
        <f t="shared" si="4"/>
        <v>1. FSV Mainz 05</v>
      </c>
      <c r="R45" s="97" t="s">
        <v>4</v>
      </c>
      <c r="S45" s="98" t="str">
        <f t="shared" si="5"/>
        <v>AC Florenz</v>
      </c>
      <c r="T45" s="513">
        <v>45967</v>
      </c>
      <c r="U45" s="165">
        <v>0.78125</v>
      </c>
    </row>
    <row r="46" spans="2:21" ht="17.25" x14ac:dyDescent="0.2">
      <c r="F46" s="82">
        <f t="shared" si="6"/>
        <v>1</v>
      </c>
      <c r="G46" s="82" t="str">
        <f t="shared" si="2"/>
        <v>2723</v>
      </c>
      <c r="H46" s="82" t="str">
        <f t="shared" si="3"/>
        <v>2327</v>
      </c>
      <c r="I46" s="82">
        <f>IF($G46="",0,COUNTIF($G$7:$G46,$H46))</f>
        <v>0</v>
      </c>
      <c r="J46" s="82"/>
      <c r="K46" s="212" t="str">
        <f>Language!$E$85</f>
        <v>double</v>
      </c>
      <c r="L46" s="189"/>
      <c r="M46" s="91">
        <v>40</v>
      </c>
      <c r="N46" s="239">
        <v>27</v>
      </c>
      <c r="O46" s="240" t="s">
        <v>4</v>
      </c>
      <c r="P46" s="241">
        <v>23</v>
      </c>
      <c r="Q46" s="96" t="str">
        <f t="shared" si="4"/>
        <v>NK Celje</v>
      </c>
      <c r="R46" s="97" t="s">
        <v>4</v>
      </c>
      <c r="S46" s="98" t="str">
        <f t="shared" si="5"/>
        <v>Legia Warschau</v>
      </c>
      <c r="T46" s="513">
        <v>45967</v>
      </c>
      <c r="U46" s="165">
        <v>0.78125</v>
      </c>
    </row>
    <row r="47" spans="2:21" ht="17.25" x14ac:dyDescent="0.2">
      <c r="F47" s="82">
        <f t="shared" si="6"/>
        <v>1</v>
      </c>
      <c r="G47" s="82" t="str">
        <f t="shared" si="2"/>
        <v>2826</v>
      </c>
      <c r="H47" s="82" t="str">
        <f t="shared" si="3"/>
        <v>2628</v>
      </c>
      <c r="I47" s="82">
        <f>IF($G47="",0,COUNTIF($G$7:$G47,$H47))</f>
        <v>0</v>
      </c>
      <c r="J47" s="82"/>
      <c r="K47" s="212" t="str">
        <f>Language!$E$85</f>
        <v>double</v>
      </c>
      <c r="L47" s="189"/>
      <c r="M47" s="91">
        <v>41</v>
      </c>
      <c r="N47" s="239">
        <v>28</v>
      </c>
      <c r="O47" s="240" t="s">
        <v>4</v>
      </c>
      <c r="P47" s="241">
        <v>26</v>
      </c>
      <c r="Q47" s="96" t="str">
        <f t="shared" si="4"/>
        <v>AEK Athen</v>
      </c>
      <c r="R47" s="97" t="s">
        <v>4</v>
      </c>
      <c r="S47" s="98" t="str">
        <f t="shared" si="5"/>
        <v>Shamrock Rovers</v>
      </c>
      <c r="T47" s="513">
        <v>45967</v>
      </c>
      <c r="U47" s="165">
        <v>0.78125</v>
      </c>
    </row>
    <row r="48" spans="2:21" ht="17.25" x14ac:dyDescent="0.2">
      <c r="F48" s="82">
        <f t="shared" si="6"/>
        <v>1</v>
      </c>
      <c r="G48" s="82" t="str">
        <f t="shared" si="2"/>
        <v>1319</v>
      </c>
      <c r="H48" s="82" t="str">
        <f t="shared" si="3"/>
        <v>1913</v>
      </c>
      <c r="I48" s="82">
        <f>IF($G48="",0,COUNTIF($G$7:$G48,$H48))</f>
        <v>0</v>
      </c>
      <c r="J48" s="82"/>
      <c r="K48" s="212" t="str">
        <f>Language!$E$85</f>
        <v>double</v>
      </c>
      <c r="L48" s="189"/>
      <c r="M48" s="91">
        <v>42</v>
      </c>
      <c r="N48" s="239">
        <v>13</v>
      </c>
      <c r="O48" s="240" t="s">
        <v>4</v>
      </c>
      <c r="P48" s="241">
        <v>19</v>
      </c>
      <c r="Q48" s="96" t="str">
        <f t="shared" si="4"/>
        <v>Kuopion PS</v>
      </c>
      <c r="R48" s="97" t="s">
        <v>4</v>
      </c>
      <c r="S48" s="98" t="str">
        <f t="shared" si="5"/>
        <v>Slovan Bratislava</v>
      </c>
      <c r="T48" s="513">
        <v>45967</v>
      </c>
      <c r="U48" s="165">
        <v>0.78125</v>
      </c>
    </row>
    <row r="49" spans="6:21" ht="17.25" x14ac:dyDescent="0.2">
      <c r="F49" s="82">
        <f t="shared" si="6"/>
        <v>1</v>
      </c>
      <c r="G49" s="82" t="str">
        <f t="shared" si="2"/>
        <v>2410</v>
      </c>
      <c r="H49" s="82" t="str">
        <f t="shared" si="3"/>
        <v>1024</v>
      </c>
      <c r="I49" s="82">
        <f>IF($G49="",0,COUNTIF($G$7:$G49,$H49))</f>
        <v>0</v>
      </c>
      <c r="J49" s="82"/>
      <c r="K49" s="212" t="str">
        <f>Language!$E$85</f>
        <v>double</v>
      </c>
      <c r="L49" s="189"/>
      <c r="M49" s="91">
        <v>43</v>
      </c>
      <c r="N49" s="239">
        <v>24</v>
      </c>
      <c r="O49" s="240" t="s">
        <v>4</v>
      </c>
      <c r="P49" s="241">
        <v>10</v>
      </c>
      <c r="Q49" s="96" t="str">
        <f t="shared" si="4"/>
        <v>Samsunspor</v>
      </c>
      <c r="R49" s="97" t="s">
        <v>4</v>
      </c>
      <c r="S49" s="98" t="str">
        <f t="shared" si="5"/>
        <v>Hamrun Spartans</v>
      </c>
      <c r="T49" s="513">
        <v>45967</v>
      </c>
      <c r="U49" s="165">
        <v>0.78125</v>
      </c>
    </row>
    <row r="50" spans="6:21" ht="17.25" x14ac:dyDescent="0.2">
      <c r="F50" s="82">
        <f t="shared" si="6"/>
        <v>1</v>
      </c>
      <c r="G50" s="82" t="str">
        <f t="shared" si="2"/>
        <v>3329</v>
      </c>
      <c r="H50" s="82" t="str">
        <f t="shared" si="3"/>
        <v>2933</v>
      </c>
      <c r="I50" s="82">
        <f>IF($G50="",0,COUNTIF($G$7:$G50,$H50))</f>
        <v>0</v>
      </c>
      <c r="J50" s="82"/>
      <c r="K50" s="212" t="str">
        <f>Language!$E$85</f>
        <v>double</v>
      </c>
      <c r="L50" s="189"/>
      <c r="M50" s="91">
        <v>44</v>
      </c>
      <c r="N50" s="239">
        <v>33</v>
      </c>
      <c r="O50" s="240" t="s">
        <v>4</v>
      </c>
      <c r="P50" s="241">
        <v>29</v>
      </c>
      <c r="Q50" s="96" t="str">
        <f t="shared" si="4"/>
        <v>AEK Larnaka</v>
      </c>
      <c r="R50" s="97" t="s">
        <v>4</v>
      </c>
      <c r="S50" s="98" t="str">
        <f t="shared" si="5"/>
        <v>FC Aberdeen</v>
      </c>
      <c r="T50" s="513">
        <v>45967</v>
      </c>
      <c r="U50" s="165">
        <v>0.78125</v>
      </c>
    </row>
    <row r="51" spans="6:21" ht="17.25" x14ac:dyDescent="0.2">
      <c r="F51" s="82">
        <f t="shared" si="6"/>
        <v>1</v>
      </c>
      <c r="G51" s="82" t="str">
        <f t="shared" si="2"/>
        <v>1522</v>
      </c>
      <c r="H51" s="82" t="str">
        <f t="shared" si="3"/>
        <v>2215</v>
      </c>
      <c r="I51" s="82">
        <f>IF($G51="",0,COUNTIF($G$7:$G51,$H51))</f>
        <v>0</v>
      </c>
      <c r="J51" s="82"/>
      <c r="K51" s="212" t="str">
        <f>Language!$E$85</f>
        <v>double</v>
      </c>
      <c r="L51" s="189"/>
      <c r="M51" s="91">
        <v>45</v>
      </c>
      <c r="N51" s="239">
        <v>15</v>
      </c>
      <c r="O51" s="240" t="s">
        <v>4</v>
      </c>
      <c r="P51" s="241">
        <v>22</v>
      </c>
      <c r="Q51" s="96" t="str">
        <f t="shared" si="4"/>
        <v>FC Noah</v>
      </c>
      <c r="R51" s="97" t="s">
        <v>4</v>
      </c>
      <c r="S51" s="98" t="str">
        <f t="shared" si="5"/>
        <v>Sigma Olmütz</v>
      </c>
      <c r="T51" s="513">
        <v>45967</v>
      </c>
      <c r="U51" s="165">
        <v>0.78125</v>
      </c>
    </row>
    <row r="52" spans="6:21" ht="17.25" x14ac:dyDescent="0.2">
      <c r="F52" s="82">
        <f t="shared" si="6"/>
        <v>1</v>
      </c>
      <c r="G52" s="82" t="str">
        <f t="shared" si="2"/>
        <v>0432</v>
      </c>
      <c r="H52" s="82" t="str">
        <f t="shared" si="3"/>
        <v>3204</v>
      </c>
      <c r="I52" s="82">
        <f>IF($G52="",0,COUNTIF($G$7:$G52,$H52))</f>
        <v>0</v>
      </c>
      <c r="J52" s="82"/>
      <c r="K52" s="212" t="str">
        <f>Language!$E$85</f>
        <v>double</v>
      </c>
      <c r="L52" s="189"/>
      <c r="M52" s="91">
        <v>46</v>
      </c>
      <c r="N52" s="239">
        <v>4</v>
      </c>
      <c r="O52" s="240" t="s">
        <v>4</v>
      </c>
      <c r="P52" s="241">
        <v>32</v>
      </c>
      <c r="Q52" s="96" t="str">
        <f t="shared" si="4"/>
        <v>Rapid Wien</v>
      </c>
      <c r="R52" s="97" t="s">
        <v>4</v>
      </c>
      <c r="S52" s="98" t="str">
        <f t="shared" si="5"/>
        <v>Universitatea Craiova</v>
      </c>
      <c r="T52" s="513">
        <v>45967</v>
      </c>
      <c r="U52" s="165">
        <v>0.875</v>
      </c>
    </row>
    <row r="53" spans="6:21" ht="17.25" x14ac:dyDescent="0.2">
      <c r="F53" s="82">
        <f t="shared" si="6"/>
        <v>1</v>
      </c>
      <c r="G53" s="82" t="str">
        <f t="shared" si="2"/>
        <v>0234</v>
      </c>
      <c r="H53" s="82" t="str">
        <f t="shared" si="3"/>
        <v>3402</v>
      </c>
      <c r="I53" s="82">
        <f>IF($G53="",0,COUNTIF($G$7:$G53,$H53))</f>
        <v>0</v>
      </c>
      <c r="J53" s="82"/>
      <c r="K53" s="212" t="str">
        <f>Language!$E$85</f>
        <v>double</v>
      </c>
      <c r="L53" s="189"/>
      <c r="M53" s="91">
        <v>47</v>
      </c>
      <c r="N53" s="239">
        <v>2</v>
      </c>
      <c r="O53" s="240" t="s">
        <v>4</v>
      </c>
      <c r="P53" s="241">
        <v>34</v>
      </c>
      <c r="Q53" s="96" t="str">
        <f t="shared" si="4"/>
        <v>Crystal Palace</v>
      </c>
      <c r="R53" s="97" t="s">
        <v>4</v>
      </c>
      <c r="S53" s="98" t="str">
        <f t="shared" si="5"/>
        <v>AZ Alkmaar</v>
      </c>
      <c r="T53" s="513">
        <v>45967</v>
      </c>
      <c r="U53" s="165">
        <v>0.875</v>
      </c>
    </row>
    <row r="54" spans="6:21" ht="17.25" x14ac:dyDescent="0.2">
      <c r="F54" s="82">
        <f t="shared" si="6"/>
        <v>1</v>
      </c>
      <c r="G54" s="82" t="str">
        <f t="shared" si="2"/>
        <v>0107</v>
      </c>
      <c r="H54" s="82" t="str">
        <f t="shared" si="3"/>
        <v>0701</v>
      </c>
      <c r="I54" s="82">
        <f>IF($G54="",0,COUNTIF($G$7:$G54,$H54))</f>
        <v>0</v>
      </c>
      <c r="J54" s="82"/>
      <c r="K54" s="212" t="str">
        <f>Language!$E$85</f>
        <v>double</v>
      </c>
      <c r="L54" s="189"/>
      <c r="M54" s="91">
        <v>48</v>
      </c>
      <c r="N54" s="239">
        <v>1</v>
      </c>
      <c r="O54" s="240" t="s">
        <v>4</v>
      </c>
      <c r="P54" s="241">
        <v>7</v>
      </c>
      <c r="Q54" s="96" t="str">
        <f t="shared" si="4"/>
        <v>Dynamo Kiew</v>
      </c>
      <c r="R54" s="97" t="s">
        <v>4</v>
      </c>
      <c r="S54" s="98" t="str">
        <f t="shared" si="5"/>
        <v>Zrinjski Mostar</v>
      </c>
      <c r="T54" s="513">
        <v>45967</v>
      </c>
      <c r="U54" s="165">
        <v>0.875</v>
      </c>
    </row>
    <row r="55" spans="6:21" ht="17.25" x14ac:dyDescent="0.2">
      <c r="F55" s="82">
        <f t="shared" si="6"/>
        <v>1</v>
      </c>
      <c r="G55" s="82" t="str">
        <f t="shared" si="2"/>
        <v>0503</v>
      </c>
      <c r="H55" s="82" t="str">
        <f t="shared" si="3"/>
        <v>0305</v>
      </c>
      <c r="I55" s="82">
        <f>IF($G55="",0,COUNTIF($G$7:$G55,$H55))</f>
        <v>0</v>
      </c>
      <c r="J55" s="82"/>
      <c r="K55" s="212" t="str">
        <f>Language!$E$85</f>
        <v>double</v>
      </c>
      <c r="L55" s="189"/>
      <c r="M55" s="91">
        <v>49</v>
      </c>
      <c r="N55" s="239">
        <v>5</v>
      </c>
      <c r="O55" s="240" t="s">
        <v>4</v>
      </c>
      <c r="P55" s="241">
        <v>3</v>
      </c>
      <c r="Q55" s="96" t="str">
        <f t="shared" si="4"/>
        <v>Rayo Vallecano</v>
      </c>
      <c r="R55" s="97" t="s">
        <v>4</v>
      </c>
      <c r="S55" s="98" t="str">
        <f t="shared" si="5"/>
        <v>Lech Posen</v>
      </c>
      <c r="T55" s="513">
        <v>45967</v>
      </c>
      <c r="U55" s="165">
        <v>0.875</v>
      </c>
    </row>
    <row r="56" spans="6:21" ht="17.25" x14ac:dyDescent="0.2">
      <c r="F56" s="82">
        <f t="shared" si="6"/>
        <v>1</v>
      </c>
      <c r="G56" s="82" t="str">
        <f t="shared" si="2"/>
        <v>0816</v>
      </c>
      <c r="H56" s="82" t="str">
        <f t="shared" si="3"/>
        <v>1608</v>
      </c>
      <c r="I56" s="82">
        <f>IF($G56="",0,COUNTIF($G$7:$G56,$H56))</f>
        <v>0</v>
      </c>
      <c r="J56" s="82"/>
      <c r="K56" s="212" t="str">
        <f>Language!$E$85</f>
        <v>double</v>
      </c>
      <c r="L56" s="189"/>
      <c r="M56" s="91">
        <v>50</v>
      </c>
      <c r="N56" s="239">
        <v>8</v>
      </c>
      <c r="O56" s="240" t="s">
        <v>4</v>
      </c>
      <c r="P56" s="241">
        <v>16</v>
      </c>
      <c r="Q56" s="96" t="str">
        <f t="shared" si="4"/>
        <v>Lincoln Red Imps Fc</v>
      </c>
      <c r="R56" s="97" t="s">
        <v>4</v>
      </c>
      <c r="S56" s="98" t="str">
        <f t="shared" si="5"/>
        <v>HNK Rijeka</v>
      </c>
      <c r="T56" s="513">
        <v>45967</v>
      </c>
      <c r="U56" s="165">
        <v>0.875</v>
      </c>
    </row>
    <row r="57" spans="6:21" ht="17.25" x14ac:dyDescent="0.2">
      <c r="F57" s="82">
        <f t="shared" si="6"/>
        <v>1</v>
      </c>
      <c r="G57" s="82" t="str">
        <f t="shared" si="2"/>
        <v>0609</v>
      </c>
      <c r="H57" s="82" t="str">
        <f t="shared" si="3"/>
        <v>0906</v>
      </c>
      <c r="I57" s="82">
        <f>IF($G57="",0,COUNTIF($G$7:$G57,$H57))</f>
        <v>0</v>
      </c>
      <c r="J57" s="82"/>
      <c r="K57" s="212" t="str">
        <f>Language!$E$85</f>
        <v>double</v>
      </c>
      <c r="L57" s="189"/>
      <c r="M57" s="91">
        <v>51</v>
      </c>
      <c r="N57" s="239">
        <v>6</v>
      </c>
      <c r="O57" s="240" t="s">
        <v>4</v>
      </c>
      <c r="P57" s="241">
        <v>9</v>
      </c>
      <c r="Q57" s="96" t="str">
        <f t="shared" si="4"/>
        <v>Shkendija Tetovo</v>
      </c>
      <c r="R57" s="97" t="s">
        <v>4</v>
      </c>
      <c r="S57" s="98" t="str">
        <f t="shared" si="5"/>
        <v>Jagiellonia Bialystok</v>
      </c>
      <c r="T57" s="513">
        <v>45967</v>
      </c>
      <c r="U57" s="165">
        <v>0.875</v>
      </c>
    </row>
    <row r="58" spans="6:21" ht="17.25" x14ac:dyDescent="0.2">
      <c r="F58" s="82">
        <f t="shared" si="6"/>
        <v>1</v>
      </c>
      <c r="G58" s="82" t="str">
        <f t="shared" si="2"/>
        <v>3620</v>
      </c>
      <c r="H58" s="82" t="str">
        <f t="shared" si="3"/>
        <v>2036</v>
      </c>
      <c r="I58" s="82">
        <f>IF($G58="",0,COUNTIF($G$7:$G58,$H58))</f>
        <v>0</v>
      </c>
      <c r="J58" s="82"/>
      <c r="K58" s="212" t="str">
        <f>Language!$E$85</f>
        <v>double</v>
      </c>
      <c r="L58" s="189"/>
      <c r="M58" s="91">
        <v>52</v>
      </c>
      <c r="N58" s="239">
        <v>36</v>
      </c>
      <c r="O58" s="240" t="s">
        <v>4</v>
      </c>
      <c r="P58" s="241">
        <v>20</v>
      </c>
      <c r="Q58" s="96" t="str">
        <f t="shared" si="4"/>
        <v>BK Häcken</v>
      </c>
      <c r="R58" s="97" t="s">
        <v>4</v>
      </c>
      <c r="S58" s="98" t="str">
        <f t="shared" si="5"/>
        <v>Racing Straßburg</v>
      </c>
      <c r="T58" s="513">
        <v>45967</v>
      </c>
      <c r="U58" s="165">
        <v>0.875</v>
      </c>
    </row>
    <row r="59" spans="6:21" ht="17.25" x14ac:dyDescent="0.2">
      <c r="F59" s="82">
        <f t="shared" si="6"/>
        <v>1</v>
      </c>
      <c r="G59" s="82" t="str">
        <f t="shared" si="2"/>
        <v>3514</v>
      </c>
      <c r="H59" s="82" t="str">
        <f t="shared" si="3"/>
        <v>1435</v>
      </c>
      <c r="I59" s="82">
        <f>IF($G59="",0,COUNTIF($G$7:$G59,$H59))</f>
        <v>0</v>
      </c>
      <c r="J59" s="82"/>
      <c r="K59" s="212" t="str">
        <f>Language!$E$85</f>
        <v>double</v>
      </c>
      <c r="L59" s="189"/>
      <c r="M59" s="91">
        <v>53</v>
      </c>
      <c r="N59" s="239">
        <v>35</v>
      </c>
      <c r="O59" s="240" t="s">
        <v>4</v>
      </c>
      <c r="P59" s="241">
        <v>14</v>
      </c>
      <c r="Q59" s="96" t="str">
        <f t="shared" si="4"/>
        <v>FC Shelbourne</v>
      </c>
      <c r="R59" s="97" t="s">
        <v>4</v>
      </c>
      <c r="S59" s="98" t="str">
        <f t="shared" si="5"/>
        <v>KF Drita Gjilan</v>
      </c>
      <c r="T59" s="513">
        <v>45967</v>
      </c>
      <c r="U59" s="165">
        <v>0.875</v>
      </c>
    </row>
    <row r="60" spans="6:21" ht="18" thickBot="1" x14ac:dyDescent="0.25">
      <c r="F60" s="82">
        <f t="shared" si="6"/>
        <v>1</v>
      </c>
      <c r="G60" s="82" t="str">
        <f t="shared" si="2"/>
        <v>1711</v>
      </c>
      <c r="H60" s="82" t="str">
        <f t="shared" si="3"/>
        <v>1117</v>
      </c>
      <c r="I60" s="82">
        <f>IF($G60="",0,COUNTIF($G$7:$G60,$H60))</f>
        <v>0</v>
      </c>
      <c r="J60" s="82"/>
      <c r="K60" s="212" t="str">
        <f>Language!$E$85</f>
        <v>double</v>
      </c>
      <c r="L60" s="189"/>
      <c r="M60" s="242">
        <v>54</v>
      </c>
      <c r="N60" s="257">
        <v>17</v>
      </c>
      <c r="O60" s="243" t="s">
        <v>4</v>
      </c>
      <c r="P60" s="258">
        <v>11</v>
      </c>
      <c r="Q60" s="244" t="str">
        <f t="shared" si="4"/>
        <v>FC Lausanne-Sport</v>
      </c>
      <c r="R60" s="245" t="s">
        <v>4</v>
      </c>
      <c r="S60" s="246" t="str">
        <f t="shared" si="5"/>
        <v>Omonia Nikosia</v>
      </c>
      <c r="T60" s="513">
        <v>45967</v>
      </c>
      <c r="U60" s="165">
        <v>0.875</v>
      </c>
    </row>
    <row r="61" spans="6:21" ht="17.25" x14ac:dyDescent="0.2">
      <c r="F61" s="82">
        <f t="shared" si="6"/>
        <v>1</v>
      </c>
      <c r="G61" s="82" t="str">
        <f t="shared" si="2"/>
        <v>1905</v>
      </c>
      <c r="H61" s="82" t="str">
        <f t="shared" si="3"/>
        <v>0519</v>
      </c>
      <c r="I61" s="82">
        <f>IF($G61="",0,COUNTIF($G$7:$G61,$H61))</f>
        <v>0</v>
      </c>
      <c r="J61" s="82"/>
      <c r="K61" s="212" t="str">
        <f>Language!$E$85</f>
        <v>double</v>
      </c>
      <c r="L61" s="259">
        <v>4</v>
      </c>
      <c r="M61" s="260">
        <v>55</v>
      </c>
      <c r="N61" s="261">
        <v>19</v>
      </c>
      <c r="O61" s="262" t="s">
        <v>4</v>
      </c>
      <c r="P61" s="263">
        <v>5</v>
      </c>
      <c r="Q61" s="264" t="str">
        <f t="shared" si="4"/>
        <v>Slovan Bratislava</v>
      </c>
      <c r="R61" s="265" t="s">
        <v>4</v>
      </c>
      <c r="S61" s="266" t="str">
        <f t="shared" si="5"/>
        <v>Rayo Vallecano</v>
      </c>
      <c r="T61" s="514">
        <v>45988</v>
      </c>
      <c r="U61" s="267">
        <v>0.78125</v>
      </c>
    </row>
    <row r="62" spans="6:21" ht="17.25" x14ac:dyDescent="0.2">
      <c r="F62" s="82">
        <f t="shared" si="6"/>
        <v>1</v>
      </c>
      <c r="G62" s="82" t="str">
        <f t="shared" si="2"/>
        <v>3435</v>
      </c>
      <c r="H62" s="82" t="str">
        <f t="shared" si="3"/>
        <v>3534</v>
      </c>
      <c r="I62" s="82">
        <f>IF($G62="",0,COUNTIF($G$7:$G62,$H62))</f>
        <v>0</v>
      </c>
      <c r="J62" s="82"/>
      <c r="K62" s="212" t="str">
        <f>Language!$E$85</f>
        <v>double</v>
      </c>
      <c r="L62" s="189"/>
      <c r="M62" s="91">
        <v>56</v>
      </c>
      <c r="N62" s="239">
        <v>34</v>
      </c>
      <c r="O62" s="240" t="s">
        <v>4</v>
      </c>
      <c r="P62" s="241">
        <v>35</v>
      </c>
      <c r="Q62" s="96" t="str">
        <f t="shared" si="4"/>
        <v>AZ Alkmaar</v>
      </c>
      <c r="R62" s="97" t="s">
        <v>4</v>
      </c>
      <c r="S62" s="98" t="str">
        <f t="shared" si="5"/>
        <v>FC Shelbourne</v>
      </c>
      <c r="T62" s="513">
        <v>45988</v>
      </c>
      <c r="U62" s="165">
        <v>0.78125</v>
      </c>
    </row>
    <row r="63" spans="6:21" ht="17.25" x14ac:dyDescent="0.2">
      <c r="F63" s="82">
        <f t="shared" si="6"/>
        <v>1</v>
      </c>
      <c r="G63" s="82" t="str">
        <f t="shared" si="2"/>
        <v>0317</v>
      </c>
      <c r="H63" s="82" t="str">
        <f t="shared" si="3"/>
        <v>1703</v>
      </c>
      <c r="I63" s="82">
        <f>IF($G63="",0,COUNTIF($G$7:$G63,$H63))</f>
        <v>0</v>
      </c>
      <c r="J63" s="82"/>
      <c r="K63" s="212" t="str">
        <f>Language!$E$85</f>
        <v>double</v>
      </c>
      <c r="L63" s="189"/>
      <c r="M63" s="91">
        <v>57</v>
      </c>
      <c r="N63" s="239">
        <v>3</v>
      </c>
      <c r="O63" s="240" t="s">
        <v>4</v>
      </c>
      <c r="P63" s="241">
        <v>17</v>
      </c>
      <c r="Q63" s="96" t="str">
        <f t="shared" si="4"/>
        <v>Lech Posen</v>
      </c>
      <c r="R63" s="97" t="s">
        <v>4</v>
      </c>
      <c r="S63" s="98" t="str">
        <f t="shared" si="5"/>
        <v>FC Lausanne-Sport</v>
      </c>
      <c r="T63" s="513">
        <v>45988</v>
      </c>
      <c r="U63" s="165">
        <v>0.78125</v>
      </c>
    </row>
    <row r="64" spans="6:21" ht="17.25" x14ac:dyDescent="0.2">
      <c r="F64" s="82">
        <f t="shared" si="6"/>
        <v>1</v>
      </c>
      <c r="G64" s="82" t="str">
        <f t="shared" si="2"/>
        <v>0736</v>
      </c>
      <c r="H64" s="82" t="str">
        <f t="shared" si="3"/>
        <v>3607</v>
      </c>
      <c r="I64" s="82">
        <f>IF($G64="",0,COUNTIF($G$7:$G64,$H64))</f>
        <v>0</v>
      </c>
      <c r="J64" s="82"/>
      <c r="K64" s="212" t="str">
        <f>Language!$E$85</f>
        <v>double</v>
      </c>
      <c r="L64" s="189"/>
      <c r="M64" s="91">
        <v>58</v>
      </c>
      <c r="N64" s="239">
        <v>7</v>
      </c>
      <c r="O64" s="240" t="s">
        <v>4</v>
      </c>
      <c r="P64" s="241">
        <v>36</v>
      </c>
      <c r="Q64" s="96" t="str">
        <f t="shared" si="4"/>
        <v>Zrinjski Mostar</v>
      </c>
      <c r="R64" s="97" t="s">
        <v>4</v>
      </c>
      <c r="S64" s="98" t="str">
        <f t="shared" si="5"/>
        <v>BK Häcken</v>
      </c>
      <c r="T64" s="513">
        <v>45988</v>
      </c>
      <c r="U64" s="165">
        <v>0.78125</v>
      </c>
    </row>
    <row r="65" spans="6:21" ht="17.25" x14ac:dyDescent="0.2">
      <c r="F65" s="82">
        <f t="shared" si="6"/>
        <v>1</v>
      </c>
      <c r="G65" s="82" t="str">
        <f t="shared" si="2"/>
        <v>1101</v>
      </c>
      <c r="H65" s="82" t="str">
        <f t="shared" si="3"/>
        <v>0111</v>
      </c>
      <c r="I65" s="82">
        <f>IF($G65="",0,COUNTIF($G$7:$G65,$H65))</f>
        <v>0</v>
      </c>
      <c r="J65" s="82"/>
      <c r="K65" s="212" t="str">
        <f>Language!$E$85</f>
        <v>double</v>
      </c>
      <c r="L65" s="189"/>
      <c r="M65" s="91">
        <v>59</v>
      </c>
      <c r="N65" s="239">
        <v>11</v>
      </c>
      <c r="O65" s="240" t="s">
        <v>4</v>
      </c>
      <c r="P65" s="241">
        <v>1</v>
      </c>
      <c r="Q65" s="96" t="str">
        <f t="shared" si="4"/>
        <v>Omonia Nikosia</v>
      </c>
      <c r="R65" s="97" t="s">
        <v>4</v>
      </c>
      <c r="S65" s="98" t="str">
        <f t="shared" si="5"/>
        <v>Dynamo Kiew</v>
      </c>
      <c r="T65" s="513">
        <v>45988</v>
      </c>
      <c r="U65" s="165">
        <v>0.78125</v>
      </c>
    </row>
    <row r="66" spans="6:21" ht="17.25" x14ac:dyDescent="0.2">
      <c r="F66" s="82">
        <f t="shared" si="6"/>
        <v>1</v>
      </c>
      <c r="G66" s="82" t="str">
        <f t="shared" si="2"/>
        <v>2227</v>
      </c>
      <c r="H66" s="82" t="str">
        <f t="shared" si="3"/>
        <v>2722</v>
      </c>
      <c r="I66" s="82">
        <f>IF($G66="",0,COUNTIF($G$7:$G66,$H66))</f>
        <v>0</v>
      </c>
      <c r="J66" s="82"/>
      <c r="K66" s="212" t="str">
        <f>Language!$E$85</f>
        <v>double</v>
      </c>
      <c r="L66" s="189"/>
      <c r="M66" s="91">
        <v>60</v>
      </c>
      <c r="N66" s="239">
        <v>22</v>
      </c>
      <c r="O66" s="240" t="s">
        <v>4</v>
      </c>
      <c r="P66" s="241">
        <v>27</v>
      </c>
      <c r="Q66" s="96" t="str">
        <f t="shared" si="4"/>
        <v>Sigma Olmütz</v>
      </c>
      <c r="R66" s="97" t="s">
        <v>4</v>
      </c>
      <c r="S66" s="98" t="str">
        <f t="shared" si="5"/>
        <v>NK Celje</v>
      </c>
      <c r="T66" s="513">
        <v>45988</v>
      </c>
      <c r="U66" s="165">
        <v>0.78125</v>
      </c>
    </row>
    <row r="67" spans="6:21" ht="17.25" x14ac:dyDescent="0.2">
      <c r="F67" s="82">
        <f t="shared" si="6"/>
        <v>1</v>
      </c>
      <c r="G67" s="82" t="str">
        <f t="shared" si="2"/>
        <v>3104</v>
      </c>
      <c r="H67" s="82" t="str">
        <f t="shared" si="3"/>
        <v>0431</v>
      </c>
      <c r="I67" s="82">
        <f>IF($G67="",0,COUNTIF($G$7:$G67,$H67))</f>
        <v>0</v>
      </c>
      <c r="J67" s="82"/>
      <c r="K67" s="212" t="str">
        <f>Language!$E$85</f>
        <v>double</v>
      </c>
      <c r="L67" s="189"/>
      <c r="M67" s="91">
        <v>61</v>
      </c>
      <c r="N67" s="239">
        <v>31</v>
      </c>
      <c r="O67" s="240" t="s">
        <v>4</v>
      </c>
      <c r="P67" s="241">
        <v>4</v>
      </c>
      <c r="Q67" s="96" t="str">
        <f t="shared" si="4"/>
        <v>Rakow Tschenstochau</v>
      </c>
      <c r="R67" s="97" t="s">
        <v>4</v>
      </c>
      <c r="S67" s="98" t="str">
        <f t="shared" si="5"/>
        <v>Rapid Wien</v>
      </c>
      <c r="T67" s="513">
        <v>45988</v>
      </c>
      <c r="U67" s="165">
        <v>0.78125</v>
      </c>
    </row>
    <row r="68" spans="6:21" ht="17.25" x14ac:dyDescent="0.2">
      <c r="F68" s="82">
        <f t="shared" si="6"/>
        <v>1</v>
      </c>
      <c r="G68" s="82" t="str">
        <f t="shared" si="2"/>
        <v>3212</v>
      </c>
      <c r="H68" s="82" t="str">
        <f t="shared" si="3"/>
        <v>1232</v>
      </c>
      <c r="I68" s="82">
        <f>IF($G68="",0,COUNTIF($G$7:$G68,$H68))</f>
        <v>0</v>
      </c>
      <c r="J68" s="82"/>
      <c r="K68" s="212" t="str">
        <f>Language!$E$85</f>
        <v>double</v>
      </c>
      <c r="L68" s="189"/>
      <c r="M68" s="91">
        <v>62</v>
      </c>
      <c r="N68" s="239">
        <v>32</v>
      </c>
      <c r="O68" s="240" t="s">
        <v>4</v>
      </c>
      <c r="P68" s="241">
        <v>12</v>
      </c>
      <c r="Q68" s="96" t="str">
        <f t="shared" si="4"/>
        <v>Universitatea Craiova</v>
      </c>
      <c r="R68" s="97" t="s">
        <v>4</v>
      </c>
      <c r="S68" s="98" t="str">
        <f t="shared" si="5"/>
        <v>1. FSV Mainz 05</v>
      </c>
      <c r="T68" s="513">
        <v>45988</v>
      </c>
      <c r="U68" s="165">
        <v>0.78125</v>
      </c>
    </row>
    <row r="69" spans="6:21" ht="17.25" x14ac:dyDescent="0.2">
      <c r="F69" s="82">
        <f t="shared" si="6"/>
        <v>1</v>
      </c>
      <c r="G69" s="82" t="str">
        <f t="shared" si="2"/>
        <v>1008</v>
      </c>
      <c r="H69" s="82" t="str">
        <f t="shared" si="3"/>
        <v>0810</v>
      </c>
      <c r="I69" s="82">
        <f>IF($G69="",0,COUNTIF($G$7:$G69,$H69))</f>
        <v>0</v>
      </c>
      <c r="J69" s="82"/>
      <c r="K69" s="212" t="str">
        <f>Language!$E$85</f>
        <v>double</v>
      </c>
      <c r="L69" s="189"/>
      <c r="M69" s="91">
        <v>63</v>
      </c>
      <c r="N69" s="239">
        <v>10</v>
      </c>
      <c r="O69" s="240" t="s">
        <v>4</v>
      </c>
      <c r="P69" s="241">
        <v>8</v>
      </c>
      <c r="Q69" s="96" t="str">
        <f t="shared" si="4"/>
        <v>Hamrun Spartans</v>
      </c>
      <c r="R69" s="97" t="s">
        <v>4</v>
      </c>
      <c r="S69" s="98" t="str">
        <f t="shared" si="5"/>
        <v>Lincoln Red Imps Fc</v>
      </c>
      <c r="T69" s="513">
        <v>45988</v>
      </c>
      <c r="U69" s="165">
        <v>0.78125</v>
      </c>
    </row>
    <row r="70" spans="6:21" ht="17.25" x14ac:dyDescent="0.2">
      <c r="F70" s="82">
        <f t="shared" si="6"/>
        <v>1</v>
      </c>
      <c r="G70" s="82" t="str">
        <f t="shared" si="2"/>
        <v>2128</v>
      </c>
      <c r="H70" s="82" t="str">
        <f t="shared" si="3"/>
        <v>2821</v>
      </c>
      <c r="I70" s="82">
        <f>IF($G70="",0,COUNTIF($G$7:$G70,$H70))</f>
        <v>0</v>
      </c>
      <c r="J70" s="82"/>
      <c r="K70" s="212" t="str">
        <f>Language!$E$85</f>
        <v>double</v>
      </c>
      <c r="L70" s="189"/>
      <c r="M70" s="91">
        <v>64</v>
      </c>
      <c r="N70" s="239">
        <v>21</v>
      </c>
      <c r="O70" s="240" t="s">
        <v>4</v>
      </c>
      <c r="P70" s="241">
        <v>28</v>
      </c>
      <c r="Q70" s="96" t="str">
        <f t="shared" si="4"/>
        <v>AC Florenz</v>
      </c>
      <c r="R70" s="97" t="s">
        <v>4</v>
      </c>
      <c r="S70" s="98" t="str">
        <f t="shared" si="5"/>
        <v>AEK Athen</v>
      </c>
      <c r="T70" s="513">
        <v>45988</v>
      </c>
      <c r="U70" s="165">
        <v>0.875</v>
      </c>
    </row>
    <row r="71" spans="6:21" ht="17.25" x14ac:dyDescent="0.2">
      <c r="F71" s="82">
        <f t="shared" ref="F71:F102" si="7">IF($G71="",0,IF(LEFT($G71,2)=RIGHT($G71,2),100,IF(COUNTIF($G$7:$G$150,$G71)&gt;1,101,COUNTIF($G$7:$G$150,$G71)+COUNTIF($H$7:$H$150,$G71))))</f>
        <v>1</v>
      </c>
      <c r="G71" s="82" t="str">
        <f t="shared" si="2"/>
        <v>2325</v>
      </c>
      <c r="H71" s="82" t="str">
        <f t="shared" si="3"/>
        <v>2523</v>
      </c>
      <c r="I71" s="82">
        <f>IF($G71="",0,COUNTIF($G$7:$G71,$H71))</f>
        <v>0</v>
      </c>
      <c r="J71" s="82"/>
      <c r="K71" s="212" t="str">
        <f>Language!$E$85</f>
        <v>double</v>
      </c>
      <c r="L71" s="189"/>
      <c r="M71" s="91">
        <v>65</v>
      </c>
      <c r="N71" s="239">
        <v>23</v>
      </c>
      <c r="O71" s="240" t="s">
        <v>4</v>
      </c>
      <c r="P71" s="241">
        <v>25</v>
      </c>
      <c r="Q71" s="96" t="str">
        <f t="shared" si="4"/>
        <v>Legia Warschau</v>
      </c>
      <c r="R71" s="97" t="s">
        <v>4</v>
      </c>
      <c r="S71" s="98" t="str">
        <f t="shared" si="5"/>
        <v>Sparta Prag</v>
      </c>
      <c r="T71" s="513">
        <v>45988</v>
      </c>
      <c r="U71" s="165">
        <v>0.875</v>
      </c>
    </row>
    <row r="72" spans="6:21" ht="17.25" x14ac:dyDescent="0.2">
      <c r="F72" s="82">
        <f t="shared" si="7"/>
        <v>1</v>
      </c>
      <c r="G72" s="82" t="str">
        <f t="shared" ref="G72:G135" si="8">IF(OR($N72="",$P72=""),"",TEXT($N72,"00")&amp;TEXT($P72,"00"))</f>
        <v>2630</v>
      </c>
      <c r="H72" s="82" t="str">
        <f t="shared" ref="H72:H135" si="9">IF(OR($N72="",$P72=""),"",TEXT($P72,"00")&amp;TEXT($N72,"00"))</f>
        <v>3026</v>
      </c>
      <c r="I72" s="82">
        <f>IF($G72="",0,COUNTIF($G$7:$G72,$H72))</f>
        <v>0</v>
      </c>
      <c r="J72" s="82"/>
      <c r="K72" s="212" t="str">
        <f>Language!$E$85</f>
        <v>double</v>
      </c>
      <c r="L72" s="189"/>
      <c r="M72" s="91">
        <v>66</v>
      </c>
      <c r="N72" s="239">
        <v>26</v>
      </c>
      <c r="O72" s="240" t="s">
        <v>4</v>
      </c>
      <c r="P72" s="241">
        <v>30</v>
      </c>
      <c r="Q72" s="96" t="str">
        <f t="shared" ref="Q72:Q114" si="10">IF(ISBLANK($N72),"",IF(ISBLANK(VLOOKUP($N72,$C$7:$D$42,2,0)),"",VLOOKUP($N72,$C$7:$D$42,2,0)))</f>
        <v>Shamrock Rovers</v>
      </c>
      <c r="R72" s="97" t="s">
        <v>4</v>
      </c>
      <c r="S72" s="98" t="str">
        <f t="shared" ref="S72:S114" si="11">IF(ISBLANK($P72),"",IF(ISBLANK(VLOOKUP($P72,$C$7:$D$42,2,0)),"",VLOOKUP($P72,$C$7:$D$42,2,0)))</f>
        <v>Schachtar Donezk</v>
      </c>
      <c r="T72" s="513">
        <v>45988</v>
      </c>
      <c r="U72" s="165">
        <v>0.875</v>
      </c>
    </row>
    <row r="73" spans="6:21" ht="17.25" x14ac:dyDescent="0.2">
      <c r="F73" s="82">
        <f t="shared" si="7"/>
        <v>1</v>
      </c>
      <c r="G73" s="82" t="str">
        <f t="shared" si="8"/>
        <v>0913</v>
      </c>
      <c r="H73" s="82" t="str">
        <f t="shared" si="9"/>
        <v>1309</v>
      </c>
      <c r="I73" s="82">
        <f>IF($G73="",0,COUNTIF($G$7:$G73,$H73))</f>
        <v>0</v>
      </c>
      <c r="J73" s="82"/>
      <c r="K73" s="212" t="str">
        <f>Language!$E$85</f>
        <v>double</v>
      </c>
      <c r="L73" s="189"/>
      <c r="M73" s="91">
        <v>67</v>
      </c>
      <c r="N73" s="239">
        <v>9</v>
      </c>
      <c r="O73" s="240" t="s">
        <v>4</v>
      </c>
      <c r="P73" s="241">
        <v>13</v>
      </c>
      <c r="Q73" s="96" t="str">
        <f t="shared" si="10"/>
        <v>Jagiellonia Bialystok</v>
      </c>
      <c r="R73" s="97" t="s">
        <v>4</v>
      </c>
      <c r="S73" s="98" t="str">
        <f t="shared" si="11"/>
        <v>Kuopion PS</v>
      </c>
      <c r="T73" s="513">
        <v>45988</v>
      </c>
      <c r="U73" s="165">
        <v>0.875</v>
      </c>
    </row>
    <row r="74" spans="6:21" ht="17.25" x14ac:dyDescent="0.2">
      <c r="F74" s="82">
        <f t="shared" si="7"/>
        <v>1</v>
      </c>
      <c r="G74" s="82" t="str">
        <f t="shared" si="8"/>
        <v>2002</v>
      </c>
      <c r="H74" s="82" t="str">
        <f t="shared" si="9"/>
        <v>0220</v>
      </c>
      <c r="I74" s="82">
        <f>IF($G74="",0,COUNTIF($G$7:$G74,$H74))</f>
        <v>0</v>
      </c>
      <c r="J74" s="82"/>
      <c r="K74" s="212" t="str">
        <f>Language!$E$85</f>
        <v>double</v>
      </c>
      <c r="L74" s="189"/>
      <c r="M74" s="91">
        <v>68</v>
      </c>
      <c r="N74" s="239">
        <v>20</v>
      </c>
      <c r="O74" s="240" t="s">
        <v>4</v>
      </c>
      <c r="P74" s="241">
        <v>2</v>
      </c>
      <c r="Q74" s="96" t="str">
        <f t="shared" si="10"/>
        <v>Racing Straßburg</v>
      </c>
      <c r="R74" s="97" t="s">
        <v>4</v>
      </c>
      <c r="S74" s="98" t="str">
        <f t="shared" si="11"/>
        <v>Crystal Palace</v>
      </c>
      <c r="T74" s="513">
        <v>45988</v>
      </c>
      <c r="U74" s="165">
        <v>0.875</v>
      </c>
    </row>
    <row r="75" spans="6:21" ht="17.25" x14ac:dyDescent="0.2">
      <c r="F75" s="82">
        <f t="shared" si="7"/>
        <v>1</v>
      </c>
      <c r="G75" s="82" t="str">
        <f t="shared" si="8"/>
        <v>1633</v>
      </c>
      <c r="H75" s="82" t="str">
        <f t="shared" si="9"/>
        <v>3316</v>
      </c>
      <c r="I75" s="82">
        <f>IF($G75="",0,COUNTIF($G$7:$G75,$H75))</f>
        <v>0</v>
      </c>
      <c r="J75" s="82"/>
      <c r="K75" s="212" t="str">
        <f>Language!$E$85</f>
        <v>double</v>
      </c>
      <c r="L75" s="189"/>
      <c r="M75" s="91">
        <v>69</v>
      </c>
      <c r="N75" s="239">
        <v>16</v>
      </c>
      <c r="O75" s="240" t="s">
        <v>4</v>
      </c>
      <c r="P75" s="241">
        <v>33</v>
      </c>
      <c r="Q75" s="96" t="str">
        <f t="shared" si="10"/>
        <v>HNK Rijeka</v>
      </c>
      <c r="R75" s="97" t="s">
        <v>4</v>
      </c>
      <c r="S75" s="98" t="str">
        <f t="shared" si="11"/>
        <v>AEK Larnaka</v>
      </c>
      <c r="T75" s="513">
        <v>45988</v>
      </c>
      <c r="U75" s="165">
        <v>0.875</v>
      </c>
    </row>
    <row r="76" spans="6:21" ht="17.25" x14ac:dyDescent="0.2">
      <c r="F76" s="82">
        <f t="shared" si="7"/>
        <v>1</v>
      </c>
      <c r="G76" s="82" t="str">
        <f t="shared" si="8"/>
        <v>1406</v>
      </c>
      <c r="H76" s="82" t="str">
        <f t="shared" si="9"/>
        <v>0614</v>
      </c>
      <c r="I76" s="82">
        <f>IF($G76="",0,COUNTIF($G$7:$G76,$H76))</f>
        <v>0</v>
      </c>
      <c r="J76" s="82"/>
      <c r="K76" s="212" t="str">
        <f>Language!$E$85</f>
        <v>double</v>
      </c>
      <c r="L76" s="189"/>
      <c r="M76" s="91">
        <v>70</v>
      </c>
      <c r="N76" s="239">
        <v>14</v>
      </c>
      <c r="O76" s="240" t="s">
        <v>4</v>
      </c>
      <c r="P76" s="241">
        <v>6</v>
      </c>
      <c r="Q76" s="96" t="str">
        <f t="shared" si="10"/>
        <v>KF Drita Gjilan</v>
      </c>
      <c r="R76" s="97" t="s">
        <v>4</v>
      </c>
      <c r="S76" s="98" t="str">
        <f t="shared" si="11"/>
        <v>Shkendija Tetovo</v>
      </c>
      <c r="T76" s="513">
        <v>45988</v>
      </c>
      <c r="U76" s="165">
        <v>0.875</v>
      </c>
    </row>
    <row r="77" spans="6:21" ht="17.25" x14ac:dyDescent="0.2">
      <c r="F77" s="82">
        <f t="shared" si="7"/>
        <v>1</v>
      </c>
      <c r="G77" s="82" t="str">
        <f t="shared" si="8"/>
        <v>2915</v>
      </c>
      <c r="H77" s="82" t="str">
        <f t="shared" si="9"/>
        <v>1529</v>
      </c>
      <c r="I77" s="82">
        <f>IF($G77="",0,COUNTIF($G$7:$G77,$H77))</f>
        <v>0</v>
      </c>
      <c r="J77" s="82"/>
      <c r="K77" s="212" t="str">
        <f>Language!$E$85</f>
        <v>double</v>
      </c>
      <c r="L77" s="189"/>
      <c r="M77" s="91">
        <v>71</v>
      </c>
      <c r="N77" s="239">
        <v>29</v>
      </c>
      <c r="O77" s="240" t="s">
        <v>4</v>
      </c>
      <c r="P77" s="241">
        <v>15</v>
      </c>
      <c r="Q77" s="96" t="str">
        <f t="shared" si="10"/>
        <v>FC Aberdeen</v>
      </c>
      <c r="R77" s="97" t="s">
        <v>4</v>
      </c>
      <c r="S77" s="98" t="str">
        <f t="shared" si="11"/>
        <v>FC Noah</v>
      </c>
      <c r="T77" s="513">
        <v>45988</v>
      </c>
      <c r="U77" s="165">
        <v>0.875</v>
      </c>
    </row>
    <row r="78" spans="6:21" ht="18" thickBot="1" x14ac:dyDescent="0.25">
      <c r="F78" s="82">
        <f t="shared" si="7"/>
        <v>1</v>
      </c>
      <c r="G78" s="82" t="str">
        <f t="shared" si="8"/>
        <v>1824</v>
      </c>
      <c r="H78" s="82" t="str">
        <f t="shared" si="9"/>
        <v>2418</v>
      </c>
      <c r="I78" s="82">
        <f>IF($G78="",0,COUNTIF($G$7:$G78,$H78))</f>
        <v>0</v>
      </c>
      <c r="J78" s="82"/>
      <c r="K78" s="212" t="str">
        <f>Language!$E$85</f>
        <v>double</v>
      </c>
      <c r="L78" s="189"/>
      <c r="M78" s="242">
        <v>72</v>
      </c>
      <c r="N78" s="257">
        <v>18</v>
      </c>
      <c r="O78" s="243" t="s">
        <v>4</v>
      </c>
      <c r="P78" s="258">
        <v>24</v>
      </c>
      <c r="Q78" s="244" t="str">
        <f t="shared" si="10"/>
        <v>UMF Breidablik</v>
      </c>
      <c r="R78" s="245" t="s">
        <v>4</v>
      </c>
      <c r="S78" s="246" t="str">
        <f t="shared" si="11"/>
        <v>Samsunspor</v>
      </c>
      <c r="T78" s="513">
        <v>45988</v>
      </c>
      <c r="U78" s="165">
        <v>0.875</v>
      </c>
    </row>
    <row r="79" spans="6:21" ht="17.25" x14ac:dyDescent="0.2">
      <c r="F79" s="82">
        <f t="shared" si="7"/>
        <v>1</v>
      </c>
      <c r="G79" s="82" t="str">
        <f t="shared" si="8"/>
        <v>2101</v>
      </c>
      <c r="H79" s="82" t="str">
        <f t="shared" si="9"/>
        <v>0121</v>
      </c>
      <c r="I79" s="82">
        <f>IF($G79="",0,COUNTIF($G$7:$G79,$H79))</f>
        <v>0</v>
      </c>
      <c r="J79" s="82"/>
      <c r="K79" s="212" t="str">
        <f>Language!$E$85</f>
        <v>double</v>
      </c>
      <c r="L79" s="259">
        <v>5</v>
      </c>
      <c r="M79" s="260">
        <v>73</v>
      </c>
      <c r="N79" s="261">
        <v>21</v>
      </c>
      <c r="O79" s="262" t="s">
        <v>4</v>
      </c>
      <c r="P79" s="263">
        <v>1</v>
      </c>
      <c r="Q79" s="264" t="str">
        <f t="shared" si="10"/>
        <v>AC Florenz</v>
      </c>
      <c r="R79" s="265" t="s">
        <v>4</v>
      </c>
      <c r="S79" s="266" t="str">
        <f t="shared" si="11"/>
        <v>Dynamo Kiew</v>
      </c>
      <c r="T79" s="514">
        <v>46002</v>
      </c>
      <c r="U79" s="267">
        <v>0.78125</v>
      </c>
    </row>
    <row r="80" spans="6:21" ht="17.25" x14ac:dyDescent="0.2">
      <c r="F80" s="82">
        <f t="shared" si="7"/>
        <v>1</v>
      </c>
      <c r="G80" s="82" t="str">
        <f t="shared" si="8"/>
        <v>0905</v>
      </c>
      <c r="H80" s="82" t="str">
        <f t="shared" si="9"/>
        <v>0509</v>
      </c>
      <c r="I80" s="82">
        <f>IF($G80="",0,COUNTIF($G$7:$G80,$H80))</f>
        <v>0</v>
      </c>
      <c r="J80" s="82"/>
      <c r="K80" s="212" t="str">
        <f>Language!$E$85</f>
        <v>double</v>
      </c>
      <c r="L80" s="189"/>
      <c r="M80" s="91">
        <v>74</v>
      </c>
      <c r="N80" s="239">
        <v>9</v>
      </c>
      <c r="O80" s="240" t="s">
        <v>4</v>
      </c>
      <c r="P80" s="241">
        <v>5</v>
      </c>
      <c r="Q80" s="96" t="str">
        <f t="shared" si="10"/>
        <v>Jagiellonia Bialystok</v>
      </c>
      <c r="R80" s="97" t="s">
        <v>4</v>
      </c>
      <c r="S80" s="98" t="str">
        <f t="shared" si="11"/>
        <v>Rayo Vallecano</v>
      </c>
      <c r="T80" s="513">
        <v>46002</v>
      </c>
      <c r="U80" s="165">
        <v>0.78125</v>
      </c>
    </row>
    <row r="81" spans="6:21" ht="17.25" x14ac:dyDescent="0.2">
      <c r="F81" s="82">
        <f t="shared" si="7"/>
        <v>1</v>
      </c>
      <c r="G81" s="82" t="str">
        <f t="shared" si="8"/>
        <v>1434</v>
      </c>
      <c r="H81" s="82" t="str">
        <f t="shared" si="9"/>
        <v>3414</v>
      </c>
      <c r="I81" s="82">
        <f>IF($G81="",0,COUNTIF($G$7:$G81,$H81))</f>
        <v>0</v>
      </c>
      <c r="J81" s="82"/>
      <c r="K81" s="212" t="str">
        <f>Language!$E$85</f>
        <v>double</v>
      </c>
      <c r="L81" s="189"/>
      <c r="M81" s="91">
        <v>75</v>
      </c>
      <c r="N81" s="239">
        <v>14</v>
      </c>
      <c r="O81" s="240" t="s">
        <v>4</v>
      </c>
      <c r="P81" s="241">
        <v>34</v>
      </c>
      <c r="Q81" s="96" t="str">
        <f t="shared" si="10"/>
        <v>KF Drita Gjilan</v>
      </c>
      <c r="R81" s="97" t="s">
        <v>4</v>
      </c>
      <c r="S81" s="98" t="str">
        <f t="shared" si="11"/>
        <v>AZ Alkmaar</v>
      </c>
      <c r="T81" s="513">
        <v>46002</v>
      </c>
      <c r="U81" s="165">
        <v>0.78125</v>
      </c>
    </row>
    <row r="82" spans="6:21" ht="17.25" x14ac:dyDescent="0.2">
      <c r="F82" s="82">
        <f t="shared" si="7"/>
        <v>1</v>
      </c>
      <c r="G82" s="82" t="str">
        <f t="shared" si="8"/>
        <v>2428</v>
      </c>
      <c r="H82" s="82" t="str">
        <f t="shared" si="9"/>
        <v>2824</v>
      </c>
      <c r="I82" s="82">
        <f>IF($G82="",0,COUNTIF($G$7:$G82,$H82))</f>
        <v>0</v>
      </c>
      <c r="J82" s="82"/>
      <c r="K82" s="212" t="str">
        <f>Language!$E$85</f>
        <v>double</v>
      </c>
      <c r="L82" s="189"/>
      <c r="M82" s="91">
        <v>76</v>
      </c>
      <c r="N82" s="239">
        <v>24</v>
      </c>
      <c r="O82" s="240" t="s">
        <v>4</v>
      </c>
      <c r="P82" s="241">
        <v>28</v>
      </c>
      <c r="Q82" s="96" t="str">
        <f t="shared" si="10"/>
        <v>Samsunspor</v>
      </c>
      <c r="R82" s="97" t="s">
        <v>4</v>
      </c>
      <c r="S82" s="98" t="str">
        <f t="shared" si="11"/>
        <v>AEK Athen</v>
      </c>
      <c r="T82" s="513">
        <v>46002</v>
      </c>
      <c r="U82" s="165">
        <v>0.78125</v>
      </c>
    </row>
    <row r="83" spans="6:21" ht="17.25" x14ac:dyDescent="0.2">
      <c r="F83" s="82">
        <f t="shared" si="7"/>
        <v>1</v>
      </c>
      <c r="G83" s="82" t="str">
        <f t="shared" si="8"/>
        <v>1826</v>
      </c>
      <c r="H83" s="82" t="str">
        <f t="shared" si="9"/>
        <v>2618</v>
      </c>
      <c r="I83" s="82">
        <f>IF($G83="",0,COUNTIF($G$7:$G83,$H83))</f>
        <v>0</v>
      </c>
      <c r="J83" s="82"/>
      <c r="K83" s="212" t="str">
        <f>Language!$E$85</f>
        <v>double</v>
      </c>
      <c r="L83" s="189"/>
      <c r="M83" s="91">
        <v>77</v>
      </c>
      <c r="N83" s="239">
        <v>18</v>
      </c>
      <c r="O83" s="240" t="s">
        <v>4</v>
      </c>
      <c r="P83" s="241">
        <v>26</v>
      </c>
      <c r="Q83" s="96" t="str">
        <f t="shared" si="10"/>
        <v>UMF Breidablik</v>
      </c>
      <c r="R83" s="97" t="s">
        <v>4</v>
      </c>
      <c r="S83" s="98" t="str">
        <f t="shared" si="11"/>
        <v>Shamrock Rovers</v>
      </c>
      <c r="T83" s="513">
        <v>46002</v>
      </c>
      <c r="U83" s="165">
        <v>0.78125</v>
      </c>
    </row>
    <row r="84" spans="6:21" ht="17.25" x14ac:dyDescent="0.2">
      <c r="F84" s="82">
        <f t="shared" si="7"/>
        <v>1</v>
      </c>
      <c r="G84" s="82" t="str">
        <f t="shared" si="8"/>
        <v>0619</v>
      </c>
      <c r="H84" s="82" t="str">
        <f t="shared" si="9"/>
        <v>1906</v>
      </c>
      <c r="I84" s="82">
        <f>IF($G84="",0,COUNTIF($G$7:$G84,$H84))</f>
        <v>0</v>
      </c>
      <c r="J84" s="82"/>
      <c r="K84" s="212" t="str">
        <f>Language!$E$85</f>
        <v>double</v>
      </c>
      <c r="L84" s="189"/>
      <c r="M84" s="91">
        <v>78</v>
      </c>
      <c r="N84" s="239">
        <v>6</v>
      </c>
      <c r="O84" s="240" t="s">
        <v>4</v>
      </c>
      <c r="P84" s="241">
        <v>19</v>
      </c>
      <c r="Q84" s="96" t="str">
        <f t="shared" si="10"/>
        <v>Shkendija Tetovo</v>
      </c>
      <c r="R84" s="97" t="s">
        <v>4</v>
      </c>
      <c r="S84" s="98" t="str">
        <f t="shared" si="11"/>
        <v>Slovan Bratislava</v>
      </c>
      <c r="T84" s="513">
        <v>46002</v>
      </c>
      <c r="U84" s="165">
        <v>0.78125</v>
      </c>
    </row>
    <row r="85" spans="6:21" ht="17.25" x14ac:dyDescent="0.2">
      <c r="F85" s="82">
        <f t="shared" si="7"/>
        <v>1</v>
      </c>
      <c r="G85" s="82" t="str">
        <f t="shared" si="8"/>
        <v>3633</v>
      </c>
      <c r="H85" s="82" t="str">
        <f t="shared" si="9"/>
        <v>3336</v>
      </c>
      <c r="I85" s="82">
        <f>IF($G85="",0,COUNTIF($G$7:$G85,$H85))</f>
        <v>0</v>
      </c>
      <c r="J85" s="82"/>
      <c r="K85" s="212" t="str">
        <f>Language!$E$85</f>
        <v>double</v>
      </c>
      <c r="L85" s="189"/>
      <c r="M85" s="91">
        <v>79</v>
      </c>
      <c r="N85" s="239">
        <v>36</v>
      </c>
      <c r="O85" s="240" t="s">
        <v>4</v>
      </c>
      <c r="P85" s="241">
        <v>33</v>
      </c>
      <c r="Q85" s="96" t="str">
        <f t="shared" si="10"/>
        <v>BK Häcken</v>
      </c>
      <c r="R85" s="97" t="s">
        <v>4</v>
      </c>
      <c r="S85" s="98" t="str">
        <f t="shared" si="11"/>
        <v>AEK Larnaka</v>
      </c>
      <c r="T85" s="513">
        <v>46002</v>
      </c>
      <c r="U85" s="165">
        <v>0.78125</v>
      </c>
    </row>
    <row r="86" spans="6:21" ht="17.25" x14ac:dyDescent="0.2">
      <c r="F86" s="82">
        <f t="shared" si="7"/>
        <v>1</v>
      </c>
      <c r="G86" s="82" t="str">
        <f t="shared" si="8"/>
        <v>3225</v>
      </c>
      <c r="H86" s="82" t="str">
        <f t="shared" si="9"/>
        <v>2532</v>
      </c>
      <c r="I86" s="82">
        <f>IF($G86="",0,COUNTIF($G$7:$G86,$H86))</f>
        <v>0</v>
      </c>
      <c r="J86" s="82"/>
      <c r="K86" s="212" t="str">
        <f>Language!$E$85</f>
        <v>double</v>
      </c>
      <c r="L86" s="189"/>
      <c r="M86" s="91">
        <v>80</v>
      </c>
      <c r="N86" s="239">
        <v>32</v>
      </c>
      <c r="O86" s="240" t="s">
        <v>4</v>
      </c>
      <c r="P86" s="241">
        <v>25</v>
      </c>
      <c r="Q86" s="96" t="str">
        <f t="shared" si="10"/>
        <v>Universitatea Craiova</v>
      </c>
      <c r="R86" s="97" t="s">
        <v>4</v>
      </c>
      <c r="S86" s="98" t="str">
        <f t="shared" si="11"/>
        <v>Sparta Prag</v>
      </c>
      <c r="T86" s="513">
        <v>46002</v>
      </c>
      <c r="U86" s="165">
        <v>0.78125</v>
      </c>
    </row>
    <row r="87" spans="6:21" ht="17.25" x14ac:dyDescent="0.2">
      <c r="F87" s="82">
        <f t="shared" si="7"/>
        <v>1</v>
      </c>
      <c r="G87" s="82" t="str">
        <f t="shared" si="8"/>
        <v>1523</v>
      </c>
      <c r="H87" s="82" t="str">
        <f t="shared" si="9"/>
        <v>2315</v>
      </c>
      <c r="I87" s="82">
        <f>IF($G87="",0,COUNTIF($G$7:$G87,$H87))</f>
        <v>0</v>
      </c>
      <c r="J87" s="82"/>
      <c r="K87" s="212" t="str">
        <f>Language!$E$85</f>
        <v>double</v>
      </c>
      <c r="L87" s="189"/>
      <c r="M87" s="91">
        <v>81</v>
      </c>
      <c r="N87" s="239">
        <v>15</v>
      </c>
      <c r="O87" s="240" t="s">
        <v>4</v>
      </c>
      <c r="P87" s="241">
        <v>23</v>
      </c>
      <c r="Q87" s="96" t="str">
        <f t="shared" si="10"/>
        <v>FC Noah</v>
      </c>
      <c r="R87" s="97" t="s">
        <v>4</v>
      </c>
      <c r="S87" s="98" t="str">
        <f t="shared" si="11"/>
        <v>Legia Warschau</v>
      </c>
      <c r="T87" s="513">
        <v>46002</v>
      </c>
      <c r="U87" s="165">
        <v>0.78125</v>
      </c>
    </row>
    <row r="88" spans="6:21" ht="17.25" x14ac:dyDescent="0.2">
      <c r="F88" s="82">
        <f t="shared" si="7"/>
        <v>1</v>
      </c>
      <c r="G88" s="82" t="str">
        <f t="shared" si="8"/>
        <v>0411</v>
      </c>
      <c r="H88" s="82" t="str">
        <f t="shared" si="9"/>
        <v>1104</v>
      </c>
      <c r="I88" s="82">
        <f>IF($G88="",0,COUNTIF($G$7:$G88,$H88))</f>
        <v>0</v>
      </c>
      <c r="J88" s="82"/>
      <c r="K88" s="212" t="str">
        <f>Language!$E$85</f>
        <v>double</v>
      </c>
      <c r="L88" s="189"/>
      <c r="M88" s="91">
        <v>82</v>
      </c>
      <c r="N88" s="239">
        <v>4</v>
      </c>
      <c r="O88" s="240" t="s">
        <v>4</v>
      </c>
      <c r="P88" s="241">
        <v>11</v>
      </c>
      <c r="Q88" s="96" t="str">
        <f t="shared" si="10"/>
        <v>Rapid Wien</v>
      </c>
      <c r="R88" s="97" t="s">
        <v>4</v>
      </c>
      <c r="S88" s="98" t="str">
        <f t="shared" si="11"/>
        <v>Omonia Nikosia</v>
      </c>
      <c r="T88" s="513">
        <v>46002</v>
      </c>
      <c r="U88" s="165">
        <v>0.875</v>
      </c>
    </row>
    <row r="89" spans="6:21" ht="17.25" x14ac:dyDescent="0.2">
      <c r="F89" s="82">
        <f t="shared" si="7"/>
        <v>1</v>
      </c>
      <c r="G89" s="82" t="str">
        <f t="shared" si="8"/>
        <v>0312</v>
      </c>
      <c r="H89" s="82" t="str">
        <f t="shared" si="9"/>
        <v>1203</v>
      </c>
      <c r="I89" s="82">
        <f>IF($G89="",0,COUNTIF($G$7:$G89,$H89))</f>
        <v>0</v>
      </c>
      <c r="J89" s="82"/>
      <c r="K89" s="212" t="str">
        <f>Language!$E$85</f>
        <v>double</v>
      </c>
      <c r="L89" s="189"/>
      <c r="M89" s="91">
        <v>83</v>
      </c>
      <c r="N89" s="239">
        <v>3</v>
      </c>
      <c r="O89" s="240" t="s">
        <v>4</v>
      </c>
      <c r="P89" s="241">
        <v>12</v>
      </c>
      <c r="Q89" s="96" t="str">
        <f t="shared" si="10"/>
        <v>Lech Posen</v>
      </c>
      <c r="R89" s="97" t="s">
        <v>4</v>
      </c>
      <c r="S89" s="98" t="str">
        <f t="shared" si="11"/>
        <v>1. FSV Mainz 05</v>
      </c>
      <c r="T89" s="513">
        <v>46002</v>
      </c>
      <c r="U89" s="165">
        <v>0.875</v>
      </c>
    </row>
    <row r="90" spans="6:21" ht="17.25" x14ac:dyDescent="0.2">
      <c r="F90" s="82">
        <f t="shared" si="7"/>
        <v>1</v>
      </c>
      <c r="G90" s="82" t="str">
        <f t="shared" si="8"/>
        <v>1627</v>
      </c>
      <c r="H90" s="82" t="str">
        <f t="shared" si="9"/>
        <v>2716</v>
      </c>
      <c r="I90" s="82">
        <f>IF($G90="",0,COUNTIF($G$7:$G90,$H90))</f>
        <v>0</v>
      </c>
      <c r="J90" s="82"/>
      <c r="K90" s="212" t="str">
        <f>Language!$E$85</f>
        <v>double</v>
      </c>
      <c r="L90" s="189"/>
      <c r="M90" s="91">
        <v>84</v>
      </c>
      <c r="N90" s="239">
        <v>16</v>
      </c>
      <c r="O90" s="240" t="s">
        <v>4</v>
      </c>
      <c r="P90" s="241">
        <v>27</v>
      </c>
      <c r="Q90" s="96" t="str">
        <f t="shared" si="10"/>
        <v>HNK Rijeka</v>
      </c>
      <c r="R90" s="97" t="s">
        <v>4</v>
      </c>
      <c r="S90" s="98" t="str">
        <f t="shared" si="11"/>
        <v>NK Celje</v>
      </c>
      <c r="T90" s="513">
        <v>46002</v>
      </c>
      <c r="U90" s="165">
        <v>0.875</v>
      </c>
    </row>
    <row r="91" spans="6:21" ht="17.25" x14ac:dyDescent="0.2">
      <c r="F91" s="82">
        <f t="shared" si="7"/>
        <v>1</v>
      </c>
      <c r="G91" s="82" t="str">
        <f t="shared" si="8"/>
        <v>0822</v>
      </c>
      <c r="H91" s="82" t="str">
        <f t="shared" si="9"/>
        <v>2208</v>
      </c>
      <c r="I91" s="82">
        <f>IF($G91="",0,COUNTIF($G$7:$G91,$H91))</f>
        <v>0</v>
      </c>
      <c r="J91" s="82"/>
      <c r="K91" s="212" t="str">
        <f>Language!$E$85</f>
        <v>double</v>
      </c>
      <c r="L91" s="189"/>
      <c r="M91" s="91">
        <v>85</v>
      </c>
      <c r="N91" s="239">
        <v>8</v>
      </c>
      <c r="O91" s="240" t="s">
        <v>4</v>
      </c>
      <c r="P91" s="241">
        <v>22</v>
      </c>
      <c r="Q91" s="96" t="str">
        <f t="shared" si="10"/>
        <v>Lincoln Red Imps Fc</v>
      </c>
      <c r="R91" s="97" t="s">
        <v>4</v>
      </c>
      <c r="S91" s="98" t="str">
        <f t="shared" si="11"/>
        <v>Sigma Olmütz</v>
      </c>
      <c r="T91" s="513">
        <v>46002</v>
      </c>
      <c r="U91" s="165">
        <v>0.875</v>
      </c>
    </row>
    <row r="92" spans="6:21" ht="17.25" x14ac:dyDescent="0.2">
      <c r="F92" s="82">
        <f t="shared" si="7"/>
        <v>1</v>
      </c>
      <c r="G92" s="82" t="str">
        <f t="shared" si="8"/>
        <v>2920</v>
      </c>
      <c r="H92" s="82" t="str">
        <f t="shared" si="9"/>
        <v>2029</v>
      </c>
      <c r="I92" s="82">
        <f>IF($G92="",0,COUNTIF($G$7:$G92,$H92))</f>
        <v>0</v>
      </c>
      <c r="J92" s="82"/>
      <c r="K92" s="212" t="str">
        <f>Language!$E$85</f>
        <v>double</v>
      </c>
      <c r="L92" s="189"/>
      <c r="M92" s="91">
        <v>86</v>
      </c>
      <c r="N92" s="239">
        <v>29</v>
      </c>
      <c r="O92" s="240" t="s">
        <v>4</v>
      </c>
      <c r="P92" s="241">
        <v>20</v>
      </c>
      <c r="Q92" s="96" t="str">
        <f t="shared" si="10"/>
        <v>FC Aberdeen</v>
      </c>
      <c r="R92" s="97" t="s">
        <v>4</v>
      </c>
      <c r="S92" s="98" t="str">
        <f t="shared" si="11"/>
        <v>Racing Straßburg</v>
      </c>
      <c r="T92" s="513">
        <v>46002</v>
      </c>
      <c r="U92" s="165">
        <v>0.875</v>
      </c>
    </row>
    <row r="93" spans="6:21" ht="17.25" x14ac:dyDescent="0.2">
      <c r="F93" s="82">
        <f t="shared" si="7"/>
        <v>1</v>
      </c>
      <c r="G93" s="82" t="str">
        <f t="shared" si="8"/>
        <v>1317</v>
      </c>
      <c r="H93" s="82" t="str">
        <f t="shared" si="9"/>
        <v>1713</v>
      </c>
      <c r="I93" s="82">
        <f>IF($G93="",0,COUNTIF($G$7:$G93,$H93))</f>
        <v>0</v>
      </c>
      <c r="J93" s="82"/>
      <c r="K93" s="212" t="str">
        <f>Language!$E$85</f>
        <v>double</v>
      </c>
      <c r="L93" s="189"/>
      <c r="M93" s="91">
        <v>87</v>
      </c>
      <c r="N93" s="239">
        <v>13</v>
      </c>
      <c r="O93" s="240" t="s">
        <v>4</v>
      </c>
      <c r="P93" s="241">
        <v>17</v>
      </c>
      <c r="Q93" s="96" t="str">
        <f t="shared" si="10"/>
        <v>Kuopion PS</v>
      </c>
      <c r="R93" s="97" t="s">
        <v>4</v>
      </c>
      <c r="S93" s="98" t="str">
        <f t="shared" si="11"/>
        <v>FC Lausanne-Sport</v>
      </c>
      <c r="T93" s="513">
        <v>46002</v>
      </c>
      <c r="U93" s="165">
        <v>0.875</v>
      </c>
    </row>
    <row r="94" spans="6:21" ht="17.25" x14ac:dyDescent="0.2">
      <c r="F94" s="82">
        <f t="shared" si="7"/>
        <v>1</v>
      </c>
      <c r="G94" s="82" t="str">
        <f t="shared" si="8"/>
        <v>3107</v>
      </c>
      <c r="H94" s="82" t="str">
        <f t="shared" si="9"/>
        <v>0731</v>
      </c>
      <c r="I94" s="82">
        <f>IF($G94="",0,COUNTIF($G$7:$G94,$H94))</f>
        <v>0</v>
      </c>
      <c r="J94" s="82"/>
      <c r="K94" s="212" t="str">
        <f>Language!$E$85</f>
        <v>double</v>
      </c>
      <c r="L94" s="189"/>
      <c r="M94" s="91">
        <v>88</v>
      </c>
      <c r="N94" s="239">
        <v>31</v>
      </c>
      <c r="O94" s="240" t="s">
        <v>4</v>
      </c>
      <c r="P94" s="241">
        <v>7</v>
      </c>
      <c r="Q94" s="96" t="str">
        <f t="shared" si="10"/>
        <v>Rakow Tschenstochau</v>
      </c>
      <c r="R94" s="97" t="s">
        <v>4</v>
      </c>
      <c r="S94" s="98" t="str">
        <f t="shared" si="11"/>
        <v>Zrinjski Mostar</v>
      </c>
      <c r="T94" s="513">
        <v>46002</v>
      </c>
      <c r="U94" s="165">
        <v>0.875</v>
      </c>
    </row>
    <row r="95" spans="6:21" ht="17.25" x14ac:dyDescent="0.2">
      <c r="F95" s="82">
        <f t="shared" si="7"/>
        <v>1</v>
      </c>
      <c r="G95" s="82" t="str">
        <f t="shared" si="8"/>
        <v>3502</v>
      </c>
      <c r="H95" s="82" t="str">
        <f t="shared" si="9"/>
        <v>0235</v>
      </c>
      <c r="I95" s="82">
        <f>IF($G95="",0,COUNTIF($G$7:$G95,$H95))</f>
        <v>0</v>
      </c>
      <c r="J95" s="82"/>
      <c r="K95" s="212" t="str">
        <f>Language!$E$85</f>
        <v>double</v>
      </c>
      <c r="L95" s="189"/>
      <c r="M95" s="91">
        <v>89</v>
      </c>
      <c r="N95" s="239">
        <v>35</v>
      </c>
      <c r="O95" s="240" t="s">
        <v>4</v>
      </c>
      <c r="P95" s="241">
        <v>2</v>
      </c>
      <c r="Q95" s="96" t="str">
        <f t="shared" si="10"/>
        <v>FC Shelbourne</v>
      </c>
      <c r="R95" s="97" t="s">
        <v>4</v>
      </c>
      <c r="S95" s="98" t="str">
        <f t="shared" si="11"/>
        <v>Crystal Palace</v>
      </c>
      <c r="T95" s="513">
        <v>46002</v>
      </c>
      <c r="U95" s="165">
        <v>0.875</v>
      </c>
    </row>
    <row r="96" spans="6:21" ht="18" thickBot="1" x14ac:dyDescent="0.25">
      <c r="F96" s="82">
        <f t="shared" si="7"/>
        <v>1</v>
      </c>
      <c r="G96" s="82" t="str">
        <f t="shared" si="8"/>
        <v>1030</v>
      </c>
      <c r="H96" s="82" t="str">
        <f t="shared" si="9"/>
        <v>3010</v>
      </c>
      <c r="I96" s="82">
        <f>IF($G96="",0,COUNTIF($G$7:$G96,$H96))</f>
        <v>0</v>
      </c>
      <c r="J96" s="82"/>
      <c r="K96" s="212" t="str">
        <f>Language!$E$85</f>
        <v>double</v>
      </c>
      <c r="L96" s="189"/>
      <c r="M96" s="242">
        <v>90</v>
      </c>
      <c r="N96" s="257">
        <v>10</v>
      </c>
      <c r="O96" s="243" t="s">
        <v>4</v>
      </c>
      <c r="P96" s="258">
        <v>30</v>
      </c>
      <c r="Q96" s="244" t="str">
        <f t="shared" si="10"/>
        <v>Hamrun Spartans</v>
      </c>
      <c r="R96" s="245" t="s">
        <v>4</v>
      </c>
      <c r="S96" s="246" t="str">
        <f t="shared" si="11"/>
        <v>Schachtar Donezk</v>
      </c>
      <c r="T96" s="513">
        <v>46002</v>
      </c>
      <c r="U96" s="165">
        <v>0.875</v>
      </c>
    </row>
    <row r="97" spans="6:21" ht="17.25" x14ac:dyDescent="0.2">
      <c r="F97" s="82">
        <f t="shared" si="7"/>
        <v>1</v>
      </c>
      <c r="G97" s="82" t="str">
        <f t="shared" si="8"/>
        <v>1936</v>
      </c>
      <c r="H97" s="82" t="str">
        <f t="shared" si="9"/>
        <v>3619</v>
      </c>
      <c r="I97" s="82">
        <f>IF($G97="",0,COUNTIF($G$7:$G97,$H97))</f>
        <v>0</v>
      </c>
      <c r="J97" s="82"/>
      <c r="K97" s="212" t="str">
        <f>Language!$E$85</f>
        <v>double</v>
      </c>
      <c r="L97" s="259">
        <v>6</v>
      </c>
      <c r="M97" s="260">
        <v>91</v>
      </c>
      <c r="N97" s="261">
        <v>19</v>
      </c>
      <c r="O97" s="262" t="s">
        <v>4</v>
      </c>
      <c r="P97" s="263">
        <v>36</v>
      </c>
      <c r="Q97" s="264" t="str">
        <f t="shared" si="10"/>
        <v>Slovan Bratislava</v>
      </c>
      <c r="R97" s="265" t="s">
        <v>4</v>
      </c>
      <c r="S97" s="266" t="str">
        <f t="shared" si="11"/>
        <v>BK Häcken</v>
      </c>
      <c r="T97" s="514">
        <v>46009</v>
      </c>
      <c r="U97" s="267">
        <v>0.875</v>
      </c>
    </row>
    <row r="98" spans="6:21" ht="17.25" x14ac:dyDescent="0.2">
      <c r="F98" s="82">
        <f t="shared" si="7"/>
        <v>1</v>
      </c>
      <c r="G98" s="82" t="str">
        <f t="shared" si="8"/>
        <v>3016</v>
      </c>
      <c r="H98" s="82" t="str">
        <f t="shared" si="9"/>
        <v>1630</v>
      </c>
      <c r="I98" s="82">
        <f>IF($G98="",0,COUNTIF($G$7:$G98,$H98))</f>
        <v>0</v>
      </c>
      <c r="J98" s="82"/>
      <c r="K98" s="212" t="str">
        <f>Language!$E$85</f>
        <v>double</v>
      </c>
      <c r="L98" s="189"/>
      <c r="M98" s="91">
        <v>92</v>
      </c>
      <c r="N98" s="239">
        <v>30</v>
      </c>
      <c r="O98" s="240" t="s">
        <v>4</v>
      </c>
      <c r="P98" s="241">
        <v>16</v>
      </c>
      <c r="Q98" s="96" t="str">
        <f t="shared" si="10"/>
        <v>Schachtar Donezk</v>
      </c>
      <c r="R98" s="97" t="s">
        <v>4</v>
      </c>
      <c r="S98" s="98" t="str">
        <f t="shared" si="11"/>
        <v>HNK Rijeka</v>
      </c>
      <c r="T98" s="513">
        <v>46009</v>
      </c>
      <c r="U98" s="165">
        <v>0.875</v>
      </c>
    </row>
    <row r="99" spans="6:21" ht="17.25" x14ac:dyDescent="0.2">
      <c r="F99" s="82">
        <f t="shared" si="7"/>
        <v>1</v>
      </c>
      <c r="G99" s="82" t="str">
        <f t="shared" si="8"/>
        <v>3409</v>
      </c>
      <c r="H99" s="82" t="str">
        <f t="shared" si="9"/>
        <v>0934</v>
      </c>
      <c r="I99" s="82">
        <f>IF($G99="",0,COUNTIF($G$7:$G99,$H99))</f>
        <v>0</v>
      </c>
      <c r="J99" s="82"/>
      <c r="K99" s="212" t="str">
        <f>Language!$E$85</f>
        <v>double</v>
      </c>
      <c r="L99" s="189"/>
      <c r="M99" s="91">
        <v>93</v>
      </c>
      <c r="N99" s="239">
        <v>34</v>
      </c>
      <c r="O99" s="240" t="s">
        <v>4</v>
      </c>
      <c r="P99" s="241">
        <v>9</v>
      </c>
      <c r="Q99" s="96" t="str">
        <f t="shared" si="10"/>
        <v>AZ Alkmaar</v>
      </c>
      <c r="R99" s="97" t="s">
        <v>4</v>
      </c>
      <c r="S99" s="98" t="str">
        <f t="shared" si="11"/>
        <v>Jagiellonia Bialystok</v>
      </c>
      <c r="T99" s="513">
        <v>46009</v>
      </c>
      <c r="U99" s="165">
        <v>0.875</v>
      </c>
    </row>
    <row r="100" spans="6:21" ht="17.25" x14ac:dyDescent="0.2">
      <c r="F100" s="82">
        <f t="shared" si="7"/>
        <v>1</v>
      </c>
      <c r="G100" s="82" t="str">
        <f t="shared" si="8"/>
        <v>2308</v>
      </c>
      <c r="H100" s="82" t="str">
        <f t="shared" si="9"/>
        <v>0823</v>
      </c>
      <c r="I100" s="82">
        <f>IF($G100="",0,COUNTIF($G$7:$G100,$H100))</f>
        <v>0</v>
      </c>
      <c r="J100" s="82"/>
      <c r="K100" s="212" t="str">
        <f>Language!$E$85</f>
        <v>double</v>
      </c>
      <c r="L100" s="189"/>
      <c r="M100" s="91">
        <v>94</v>
      </c>
      <c r="N100" s="239">
        <v>23</v>
      </c>
      <c r="O100" s="240" t="s">
        <v>4</v>
      </c>
      <c r="P100" s="241">
        <v>8</v>
      </c>
      <c r="Q100" s="96" t="str">
        <f t="shared" si="10"/>
        <v>Legia Warschau</v>
      </c>
      <c r="R100" s="97" t="s">
        <v>4</v>
      </c>
      <c r="S100" s="98" t="str">
        <f t="shared" si="11"/>
        <v>Lincoln Red Imps Fc</v>
      </c>
      <c r="T100" s="513">
        <v>46009</v>
      </c>
      <c r="U100" s="165">
        <v>0.875</v>
      </c>
    </row>
    <row r="101" spans="6:21" ht="17.25" x14ac:dyDescent="0.2">
      <c r="F101" s="82">
        <f t="shared" si="7"/>
        <v>1</v>
      </c>
      <c r="G101" s="82" t="str">
        <f t="shared" si="8"/>
        <v>0213</v>
      </c>
      <c r="H101" s="82" t="str">
        <f t="shared" si="9"/>
        <v>1302</v>
      </c>
      <c r="I101" s="82">
        <f>IF($G101="",0,COUNTIF($G$7:$G101,$H101))</f>
        <v>0</v>
      </c>
      <c r="J101" s="82"/>
      <c r="K101" s="212" t="str">
        <f>Language!$E$85</f>
        <v>double</v>
      </c>
      <c r="L101" s="189"/>
      <c r="M101" s="91">
        <v>95</v>
      </c>
      <c r="N101" s="239">
        <v>2</v>
      </c>
      <c r="O101" s="240" t="s">
        <v>4</v>
      </c>
      <c r="P101" s="241">
        <v>13</v>
      </c>
      <c r="Q101" s="96" t="str">
        <f t="shared" si="10"/>
        <v>Crystal Palace</v>
      </c>
      <c r="R101" s="97" t="s">
        <v>4</v>
      </c>
      <c r="S101" s="98" t="str">
        <f t="shared" si="11"/>
        <v>Kuopion PS</v>
      </c>
      <c r="T101" s="513">
        <v>46009</v>
      </c>
      <c r="U101" s="165">
        <v>0.875</v>
      </c>
    </row>
    <row r="102" spans="6:21" ht="17.25" x14ac:dyDescent="0.2">
      <c r="F102" s="82">
        <f t="shared" si="7"/>
        <v>1</v>
      </c>
      <c r="G102" s="82" t="str">
        <f t="shared" si="8"/>
        <v>0115</v>
      </c>
      <c r="H102" s="82" t="str">
        <f t="shared" si="9"/>
        <v>1501</v>
      </c>
      <c r="I102" s="82">
        <f>IF($G102="",0,COUNTIF($G$7:$G102,$H102))</f>
        <v>0</v>
      </c>
      <c r="J102" s="82"/>
      <c r="K102" s="212" t="str">
        <f>Language!$E$85</f>
        <v>double</v>
      </c>
      <c r="L102" s="189"/>
      <c r="M102" s="91">
        <v>96</v>
      </c>
      <c r="N102" s="239">
        <v>1</v>
      </c>
      <c r="O102" s="240" t="s">
        <v>4</v>
      </c>
      <c r="P102" s="241">
        <v>15</v>
      </c>
      <c r="Q102" s="96" t="str">
        <f t="shared" si="10"/>
        <v>Dynamo Kiew</v>
      </c>
      <c r="R102" s="97" t="s">
        <v>4</v>
      </c>
      <c r="S102" s="98" t="str">
        <f t="shared" si="11"/>
        <v>FC Noah</v>
      </c>
      <c r="T102" s="513">
        <v>46009</v>
      </c>
      <c r="U102" s="165">
        <v>0.875</v>
      </c>
    </row>
    <row r="103" spans="6:21" ht="17.25" x14ac:dyDescent="0.2">
      <c r="F103" s="82">
        <f t="shared" ref="F103:F134" si="12">IF($G103="",0,IF(LEFT($G103,2)=RIGHT($G103,2),100,IF(COUNTIF($G$7:$G$150,$G103)&gt;1,101,COUNTIF($G$7:$G$150,$G103)+COUNTIF($H$7:$H$150,$G103))))</f>
        <v>1</v>
      </c>
      <c r="G103" s="82" t="str">
        <f t="shared" si="8"/>
        <v>0514</v>
      </c>
      <c r="H103" s="82" t="str">
        <f t="shared" si="9"/>
        <v>1405</v>
      </c>
      <c r="I103" s="82">
        <f>IF($G103="",0,COUNTIF($G$7:$G103,$H103))</f>
        <v>0</v>
      </c>
      <c r="J103" s="82"/>
      <c r="K103" s="212" t="str">
        <f>Language!$E$85</f>
        <v>double</v>
      </c>
      <c r="L103" s="189"/>
      <c r="M103" s="91">
        <v>97</v>
      </c>
      <c r="N103" s="239">
        <v>5</v>
      </c>
      <c r="O103" s="240" t="s">
        <v>4</v>
      </c>
      <c r="P103" s="241">
        <v>14</v>
      </c>
      <c r="Q103" s="96" t="str">
        <f t="shared" si="10"/>
        <v>Rayo Vallecano</v>
      </c>
      <c r="R103" s="97" t="s">
        <v>4</v>
      </c>
      <c r="S103" s="98" t="str">
        <f t="shared" si="11"/>
        <v>KF Drita Gjilan</v>
      </c>
      <c r="T103" s="513">
        <v>46009</v>
      </c>
      <c r="U103" s="165">
        <v>0.875</v>
      </c>
    </row>
    <row r="104" spans="6:21" ht="17.25" x14ac:dyDescent="0.2">
      <c r="F104" s="82">
        <f t="shared" si="12"/>
        <v>1</v>
      </c>
      <c r="G104" s="82" t="str">
        <f t="shared" si="8"/>
        <v>2529</v>
      </c>
      <c r="H104" s="82" t="str">
        <f t="shared" si="9"/>
        <v>2925</v>
      </c>
      <c r="I104" s="82">
        <f>IF($G104="",0,COUNTIF($G$7:$G104,$H104))</f>
        <v>0</v>
      </c>
      <c r="J104" s="82"/>
      <c r="K104" s="212" t="str">
        <f>Language!$E$85</f>
        <v>double</v>
      </c>
      <c r="L104" s="189"/>
      <c r="M104" s="91">
        <v>98</v>
      </c>
      <c r="N104" s="239">
        <v>25</v>
      </c>
      <c r="O104" s="240" t="s">
        <v>4</v>
      </c>
      <c r="P104" s="241">
        <v>29</v>
      </c>
      <c r="Q104" s="96" t="str">
        <f t="shared" si="10"/>
        <v>Sparta Prag</v>
      </c>
      <c r="R104" s="97" t="s">
        <v>4</v>
      </c>
      <c r="S104" s="98" t="str">
        <f t="shared" si="11"/>
        <v>FC Aberdeen</v>
      </c>
      <c r="T104" s="513">
        <v>46009</v>
      </c>
      <c r="U104" s="165">
        <v>0.875</v>
      </c>
    </row>
    <row r="105" spans="6:21" ht="17.25" x14ac:dyDescent="0.2">
      <c r="F105" s="82">
        <f t="shared" si="12"/>
        <v>1</v>
      </c>
      <c r="G105" s="82" t="str">
        <f t="shared" si="8"/>
        <v>2610</v>
      </c>
      <c r="H105" s="82" t="str">
        <f t="shared" si="9"/>
        <v>1026</v>
      </c>
      <c r="I105" s="82">
        <f>IF($G105="",0,COUNTIF($G$7:$G105,$H105))</f>
        <v>0</v>
      </c>
      <c r="J105" s="82"/>
      <c r="K105" s="212" t="str">
        <f>Language!$E$85</f>
        <v>double</v>
      </c>
      <c r="L105" s="189"/>
      <c r="M105" s="91">
        <v>99</v>
      </c>
      <c r="N105" s="239">
        <v>26</v>
      </c>
      <c r="O105" s="240" t="s">
        <v>4</v>
      </c>
      <c r="P105" s="241">
        <v>10</v>
      </c>
      <c r="Q105" s="96" t="str">
        <f t="shared" si="10"/>
        <v>Shamrock Rovers</v>
      </c>
      <c r="R105" s="97" t="s">
        <v>4</v>
      </c>
      <c r="S105" s="98" t="str">
        <f t="shared" si="11"/>
        <v>Hamrun Spartans</v>
      </c>
      <c r="T105" s="513">
        <v>46009</v>
      </c>
      <c r="U105" s="165">
        <v>0.875</v>
      </c>
    </row>
    <row r="106" spans="6:21" ht="17.25" x14ac:dyDescent="0.2">
      <c r="F106" s="82">
        <f t="shared" si="12"/>
        <v>1</v>
      </c>
      <c r="G106" s="82" t="str">
        <f t="shared" si="8"/>
        <v>1224</v>
      </c>
      <c r="H106" s="82" t="str">
        <f t="shared" si="9"/>
        <v>2412</v>
      </c>
      <c r="I106" s="82">
        <f>IF($G106="",0,COUNTIF($G$7:$G106,$H106))</f>
        <v>0</v>
      </c>
      <c r="J106" s="82"/>
      <c r="K106" s="212" t="str">
        <f>Language!$E$85</f>
        <v>double</v>
      </c>
      <c r="L106" s="189"/>
      <c r="M106" s="91">
        <v>100</v>
      </c>
      <c r="N106" s="239">
        <v>12</v>
      </c>
      <c r="O106" s="240" t="s">
        <v>4</v>
      </c>
      <c r="P106" s="241">
        <v>24</v>
      </c>
      <c r="Q106" s="96" t="str">
        <f t="shared" si="10"/>
        <v>1. FSV Mainz 05</v>
      </c>
      <c r="R106" s="97" t="s">
        <v>4</v>
      </c>
      <c r="S106" s="98" t="str">
        <f t="shared" si="11"/>
        <v>Samsunspor</v>
      </c>
      <c r="T106" s="513">
        <v>46009</v>
      </c>
      <c r="U106" s="165">
        <v>0.875</v>
      </c>
    </row>
    <row r="107" spans="6:21" ht="17.25" x14ac:dyDescent="0.2">
      <c r="F107" s="82">
        <f t="shared" si="12"/>
        <v>1</v>
      </c>
      <c r="G107" s="82" t="str">
        <f t="shared" si="8"/>
        <v>0704</v>
      </c>
      <c r="H107" s="82" t="str">
        <f t="shared" si="9"/>
        <v>0407</v>
      </c>
      <c r="I107" s="82">
        <f>IF($G107="",0,COUNTIF($G$7:$G107,$H107))</f>
        <v>0</v>
      </c>
      <c r="J107" s="82"/>
      <c r="K107" s="212" t="str">
        <f>Language!$E$85</f>
        <v>double</v>
      </c>
      <c r="L107" s="189"/>
      <c r="M107" s="91">
        <v>101</v>
      </c>
      <c r="N107" s="239">
        <v>7</v>
      </c>
      <c r="O107" s="240" t="s">
        <v>4</v>
      </c>
      <c r="P107" s="241">
        <v>4</v>
      </c>
      <c r="Q107" s="96" t="str">
        <f t="shared" si="10"/>
        <v>Zrinjski Mostar</v>
      </c>
      <c r="R107" s="97" t="s">
        <v>4</v>
      </c>
      <c r="S107" s="98" t="str">
        <f t="shared" si="11"/>
        <v>Rapid Wien</v>
      </c>
      <c r="T107" s="513">
        <v>46009</v>
      </c>
      <c r="U107" s="165">
        <v>0.875</v>
      </c>
    </row>
    <row r="108" spans="6:21" ht="17.25" x14ac:dyDescent="0.2">
      <c r="F108" s="82">
        <f t="shared" si="12"/>
        <v>1</v>
      </c>
      <c r="G108" s="82" t="str">
        <f t="shared" si="8"/>
        <v>2735</v>
      </c>
      <c r="H108" s="82" t="str">
        <f t="shared" si="9"/>
        <v>3527</v>
      </c>
      <c r="I108" s="82">
        <f>IF($G108="",0,COUNTIF($G$7:$G108,$H108))</f>
        <v>0</v>
      </c>
      <c r="J108" s="82"/>
      <c r="K108" s="212" t="str">
        <f>Language!$E$85</f>
        <v>double</v>
      </c>
      <c r="L108" s="189"/>
      <c r="M108" s="91">
        <v>102</v>
      </c>
      <c r="N108" s="239">
        <v>27</v>
      </c>
      <c r="O108" s="240" t="s">
        <v>4</v>
      </c>
      <c r="P108" s="241">
        <v>35</v>
      </c>
      <c r="Q108" s="96" t="str">
        <f t="shared" si="10"/>
        <v>NK Celje</v>
      </c>
      <c r="R108" s="97" t="s">
        <v>4</v>
      </c>
      <c r="S108" s="98" t="str">
        <f t="shared" si="11"/>
        <v>FC Shelbourne</v>
      </c>
      <c r="T108" s="513">
        <v>46009</v>
      </c>
      <c r="U108" s="165">
        <v>0.875</v>
      </c>
    </row>
    <row r="109" spans="6:21" ht="17.25" x14ac:dyDescent="0.2">
      <c r="F109" s="82">
        <f t="shared" si="12"/>
        <v>1</v>
      </c>
      <c r="G109" s="82" t="str">
        <f t="shared" si="8"/>
        <v>2018</v>
      </c>
      <c r="H109" s="82" t="str">
        <f t="shared" si="9"/>
        <v>1820</v>
      </c>
      <c r="I109" s="82">
        <f>IF($G109="",0,COUNTIF($G$7:$G109,$H109))</f>
        <v>0</v>
      </c>
      <c r="J109" s="82"/>
      <c r="K109" s="212" t="str">
        <f>Language!$E$85</f>
        <v>double</v>
      </c>
      <c r="L109" s="189"/>
      <c r="M109" s="91">
        <v>103</v>
      </c>
      <c r="N109" s="239">
        <v>20</v>
      </c>
      <c r="O109" s="240" t="s">
        <v>4</v>
      </c>
      <c r="P109" s="241">
        <v>18</v>
      </c>
      <c r="Q109" s="96" t="str">
        <f t="shared" si="10"/>
        <v>Racing Straßburg</v>
      </c>
      <c r="R109" s="97" t="s">
        <v>4</v>
      </c>
      <c r="S109" s="98" t="str">
        <f t="shared" si="11"/>
        <v>UMF Breidablik</v>
      </c>
      <c r="T109" s="513">
        <v>46009</v>
      </c>
      <c r="U109" s="165">
        <v>0.875</v>
      </c>
    </row>
    <row r="110" spans="6:21" ht="17.25" x14ac:dyDescent="0.2">
      <c r="F110" s="82">
        <f t="shared" si="12"/>
        <v>1</v>
      </c>
      <c r="G110" s="82" t="str">
        <f t="shared" si="8"/>
        <v>2832</v>
      </c>
      <c r="H110" s="82" t="str">
        <f t="shared" si="9"/>
        <v>3228</v>
      </c>
      <c r="I110" s="82">
        <f>IF($G110="",0,COUNTIF($G$7:$G110,$H110))</f>
        <v>0</v>
      </c>
      <c r="J110" s="82"/>
      <c r="K110" s="212" t="str">
        <f>Language!$E$85</f>
        <v>double</v>
      </c>
      <c r="L110" s="189"/>
      <c r="M110" s="91">
        <v>104</v>
      </c>
      <c r="N110" s="239">
        <v>28</v>
      </c>
      <c r="O110" s="240" t="s">
        <v>4</v>
      </c>
      <c r="P110" s="241">
        <v>32</v>
      </c>
      <c r="Q110" s="96" t="str">
        <f t="shared" si="10"/>
        <v>AEK Athen</v>
      </c>
      <c r="R110" s="97" t="s">
        <v>4</v>
      </c>
      <c r="S110" s="98" t="str">
        <f t="shared" si="11"/>
        <v>Universitatea Craiova</v>
      </c>
      <c r="T110" s="513">
        <v>46009</v>
      </c>
      <c r="U110" s="165">
        <v>0.875</v>
      </c>
    </row>
    <row r="111" spans="6:21" ht="17.25" x14ac:dyDescent="0.2">
      <c r="F111" s="82">
        <f t="shared" si="12"/>
        <v>1</v>
      </c>
      <c r="G111" s="82" t="str">
        <f t="shared" si="8"/>
        <v>1131</v>
      </c>
      <c r="H111" s="82" t="str">
        <f t="shared" si="9"/>
        <v>3111</v>
      </c>
      <c r="I111" s="82">
        <f>IF($G111="",0,COUNTIF($G$7:$G111,$H111))</f>
        <v>0</v>
      </c>
      <c r="J111" s="82"/>
      <c r="K111" s="212" t="str">
        <f>Language!$E$85</f>
        <v>double</v>
      </c>
      <c r="L111" s="189"/>
      <c r="M111" s="91">
        <v>105</v>
      </c>
      <c r="N111" s="239">
        <v>11</v>
      </c>
      <c r="O111" s="240" t="s">
        <v>4</v>
      </c>
      <c r="P111" s="241">
        <v>31</v>
      </c>
      <c r="Q111" s="96" t="str">
        <f t="shared" si="10"/>
        <v>Omonia Nikosia</v>
      </c>
      <c r="R111" s="97" t="s">
        <v>4</v>
      </c>
      <c r="S111" s="98" t="str">
        <f t="shared" si="11"/>
        <v>Rakow Tschenstochau</v>
      </c>
      <c r="T111" s="513">
        <v>46009</v>
      </c>
      <c r="U111" s="165">
        <v>0.875</v>
      </c>
    </row>
    <row r="112" spans="6:21" ht="17.25" x14ac:dyDescent="0.2">
      <c r="F112" s="82">
        <f t="shared" si="12"/>
        <v>1</v>
      </c>
      <c r="G112" s="82" t="str">
        <f t="shared" si="8"/>
        <v>2203</v>
      </c>
      <c r="H112" s="82" t="str">
        <f t="shared" si="9"/>
        <v>0322</v>
      </c>
      <c r="I112" s="82">
        <f>IF($G112="",0,COUNTIF($G$7:$G112,$H112))</f>
        <v>0</v>
      </c>
      <c r="J112" s="82"/>
      <c r="K112" s="212" t="str">
        <f>Language!$E$85</f>
        <v>double</v>
      </c>
      <c r="L112" s="189"/>
      <c r="M112" s="91">
        <v>106</v>
      </c>
      <c r="N112" s="239">
        <v>22</v>
      </c>
      <c r="O112" s="240" t="s">
        <v>4</v>
      </c>
      <c r="P112" s="241">
        <v>3</v>
      </c>
      <c r="Q112" s="96" t="str">
        <f t="shared" si="10"/>
        <v>Sigma Olmütz</v>
      </c>
      <c r="R112" s="97" t="s">
        <v>4</v>
      </c>
      <c r="S112" s="98" t="str">
        <f t="shared" si="11"/>
        <v>Lech Posen</v>
      </c>
      <c r="T112" s="513">
        <v>46009</v>
      </c>
      <c r="U112" s="165">
        <v>0.875</v>
      </c>
    </row>
    <row r="113" spans="6:21" ht="17.25" x14ac:dyDescent="0.2">
      <c r="F113" s="82">
        <f t="shared" si="12"/>
        <v>1</v>
      </c>
      <c r="G113" s="82" t="str">
        <f t="shared" si="8"/>
        <v>3306</v>
      </c>
      <c r="H113" s="82" t="str">
        <f t="shared" si="9"/>
        <v>0633</v>
      </c>
      <c r="I113" s="82">
        <f>IF($G113="",0,COUNTIF($G$7:$G113,$H113))</f>
        <v>0</v>
      </c>
      <c r="J113" s="82"/>
      <c r="K113" s="212" t="str">
        <f>Language!$E$85</f>
        <v>double</v>
      </c>
      <c r="L113" s="189"/>
      <c r="M113" s="91">
        <v>107</v>
      </c>
      <c r="N113" s="239">
        <v>33</v>
      </c>
      <c r="O113" s="240" t="s">
        <v>4</v>
      </c>
      <c r="P113" s="241">
        <v>6</v>
      </c>
      <c r="Q113" s="96" t="str">
        <f t="shared" si="10"/>
        <v>AEK Larnaka</v>
      </c>
      <c r="R113" s="97" t="s">
        <v>4</v>
      </c>
      <c r="S113" s="98" t="str">
        <f t="shared" si="11"/>
        <v>Shkendija Tetovo</v>
      </c>
      <c r="T113" s="513">
        <v>46009</v>
      </c>
      <c r="U113" s="165">
        <v>0.875</v>
      </c>
    </row>
    <row r="114" spans="6:21" ht="18" thickBot="1" x14ac:dyDescent="0.25">
      <c r="F114" s="82">
        <f t="shared" si="12"/>
        <v>1</v>
      </c>
      <c r="G114" s="82" t="str">
        <f t="shared" si="8"/>
        <v>1721</v>
      </c>
      <c r="H114" s="82" t="str">
        <f t="shared" si="9"/>
        <v>2117</v>
      </c>
      <c r="I114" s="82">
        <f>IF($G114="",0,COUNTIF($G$7:$G114,$H114))</f>
        <v>0</v>
      </c>
      <c r="J114" s="82"/>
      <c r="K114" s="212" t="str">
        <f>Language!$E$85</f>
        <v>double</v>
      </c>
      <c r="L114" s="479"/>
      <c r="M114" s="480">
        <v>108</v>
      </c>
      <c r="N114" s="481">
        <v>17</v>
      </c>
      <c r="O114" s="482" t="s">
        <v>4</v>
      </c>
      <c r="P114" s="483">
        <v>21</v>
      </c>
      <c r="Q114" s="484" t="str">
        <f t="shared" si="10"/>
        <v>FC Lausanne-Sport</v>
      </c>
      <c r="R114" s="485" t="s">
        <v>4</v>
      </c>
      <c r="S114" s="486" t="str">
        <f t="shared" si="11"/>
        <v>AC Florenz</v>
      </c>
      <c r="T114" s="515">
        <v>46009</v>
      </c>
      <c r="U114" s="506">
        <v>0.875</v>
      </c>
    </row>
    <row r="115" spans="6:21" ht="17.25" x14ac:dyDescent="0.2">
      <c r="F115" s="82">
        <f t="shared" si="12"/>
        <v>0</v>
      </c>
      <c r="G115" s="82" t="str">
        <f t="shared" si="8"/>
        <v/>
      </c>
      <c r="H115" s="82" t="str">
        <f t="shared" si="9"/>
        <v/>
      </c>
      <c r="I115" s="82">
        <f>IF($G115="",0,COUNTIF($G$7:$G115,$H115))</f>
        <v>0</v>
      </c>
      <c r="J115" s="82"/>
      <c r="K115" s="212" t="str">
        <f>Language!$E$85</f>
        <v>double</v>
      </c>
      <c r="L115" s="470"/>
      <c r="M115" s="471"/>
      <c r="N115" s="472"/>
      <c r="O115" s="473"/>
      <c r="P115" s="472"/>
      <c r="Q115" s="474"/>
      <c r="R115" s="475"/>
      <c r="S115" s="476"/>
      <c r="T115" s="477"/>
      <c r="U115" s="478"/>
    </row>
    <row r="116" spans="6:21" ht="17.25" hidden="1" x14ac:dyDescent="0.2">
      <c r="F116" s="82">
        <f t="shared" si="12"/>
        <v>0</v>
      </c>
      <c r="G116" s="82" t="str">
        <f t="shared" si="8"/>
        <v/>
      </c>
      <c r="H116" s="82" t="str">
        <f t="shared" si="9"/>
        <v/>
      </c>
      <c r="I116" s="82">
        <f>IF($G116="",0,COUNTIF($G$7:$G116,$H116))</f>
        <v>0</v>
      </c>
      <c r="J116" s="82"/>
      <c r="K116" s="212" t="str">
        <f>Language!$E$85</f>
        <v>double</v>
      </c>
      <c r="L116" s="470"/>
      <c r="M116" s="471"/>
      <c r="N116" s="472"/>
      <c r="O116" s="473"/>
      <c r="P116" s="472"/>
      <c r="Q116" s="474"/>
      <c r="R116" s="475"/>
      <c r="S116" s="476"/>
      <c r="T116" s="477"/>
      <c r="U116" s="478"/>
    </row>
    <row r="117" spans="6:21" ht="17.25" hidden="1" x14ac:dyDescent="0.2">
      <c r="F117" s="82">
        <f t="shared" si="12"/>
        <v>0</v>
      </c>
      <c r="G117" s="82" t="str">
        <f t="shared" si="8"/>
        <v/>
      </c>
      <c r="H117" s="82" t="str">
        <f t="shared" si="9"/>
        <v/>
      </c>
      <c r="I117" s="82">
        <f>IF($G117="",0,COUNTIF($G$7:$G117,$H117))</f>
        <v>0</v>
      </c>
      <c r="J117" s="82"/>
      <c r="K117" s="212" t="str">
        <f>Language!$E$85</f>
        <v>double</v>
      </c>
      <c r="L117" s="470"/>
      <c r="M117" s="471"/>
      <c r="N117" s="472"/>
      <c r="O117" s="473"/>
      <c r="P117" s="472"/>
      <c r="Q117" s="474"/>
      <c r="R117" s="475"/>
      <c r="S117" s="476"/>
      <c r="T117" s="477"/>
      <c r="U117" s="478"/>
    </row>
    <row r="118" spans="6:21" ht="17.25" hidden="1" x14ac:dyDescent="0.2">
      <c r="F118" s="82">
        <f t="shared" si="12"/>
        <v>0</v>
      </c>
      <c r="G118" s="82" t="str">
        <f t="shared" si="8"/>
        <v/>
      </c>
      <c r="H118" s="82" t="str">
        <f t="shared" si="9"/>
        <v/>
      </c>
      <c r="I118" s="82">
        <f>IF($G118="",0,COUNTIF($G$7:$G118,$H118))</f>
        <v>0</v>
      </c>
      <c r="J118" s="82"/>
      <c r="K118" s="212" t="str">
        <f>Language!$E$85</f>
        <v>double</v>
      </c>
      <c r="L118" s="470"/>
      <c r="M118" s="471"/>
      <c r="N118" s="472"/>
      <c r="O118" s="473"/>
      <c r="P118" s="472"/>
      <c r="Q118" s="474"/>
      <c r="R118" s="475"/>
      <c r="S118" s="476"/>
      <c r="T118" s="477"/>
      <c r="U118" s="478"/>
    </row>
    <row r="119" spans="6:21" ht="17.25" hidden="1" x14ac:dyDescent="0.2">
      <c r="F119" s="82">
        <f t="shared" si="12"/>
        <v>0</v>
      </c>
      <c r="G119" s="82" t="str">
        <f t="shared" si="8"/>
        <v/>
      </c>
      <c r="H119" s="82" t="str">
        <f t="shared" si="9"/>
        <v/>
      </c>
      <c r="I119" s="82">
        <f>IF($G119="",0,COUNTIF($G$7:$G119,$H119))</f>
        <v>0</v>
      </c>
      <c r="J119" s="82"/>
      <c r="K119" s="212" t="str">
        <f>Language!$E$85</f>
        <v>double</v>
      </c>
      <c r="L119" s="470"/>
      <c r="M119" s="471"/>
      <c r="N119" s="472"/>
      <c r="O119" s="473"/>
      <c r="P119" s="472"/>
      <c r="Q119" s="474"/>
      <c r="R119" s="475"/>
      <c r="S119" s="476"/>
      <c r="T119" s="477"/>
      <c r="U119" s="478"/>
    </row>
    <row r="120" spans="6:21" ht="17.25" hidden="1" x14ac:dyDescent="0.2">
      <c r="F120" s="82">
        <f t="shared" si="12"/>
        <v>0</v>
      </c>
      <c r="G120" s="82" t="str">
        <f t="shared" si="8"/>
        <v/>
      </c>
      <c r="H120" s="82" t="str">
        <f t="shared" si="9"/>
        <v/>
      </c>
      <c r="I120" s="82">
        <f>IF($G120="",0,COUNTIF($G$7:$G120,$H120))</f>
        <v>0</v>
      </c>
      <c r="J120" s="82"/>
      <c r="K120" s="212" t="str">
        <f>Language!$E$85</f>
        <v>double</v>
      </c>
      <c r="L120" s="470"/>
      <c r="M120" s="471"/>
      <c r="N120" s="472"/>
      <c r="O120" s="473"/>
      <c r="P120" s="472"/>
      <c r="Q120" s="474"/>
      <c r="R120" s="475"/>
      <c r="S120" s="476"/>
      <c r="T120" s="477"/>
      <c r="U120" s="478"/>
    </row>
    <row r="121" spans="6:21" ht="17.25" hidden="1" x14ac:dyDescent="0.2">
      <c r="F121" s="82">
        <f t="shared" si="12"/>
        <v>0</v>
      </c>
      <c r="G121" s="82" t="str">
        <f t="shared" si="8"/>
        <v/>
      </c>
      <c r="H121" s="82" t="str">
        <f t="shared" si="9"/>
        <v/>
      </c>
      <c r="I121" s="82">
        <f>IF($G121="",0,COUNTIF($G$7:$G121,$H121))</f>
        <v>0</v>
      </c>
      <c r="J121" s="82"/>
      <c r="K121" s="212" t="str">
        <f>Language!$E$85</f>
        <v>double</v>
      </c>
      <c r="L121" s="470"/>
      <c r="M121" s="471"/>
      <c r="N121" s="472"/>
      <c r="O121" s="473"/>
      <c r="P121" s="472"/>
      <c r="Q121" s="474"/>
      <c r="R121" s="475"/>
      <c r="S121" s="476"/>
      <c r="T121" s="477"/>
      <c r="U121" s="478"/>
    </row>
    <row r="122" spans="6:21" ht="17.25" hidden="1" x14ac:dyDescent="0.2">
      <c r="F122" s="82">
        <f t="shared" si="12"/>
        <v>0</v>
      </c>
      <c r="G122" s="82" t="str">
        <f t="shared" si="8"/>
        <v/>
      </c>
      <c r="H122" s="82" t="str">
        <f t="shared" si="9"/>
        <v/>
      </c>
      <c r="I122" s="82">
        <f>IF($G122="",0,COUNTIF($G$7:$G122,$H122))</f>
        <v>0</v>
      </c>
      <c r="J122" s="82"/>
      <c r="K122" s="212" t="str">
        <f>Language!$E$85</f>
        <v>double</v>
      </c>
      <c r="L122" s="470"/>
      <c r="M122" s="471"/>
      <c r="N122" s="472"/>
      <c r="O122" s="473"/>
      <c r="P122" s="472"/>
      <c r="Q122" s="474"/>
      <c r="R122" s="475"/>
      <c r="S122" s="476"/>
      <c r="T122" s="477"/>
      <c r="U122" s="478"/>
    </row>
    <row r="123" spans="6:21" ht="17.25" hidden="1" x14ac:dyDescent="0.2">
      <c r="F123" s="82">
        <f t="shared" si="12"/>
        <v>0</v>
      </c>
      <c r="G123" s="82" t="str">
        <f t="shared" si="8"/>
        <v/>
      </c>
      <c r="H123" s="82" t="str">
        <f t="shared" si="9"/>
        <v/>
      </c>
      <c r="I123" s="82">
        <f>IF($G123="",0,COUNTIF($G$7:$G123,$H123))</f>
        <v>0</v>
      </c>
      <c r="J123" s="82"/>
      <c r="K123" s="212" t="str">
        <f>Language!$E$85</f>
        <v>double</v>
      </c>
      <c r="L123" s="470"/>
      <c r="M123" s="471"/>
      <c r="N123" s="472"/>
      <c r="O123" s="473"/>
      <c r="P123" s="472"/>
      <c r="Q123" s="474"/>
      <c r="R123" s="475"/>
      <c r="S123" s="476"/>
      <c r="T123" s="477"/>
      <c r="U123" s="478"/>
    </row>
    <row r="124" spans="6:21" ht="17.25" hidden="1" x14ac:dyDescent="0.2">
      <c r="F124" s="82">
        <f t="shared" si="12"/>
        <v>0</v>
      </c>
      <c r="G124" s="82" t="str">
        <f t="shared" si="8"/>
        <v/>
      </c>
      <c r="H124" s="82" t="str">
        <f t="shared" si="9"/>
        <v/>
      </c>
      <c r="I124" s="82">
        <f>IF($G124="",0,COUNTIF($G$7:$G124,$H124))</f>
        <v>0</v>
      </c>
      <c r="J124" s="82"/>
      <c r="K124" s="212" t="str">
        <f>Language!$E$85</f>
        <v>double</v>
      </c>
      <c r="L124" s="470"/>
      <c r="M124" s="471"/>
      <c r="N124" s="472"/>
      <c r="O124" s="473"/>
      <c r="P124" s="472"/>
      <c r="Q124" s="474"/>
      <c r="R124" s="475"/>
      <c r="S124" s="476"/>
      <c r="T124" s="477"/>
      <c r="U124" s="478"/>
    </row>
    <row r="125" spans="6:21" ht="17.25" hidden="1" x14ac:dyDescent="0.2">
      <c r="F125" s="82">
        <f t="shared" si="12"/>
        <v>0</v>
      </c>
      <c r="G125" s="82" t="str">
        <f t="shared" si="8"/>
        <v/>
      </c>
      <c r="H125" s="82" t="str">
        <f t="shared" si="9"/>
        <v/>
      </c>
      <c r="I125" s="82">
        <f>IF($G125="",0,COUNTIF($G$7:$G125,$H125))</f>
        <v>0</v>
      </c>
      <c r="J125" s="82"/>
      <c r="K125" s="212" t="str">
        <f>Language!$E$85</f>
        <v>double</v>
      </c>
      <c r="L125" s="470"/>
      <c r="M125" s="471"/>
      <c r="N125" s="472"/>
      <c r="O125" s="473"/>
      <c r="P125" s="472"/>
      <c r="Q125" s="474"/>
      <c r="R125" s="475"/>
      <c r="S125" s="476"/>
      <c r="T125" s="477"/>
      <c r="U125" s="478"/>
    </row>
    <row r="126" spans="6:21" ht="17.25" hidden="1" x14ac:dyDescent="0.2">
      <c r="F126" s="82">
        <f t="shared" si="12"/>
        <v>0</v>
      </c>
      <c r="G126" s="82" t="str">
        <f t="shared" si="8"/>
        <v/>
      </c>
      <c r="H126" s="82" t="str">
        <f t="shared" si="9"/>
        <v/>
      </c>
      <c r="I126" s="82">
        <f>IF($G126="",0,COUNTIF($G$7:$G126,$H126))</f>
        <v>0</v>
      </c>
      <c r="J126" s="82"/>
      <c r="K126" s="212" t="str">
        <f>Language!$E$85</f>
        <v>double</v>
      </c>
      <c r="L126" s="470"/>
      <c r="M126" s="471"/>
      <c r="N126" s="472"/>
      <c r="O126" s="473"/>
      <c r="P126" s="472"/>
      <c r="Q126" s="474"/>
      <c r="R126" s="475"/>
      <c r="S126" s="476"/>
      <c r="T126" s="477"/>
      <c r="U126" s="478"/>
    </row>
    <row r="127" spans="6:21" ht="17.25" hidden="1" x14ac:dyDescent="0.2">
      <c r="F127" s="82">
        <f t="shared" si="12"/>
        <v>0</v>
      </c>
      <c r="G127" s="82" t="str">
        <f t="shared" si="8"/>
        <v/>
      </c>
      <c r="H127" s="82" t="str">
        <f t="shared" si="9"/>
        <v/>
      </c>
      <c r="I127" s="82">
        <f>IF($G127="",0,COUNTIF($G$7:$G127,$H127))</f>
        <v>0</v>
      </c>
      <c r="J127" s="82"/>
      <c r="K127" s="212" t="str">
        <f>Language!$E$85</f>
        <v>double</v>
      </c>
      <c r="L127" s="470"/>
      <c r="M127" s="471"/>
      <c r="N127" s="472"/>
      <c r="O127" s="473"/>
      <c r="P127" s="472"/>
      <c r="Q127" s="474"/>
      <c r="R127" s="475"/>
      <c r="S127" s="476"/>
      <c r="T127" s="477"/>
      <c r="U127" s="478"/>
    </row>
    <row r="128" spans="6:21" ht="17.25" hidden="1" x14ac:dyDescent="0.2">
      <c r="F128" s="82">
        <f t="shared" si="12"/>
        <v>0</v>
      </c>
      <c r="G128" s="82" t="str">
        <f t="shared" si="8"/>
        <v/>
      </c>
      <c r="H128" s="82" t="str">
        <f t="shared" si="9"/>
        <v/>
      </c>
      <c r="I128" s="82">
        <f>IF($G128="",0,COUNTIF($G$7:$G128,$H128))</f>
        <v>0</v>
      </c>
      <c r="J128" s="82"/>
      <c r="K128" s="212" t="str">
        <f>Language!$E$85</f>
        <v>double</v>
      </c>
      <c r="L128" s="470"/>
      <c r="M128" s="471"/>
      <c r="N128" s="472"/>
      <c r="O128" s="473"/>
      <c r="P128" s="472"/>
      <c r="Q128" s="474"/>
      <c r="R128" s="475"/>
      <c r="S128" s="476"/>
      <c r="T128" s="477"/>
      <c r="U128" s="478"/>
    </row>
    <row r="129" spans="6:21" ht="17.25" hidden="1" x14ac:dyDescent="0.2">
      <c r="F129" s="82">
        <f t="shared" si="12"/>
        <v>0</v>
      </c>
      <c r="G129" s="82" t="str">
        <f t="shared" si="8"/>
        <v/>
      </c>
      <c r="H129" s="82" t="str">
        <f t="shared" si="9"/>
        <v/>
      </c>
      <c r="I129" s="82">
        <f>IF($G129="",0,COUNTIF($G$7:$G129,$H129))</f>
        <v>0</v>
      </c>
      <c r="J129" s="82"/>
      <c r="K129" s="212" t="str">
        <f>Language!$E$85</f>
        <v>double</v>
      </c>
      <c r="L129" s="470"/>
      <c r="M129" s="471"/>
      <c r="N129" s="472"/>
      <c r="O129" s="473"/>
      <c r="P129" s="472"/>
      <c r="Q129" s="474"/>
      <c r="R129" s="475"/>
      <c r="S129" s="476"/>
      <c r="T129" s="477"/>
      <c r="U129" s="478"/>
    </row>
    <row r="130" spans="6:21" ht="17.25" hidden="1" x14ac:dyDescent="0.2">
      <c r="F130" s="82">
        <f t="shared" si="12"/>
        <v>0</v>
      </c>
      <c r="G130" s="82" t="str">
        <f t="shared" si="8"/>
        <v/>
      </c>
      <c r="H130" s="82" t="str">
        <f t="shared" si="9"/>
        <v/>
      </c>
      <c r="I130" s="82">
        <f>IF($G130="",0,COUNTIF($G$7:$G130,$H130))</f>
        <v>0</v>
      </c>
      <c r="J130" s="82"/>
      <c r="K130" s="212" t="str">
        <f>Language!$E$85</f>
        <v>double</v>
      </c>
      <c r="L130" s="470"/>
      <c r="M130" s="471"/>
      <c r="N130" s="472"/>
      <c r="O130" s="473"/>
      <c r="P130" s="472"/>
      <c r="Q130" s="474"/>
      <c r="R130" s="475"/>
      <c r="S130" s="476"/>
      <c r="T130" s="477"/>
      <c r="U130" s="478"/>
    </row>
    <row r="131" spans="6:21" ht="17.25" hidden="1" x14ac:dyDescent="0.2">
      <c r="F131" s="82">
        <f t="shared" si="12"/>
        <v>0</v>
      </c>
      <c r="G131" s="82" t="str">
        <f t="shared" si="8"/>
        <v/>
      </c>
      <c r="H131" s="82" t="str">
        <f t="shared" si="9"/>
        <v/>
      </c>
      <c r="I131" s="82">
        <f>IF($G131="",0,COUNTIF($G$7:$G131,$H131))</f>
        <v>0</v>
      </c>
      <c r="J131" s="82"/>
      <c r="K131" s="212" t="str">
        <f>Language!$E$85</f>
        <v>double</v>
      </c>
      <c r="L131" s="470"/>
      <c r="M131" s="471"/>
      <c r="N131" s="472"/>
      <c r="O131" s="473"/>
      <c r="P131" s="472"/>
      <c r="Q131" s="474"/>
      <c r="R131" s="475"/>
      <c r="S131" s="476"/>
      <c r="T131" s="477"/>
      <c r="U131" s="478"/>
    </row>
    <row r="132" spans="6:21" ht="17.25" hidden="1" x14ac:dyDescent="0.2">
      <c r="F132" s="82">
        <f t="shared" si="12"/>
        <v>0</v>
      </c>
      <c r="G132" s="82" t="str">
        <f t="shared" si="8"/>
        <v/>
      </c>
      <c r="H132" s="82" t="str">
        <f t="shared" si="9"/>
        <v/>
      </c>
      <c r="I132" s="82">
        <f>IF($G132="",0,COUNTIF($G$7:$G132,$H132))</f>
        <v>0</v>
      </c>
      <c r="J132" s="82"/>
      <c r="K132" s="212" t="str">
        <f>Language!$E$85</f>
        <v>double</v>
      </c>
      <c r="L132" s="470"/>
      <c r="M132" s="471"/>
      <c r="N132" s="472"/>
      <c r="O132" s="473"/>
      <c r="P132" s="472"/>
      <c r="Q132" s="474"/>
      <c r="R132" s="475"/>
      <c r="S132" s="476"/>
      <c r="T132" s="477"/>
      <c r="U132" s="478"/>
    </row>
    <row r="133" spans="6:21" ht="17.25" hidden="1" x14ac:dyDescent="0.2">
      <c r="F133" s="82">
        <f t="shared" si="12"/>
        <v>0</v>
      </c>
      <c r="G133" s="82" t="str">
        <f t="shared" si="8"/>
        <v/>
      </c>
      <c r="H133" s="82" t="str">
        <f t="shared" si="9"/>
        <v/>
      </c>
      <c r="I133" s="82">
        <f>IF($G133="",0,COUNTIF($G$7:$G133,$H133))</f>
        <v>0</v>
      </c>
      <c r="J133" s="82"/>
      <c r="K133" s="212" t="str">
        <f>Language!$E$85</f>
        <v>double</v>
      </c>
      <c r="L133" s="470"/>
      <c r="M133" s="471"/>
      <c r="N133" s="472"/>
      <c r="O133" s="473"/>
      <c r="P133" s="472"/>
      <c r="Q133" s="474"/>
      <c r="R133" s="475"/>
      <c r="S133" s="476"/>
      <c r="T133" s="477"/>
      <c r="U133" s="478"/>
    </row>
    <row r="134" spans="6:21" ht="17.25" hidden="1" x14ac:dyDescent="0.2">
      <c r="F134" s="82">
        <f t="shared" si="12"/>
        <v>0</v>
      </c>
      <c r="G134" s="82" t="str">
        <f t="shared" si="8"/>
        <v/>
      </c>
      <c r="H134" s="82" t="str">
        <f t="shared" si="9"/>
        <v/>
      </c>
      <c r="I134" s="82">
        <f>IF($G134="",0,COUNTIF($G$7:$G134,$H134))</f>
        <v>0</v>
      </c>
      <c r="J134" s="82"/>
      <c r="K134" s="212" t="str">
        <f>Language!$E$85</f>
        <v>double</v>
      </c>
      <c r="L134" s="470"/>
      <c r="M134" s="471"/>
      <c r="N134" s="472"/>
      <c r="O134" s="473"/>
      <c r="P134" s="472"/>
      <c r="Q134" s="474"/>
      <c r="R134" s="475"/>
      <c r="S134" s="476"/>
      <c r="T134" s="477"/>
      <c r="U134" s="478"/>
    </row>
    <row r="135" spans="6:21" ht="17.25" hidden="1" x14ac:dyDescent="0.2">
      <c r="F135" s="82">
        <f t="shared" ref="F135:F150" si="13">IF($G135="",0,IF(LEFT($G135,2)=RIGHT($G135,2),100,IF(COUNTIF($G$7:$G$150,$G135)&gt;1,101,COUNTIF($G$7:$G$150,$G135)+COUNTIF($H$7:$H$150,$G135))))</f>
        <v>0</v>
      </c>
      <c r="G135" s="82" t="str">
        <f t="shared" si="8"/>
        <v/>
      </c>
      <c r="H135" s="82" t="str">
        <f t="shared" si="9"/>
        <v/>
      </c>
      <c r="I135" s="82">
        <f>IF($G135="",0,COUNTIF($G$7:$G135,$H135))</f>
        <v>0</v>
      </c>
      <c r="J135" s="82"/>
      <c r="K135" s="212" t="str">
        <f>Language!$E$85</f>
        <v>double</v>
      </c>
      <c r="L135" s="470"/>
      <c r="M135" s="471"/>
      <c r="N135" s="472"/>
      <c r="O135" s="473"/>
      <c r="P135" s="472"/>
      <c r="Q135" s="474"/>
      <c r="R135" s="475"/>
      <c r="S135" s="476"/>
      <c r="T135" s="477"/>
      <c r="U135" s="478"/>
    </row>
    <row r="136" spans="6:21" ht="17.25" hidden="1" x14ac:dyDescent="0.2">
      <c r="F136" s="82">
        <f t="shared" si="13"/>
        <v>0</v>
      </c>
      <c r="G136" s="82" t="str">
        <f t="shared" ref="G136:G150" si="14">IF(OR($N136="",$P136=""),"",TEXT($N136,"00")&amp;TEXT($P136,"00"))</f>
        <v/>
      </c>
      <c r="H136" s="82" t="str">
        <f t="shared" ref="H136:H150" si="15">IF(OR($N136="",$P136=""),"",TEXT($P136,"00")&amp;TEXT($N136,"00"))</f>
        <v/>
      </c>
      <c r="I136" s="82">
        <f>IF($G136="",0,COUNTIF($G$7:$G136,$H136))</f>
        <v>0</v>
      </c>
      <c r="J136" s="82"/>
      <c r="K136" s="212" t="str">
        <f>Language!$E$85</f>
        <v>double</v>
      </c>
      <c r="L136" s="470"/>
      <c r="M136" s="471"/>
      <c r="N136" s="472"/>
      <c r="O136" s="473"/>
      <c r="P136" s="472"/>
      <c r="Q136" s="474"/>
      <c r="R136" s="475"/>
      <c r="S136" s="476"/>
      <c r="T136" s="477"/>
      <c r="U136" s="478"/>
    </row>
    <row r="137" spans="6:21" ht="17.25" hidden="1" x14ac:dyDescent="0.2">
      <c r="F137" s="82">
        <f t="shared" si="13"/>
        <v>0</v>
      </c>
      <c r="G137" s="82" t="str">
        <f t="shared" si="14"/>
        <v/>
      </c>
      <c r="H137" s="82" t="str">
        <f t="shared" si="15"/>
        <v/>
      </c>
      <c r="I137" s="82">
        <f>IF($G137="",0,COUNTIF($G$7:$G137,$H137))</f>
        <v>0</v>
      </c>
      <c r="J137" s="82"/>
      <c r="K137" s="212" t="str">
        <f>Language!$E$85</f>
        <v>double</v>
      </c>
      <c r="L137" s="470"/>
      <c r="M137" s="471"/>
      <c r="N137" s="472"/>
      <c r="O137" s="473"/>
      <c r="P137" s="472"/>
      <c r="Q137" s="474"/>
      <c r="R137" s="475"/>
      <c r="S137" s="476"/>
      <c r="T137" s="477"/>
      <c r="U137" s="478"/>
    </row>
    <row r="138" spans="6:21" ht="17.25" hidden="1" x14ac:dyDescent="0.2">
      <c r="F138" s="82">
        <f t="shared" si="13"/>
        <v>0</v>
      </c>
      <c r="G138" s="82" t="str">
        <f t="shared" si="14"/>
        <v/>
      </c>
      <c r="H138" s="82" t="str">
        <f t="shared" si="15"/>
        <v/>
      </c>
      <c r="I138" s="82">
        <f>IF($G138="",0,COUNTIF($G$7:$G138,$H138))</f>
        <v>0</v>
      </c>
      <c r="J138" s="82"/>
      <c r="K138" s="212" t="str">
        <f>Language!$E$85</f>
        <v>double</v>
      </c>
      <c r="L138" s="470"/>
      <c r="M138" s="471"/>
      <c r="N138" s="472"/>
      <c r="O138" s="473"/>
      <c r="P138" s="472"/>
      <c r="Q138" s="474"/>
      <c r="R138" s="475"/>
      <c r="S138" s="476"/>
      <c r="T138" s="477"/>
      <c r="U138" s="478"/>
    </row>
    <row r="139" spans="6:21" ht="17.25" hidden="1" x14ac:dyDescent="0.2">
      <c r="F139" s="82">
        <f t="shared" si="13"/>
        <v>0</v>
      </c>
      <c r="G139" s="82" t="str">
        <f t="shared" si="14"/>
        <v/>
      </c>
      <c r="H139" s="82" t="str">
        <f t="shared" si="15"/>
        <v/>
      </c>
      <c r="I139" s="82">
        <f>IF($G139="",0,COUNTIF($G$7:$G139,$H139))</f>
        <v>0</v>
      </c>
      <c r="J139" s="82"/>
      <c r="K139" s="212" t="str">
        <f>Language!$E$85</f>
        <v>double</v>
      </c>
      <c r="L139" s="470"/>
      <c r="M139" s="471"/>
      <c r="N139" s="472"/>
      <c r="O139" s="473"/>
      <c r="P139" s="472"/>
      <c r="Q139" s="474"/>
      <c r="R139" s="475"/>
      <c r="S139" s="476"/>
      <c r="T139" s="477"/>
      <c r="U139" s="478"/>
    </row>
    <row r="140" spans="6:21" ht="17.25" hidden="1" x14ac:dyDescent="0.2">
      <c r="F140" s="82">
        <f t="shared" si="13"/>
        <v>0</v>
      </c>
      <c r="G140" s="82" t="str">
        <f t="shared" si="14"/>
        <v/>
      </c>
      <c r="H140" s="82" t="str">
        <f t="shared" si="15"/>
        <v/>
      </c>
      <c r="I140" s="82">
        <f>IF($G140="",0,COUNTIF($G$7:$G140,$H140))</f>
        <v>0</v>
      </c>
      <c r="J140" s="82"/>
      <c r="K140" s="212" t="str">
        <f>Language!$E$85</f>
        <v>double</v>
      </c>
      <c r="L140" s="470"/>
      <c r="M140" s="471"/>
      <c r="N140" s="472"/>
      <c r="O140" s="473"/>
      <c r="P140" s="472"/>
      <c r="Q140" s="474"/>
      <c r="R140" s="475"/>
      <c r="S140" s="476"/>
      <c r="T140" s="477"/>
      <c r="U140" s="478"/>
    </row>
    <row r="141" spans="6:21" ht="17.25" hidden="1" x14ac:dyDescent="0.2">
      <c r="F141" s="82">
        <f t="shared" si="13"/>
        <v>0</v>
      </c>
      <c r="G141" s="82" t="str">
        <f t="shared" si="14"/>
        <v/>
      </c>
      <c r="H141" s="82" t="str">
        <f t="shared" si="15"/>
        <v/>
      </c>
      <c r="I141" s="82">
        <f>IF($G141="",0,COUNTIF($G$7:$G141,$H141))</f>
        <v>0</v>
      </c>
      <c r="J141" s="82"/>
      <c r="K141" s="212" t="str">
        <f>Language!$E$85</f>
        <v>double</v>
      </c>
      <c r="L141" s="470"/>
      <c r="M141" s="471"/>
      <c r="N141" s="472"/>
      <c r="O141" s="473"/>
      <c r="P141" s="472"/>
      <c r="Q141" s="474"/>
      <c r="R141" s="475"/>
      <c r="S141" s="476"/>
      <c r="T141" s="477"/>
      <c r="U141" s="478"/>
    </row>
    <row r="142" spans="6:21" ht="17.25" hidden="1" x14ac:dyDescent="0.2">
      <c r="F142" s="82">
        <f t="shared" si="13"/>
        <v>0</v>
      </c>
      <c r="G142" s="82" t="str">
        <f t="shared" si="14"/>
        <v/>
      </c>
      <c r="H142" s="82" t="str">
        <f t="shared" si="15"/>
        <v/>
      </c>
      <c r="I142" s="82">
        <f>IF($G142="",0,COUNTIF($G$7:$G142,$H142))</f>
        <v>0</v>
      </c>
      <c r="J142" s="82"/>
      <c r="K142" s="212" t="str">
        <f>Language!$E$85</f>
        <v>double</v>
      </c>
      <c r="L142" s="470"/>
      <c r="M142" s="471"/>
      <c r="N142" s="472"/>
      <c r="O142" s="473"/>
      <c r="P142" s="472"/>
      <c r="Q142" s="474"/>
      <c r="R142" s="475"/>
      <c r="S142" s="476"/>
      <c r="T142" s="477"/>
      <c r="U142" s="478"/>
    </row>
    <row r="143" spans="6:21" ht="17.25" hidden="1" x14ac:dyDescent="0.2">
      <c r="F143" s="82">
        <f t="shared" si="13"/>
        <v>0</v>
      </c>
      <c r="G143" s="82" t="str">
        <f t="shared" si="14"/>
        <v/>
      </c>
      <c r="H143" s="82" t="str">
        <f t="shared" si="15"/>
        <v/>
      </c>
      <c r="I143" s="82">
        <f>IF($G143="",0,COUNTIF($G$7:$G143,$H143))</f>
        <v>0</v>
      </c>
      <c r="J143" s="82"/>
      <c r="K143" s="212" t="str">
        <f>Language!$E$85</f>
        <v>double</v>
      </c>
      <c r="L143" s="470"/>
      <c r="M143" s="471"/>
      <c r="N143" s="472"/>
      <c r="O143" s="473"/>
      <c r="P143" s="472"/>
      <c r="Q143" s="474"/>
      <c r="R143" s="475"/>
      <c r="S143" s="476"/>
      <c r="T143" s="477"/>
      <c r="U143" s="478"/>
    </row>
    <row r="144" spans="6:21" ht="17.25" hidden="1" x14ac:dyDescent="0.2">
      <c r="F144" s="82">
        <f t="shared" si="13"/>
        <v>0</v>
      </c>
      <c r="G144" s="82" t="str">
        <f t="shared" si="14"/>
        <v/>
      </c>
      <c r="H144" s="82" t="str">
        <f t="shared" si="15"/>
        <v/>
      </c>
      <c r="I144" s="82">
        <f>IF($G144="",0,COUNTIF($G$7:$G144,$H144))</f>
        <v>0</v>
      </c>
      <c r="J144" s="82"/>
      <c r="K144" s="212" t="str">
        <f>Language!$E$85</f>
        <v>double</v>
      </c>
      <c r="L144" s="470"/>
      <c r="M144" s="471"/>
      <c r="N144" s="472"/>
      <c r="O144" s="473"/>
      <c r="P144" s="472"/>
      <c r="Q144" s="474"/>
      <c r="R144" s="475"/>
      <c r="S144" s="476"/>
      <c r="T144" s="477"/>
      <c r="U144" s="478"/>
    </row>
    <row r="145" spans="6:21" ht="17.25" hidden="1" x14ac:dyDescent="0.2">
      <c r="F145" s="82">
        <f t="shared" si="13"/>
        <v>0</v>
      </c>
      <c r="G145" s="82" t="str">
        <f t="shared" si="14"/>
        <v/>
      </c>
      <c r="H145" s="82" t="str">
        <f t="shared" si="15"/>
        <v/>
      </c>
      <c r="I145" s="82">
        <f>IF($G145="",0,COUNTIF($G$7:$G145,$H145))</f>
        <v>0</v>
      </c>
      <c r="J145" s="82"/>
      <c r="K145" s="212" t="str">
        <f>Language!$E$85</f>
        <v>double</v>
      </c>
      <c r="L145" s="470"/>
      <c r="M145" s="471"/>
      <c r="N145" s="472"/>
      <c r="O145" s="473"/>
      <c r="P145" s="472"/>
      <c r="Q145" s="474"/>
      <c r="R145" s="475"/>
      <c r="S145" s="476"/>
      <c r="T145" s="477"/>
      <c r="U145" s="478"/>
    </row>
    <row r="146" spans="6:21" ht="17.25" hidden="1" x14ac:dyDescent="0.2">
      <c r="F146" s="82">
        <f t="shared" si="13"/>
        <v>0</v>
      </c>
      <c r="G146" s="82" t="str">
        <f t="shared" si="14"/>
        <v/>
      </c>
      <c r="H146" s="82" t="str">
        <f t="shared" si="15"/>
        <v/>
      </c>
      <c r="I146" s="82">
        <f>IF($G146="",0,COUNTIF($G$7:$G146,$H146))</f>
        <v>0</v>
      </c>
      <c r="J146" s="82"/>
      <c r="K146" s="212" t="str">
        <f>Language!$E$85</f>
        <v>double</v>
      </c>
      <c r="L146" s="470"/>
      <c r="M146" s="471"/>
      <c r="N146" s="472"/>
      <c r="O146" s="473"/>
      <c r="P146" s="472"/>
      <c r="Q146" s="474"/>
      <c r="R146" s="475"/>
      <c r="S146" s="476"/>
      <c r="T146" s="477"/>
      <c r="U146" s="478"/>
    </row>
    <row r="147" spans="6:21" ht="17.25" hidden="1" x14ac:dyDescent="0.2">
      <c r="F147" s="82">
        <f t="shared" si="13"/>
        <v>0</v>
      </c>
      <c r="G147" s="82" t="str">
        <f t="shared" si="14"/>
        <v/>
      </c>
      <c r="H147" s="82" t="str">
        <f t="shared" si="15"/>
        <v/>
      </c>
      <c r="I147" s="82">
        <f>IF($G147="",0,COUNTIF($G$7:$G147,$H147))</f>
        <v>0</v>
      </c>
      <c r="J147" s="82"/>
      <c r="K147" s="212" t="str">
        <f>Language!$E$85</f>
        <v>double</v>
      </c>
      <c r="L147" s="470"/>
      <c r="M147" s="471"/>
      <c r="N147" s="472"/>
      <c r="O147" s="473"/>
      <c r="P147" s="472"/>
      <c r="Q147" s="474"/>
      <c r="R147" s="475"/>
      <c r="S147" s="476"/>
      <c r="T147" s="477"/>
      <c r="U147" s="478"/>
    </row>
    <row r="148" spans="6:21" ht="17.25" hidden="1" x14ac:dyDescent="0.2">
      <c r="F148" s="82">
        <f t="shared" si="13"/>
        <v>0</v>
      </c>
      <c r="G148" s="82" t="str">
        <f t="shared" si="14"/>
        <v/>
      </c>
      <c r="H148" s="82" t="str">
        <f t="shared" si="15"/>
        <v/>
      </c>
      <c r="I148" s="82">
        <f>IF($G148="",0,COUNTIF($G$7:$G148,$H148))</f>
        <v>0</v>
      </c>
      <c r="J148" s="82"/>
      <c r="K148" s="212" t="str">
        <f>Language!$E$85</f>
        <v>double</v>
      </c>
      <c r="L148" s="470"/>
      <c r="M148" s="471"/>
      <c r="N148" s="472"/>
      <c r="O148" s="473"/>
      <c r="P148" s="472"/>
      <c r="Q148" s="474"/>
      <c r="R148" s="475"/>
      <c r="S148" s="476"/>
      <c r="T148" s="477"/>
      <c r="U148" s="478"/>
    </row>
    <row r="149" spans="6:21" ht="17.25" hidden="1" x14ac:dyDescent="0.2">
      <c r="F149" s="82">
        <f t="shared" si="13"/>
        <v>0</v>
      </c>
      <c r="G149" s="82" t="str">
        <f t="shared" si="14"/>
        <v/>
      </c>
      <c r="H149" s="82" t="str">
        <f t="shared" si="15"/>
        <v/>
      </c>
      <c r="I149" s="82">
        <f>IF($G149="",0,COUNTIF($G$7:$G149,$H149))</f>
        <v>0</v>
      </c>
      <c r="J149" s="82"/>
      <c r="K149" s="212" t="str">
        <f>Language!$E$85</f>
        <v>double</v>
      </c>
      <c r="L149" s="470"/>
      <c r="M149" s="471"/>
      <c r="N149" s="472"/>
      <c r="O149" s="473"/>
      <c r="P149" s="472"/>
      <c r="Q149" s="474"/>
      <c r="R149" s="475"/>
      <c r="S149" s="476"/>
      <c r="T149" s="477"/>
      <c r="U149" s="478"/>
    </row>
    <row r="150" spans="6:21" ht="17.25" hidden="1" x14ac:dyDescent="0.2">
      <c r="F150" s="82">
        <f t="shared" si="13"/>
        <v>0</v>
      </c>
      <c r="G150" s="82" t="str">
        <f t="shared" si="14"/>
        <v/>
      </c>
      <c r="H150" s="82" t="str">
        <f t="shared" si="15"/>
        <v/>
      </c>
      <c r="I150" s="82">
        <f>IF($G150="",0,COUNTIF($G$7:$G150,$H150))</f>
        <v>0</v>
      </c>
      <c r="J150" s="82"/>
      <c r="K150" s="212" t="str">
        <f>Language!$E$85</f>
        <v>double</v>
      </c>
      <c r="L150" s="470"/>
      <c r="M150" s="471"/>
      <c r="N150" s="472"/>
      <c r="O150" s="473"/>
      <c r="P150" s="472"/>
      <c r="Q150" s="474"/>
      <c r="R150" s="475"/>
      <c r="S150" s="476"/>
      <c r="T150" s="477"/>
      <c r="U150" s="478"/>
    </row>
    <row r="151" spans="6:21" hidden="1" x14ac:dyDescent="0.2"/>
    <row r="152" spans="6:21" hidden="1" x14ac:dyDescent="0.2"/>
    <row r="153" spans="6:21" hidden="1" x14ac:dyDescent="0.2"/>
  </sheetData>
  <sheetProtection sheet="1" objects="1" scenarios="1" selectLockedCells="1"/>
  <sortState ref="C7:D42">
    <sortCondition ref="C6"/>
  </sortState>
  <mergeCells count="4">
    <mergeCell ref="C5:D5"/>
    <mergeCell ref="N6:P6"/>
    <mergeCell ref="Q6:S6"/>
    <mergeCell ref="Q2:T2"/>
  </mergeCells>
  <phoneticPr fontId="47" type="noConversion"/>
  <conditionalFormatting sqref="Q2 U2:W2">
    <cfRule type="expression" dxfId="13" priority="66">
      <formula>$F$6&gt;2</formula>
    </cfRule>
  </conditionalFormatting>
  <conditionalFormatting sqref="Q4:S4">
    <cfRule type="expression" dxfId="12" priority="65">
      <formula>$F$6=2</formula>
    </cfRule>
  </conditionalFormatting>
  <conditionalFormatting sqref="C5:E5">
    <cfRule type="expression" dxfId="11" priority="33">
      <formula>$B$6&gt;1</formula>
    </cfRule>
  </conditionalFormatting>
  <conditionalFormatting sqref="D7">
    <cfRule type="expression" dxfId="10" priority="32">
      <formula>$B7&gt;1</formula>
    </cfRule>
  </conditionalFormatting>
  <conditionalFormatting sqref="D8 D10 D12 D14 D16 D18 D20 D22 D24">
    <cfRule type="expression" dxfId="9" priority="31">
      <formula>$B8&gt;1</formula>
    </cfRule>
  </conditionalFormatting>
  <conditionalFormatting sqref="D9 D11 D13 D15 D17 D19 D21 D23 D25:D42">
    <cfRule type="expression" dxfId="8" priority="30">
      <formula>$B9&gt;1</formula>
    </cfRule>
  </conditionalFormatting>
  <conditionalFormatting sqref="E7">
    <cfRule type="expression" dxfId="7" priority="8">
      <formula>$B7&gt;1</formula>
    </cfRule>
  </conditionalFormatting>
  <conditionalFormatting sqref="E8 E10 E12 E14 E16 E18 E20 E22 E24">
    <cfRule type="expression" dxfId="6" priority="7">
      <formula>$B8&gt;1</formula>
    </cfRule>
  </conditionalFormatting>
  <conditionalFormatting sqref="E9 E11 E13 E15 E17 E19 E21 E23 E25:E42">
    <cfRule type="expression" dxfId="5" priority="6">
      <formula>$B9&gt;1</formula>
    </cfRule>
  </conditionalFormatting>
  <conditionalFormatting sqref="K7:K150">
    <cfRule type="expression" dxfId="4" priority="3">
      <formula>$F7=101</formula>
    </cfRule>
  </conditionalFormatting>
  <dataValidations count="1">
    <dataValidation type="whole" allowBlank="1" showInputMessage="1" showErrorMessage="1" sqref="O7:O150" xr:uid="{00000000-0002-0000-0200-000000000000}">
      <formula1>1</formula1>
      <formula2>20</formula2>
    </dataValidation>
  </dataValidations>
  <pageMargins left="0.7" right="0.7" top="0.78740157499999996" bottom="0.78740157499999996" header="0.3" footer="0.3"/>
  <pageSetup paperSize="9" orientation="portrait" horizont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abelle3"/>
  <dimension ref="A1:BI117"/>
  <sheetViews>
    <sheetView showGridLines="0" showRowColHeaders="0" zoomScaleNormal="100" workbookViewId="0"/>
  </sheetViews>
  <sheetFormatPr baseColWidth="10" defaultColWidth="0" defaultRowHeight="12" zeroHeight="1" x14ac:dyDescent="0.2"/>
  <cols>
    <col min="1" max="2" width="4.7109375" style="5" customWidth="1"/>
    <col min="3" max="3" width="8.140625" style="5" customWidth="1"/>
    <col min="4" max="4" width="9.140625" style="5" customWidth="1"/>
    <col min="5" max="5" width="7.140625" style="5" customWidth="1"/>
    <col min="6" max="6" width="20.28515625" style="139" bestFit="1" customWidth="1"/>
    <col min="7" max="7" width="7.42578125" style="5" customWidth="1"/>
    <col min="8" max="9" width="6.42578125" style="5" customWidth="1"/>
    <col min="10" max="10" width="8.28515625" style="5" customWidth="1"/>
    <col min="11" max="11" width="7.42578125" style="5" customWidth="1"/>
    <col min="12" max="12" width="8.7109375" style="5" customWidth="1"/>
    <col min="13" max="13" width="7.5703125" style="5" customWidth="1"/>
    <col min="14" max="16" width="7.140625" style="5" customWidth="1"/>
    <col min="17" max="17" width="7.7109375" style="5" customWidth="1"/>
    <col min="18" max="18" width="4.7109375" style="5" customWidth="1"/>
    <col min="19" max="19" width="21" style="5" customWidth="1"/>
    <col min="20" max="20" width="16.7109375" style="5" customWidth="1"/>
    <col min="21" max="21" width="11.42578125" style="5" customWidth="1"/>
    <col min="22" max="22" width="10.5703125" style="5" customWidth="1"/>
    <col min="23" max="23" width="9.5703125" style="5" customWidth="1"/>
    <col min="24" max="24" width="7" style="5" hidden="1" customWidth="1"/>
    <col min="25" max="26" width="8.42578125" style="5" hidden="1" customWidth="1"/>
    <col min="27" max="50" width="4.7109375" style="5" hidden="1" customWidth="1"/>
    <col min="51" max="61" width="6.7109375" style="5" hidden="1" customWidth="1"/>
    <col min="62" max="16384" width="2.7109375" style="5" hidden="1"/>
  </cols>
  <sheetData>
    <row r="1" spans="2:25" s="2" customFormat="1" x14ac:dyDescent="0.2">
      <c r="F1" s="134"/>
      <c r="S1" s="138" t="s">
        <v>107</v>
      </c>
    </row>
    <row r="2" spans="2:25" s="2" customFormat="1" x14ac:dyDescent="0.2">
      <c r="B2" s="3"/>
      <c r="C2" s="3"/>
      <c r="D2" s="3"/>
      <c r="E2" s="3"/>
      <c r="F2" s="134"/>
      <c r="G2" s="1"/>
      <c r="H2" s="1"/>
      <c r="I2" s="1"/>
      <c r="J2" s="1"/>
      <c r="K2" s="1"/>
      <c r="L2" s="1"/>
      <c r="M2" s="1"/>
      <c r="N2" s="3"/>
      <c r="O2" s="566" t="s">
        <v>157</v>
      </c>
      <c r="P2" s="566"/>
      <c r="Q2" s="1"/>
      <c r="R2" s="1"/>
      <c r="S2" s="1"/>
    </row>
    <row r="3" spans="2:25" s="2" customFormat="1" ht="13.5" customHeight="1" thickBot="1" x14ac:dyDescent="0.25">
      <c r="B3" s="1"/>
      <c r="C3" s="3"/>
      <c r="D3" s="3"/>
      <c r="E3" s="3"/>
      <c r="F3" s="11" t="s">
        <v>48</v>
      </c>
      <c r="G3" s="36" t="s">
        <v>53</v>
      </c>
      <c r="H3" s="36" t="s">
        <v>54</v>
      </c>
      <c r="I3" s="11" t="s">
        <v>55</v>
      </c>
      <c r="J3" s="11" t="s">
        <v>56</v>
      </c>
      <c r="K3" s="11" t="s">
        <v>49</v>
      </c>
      <c r="L3" s="12" t="s">
        <v>50</v>
      </c>
      <c r="M3" s="12" t="s">
        <v>51</v>
      </c>
      <c r="N3" s="12" t="s">
        <v>52</v>
      </c>
      <c r="O3" s="12" t="s">
        <v>159</v>
      </c>
      <c r="P3" s="12" t="s">
        <v>158</v>
      </c>
      <c r="Q3" s="12" t="s">
        <v>150</v>
      </c>
      <c r="S3" s="11" t="s">
        <v>48</v>
      </c>
      <c r="T3" s="109" t="s">
        <v>57</v>
      </c>
      <c r="U3" s="6" t="s">
        <v>125</v>
      </c>
      <c r="V3" s="99" t="s">
        <v>97</v>
      </c>
      <c r="W3" s="110"/>
      <c r="X3" s="110"/>
      <c r="Y3" s="108"/>
    </row>
    <row r="4" spans="2:25" s="2" customFormat="1" ht="12.75" thickTop="1" x14ac:dyDescent="0.2">
      <c r="B4" s="1">
        <v>1</v>
      </c>
      <c r="C4" s="8">
        <f>RANK(D4,$D$4:$D$39,1)</f>
        <v>27</v>
      </c>
      <c r="D4" s="3">
        <f>E4+ROW()/1000</f>
        <v>27.004000000000001</v>
      </c>
      <c r="E4" s="3">
        <f>RANK(V4,V$4:V$39,1)</f>
        <v>27</v>
      </c>
      <c r="F4" s="134" t="str">
        <f>Calc2!$C4</f>
        <v>Dynamo Kiew</v>
      </c>
      <c r="G4" s="1">
        <f>SUMIFS(Calc2!$H$4:$H$111,Calc2!$F$4:$F$111,$F4)+SUMIFS(Calc2!$I$4:$I$111,Calc2!$G$4:$G$111,$F4)</f>
        <v>9</v>
      </c>
      <c r="H4" s="1">
        <f>SUMIFS(Calc2!$I$4:$I$111,Calc2!$F$4:$F$111,$F4)+SUMIFS(Calc2!$H$4:$H$111,Calc2!$G$4:$G$111,$F4)</f>
        <v>9</v>
      </c>
      <c r="I4" s="3">
        <f t="shared" ref="I4:I11" si="0">G4-H4</f>
        <v>0</v>
      </c>
      <c r="J4" s="12">
        <f>L4*3+M4+$Q4</f>
        <v>6</v>
      </c>
      <c r="K4" s="1">
        <f>SUMPRODUCT((Calc2!$F$4:$F$111=F4)*(Calc2!$H$4:$H$111&lt;&gt;""))+SUMPRODUCT((Calc2!$G$4:$G$111=F4)*(Calc2!$I$4:$I$111&lt;&gt;""))</f>
        <v>6</v>
      </c>
      <c r="L4" s="1">
        <f>SUMPRODUCT((Calc2!$F$4:$F$111=F4)*(Calc2!$H$4:$H$111&gt;Calc2!$I$4:$I$111))+SUMPRODUCT((Calc2!$G$4:$G$111=F4)*(Calc2!$H$4:$H$111&lt;Calc2!$I$4:$I$111))</f>
        <v>2</v>
      </c>
      <c r="M4" s="1">
        <f>SUMPRODUCT((Calc2!$F$4:$G$111=F4)*(Calc2!$H$4:$H$111=Calc2!$I$4:$I$111)*(Calc2!$H$4:$H$111&lt;&gt;"")*(Calc2!$I$4:$I$111&lt;&gt;""))</f>
        <v>0</v>
      </c>
      <c r="N4" s="1">
        <f>SUMPRODUCT((Calc2!$F$4:$F$111=F4)*(Calc2!$H$4:$H$111&lt;Calc2!$I$4:$I$111))+SUMPRODUCT((Calc2!$G$4:$G$111=F4)*(Calc2!$H$4:$H$111&gt;Calc2!$I$4:$I$111))</f>
        <v>4</v>
      </c>
      <c r="O4" s="1">
        <f>SUMIFS(Calc2!$I$4:$I$111,Calc2!$G$4:$G$111,$F4)</f>
        <v>1</v>
      </c>
      <c r="P4" s="1">
        <f>SUMPRODUCT((Calc2!$G$4:$G$111=F4)*(Calc2!$H$4:$H$111&lt;Calc2!$I$4:$I$111))</f>
        <v>0</v>
      </c>
      <c r="Q4" s="108">
        <f>SUMPRODUCT((F4=Calc2!$F$4:$F$111)*Calc2!$M$4:$M$111)+SUMPRODUCT((F4=Calc2!$G$4:$G$111)*Calc2!$N$4:$N$111)</f>
        <v>0</v>
      </c>
      <c r="S4" s="2" t="str">
        <f>Calc2!$C4</f>
        <v>Dynamo Kiew</v>
      </c>
      <c r="T4" s="298">
        <f>J4*Factors!$B$4+(I4+Factors!$D$5)*Factors!$B$5+G4*Factors!$B$6+O4*Factors!$B$7+L4*Factors!$B$8+P4*Factors!$B$9</f>
        <v>6500090.1199999992</v>
      </c>
      <c r="U4" s="7">
        <f>Tie_Break!$D6</f>
        <v>0</v>
      </c>
      <c r="V4" s="8">
        <f>RANK($T4,$T$4:$T$39)+(9-$U4)/10000+(F4="")*1000</f>
        <v>27.000900000000001</v>
      </c>
      <c r="W4" s="110"/>
      <c r="X4" s="110"/>
      <c r="Y4" s="4"/>
    </row>
    <row r="5" spans="2:25" s="2" customFormat="1" x14ac:dyDescent="0.2">
      <c r="B5" s="1">
        <v>2</v>
      </c>
      <c r="C5" s="9">
        <f t="shared" ref="C5:C39" si="1">RANK(D5,$D$4:$D$39,1)</f>
        <v>9</v>
      </c>
      <c r="D5" s="110">
        <f t="shared" ref="D5:D34" si="2">E5+ROW()/1000</f>
        <v>9.0050000000000008</v>
      </c>
      <c r="E5" s="110">
        <f t="shared" ref="E5:E39" si="3">RANK(V5,V$4:V$39,1)</f>
        <v>9</v>
      </c>
      <c r="F5" s="134" t="str">
        <f>Calc2!$C5</f>
        <v>Crystal Palace</v>
      </c>
      <c r="G5" s="1">
        <f>SUMIFS(Calc2!$H$4:$H$111,Calc2!$F$4:$F$111,$F5)+SUMIFS(Calc2!$I$4:$I$111,Calc2!$G$4:$G$111,$F5)</f>
        <v>11</v>
      </c>
      <c r="H5" s="1">
        <f>SUMIFS(Calc2!$I$4:$I$111,Calc2!$F$4:$F$111,$F5)+SUMIFS(Calc2!$H$4:$H$111,Calc2!$G$4:$G$111,$F5)</f>
        <v>6</v>
      </c>
      <c r="I5" s="3">
        <f t="shared" si="0"/>
        <v>5</v>
      </c>
      <c r="J5" s="12">
        <f t="shared" ref="J5:J39" si="4">L5*3+M5+$Q5</f>
        <v>10</v>
      </c>
      <c r="K5" s="1">
        <f>SUMPRODUCT((Calc2!$F$4:$F$111=F5)*(Calc2!$H$4:$H$111&lt;&gt;""))+SUMPRODUCT((Calc2!$G$4:$G$111=F5)*(Calc2!$I$4:$I$111&lt;&gt;""))</f>
        <v>6</v>
      </c>
      <c r="L5" s="1">
        <f>SUMPRODUCT((Calc2!$F$4:$F$111=F5)*(Calc2!$H$4:$H$111&gt;Calc2!$I$4:$I$111))+SUMPRODUCT((Calc2!$G$4:$G$111=F5)*(Calc2!$H$4:$H$111&lt;Calc2!$I$4:$I$111))</f>
        <v>3</v>
      </c>
      <c r="M5" s="1">
        <f>SUMPRODUCT((Calc2!$F$4:$G$111=F5)*(Calc2!$H$4:$H$111=Calc2!$I$4:$I$111)*(Calc2!$H$4:$H$111&lt;&gt;"")*(Calc2!$I$4:$I$111&lt;&gt;""))</f>
        <v>1</v>
      </c>
      <c r="N5" s="1">
        <f>SUMPRODUCT((Calc2!$F$4:$F$111=F5)*(Calc2!$H$4:$H$111&lt;Calc2!$I$4:$I$111))+SUMPRODUCT((Calc2!$G$4:$G$111=F5)*(Calc2!$H$4:$H$111&gt;Calc2!$I$4:$I$111))</f>
        <v>2</v>
      </c>
      <c r="O5" s="1">
        <f>SUMIFS(Calc2!$I$4:$I$111,Calc2!$G$4:$G$111,$F5)</f>
        <v>6</v>
      </c>
      <c r="P5" s="1">
        <f>SUMPRODUCT((Calc2!$G$4:$G$111=F5)*(Calc2!$H$4:$H$111&lt;Calc2!$I$4:$I$111))</f>
        <v>2</v>
      </c>
      <c r="Q5" s="108">
        <f>SUMPRODUCT((F5=Calc2!$F$4:$F$111)*Calc2!$M$4:$M$111)+SUMPRODUCT((F5=Calc2!$G$4:$G$111)*Calc2!$N$4:$N$111)</f>
        <v>0</v>
      </c>
      <c r="S5" s="2" t="str">
        <f>Calc2!$C5</f>
        <v>Crystal Palace</v>
      </c>
      <c r="T5" s="298">
        <f>J5*Factors!$B$4+(I5+Factors!$D$5)*Factors!$B$5+G5*Factors!$B$6+O5*Factors!$B$7+L5*Factors!$B$8+P5*Factors!$B$9</f>
        <v>10505110.631999999</v>
      </c>
      <c r="U5" s="7">
        <f>Tie_Break!$D7</f>
        <v>0</v>
      </c>
      <c r="V5" s="9">
        <f t="shared" ref="V5:V39" si="5">RANK($T5,$T$4:$T$39)+(9-$U5)/10000+(F5="")*1000</f>
        <v>9.0008999999999997</v>
      </c>
      <c r="W5" s="110"/>
      <c r="X5" s="110"/>
      <c r="Y5" s="4"/>
    </row>
    <row r="6" spans="2:25" s="2" customFormat="1" x14ac:dyDescent="0.2">
      <c r="B6" s="1">
        <v>3</v>
      </c>
      <c r="C6" s="9">
        <f t="shared" si="1"/>
        <v>10</v>
      </c>
      <c r="D6" s="110">
        <f t="shared" si="2"/>
        <v>10.006</v>
      </c>
      <c r="E6" s="110">
        <f t="shared" si="3"/>
        <v>10</v>
      </c>
      <c r="F6" s="134" t="str">
        <f>Calc2!$C6</f>
        <v>Lech Posen</v>
      </c>
      <c r="G6" s="1">
        <f>SUMIFS(Calc2!$H$4:$H$111,Calc2!$F$4:$F$111,$F6)+SUMIFS(Calc2!$I$4:$I$111,Calc2!$G$4:$G$111,$F6)</f>
        <v>12</v>
      </c>
      <c r="H6" s="1">
        <f>SUMIFS(Calc2!$I$4:$I$111,Calc2!$F$4:$F$111,$F6)+SUMIFS(Calc2!$H$4:$H$111,Calc2!$G$4:$G$111,$F6)</f>
        <v>8</v>
      </c>
      <c r="I6" s="3">
        <f t="shared" si="0"/>
        <v>4</v>
      </c>
      <c r="J6" s="12">
        <f t="shared" si="4"/>
        <v>10</v>
      </c>
      <c r="K6" s="1">
        <f>SUMPRODUCT((Calc2!$F$4:$F$111=F6)*(Calc2!$H$4:$H$111&lt;&gt;""))+SUMPRODUCT((Calc2!$G$4:$G$111=F6)*(Calc2!$I$4:$I$111&lt;&gt;""))</f>
        <v>6</v>
      </c>
      <c r="L6" s="1">
        <f>SUMPRODUCT((Calc2!$F$4:$F$111=F6)*(Calc2!$H$4:$H$111&gt;Calc2!$I$4:$I$111))+SUMPRODUCT((Calc2!$G$4:$G$111=F6)*(Calc2!$H$4:$H$111&lt;Calc2!$I$4:$I$111))</f>
        <v>3</v>
      </c>
      <c r="M6" s="1">
        <f>SUMPRODUCT((Calc2!$F$4:$G$111=F6)*(Calc2!$H$4:$H$111=Calc2!$I$4:$I$111)*(Calc2!$H$4:$H$111&lt;&gt;"")*(Calc2!$I$4:$I$111&lt;&gt;""))</f>
        <v>1</v>
      </c>
      <c r="N6" s="1">
        <f>SUMPRODUCT((Calc2!$F$4:$F$111=F6)*(Calc2!$H$4:$H$111&lt;Calc2!$I$4:$I$111))+SUMPRODUCT((Calc2!$G$4:$G$111=F6)*(Calc2!$H$4:$H$111&gt;Calc2!$I$4:$I$111))</f>
        <v>2</v>
      </c>
      <c r="O6" s="1">
        <f>SUMIFS(Calc2!$I$4:$I$111,Calc2!$G$4:$G$111,$F6)</f>
        <v>5</v>
      </c>
      <c r="P6" s="1">
        <f>SUMPRODUCT((Calc2!$G$4:$G$111=F6)*(Calc2!$H$4:$H$111&lt;Calc2!$I$4:$I$111))</f>
        <v>1</v>
      </c>
      <c r="Q6" s="108">
        <f>SUMPRODUCT((F6=Calc2!$F$4:$F$111)*Calc2!$M$4:$M$111)+SUMPRODUCT((F6=Calc2!$G$4:$G$111)*Calc2!$N$4:$N$111)</f>
        <v>0</v>
      </c>
      <c r="S6" s="2" t="str">
        <f>Calc2!$C6</f>
        <v>Lech Posen</v>
      </c>
      <c r="T6" s="298">
        <f>J6*Factors!$B$4+(I6+Factors!$D$5)*Factors!$B$5+G6*Factors!$B$6+O6*Factors!$B$7+L6*Factors!$B$8+P6*Factors!$B$9</f>
        <v>10504120.530999999</v>
      </c>
      <c r="U6" s="7">
        <f>Tie_Break!$D8</f>
        <v>0</v>
      </c>
      <c r="V6" s="9">
        <f t="shared" si="5"/>
        <v>10.0009</v>
      </c>
      <c r="W6" s="110"/>
      <c r="X6" s="110"/>
      <c r="Y6" s="4"/>
    </row>
    <row r="7" spans="2:25" s="2" customFormat="1" x14ac:dyDescent="0.2">
      <c r="B7" s="1">
        <v>4</v>
      </c>
      <c r="C7" s="9">
        <f t="shared" si="1"/>
        <v>36</v>
      </c>
      <c r="D7" s="110">
        <f t="shared" si="2"/>
        <v>36.006999999999998</v>
      </c>
      <c r="E7" s="110">
        <f t="shared" si="3"/>
        <v>36</v>
      </c>
      <c r="F7" s="134" t="str">
        <f>Calc2!$C7</f>
        <v>Rapid Wien</v>
      </c>
      <c r="G7" s="1">
        <f>SUMIFS(Calc2!$H$4:$H$111,Calc2!$F$4:$F$111,$F7)+SUMIFS(Calc2!$I$4:$I$111,Calc2!$G$4:$G$111,$F7)</f>
        <v>3</v>
      </c>
      <c r="H7" s="1">
        <f>SUMIFS(Calc2!$I$4:$I$111,Calc2!$F$4:$F$111,$F7)+SUMIFS(Calc2!$H$4:$H$111,Calc2!$G$4:$G$111,$F7)</f>
        <v>14</v>
      </c>
      <c r="I7" s="3">
        <f t="shared" si="0"/>
        <v>-11</v>
      </c>
      <c r="J7" s="12">
        <f t="shared" si="4"/>
        <v>1</v>
      </c>
      <c r="K7" s="1">
        <f>SUMPRODUCT((Calc2!$F$4:$F$111=F7)*(Calc2!$H$4:$H$111&lt;&gt;""))+SUMPRODUCT((Calc2!$G$4:$G$111=F7)*(Calc2!$I$4:$I$111&lt;&gt;""))</f>
        <v>6</v>
      </c>
      <c r="L7" s="1">
        <f>SUMPRODUCT((Calc2!$F$4:$F$111=F7)*(Calc2!$H$4:$H$111&gt;Calc2!$I$4:$I$111))+SUMPRODUCT((Calc2!$G$4:$G$111=F7)*(Calc2!$H$4:$H$111&lt;Calc2!$I$4:$I$111))</f>
        <v>0</v>
      </c>
      <c r="M7" s="1">
        <f>SUMPRODUCT((Calc2!$F$4:$G$111=F7)*(Calc2!$H$4:$H$111=Calc2!$I$4:$I$111)*(Calc2!$H$4:$H$111&lt;&gt;"")*(Calc2!$I$4:$I$111&lt;&gt;""))</f>
        <v>1</v>
      </c>
      <c r="N7" s="1">
        <f>SUMPRODUCT((Calc2!$F$4:$F$111=F7)*(Calc2!$H$4:$H$111&lt;Calc2!$I$4:$I$111))+SUMPRODUCT((Calc2!$G$4:$G$111=F7)*(Calc2!$H$4:$H$111&gt;Calc2!$I$4:$I$111))</f>
        <v>5</v>
      </c>
      <c r="O7" s="1">
        <f>SUMIFS(Calc2!$I$4:$I$111,Calc2!$G$4:$G$111,$F7)</f>
        <v>3</v>
      </c>
      <c r="P7" s="1">
        <f>SUMPRODUCT((Calc2!$G$4:$G$111=F7)*(Calc2!$H$4:$H$111&lt;Calc2!$I$4:$I$111))</f>
        <v>0</v>
      </c>
      <c r="Q7" s="108">
        <f>SUMPRODUCT((F7=Calc2!$F$4:$F$111)*Calc2!$M$4:$M$111)+SUMPRODUCT((F7=Calc2!$G$4:$G$111)*Calc2!$N$4:$N$111)</f>
        <v>0</v>
      </c>
      <c r="S7" s="2" t="str">
        <f>Calc2!$C7</f>
        <v>Rapid Wien</v>
      </c>
      <c r="T7" s="298">
        <f>J7*Factors!$B$4+(I7+Factors!$D$5)*Factors!$B$5+G7*Factors!$B$6+O7*Factors!$B$7+L7*Factors!$B$8+P7*Factors!$B$9</f>
        <v>1489030.3</v>
      </c>
      <c r="U7" s="7">
        <f>Tie_Break!$D9</f>
        <v>0</v>
      </c>
      <c r="V7" s="9">
        <f t="shared" si="5"/>
        <v>36.000900000000001</v>
      </c>
      <c r="W7" s="110"/>
      <c r="X7" s="110"/>
      <c r="Y7" s="4"/>
    </row>
    <row r="8" spans="2:25" s="2" customFormat="1" x14ac:dyDescent="0.2">
      <c r="B8" s="1">
        <v>5</v>
      </c>
      <c r="C8" s="9">
        <f t="shared" si="1"/>
        <v>5</v>
      </c>
      <c r="D8" s="110">
        <f t="shared" si="2"/>
        <v>5.008</v>
      </c>
      <c r="E8" s="110">
        <f t="shared" si="3"/>
        <v>5</v>
      </c>
      <c r="F8" s="134" t="str">
        <f>Calc2!$C8</f>
        <v>Rayo Vallecano</v>
      </c>
      <c r="G8" s="1">
        <f>SUMIFS(Calc2!$H$4:$H$111,Calc2!$F$4:$F$111,$F8)+SUMIFS(Calc2!$I$4:$I$111,Calc2!$G$4:$G$111,$F8)</f>
        <v>13</v>
      </c>
      <c r="H8" s="1">
        <f>SUMIFS(Calc2!$I$4:$I$111,Calc2!$F$4:$F$111,$F8)+SUMIFS(Calc2!$H$4:$H$111,Calc2!$G$4:$G$111,$F8)</f>
        <v>7</v>
      </c>
      <c r="I8" s="3">
        <f t="shared" si="0"/>
        <v>6</v>
      </c>
      <c r="J8" s="12">
        <f t="shared" si="4"/>
        <v>13</v>
      </c>
      <c r="K8" s="1">
        <f>SUMPRODUCT((Calc2!$F$4:$F$111=F8)*(Calc2!$H$4:$H$111&lt;&gt;""))+SUMPRODUCT((Calc2!$G$4:$G$111=F8)*(Calc2!$I$4:$I$111&lt;&gt;""))</f>
        <v>6</v>
      </c>
      <c r="L8" s="1">
        <f>SUMPRODUCT((Calc2!$F$4:$F$111=F8)*(Calc2!$H$4:$H$111&gt;Calc2!$I$4:$I$111))+SUMPRODUCT((Calc2!$G$4:$G$111=F8)*(Calc2!$H$4:$H$111&lt;Calc2!$I$4:$I$111))</f>
        <v>4</v>
      </c>
      <c r="M8" s="1">
        <f>SUMPRODUCT((Calc2!$F$4:$G$111=F8)*(Calc2!$H$4:$H$111=Calc2!$I$4:$I$111)*(Calc2!$H$4:$H$111&lt;&gt;"")*(Calc2!$I$4:$I$111&lt;&gt;""))</f>
        <v>1</v>
      </c>
      <c r="N8" s="1">
        <f>SUMPRODUCT((Calc2!$F$4:$F$111=F8)*(Calc2!$H$4:$H$111&lt;Calc2!$I$4:$I$111))+SUMPRODUCT((Calc2!$G$4:$G$111=F8)*(Calc2!$H$4:$H$111&gt;Calc2!$I$4:$I$111))</f>
        <v>1</v>
      </c>
      <c r="O8" s="1">
        <f>SUMIFS(Calc2!$I$4:$I$111,Calc2!$G$4:$G$111,$F8)</f>
        <v>5</v>
      </c>
      <c r="P8" s="1">
        <f>SUMPRODUCT((Calc2!$G$4:$G$111=F8)*(Calc2!$H$4:$H$111&lt;Calc2!$I$4:$I$111))</f>
        <v>1</v>
      </c>
      <c r="Q8" s="108">
        <f>SUMPRODUCT((F8=Calc2!$F$4:$F$111)*Calc2!$M$4:$M$111)+SUMPRODUCT((F8=Calc2!$G$4:$G$111)*Calc2!$N$4:$N$111)</f>
        <v>0</v>
      </c>
      <c r="S8" s="2" t="str">
        <f>Calc2!$C8</f>
        <v>Rayo Vallecano</v>
      </c>
      <c r="T8" s="298">
        <f>J8*Factors!$B$4+(I8+Factors!$D$5)*Factors!$B$5+G8*Factors!$B$6+O8*Factors!$B$7+L8*Factors!$B$8+P8*Factors!$B$9</f>
        <v>13506130.540999999</v>
      </c>
      <c r="U8" s="7">
        <f>Tie_Break!$D10</f>
        <v>0</v>
      </c>
      <c r="V8" s="9">
        <f t="shared" si="5"/>
        <v>5.0008999999999997</v>
      </c>
      <c r="W8" s="110"/>
      <c r="X8" s="110"/>
      <c r="Y8" s="4"/>
    </row>
    <row r="9" spans="2:25" s="2" customFormat="1" x14ac:dyDescent="0.2">
      <c r="B9" s="1">
        <v>6</v>
      </c>
      <c r="C9" s="9">
        <f t="shared" si="1"/>
        <v>22</v>
      </c>
      <c r="D9" s="110">
        <f t="shared" si="2"/>
        <v>22.009</v>
      </c>
      <c r="E9" s="110">
        <f t="shared" si="3"/>
        <v>22</v>
      </c>
      <c r="F9" s="134" t="str">
        <f>Calc2!$C9</f>
        <v>Shkendija Tetovo</v>
      </c>
      <c r="G9" s="1">
        <f>SUMIFS(Calc2!$H$4:$H$111,Calc2!$F$4:$F$111,$F9)+SUMIFS(Calc2!$I$4:$I$111,Calc2!$G$4:$G$111,$F9)</f>
        <v>4</v>
      </c>
      <c r="H9" s="1">
        <f>SUMIFS(Calc2!$I$4:$I$111,Calc2!$F$4:$F$111,$F9)+SUMIFS(Calc2!$H$4:$H$111,Calc2!$G$4:$G$111,$F9)</f>
        <v>5</v>
      </c>
      <c r="I9" s="3">
        <f t="shared" si="0"/>
        <v>-1</v>
      </c>
      <c r="J9" s="12">
        <f t="shared" si="4"/>
        <v>7</v>
      </c>
      <c r="K9" s="1">
        <f>SUMPRODUCT((Calc2!$F$4:$F$111=F9)*(Calc2!$H$4:$H$111&lt;&gt;""))+SUMPRODUCT((Calc2!$G$4:$G$111=F9)*(Calc2!$I$4:$I$111&lt;&gt;""))</f>
        <v>6</v>
      </c>
      <c r="L9" s="1">
        <f>SUMPRODUCT((Calc2!$F$4:$F$111=F9)*(Calc2!$H$4:$H$111&gt;Calc2!$I$4:$I$111))+SUMPRODUCT((Calc2!$G$4:$G$111=F9)*(Calc2!$H$4:$H$111&lt;Calc2!$I$4:$I$111))</f>
        <v>2</v>
      </c>
      <c r="M9" s="1">
        <f>SUMPRODUCT((Calc2!$F$4:$G$111=F9)*(Calc2!$H$4:$H$111=Calc2!$I$4:$I$111)*(Calc2!$H$4:$H$111&lt;&gt;"")*(Calc2!$I$4:$I$111&lt;&gt;""))</f>
        <v>1</v>
      </c>
      <c r="N9" s="1">
        <f>SUMPRODUCT((Calc2!$F$4:$F$111=F9)*(Calc2!$H$4:$H$111&lt;Calc2!$I$4:$I$111))+SUMPRODUCT((Calc2!$G$4:$G$111=F9)*(Calc2!$H$4:$H$111&gt;Calc2!$I$4:$I$111))</f>
        <v>3</v>
      </c>
      <c r="O9" s="1">
        <f>SUMIFS(Calc2!$I$4:$I$111,Calc2!$G$4:$G$111,$F9)</f>
        <v>0</v>
      </c>
      <c r="P9" s="1">
        <f>SUMPRODUCT((Calc2!$G$4:$G$111=F9)*(Calc2!$H$4:$H$111&lt;Calc2!$I$4:$I$111))</f>
        <v>0</v>
      </c>
      <c r="Q9" s="108">
        <f>SUMPRODUCT((F9=Calc2!$F$4:$F$111)*Calc2!$M$4:$M$111)+SUMPRODUCT((F9=Calc2!$G$4:$G$111)*Calc2!$N$4:$N$111)</f>
        <v>0</v>
      </c>
      <c r="S9" s="2" t="str">
        <f>Calc2!$C9</f>
        <v>Shkendija Tetovo</v>
      </c>
      <c r="T9" s="298">
        <f>J9*Factors!$B$4+(I9+Factors!$D$5)*Factors!$B$5+G9*Factors!$B$6+O9*Factors!$B$7+L9*Factors!$B$8+P9*Factors!$B$9</f>
        <v>7499040.0199999996</v>
      </c>
      <c r="U9" s="7">
        <f>Tie_Break!$D11</f>
        <v>0</v>
      </c>
      <c r="V9" s="9">
        <f t="shared" si="5"/>
        <v>22.000900000000001</v>
      </c>
      <c r="W9" s="110"/>
      <c r="X9" s="110"/>
      <c r="Y9" s="4"/>
    </row>
    <row r="10" spans="2:25" s="2" customFormat="1" x14ac:dyDescent="0.2">
      <c r="B10" s="1">
        <v>7</v>
      </c>
      <c r="C10" s="9">
        <f t="shared" si="1"/>
        <v>23</v>
      </c>
      <c r="D10" s="110">
        <f t="shared" si="2"/>
        <v>23.01</v>
      </c>
      <c r="E10" s="110">
        <f t="shared" si="3"/>
        <v>23</v>
      </c>
      <c r="F10" s="134" t="str">
        <f>Calc2!$C10</f>
        <v>Zrinjski Mostar</v>
      </c>
      <c r="G10" s="1">
        <f>SUMIFS(Calc2!$H$4:$H$111,Calc2!$F$4:$F$111,$F10)+SUMIFS(Calc2!$I$4:$I$111,Calc2!$G$4:$G$111,$F10)</f>
        <v>8</v>
      </c>
      <c r="H10" s="1">
        <f>SUMIFS(Calc2!$I$4:$I$111,Calc2!$F$4:$F$111,$F10)+SUMIFS(Calc2!$H$4:$H$111,Calc2!$G$4:$G$111,$F10)</f>
        <v>10</v>
      </c>
      <c r="I10" s="3">
        <f t="shared" si="0"/>
        <v>-2</v>
      </c>
      <c r="J10" s="12">
        <f t="shared" si="4"/>
        <v>7</v>
      </c>
      <c r="K10" s="1">
        <f>SUMPRODUCT((Calc2!$F$4:$F$111=F10)*(Calc2!$H$4:$H$111&lt;&gt;""))+SUMPRODUCT((Calc2!$G$4:$G$111=F10)*(Calc2!$I$4:$I$111&lt;&gt;""))</f>
        <v>6</v>
      </c>
      <c r="L10" s="1">
        <f>SUMPRODUCT((Calc2!$F$4:$F$111=F10)*(Calc2!$H$4:$H$111&gt;Calc2!$I$4:$I$111))+SUMPRODUCT((Calc2!$G$4:$G$111=F10)*(Calc2!$H$4:$H$111&lt;Calc2!$I$4:$I$111))</f>
        <v>2</v>
      </c>
      <c r="M10" s="1">
        <f>SUMPRODUCT((Calc2!$F$4:$G$111=F10)*(Calc2!$H$4:$H$111=Calc2!$I$4:$I$111)*(Calc2!$H$4:$H$111&lt;&gt;"")*(Calc2!$I$4:$I$111&lt;&gt;""))</f>
        <v>1</v>
      </c>
      <c r="N10" s="1">
        <f>SUMPRODUCT((Calc2!$F$4:$F$111=F10)*(Calc2!$H$4:$H$111&lt;Calc2!$I$4:$I$111))+SUMPRODUCT((Calc2!$G$4:$G$111=F10)*(Calc2!$H$4:$H$111&gt;Calc2!$I$4:$I$111))</f>
        <v>3</v>
      </c>
      <c r="O10" s="1">
        <f>SUMIFS(Calc2!$I$4:$I$111,Calc2!$G$4:$G$111,$F10)</f>
        <v>0</v>
      </c>
      <c r="P10" s="1">
        <f>SUMPRODUCT((Calc2!$G$4:$G$111=F10)*(Calc2!$H$4:$H$111&lt;Calc2!$I$4:$I$111))</f>
        <v>0</v>
      </c>
      <c r="Q10" s="108">
        <f>SUMPRODUCT((F10=Calc2!$F$4:$F$111)*Calc2!$M$4:$M$111)+SUMPRODUCT((F10=Calc2!$G$4:$G$111)*Calc2!$N$4:$N$111)</f>
        <v>0</v>
      </c>
      <c r="S10" s="2" t="str">
        <f>Calc2!$C10</f>
        <v>Zrinjski Mostar</v>
      </c>
      <c r="T10" s="298">
        <f>J10*Factors!$B$4+(I10+Factors!$D$5)*Factors!$B$5+G10*Factors!$B$6+O10*Factors!$B$7+L10*Factors!$B$8+P10*Factors!$B$9</f>
        <v>7498080.0199999996</v>
      </c>
      <c r="U10" s="7">
        <f>Tie_Break!$D12</f>
        <v>0</v>
      </c>
      <c r="V10" s="9">
        <f t="shared" si="5"/>
        <v>23.000900000000001</v>
      </c>
      <c r="W10" s="110"/>
      <c r="X10" s="110"/>
      <c r="Y10" s="4"/>
    </row>
    <row r="11" spans="2:25" s="2" customFormat="1" x14ac:dyDescent="0.2">
      <c r="B11" s="1">
        <v>8</v>
      </c>
      <c r="C11" s="9">
        <f t="shared" si="1"/>
        <v>26</v>
      </c>
      <c r="D11" s="110">
        <f t="shared" si="2"/>
        <v>26.010999999999999</v>
      </c>
      <c r="E11" s="110">
        <f t="shared" si="3"/>
        <v>26</v>
      </c>
      <c r="F11" s="134" t="str">
        <f>Calc2!$C11</f>
        <v>Lincoln Red Imps Fc</v>
      </c>
      <c r="G11" s="1">
        <f>SUMIFS(Calc2!$H$4:$H$111,Calc2!$F$4:$F$111,$F11)+SUMIFS(Calc2!$I$4:$I$111,Calc2!$G$4:$G$111,$F11)</f>
        <v>7</v>
      </c>
      <c r="H11" s="1">
        <f>SUMIFS(Calc2!$I$4:$I$111,Calc2!$F$4:$F$111,$F11)+SUMIFS(Calc2!$H$4:$H$111,Calc2!$G$4:$G$111,$F11)</f>
        <v>15</v>
      </c>
      <c r="I11" s="3">
        <f t="shared" si="0"/>
        <v>-8</v>
      </c>
      <c r="J11" s="12">
        <f t="shared" si="4"/>
        <v>7</v>
      </c>
      <c r="K11" s="1">
        <f>SUMPRODUCT((Calc2!$F$4:$F$111=F11)*(Calc2!$H$4:$H$111&lt;&gt;""))+SUMPRODUCT((Calc2!$G$4:$G$111=F11)*(Calc2!$I$4:$I$111&lt;&gt;""))</f>
        <v>6</v>
      </c>
      <c r="L11" s="1">
        <f>SUMPRODUCT((Calc2!$F$4:$F$111=F11)*(Calc2!$H$4:$H$111&gt;Calc2!$I$4:$I$111))+SUMPRODUCT((Calc2!$G$4:$G$111=F11)*(Calc2!$H$4:$H$111&lt;Calc2!$I$4:$I$111))</f>
        <v>2</v>
      </c>
      <c r="M11" s="1">
        <f>SUMPRODUCT((Calc2!$F$4:$G$111=F11)*(Calc2!$H$4:$H$111=Calc2!$I$4:$I$111)*(Calc2!$H$4:$H$111&lt;&gt;"")*(Calc2!$I$4:$I$111&lt;&gt;""))</f>
        <v>1</v>
      </c>
      <c r="N11" s="1">
        <f>SUMPRODUCT((Calc2!$F$4:$F$111=F11)*(Calc2!$H$4:$H$111&lt;Calc2!$I$4:$I$111))+SUMPRODUCT((Calc2!$G$4:$G$111=F11)*(Calc2!$H$4:$H$111&gt;Calc2!$I$4:$I$111))</f>
        <v>3</v>
      </c>
      <c r="O11" s="1">
        <f>SUMIFS(Calc2!$I$4:$I$111,Calc2!$G$4:$G$111,$F11)</f>
        <v>2</v>
      </c>
      <c r="P11" s="1">
        <f>SUMPRODUCT((Calc2!$G$4:$G$111=F11)*(Calc2!$H$4:$H$111&lt;Calc2!$I$4:$I$111))</f>
        <v>0</v>
      </c>
      <c r="Q11" s="108">
        <f>SUMPRODUCT((F11=Calc2!$F$4:$F$111)*Calc2!$M$4:$M$111)+SUMPRODUCT((F11=Calc2!$G$4:$G$111)*Calc2!$N$4:$N$111)</f>
        <v>0</v>
      </c>
      <c r="S11" s="2" t="str">
        <f>Calc2!$C11</f>
        <v>Lincoln Red Imps Fc</v>
      </c>
      <c r="T11" s="298">
        <f>J11*Factors!$B$4+(I11+Factors!$D$5)*Factors!$B$5+G11*Factors!$B$6+O11*Factors!$B$7+L11*Factors!$B$8+P11*Factors!$B$9</f>
        <v>7492070.2199999997</v>
      </c>
      <c r="U11" s="7">
        <f>Tie_Break!$D13</f>
        <v>0</v>
      </c>
      <c r="V11" s="9">
        <f t="shared" si="5"/>
        <v>26.000900000000001</v>
      </c>
      <c r="W11" s="110"/>
      <c r="X11" s="110"/>
      <c r="Y11" s="4"/>
    </row>
    <row r="12" spans="2:25" s="2" customFormat="1" x14ac:dyDescent="0.2">
      <c r="B12" s="1">
        <v>9</v>
      </c>
      <c r="C12" s="9">
        <f t="shared" si="1"/>
        <v>17</v>
      </c>
      <c r="D12" s="110">
        <f t="shared" si="2"/>
        <v>17.012</v>
      </c>
      <c r="E12" s="110">
        <f t="shared" si="3"/>
        <v>17</v>
      </c>
      <c r="F12" s="134" t="str">
        <f>Calc2!$C12</f>
        <v>Jagiellonia Bialystok</v>
      </c>
      <c r="G12" s="1">
        <f>SUMIFS(Calc2!$H$4:$H$111,Calc2!$F$4:$F$111,$F12)+SUMIFS(Calc2!$I$4:$I$111,Calc2!$G$4:$G$111,$F12)</f>
        <v>5</v>
      </c>
      <c r="H12" s="1">
        <f>SUMIFS(Calc2!$I$4:$I$111,Calc2!$F$4:$F$111,$F12)+SUMIFS(Calc2!$H$4:$H$111,Calc2!$G$4:$G$111,$F12)</f>
        <v>4</v>
      </c>
      <c r="I12" s="110">
        <f t="shared" ref="I12:I22" si="6">G12-H12</f>
        <v>1</v>
      </c>
      <c r="J12" s="12">
        <f t="shared" si="4"/>
        <v>9</v>
      </c>
      <c r="K12" s="1">
        <f>SUMPRODUCT((Calc2!$F$4:$F$111=F12)*(Calc2!$H$4:$H$111&lt;&gt;""))+SUMPRODUCT((Calc2!$G$4:$G$111=F12)*(Calc2!$I$4:$I$111&lt;&gt;""))</f>
        <v>6</v>
      </c>
      <c r="L12" s="1">
        <f>SUMPRODUCT((Calc2!$F$4:$F$111=F12)*(Calc2!$H$4:$H$111&gt;Calc2!$I$4:$I$111))+SUMPRODUCT((Calc2!$G$4:$G$111=F12)*(Calc2!$H$4:$H$111&lt;Calc2!$I$4:$I$111))</f>
        <v>2</v>
      </c>
      <c r="M12" s="1">
        <f>SUMPRODUCT((Calc2!$F$4:$G$111=F12)*(Calc2!$H$4:$H$111=Calc2!$I$4:$I$111)*(Calc2!$H$4:$H$111&lt;&gt;"")*(Calc2!$I$4:$I$111&lt;&gt;""))</f>
        <v>3</v>
      </c>
      <c r="N12" s="1">
        <f>SUMPRODUCT((Calc2!$F$4:$F$111=F12)*(Calc2!$H$4:$H$111&lt;Calc2!$I$4:$I$111))+SUMPRODUCT((Calc2!$G$4:$G$111=F12)*(Calc2!$H$4:$H$111&gt;Calc2!$I$4:$I$111))</f>
        <v>1</v>
      </c>
      <c r="O12" s="1">
        <f>SUMIFS(Calc2!$I$4:$I$111,Calc2!$G$4:$G$111,$F12)</f>
        <v>2</v>
      </c>
      <c r="P12" s="1">
        <f>SUMPRODUCT((Calc2!$G$4:$G$111=F12)*(Calc2!$H$4:$H$111&lt;Calc2!$I$4:$I$111))</f>
        <v>0</v>
      </c>
      <c r="Q12" s="108">
        <f>SUMPRODUCT((F12=Calc2!$F$4:$F$111)*Calc2!$M$4:$M$111)+SUMPRODUCT((F12=Calc2!$G$4:$G$111)*Calc2!$N$4:$N$111)</f>
        <v>0</v>
      </c>
      <c r="S12" s="2" t="str">
        <f>Calc2!$C12</f>
        <v>Jagiellonia Bialystok</v>
      </c>
      <c r="T12" s="298">
        <f>J12*Factors!$B$4+(I12+Factors!$D$5)*Factors!$B$5+G12*Factors!$B$6+O12*Factors!$B$7+L12*Factors!$B$8+P12*Factors!$B$9</f>
        <v>9501050.2199999988</v>
      </c>
      <c r="U12" s="110">
        <f>Tie_Break!$D14</f>
        <v>0</v>
      </c>
      <c r="V12" s="9">
        <f t="shared" si="5"/>
        <v>17.000900000000001</v>
      </c>
      <c r="W12" s="110"/>
      <c r="X12" s="110"/>
      <c r="Y12" s="4"/>
    </row>
    <row r="13" spans="2:25" s="2" customFormat="1" x14ac:dyDescent="0.2">
      <c r="B13" s="1">
        <v>10</v>
      </c>
      <c r="C13" s="9">
        <f t="shared" si="1"/>
        <v>32</v>
      </c>
      <c r="D13" s="110">
        <f t="shared" si="2"/>
        <v>32.012999999999998</v>
      </c>
      <c r="E13" s="110">
        <f t="shared" si="3"/>
        <v>32</v>
      </c>
      <c r="F13" s="134" t="str">
        <f>Calc2!$C13</f>
        <v>Hamrun Spartans</v>
      </c>
      <c r="G13" s="1">
        <f>SUMIFS(Calc2!$H$4:$H$111,Calc2!$F$4:$F$111,$F13)+SUMIFS(Calc2!$I$4:$I$111,Calc2!$G$4:$G$111,$F13)</f>
        <v>5</v>
      </c>
      <c r="H13" s="1">
        <f>SUMIFS(Calc2!$I$4:$I$111,Calc2!$F$4:$F$111,$F13)+SUMIFS(Calc2!$H$4:$H$111,Calc2!$G$4:$G$111,$F13)</f>
        <v>11</v>
      </c>
      <c r="I13" s="110">
        <f t="shared" si="6"/>
        <v>-6</v>
      </c>
      <c r="J13" s="12">
        <f t="shared" si="4"/>
        <v>4</v>
      </c>
      <c r="K13" s="1">
        <f>SUMPRODUCT((Calc2!$F$4:$F$111=F13)*(Calc2!$H$4:$H$111&lt;&gt;""))+SUMPRODUCT((Calc2!$G$4:$G$111=F13)*(Calc2!$I$4:$I$111&lt;&gt;""))</f>
        <v>6</v>
      </c>
      <c r="L13" s="1">
        <f>SUMPRODUCT((Calc2!$F$4:$F$111=F13)*(Calc2!$H$4:$H$111&gt;Calc2!$I$4:$I$111))+SUMPRODUCT((Calc2!$G$4:$G$111=F13)*(Calc2!$H$4:$H$111&lt;Calc2!$I$4:$I$111))</f>
        <v>1</v>
      </c>
      <c r="M13" s="1">
        <f>SUMPRODUCT((Calc2!$F$4:$G$111=F13)*(Calc2!$H$4:$H$111=Calc2!$I$4:$I$111)*(Calc2!$H$4:$H$111&lt;&gt;"")*(Calc2!$I$4:$I$111&lt;&gt;""))</f>
        <v>1</v>
      </c>
      <c r="N13" s="1">
        <f>SUMPRODUCT((Calc2!$F$4:$F$111=F13)*(Calc2!$H$4:$H$111&lt;Calc2!$I$4:$I$111))+SUMPRODUCT((Calc2!$G$4:$G$111=F13)*(Calc2!$H$4:$H$111&gt;Calc2!$I$4:$I$111))</f>
        <v>4</v>
      </c>
      <c r="O13" s="1">
        <f>SUMIFS(Calc2!$I$4:$I$111,Calc2!$G$4:$G$111,$F13)</f>
        <v>1</v>
      </c>
      <c r="P13" s="1">
        <f>SUMPRODUCT((Calc2!$G$4:$G$111=F13)*(Calc2!$H$4:$H$111&lt;Calc2!$I$4:$I$111))</f>
        <v>0</v>
      </c>
      <c r="Q13" s="108">
        <f>SUMPRODUCT((F13=Calc2!$F$4:$F$111)*Calc2!$M$4:$M$111)+SUMPRODUCT((F13=Calc2!$G$4:$G$111)*Calc2!$N$4:$N$111)</f>
        <v>0</v>
      </c>
      <c r="S13" s="2" t="str">
        <f>Calc2!$C13</f>
        <v>Hamrun Spartans</v>
      </c>
      <c r="T13" s="298">
        <f>J13*Factors!$B$4+(I13+Factors!$D$5)*Factors!$B$5+G13*Factors!$B$6+O13*Factors!$B$7+L13*Factors!$B$8+P13*Factors!$B$9</f>
        <v>4494050.1099999994</v>
      </c>
      <c r="U13" s="110">
        <f>Tie_Break!$D15</f>
        <v>0</v>
      </c>
      <c r="V13" s="9">
        <f t="shared" si="5"/>
        <v>32.000900000000001</v>
      </c>
      <c r="X13" s="110"/>
    </row>
    <row r="14" spans="2:25" s="2" customFormat="1" x14ac:dyDescent="0.2">
      <c r="B14" s="1">
        <v>11</v>
      </c>
      <c r="C14" s="9">
        <f t="shared" si="1"/>
        <v>18</v>
      </c>
      <c r="D14" s="110">
        <f t="shared" si="2"/>
        <v>18.013999999999999</v>
      </c>
      <c r="E14" s="110">
        <f t="shared" si="3"/>
        <v>18</v>
      </c>
      <c r="F14" s="134" t="str">
        <f>Calc2!$C14</f>
        <v>Omonia Nikosia</v>
      </c>
      <c r="G14" s="1">
        <f>SUMIFS(Calc2!$H$4:$H$111,Calc2!$F$4:$F$111,$F14)+SUMIFS(Calc2!$I$4:$I$111,Calc2!$G$4:$G$111,$F14)</f>
        <v>5</v>
      </c>
      <c r="H14" s="1">
        <f>SUMIFS(Calc2!$I$4:$I$111,Calc2!$F$4:$F$111,$F14)+SUMIFS(Calc2!$H$4:$H$111,Calc2!$G$4:$G$111,$F14)</f>
        <v>4</v>
      </c>
      <c r="I14" s="110">
        <f t="shared" si="6"/>
        <v>1</v>
      </c>
      <c r="J14" s="12">
        <f t="shared" si="4"/>
        <v>8</v>
      </c>
      <c r="K14" s="1">
        <f>SUMPRODUCT((Calc2!$F$4:$F$111=F14)*(Calc2!$H$4:$H$111&lt;&gt;""))+SUMPRODUCT((Calc2!$G$4:$G$111=F14)*(Calc2!$I$4:$I$111&lt;&gt;""))</f>
        <v>6</v>
      </c>
      <c r="L14" s="1">
        <f>SUMPRODUCT((Calc2!$F$4:$F$111=F14)*(Calc2!$H$4:$H$111&gt;Calc2!$I$4:$I$111))+SUMPRODUCT((Calc2!$G$4:$G$111=F14)*(Calc2!$H$4:$H$111&lt;Calc2!$I$4:$I$111))</f>
        <v>2</v>
      </c>
      <c r="M14" s="1">
        <f>SUMPRODUCT((Calc2!$F$4:$G$111=F14)*(Calc2!$H$4:$H$111=Calc2!$I$4:$I$111)*(Calc2!$H$4:$H$111&lt;&gt;"")*(Calc2!$I$4:$I$111&lt;&gt;""))</f>
        <v>2</v>
      </c>
      <c r="N14" s="1">
        <f>SUMPRODUCT((Calc2!$F$4:$F$111=F14)*(Calc2!$H$4:$H$111&lt;Calc2!$I$4:$I$111))+SUMPRODUCT((Calc2!$G$4:$G$111=F14)*(Calc2!$H$4:$H$111&gt;Calc2!$I$4:$I$111))</f>
        <v>2</v>
      </c>
      <c r="O14" s="1">
        <f>SUMIFS(Calc2!$I$4:$I$111,Calc2!$G$4:$G$111,$F14)</f>
        <v>3</v>
      </c>
      <c r="P14" s="1">
        <f>SUMPRODUCT((Calc2!$G$4:$G$111=F14)*(Calc2!$H$4:$H$111&lt;Calc2!$I$4:$I$111))</f>
        <v>1</v>
      </c>
      <c r="Q14" s="108">
        <f>SUMPRODUCT((F14=Calc2!$F$4:$F$111)*Calc2!$M$4:$M$111)+SUMPRODUCT((F14=Calc2!$G$4:$G$111)*Calc2!$N$4:$N$111)</f>
        <v>0</v>
      </c>
      <c r="S14" s="2" t="str">
        <f>Calc2!$C14</f>
        <v>Omonia Nikosia</v>
      </c>
      <c r="T14" s="298">
        <f>J14*Factors!$B$4+(I14+Factors!$D$5)*Factors!$B$5+G14*Factors!$B$6+O14*Factors!$B$7+L14*Factors!$B$8+P14*Factors!$B$9</f>
        <v>8501050.3210000005</v>
      </c>
      <c r="U14" s="110">
        <f>Tie_Break!$D16</f>
        <v>0</v>
      </c>
      <c r="V14" s="9">
        <f t="shared" si="5"/>
        <v>18.000900000000001</v>
      </c>
      <c r="X14" s="110"/>
    </row>
    <row r="15" spans="2:25" s="2" customFormat="1" x14ac:dyDescent="0.2">
      <c r="B15" s="1">
        <v>12</v>
      </c>
      <c r="C15" s="9">
        <f t="shared" si="1"/>
        <v>7</v>
      </c>
      <c r="D15" s="110">
        <f t="shared" si="2"/>
        <v>7.0149999999999997</v>
      </c>
      <c r="E15" s="110">
        <f t="shared" si="3"/>
        <v>7</v>
      </c>
      <c r="F15" s="134" t="str">
        <f>Calc2!$C15</f>
        <v>1. FSV Mainz 05</v>
      </c>
      <c r="G15" s="1">
        <f>SUMIFS(Calc2!$H$4:$H$111,Calc2!$F$4:$F$111,$F15)+SUMIFS(Calc2!$I$4:$I$111,Calc2!$G$4:$G$111,$F15)</f>
        <v>7</v>
      </c>
      <c r="H15" s="1">
        <f>SUMIFS(Calc2!$I$4:$I$111,Calc2!$F$4:$F$111,$F15)+SUMIFS(Calc2!$H$4:$H$111,Calc2!$G$4:$G$111,$F15)</f>
        <v>3</v>
      </c>
      <c r="I15" s="110">
        <f t="shared" si="6"/>
        <v>4</v>
      </c>
      <c r="J15" s="12">
        <f t="shared" si="4"/>
        <v>13</v>
      </c>
      <c r="K15" s="1">
        <f>SUMPRODUCT((Calc2!$F$4:$F$111=F15)*(Calc2!$H$4:$H$111&lt;&gt;""))+SUMPRODUCT((Calc2!$G$4:$G$111=F15)*(Calc2!$I$4:$I$111&lt;&gt;""))</f>
        <v>6</v>
      </c>
      <c r="L15" s="1">
        <f>SUMPRODUCT((Calc2!$F$4:$F$111=F15)*(Calc2!$H$4:$H$111&gt;Calc2!$I$4:$I$111))+SUMPRODUCT((Calc2!$G$4:$G$111=F15)*(Calc2!$H$4:$H$111&lt;Calc2!$I$4:$I$111))</f>
        <v>4</v>
      </c>
      <c r="M15" s="1">
        <f>SUMPRODUCT((Calc2!$F$4:$G$111=F15)*(Calc2!$H$4:$H$111=Calc2!$I$4:$I$111)*(Calc2!$H$4:$H$111&lt;&gt;"")*(Calc2!$I$4:$I$111&lt;&gt;""))</f>
        <v>1</v>
      </c>
      <c r="N15" s="1">
        <f>SUMPRODUCT((Calc2!$F$4:$F$111=F15)*(Calc2!$H$4:$H$111&lt;Calc2!$I$4:$I$111))+SUMPRODUCT((Calc2!$G$4:$G$111=F15)*(Calc2!$H$4:$H$111&gt;Calc2!$I$4:$I$111))</f>
        <v>1</v>
      </c>
      <c r="O15" s="1">
        <f>SUMIFS(Calc2!$I$4:$I$111,Calc2!$G$4:$G$111,$F15)</f>
        <v>2</v>
      </c>
      <c r="P15" s="1">
        <f>SUMPRODUCT((Calc2!$G$4:$G$111=F15)*(Calc2!$H$4:$H$111&lt;Calc2!$I$4:$I$111))</f>
        <v>1</v>
      </c>
      <c r="Q15" s="108">
        <f>SUMPRODUCT((F15=Calc2!$F$4:$F$111)*Calc2!$M$4:$M$111)+SUMPRODUCT((F15=Calc2!$G$4:$G$111)*Calc2!$N$4:$N$111)</f>
        <v>0</v>
      </c>
      <c r="S15" s="2" t="str">
        <f>Calc2!$C15</f>
        <v>1. FSV Mainz 05</v>
      </c>
      <c r="T15" s="298">
        <f>J15*Factors!$B$4+(I15+Factors!$D$5)*Factors!$B$5+G15*Factors!$B$6+O15*Factors!$B$7+L15*Factors!$B$8+P15*Factors!$B$9</f>
        <v>13504070.240999999</v>
      </c>
      <c r="U15" s="110">
        <f>Tie_Break!$D17</f>
        <v>0</v>
      </c>
      <c r="V15" s="9">
        <f t="shared" si="5"/>
        <v>7.0008999999999997</v>
      </c>
      <c r="X15" s="110"/>
    </row>
    <row r="16" spans="2:25" s="2" customFormat="1" x14ac:dyDescent="0.2">
      <c r="B16" s="1">
        <v>13</v>
      </c>
      <c r="C16" s="9">
        <f t="shared" si="1"/>
        <v>21</v>
      </c>
      <c r="D16" s="110">
        <f t="shared" si="2"/>
        <v>21.015999999999998</v>
      </c>
      <c r="E16" s="110">
        <f t="shared" si="3"/>
        <v>21</v>
      </c>
      <c r="F16" s="134" t="str">
        <f>Calc2!$C16</f>
        <v>Kuopion PS</v>
      </c>
      <c r="G16" s="1">
        <f>SUMIFS(Calc2!$H$4:$H$111,Calc2!$F$4:$F$111,$F16)+SUMIFS(Calc2!$I$4:$I$111,Calc2!$G$4:$G$111,$F16)</f>
        <v>6</v>
      </c>
      <c r="H16" s="1">
        <f>SUMIFS(Calc2!$I$4:$I$111,Calc2!$F$4:$F$111,$F16)+SUMIFS(Calc2!$H$4:$H$111,Calc2!$G$4:$G$111,$F16)</f>
        <v>5</v>
      </c>
      <c r="I16" s="110">
        <f t="shared" si="6"/>
        <v>1</v>
      </c>
      <c r="J16" s="12">
        <f t="shared" si="4"/>
        <v>7</v>
      </c>
      <c r="K16" s="1">
        <f>SUMPRODUCT((Calc2!$F$4:$F$111=F16)*(Calc2!$H$4:$H$111&lt;&gt;""))+SUMPRODUCT((Calc2!$G$4:$G$111=F16)*(Calc2!$I$4:$I$111&lt;&gt;""))</f>
        <v>6</v>
      </c>
      <c r="L16" s="1">
        <f>SUMPRODUCT((Calc2!$F$4:$F$111=F16)*(Calc2!$H$4:$H$111&gt;Calc2!$I$4:$I$111))+SUMPRODUCT((Calc2!$G$4:$G$111=F16)*(Calc2!$H$4:$H$111&lt;Calc2!$I$4:$I$111))</f>
        <v>1</v>
      </c>
      <c r="M16" s="1">
        <f>SUMPRODUCT((Calc2!$F$4:$G$111=F16)*(Calc2!$H$4:$H$111=Calc2!$I$4:$I$111)*(Calc2!$H$4:$H$111&lt;&gt;"")*(Calc2!$I$4:$I$111&lt;&gt;""))</f>
        <v>4</v>
      </c>
      <c r="N16" s="1">
        <f>SUMPRODUCT((Calc2!$F$4:$F$111=F16)*(Calc2!$H$4:$H$111&lt;Calc2!$I$4:$I$111))+SUMPRODUCT((Calc2!$G$4:$G$111=F16)*(Calc2!$H$4:$H$111&gt;Calc2!$I$4:$I$111))</f>
        <v>1</v>
      </c>
      <c r="O16" s="1">
        <f>SUMIFS(Calc2!$I$4:$I$111,Calc2!$G$4:$G$111,$F16)</f>
        <v>2</v>
      </c>
      <c r="P16" s="1">
        <f>SUMPRODUCT((Calc2!$G$4:$G$111=F16)*(Calc2!$H$4:$H$111&lt;Calc2!$I$4:$I$111))</f>
        <v>0</v>
      </c>
      <c r="Q16" s="108">
        <f>SUMPRODUCT((F16=Calc2!$F$4:$F$111)*Calc2!$M$4:$M$111)+SUMPRODUCT((F16=Calc2!$G$4:$G$111)*Calc2!$N$4:$N$111)</f>
        <v>0</v>
      </c>
      <c r="S16" s="2" t="str">
        <f>Calc2!$C16</f>
        <v>Kuopion PS</v>
      </c>
      <c r="T16" s="298">
        <f>J16*Factors!$B$4+(I16+Factors!$D$5)*Factors!$B$5+G16*Factors!$B$6+O16*Factors!$B$7+L16*Factors!$B$8+P16*Factors!$B$9</f>
        <v>7501060.21</v>
      </c>
      <c r="U16" s="110">
        <f>Tie_Break!$D18</f>
        <v>0</v>
      </c>
      <c r="V16" s="9">
        <f t="shared" si="5"/>
        <v>21.000900000000001</v>
      </c>
      <c r="W16" s="1"/>
      <c r="X16" s="110"/>
      <c r="Y16" s="1"/>
    </row>
    <row r="17" spans="2:24" s="2" customFormat="1" x14ac:dyDescent="0.2">
      <c r="B17" s="1">
        <v>14</v>
      </c>
      <c r="C17" s="9">
        <f t="shared" si="1"/>
        <v>20</v>
      </c>
      <c r="D17" s="110">
        <f t="shared" si="2"/>
        <v>20.016999999999999</v>
      </c>
      <c r="E17" s="110">
        <f t="shared" si="3"/>
        <v>20</v>
      </c>
      <c r="F17" s="134" t="str">
        <f>Calc2!$C17</f>
        <v>KF Drita Gjilan</v>
      </c>
      <c r="G17" s="1">
        <f>SUMIFS(Calc2!$H$4:$H$111,Calc2!$F$4:$F$111,$F17)+SUMIFS(Calc2!$I$4:$I$111,Calc2!$G$4:$G$111,$F17)</f>
        <v>4</v>
      </c>
      <c r="H17" s="1">
        <f>SUMIFS(Calc2!$I$4:$I$111,Calc2!$F$4:$F$111,$F17)+SUMIFS(Calc2!$H$4:$H$111,Calc2!$G$4:$G$111,$F17)</f>
        <v>8</v>
      </c>
      <c r="I17" s="110">
        <f t="shared" si="6"/>
        <v>-4</v>
      </c>
      <c r="J17" s="12">
        <f t="shared" si="4"/>
        <v>8</v>
      </c>
      <c r="K17" s="1">
        <f>SUMPRODUCT((Calc2!$F$4:$F$111=F17)*(Calc2!$H$4:$H$111&lt;&gt;""))+SUMPRODUCT((Calc2!$G$4:$G$111=F17)*(Calc2!$I$4:$I$111&lt;&gt;""))</f>
        <v>6</v>
      </c>
      <c r="L17" s="1">
        <f>SUMPRODUCT((Calc2!$F$4:$F$111=F17)*(Calc2!$H$4:$H$111&gt;Calc2!$I$4:$I$111))+SUMPRODUCT((Calc2!$G$4:$G$111=F17)*(Calc2!$H$4:$H$111&lt;Calc2!$I$4:$I$111))</f>
        <v>2</v>
      </c>
      <c r="M17" s="1">
        <f>SUMPRODUCT((Calc2!$F$4:$G$111=F17)*(Calc2!$H$4:$H$111=Calc2!$I$4:$I$111)*(Calc2!$H$4:$H$111&lt;&gt;"")*(Calc2!$I$4:$I$111&lt;&gt;""))</f>
        <v>2</v>
      </c>
      <c r="N17" s="1">
        <f>SUMPRODUCT((Calc2!$F$4:$F$111=F17)*(Calc2!$H$4:$H$111&lt;Calc2!$I$4:$I$111))+SUMPRODUCT((Calc2!$G$4:$G$111=F17)*(Calc2!$H$4:$H$111&gt;Calc2!$I$4:$I$111))</f>
        <v>2</v>
      </c>
      <c r="O17" s="1">
        <f>SUMIFS(Calc2!$I$4:$I$111,Calc2!$G$4:$G$111,$F17)</f>
        <v>2</v>
      </c>
      <c r="P17" s="1">
        <f>SUMPRODUCT((Calc2!$G$4:$G$111=F17)*(Calc2!$H$4:$H$111&lt;Calc2!$I$4:$I$111))</f>
        <v>1</v>
      </c>
      <c r="Q17" s="108">
        <f>SUMPRODUCT((F17=Calc2!$F$4:$F$111)*Calc2!$M$4:$M$111)+SUMPRODUCT((F17=Calc2!$G$4:$G$111)*Calc2!$N$4:$N$111)</f>
        <v>0</v>
      </c>
      <c r="S17" s="2" t="str">
        <f>Calc2!$C17</f>
        <v>KF Drita Gjilan</v>
      </c>
      <c r="T17" s="298">
        <f>J17*Factors!$B$4+(I17+Factors!$D$5)*Factors!$B$5+G17*Factors!$B$6+O17*Factors!$B$7+L17*Factors!$B$8+P17*Factors!$B$9</f>
        <v>8496040.220999999</v>
      </c>
      <c r="U17" s="110">
        <f>Tie_Break!$D19</f>
        <v>0</v>
      </c>
      <c r="V17" s="9">
        <f t="shared" si="5"/>
        <v>20.000900000000001</v>
      </c>
      <c r="X17" s="110"/>
    </row>
    <row r="18" spans="2:24" s="2" customFormat="1" x14ac:dyDescent="0.2">
      <c r="B18" s="1">
        <v>15</v>
      </c>
      <c r="C18" s="9">
        <f t="shared" si="1"/>
        <v>19</v>
      </c>
      <c r="D18" s="110">
        <f t="shared" si="2"/>
        <v>19.018000000000001</v>
      </c>
      <c r="E18" s="110">
        <f t="shared" si="3"/>
        <v>19</v>
      </c>
      <c r="F18" s="134" t="str">
        <f>Calc2!$C18</f>
        <v>FC Noah</v>
      </c>
      <c r="G18" s="1">
        <f>SUMIFS(Calc2!$H$4:$H$111,Calc2!$F$4:$F$111,$F18)+SUMIFS(Calc2!$I$4:$I$111,Calc2!$G$4:$G$111,$F18)</f>
        <v>6</v>
      </c>
      <c r="H18" s="1">
        <f>SUMIFS(Calc2!$I$4:$I$111,Calc2!$F$4:$F$111,$F18)+SUMIFS(Calc2!$H$4:$H$111,Calc2!$G$4:$G$111,$F18)</f>
        <v>7</v>
      </c>
      <c r="I18" s="110">
        <f t="shared" si="6"/>
        <v>-1</v>
      </c>
      <c r="J18" s="12">
        <f t="shared" si="4"/>
        <v>8</v>
      </c>
      <c r="K18" s="1">
        <f>SUMPRODUCT((Calc2!$F$4:$F$111=F18)*(Calc2!$H$4:$H$111&lt;&gt;""))+SUMPRODUCT((Calc2!$G$4:$G$111=F18)*(Calc2!$I$4:$I$111&lt;&gt;""))</f>
        <v>6</v>
      </c>
      <c r="L18" s="1">
        <f>SUMPRODUCT((Calc2!$F$4:$F$111=F18)*(Calc2!$H$4:$H$111&gt;Calc2!$I$4:$I$111))+SUMPRODUCT((Calc2!$G$4:$G$111=F18)*(Calc2!$H$4:$H$111&lt;Calc2!$I$4:$I$111))</f>
        <v>2</v>
      </c>
      <c r="M18" s="1">
        <f>SUMPRODUCT((Calc2!$F$4:$G$111=F18)*(Calc2!$H$4:$H$111=Calc2!$I$4:$I$111)*(Calc2!$H$4:$H$111&lt;&gt;"")*(Calc2!$I$4:$I$111&lt;&gt;""))</f>
        <v>2</v>
      </c>
      <c r="N18" s="1">
        <f>SUMPRODUCT((Calc2!$F$4:$F$111=F18)*(Calc2!$H$4:$H$111&lt;Calc2!$I$4:$I$111))+SUMPRODUCT((Calc2!$G$4:$G$111=F18)*(Calc2!$H$4:$H$111&gt;Calc2!$I$4:$I$111))</f>
        <v>2</v>
      </c>
      <c r="O18" s="1">
        <f>SUMIFS(Calc2!$I$4:$I$111,Calc2!$G$4:$G$111,$F18)</f>
        <v>2</v>
      </c>
      <c r="P18" s="1">
        <f>SUMPRODUCT((Calc2!$G$4:$G$111=F18)*(Calc2!$H$4:$H$111&lt;Calc2!$I$4:$I$111))</f>
        <v>0</v>
      </c>
      <c r="Q18" s="108">
        <f>SUMPRODUCT((F18=Calc2!$F$4:$F$111)*Calc2!$M$4:$M$111)+SUMPRODUCT((F18=Calc2!$G$4:$G$111)*Calc2!$N$4:$N$111)</f>
        <v>0</v>
      </c>
      <c r="S18" s="2" t="str">
        <f>Calc2!$C18</f>
        <v>FC Noah</v>
      </c>
      <c r="T18" s="298">
        <f>J18*Factors!$B$4+(I18+Factors!$D$5)*Factors!$B$5+G18*Factors!$B$6+O18*Factors!$B$7+L18*Factors!$B$8+P18*Factors!$B$9</f>
        <v>8499060.2199999988</v>
      </c>
      <c r="U18" s="110">
        <f>Tie_Break!$D20</f>
        <v>0</v>
      </c>
      <c r="V18" s="9">
        <f t="shared" si="5"/>
        <v>19.000900000000001</v>
      </c>
      <c r="X18" s="110"/>
    </row>
    <row r="19" spans="2:24" s="2" customFormat="1" x14ac:dyDescent="0.2">
      <c r="B19" s="1">
        <v>16</v>
      </c>
      <c r="C19" s="9">
        <f t="shared" si="1"/>
        <v>15</v>
      </c>
      <c r="D19" s="110">
        <f t="shared" si="2"/>
        <v>15.019</v>
      </c>
      <c r="E19" s="110">
        <f t="shared" si="3"/>
        <v>15</v>
      </c>
      <c r="F19" s="134" t="str">
        <f>Calc2!$C19</f>
        <v>HNK Rijeka</v>
      </c>
      <c r="G19" s="1">
        <f>SUMIFS(Calc2!$H$4:$H$111,Calc2!$F$4:$F$111,$F19)+SUMIFS(Calc2!$I$4:$I$111,Calc2!$G$4:$G$111,$F19)</f>
        <v>5</v>
      </c>
      <c r="H19" s="1">
        <f>SUMIFS(Calc2!$I$4:$I$111,Calc2!$F$4:$F$111,$F19)+SUMIFS(Calc2!$H$4:$H$111,Calc2!$G$4:$G$111,$F19)</f>
        <v>2</v>
      </c>
      <c r="I19" s="110">
        <f t="shared" si="6"/>
        <v>3</v>
      </c>
      <c r="J19" s="12">
        <f t="shared" si="4"/>
        <v>9</v>
      </c>
      <c r="K19" s="1">
        <f>SUMPRODUCT((Calc2!$F$4:$F$111=F19)*(Calc2!$H$4:$H$111&lt;&gt;""))+SUMPRODUCT((Calc2!$G$4:$G$111=F19)*(Calc2!$I$4:$I$111&lt;&gt;""))</f>
        <v>6</v>
      </c>
      <c r="L19" s="1">
        <f>SUMPRODUCT((Calc2!$F$4:$F$111=F19)*(Calc2!$H$4:$H$111&gt;Calc2!$I$4:$I$111))+SUMPRODUCT((Calc2!$G$4:$G$111=F19)*(Calc2!$H$4:$H$111&lt;Calc2!$I$4:$I$111))</f>
        <v>2</v>
      </c>
      <c r="M19" s="1">
        <f>SUMPRODUCT((Calc2!$F$4:$G$111=F19)*(Calc2!$H$4:$H$111=Calc2!$I$4:$I$111)*(Calc2!$H$4:$H$111&lt;&gt;"")*(Calc2!$I$4:$I$111&lt;&gt;""))</f>
        <v>3</v>
      </c>
      <c r="N19" s="1">
        <f>SUMPRODUCT((Calc2!$F$4:$F$111=F19)*(Calc2!$H$4:$H$111&lt;Calc2!$I$4:$I$111))+SUMPRODUCT((Calc2!$G$4:$G$111=F19)*(Calc2!$H$4:$H$111&gt;Calc2!$I$4:$I$111))</f>
        <v>1</v>
      </c>
      <c r="O19" s="1">
        <f>SUMIFS(Calc2!$I$4:$I$111,Calc2!$G$4:$G$111,$F19)</f>
        <v>1</v>
      </c>
      <c r="P19" s="1">
        <f>SUMPRODUCT((Calc2!$G$4:$G$111=F19)*(Calc2!$H$4:$H$111&lt;Calc2!$I$4:$I$111))</f>
        <v>0</v>
      </c>
      <c r="Q19" s="108">
        <f>SUMPRODUCT((F19=Calc2!$F$4:$F$111)*Calc2!$M$4:$M$111)+SUMPRODUCT((F19=Calc2!$G$4:$G$111)*Calc2!$N$4:$N$111)</f>
        <v>0</v>
      </c>
      <c r="S19" s="2" t="str">
        <f>Calc2!$C19</f>
        <v>HNK Rijeka</v>
      </c>
      <c r="T19" s="298">
        <f>J19*Factors!$B$4+(I19+Factors!$D$5)*Factors!$B$5+G19*Factors!$B$6+O19*Factors!$B$7+L19*Factors!$B$8+P19*Factors!$B$9</f>
        <v>9503050.1199999992</v>
      </c>
      <c r="U19" s="110">
        <f>Tie_Break!$D21</f>
        <v>0</v>
      </c>
      <c r="V19" s="9">
        <f t="shared" si="5"/>
        <v>15.0009</v>
      </c>
      <c r="X19" s="110"/>
    </row>
    <row r="20" spans="2:24" s="2" customFormat="1" x14ac:dyDescent="0.2">
      <c r="B20" s="1">
        <v>17</v>
      </c>
      <c r="C20" s="9">
        <f t="shared" si="1"/>
        <v>16</v>
      </c>
      <c r="D20" s="110">
        <f t="shared" si="2"/>
        <v>16.02</v>
      </c>
      <c r="E20" s="110">
        <f t="shared" si="3"/>
        <v>16</v>
      </c>
      <c r="F20" s="134" t="str">
        <f>Calc2!$C20</f>
        <v>FC Lausanne-Sport</v>
      </c>
      <c r="G20" s="1">
        <f>SUMIFS(Calc2!$H$4:$H$111,Calc2!$F$4:$F$111,$F20)+SUMIFS(Calc2!$I$4:$I$111,Calc2!$G$4:$G$111,$F20)</f>
        <v>6</v>
      </c>
      <c r="H20" s="1">
        <f>SUMIFS(Calc2!$I$4:$I$111,Calc2!$F$4:$F$111,$F20)+SUMIFS(Calc2!$H$4:$H$111,Calc2!$G$4:$G$111,$F20)</f>
        <v>4</v>
      </c>
      <c r="I20" s="110">
        <f t="shared" si="6"/>
        <v>2</v>
      </c>
      <c r="J20" s="12">
        <f t="shared" si="4"/>
        <v>9</v>
      </c>
      <c r="K20" s="1">
        <f>SUMPRODUCT((Calc2!$F$4:$F$111=F20)*(Calc2!$H$4:$H$111&lt;&gt;""))+SUMPRODUCT((Calc2!$G$4:$G$111=F20)*(Calc2!$I$4:$I$111&lt;&gt;""))</f>
        <v>6</v>
      </c>
      <c r="L20" s="1">
        <f>SUMPRODUCT((Calc2!$F$4:$F$111=F20)*(Calc2!$H$4:$H$111&gt;Calc2!$I$4:$I$111))+SUMPRODUCT((Calc2!$G$4:$G$111=F20)*(Calc2!$H$4:$H$111&lt;Calc2!$I$4:$I$111))</f>
        <v>2</v>
      </c>
      <c r="M20" s="1">
        <f>SUMPRODUCT((Calc2!$F$4:$G$111=F20)*(Calc2!$H$4:$H$111=Calc2!$I$4:$I$111)*(Calc2!$H$4:$H$111&lt;&gt;"")*(Calc2!$I$4:$I$111&lt;&gt;""))</f>
        <v>3</v>
      </c>
      <c r="N20" s="1">
        <f>SUMPRODUCT((Calc2!$F$4:$F$111=F20)*(Calc2!$H$4:$H$111&lt;Calc2!$I$4:$I$111))+SUMPRODUCT((Calc2!$G$4:$G$111=F20)*(Calc2!$H$4:$H$111&gt;Calc2!$I$4:$I$111))</f>
        <v>1</v>
      </c>
      <c r="O20" s="1">
        <f>SUMIFS(Calc2!$I$4:$I$111,Calc2!$G$4:$G$111,$F20)</f>
        <v>1</v>
      </c>
      <c r="P20" s="1">
        <f>SUMPRODUCT((Calc2!$G$4:$G$111=F20)*(Calc2!$H$4:$H$111&lt;Calc2!$I$4:$I$111))</f>
        <v>0</v>
      </c>
      <c r="Q20" s="108">
        <f>SUMPRODUCT((F20=Calc2!$F$4:$F$111)*Calc2!$M$4:$M$111)+SUMPRODUCT((F20=Calc2!$G$4:$G$111)*Calc2!$N$4:$N$111)</f>
        <v>0</v>
      </c>
      <c r="S20" s="2" t="str">
        <f>Calc2!$C20</f>
        <v>FC Lausanne-Sport</v>
      </c>
      <c r="T20" s="298">
        <f>J20*Factors!$B$4+(I20+Factors!$D$5)*Factors!$B$5+G20*Factors!$B$6+O20*Factors!$B$7+L20*Factors!$B$8+P20*Factors!$B$9</f>
        <v>9502060.1199999992</v>
      </c>
      <c r="U20" s="110">
        <f>Tie_Break!$D22</f>
        <v>0</v>
      </c>
      <c r="V20" s="9">
        <f t="shared" si="5"/>
        <v>16.000900000000001</v>
      </c>
      <c r="X20" s="110"/>
    </row>
    <row r="21" spans="2:24" s="2" customFormat="1" x14ac:dyDescent="0.2">
      <c r="B21" s="1">
        <v>18</v>
      </c>
      <c r="C21" s="9">
        <f t="shared" si="1"/>
        <v>30</v>
      </c>
      <c r="D21" s="110">
        <f t="shared" si="2"/>
        <v>30.021000000000001</v>
      </c>
      <c r="E21" s="110">
        <f t="shared" si="3"/>
        <v>30</v>
      </c>
      <c r="F21" s="134" t="str">
        <f>Calc2!$C21</f>
        <v>UMF Breidablik</v>
      </c>
      <c r="G21" s="1">
        <f>SUMIFS(Calc2!$H$4:$H$111,Calc2!$F$4:$F$111,$F21)+SUMIFS(Calc2!$I$4:$I$111,Calc2!$G$4:$G$111,$F21)</f>
        <v>6</v>
      </c>
      <c r="H21" s="1">
        <f>SUMIFS(Calc2!$I$4:$I$111,Calc2!$F$4:$F$111,$F21)+SUMIFS(Calc2!$H$4:$H$111,Calc2!$G$4:$G$111,$F21)</f>
        <v>11</v>
      </c>
      <c r="I21" s="110">
        <f t="shared" si="6"/>
        <v>-5</v>
      </c>
      <c r="J21" s="12">
        <f t="shared" si="4"/>
        <v>5</v>
      </c>
      <c r="K21" s="1">
        <f>SUMPRODUCT((Calc2!$F$4:$F$111=F21)*(Calc2!$H$4:$H$111&lt;&gt;""))+SUMPRODUCT((Calc2!$G$4:$G$111=F21)*(Calc2!$I$4:$I$111&lt;&gt;""))</f>
        <v>6</v>
      </c>
      <c r="L21" s="1">
        <f>SUMPRODUCT((Calc2!$F$4:$F$111=F21)*(Calc2!$H$4:$H$111&gt;Calc2!$I$4:$I$111))+SUMPRODUCT((Calc2!$G$4:$G$111=F21)*(Calc2!$H$4:$H$111&lt;Calc2!$I$4:$I$111))</f>
        <v>1</v>
      </c>
      <c r="M21" s="1">
        <f>SUMPRODUCT((Calc2!$F$4:$G$111=F21)*(Calc2!$H$4:$H$111=Calc2!$I$4:$I$111)*(Calc2!$H$4:$H$111&lt;&gt;"")*(Calc2!$I$4:$I$111&lt;&gt;""))</f>
        <v>2</v>
      </c>
      <c r="N21" s="1">
        <f>SUMPRODUCT((Calc2!$F$4:$F$111=F21)*(Calc2!$H$4:$H$111&lt;Calc2!$I$4:$I$111))+SUMPRODUCT((Calc2!$G$4:$G$111=F21)*(Calc2!$H$4:$H$111&gt;Calc2!$I$4:$I$111))</f>
        <v>3</v>
      </c>
      <c r="O21" s="1">
        <f>SUMIFS(Calc2!$I$4:$I$111,Calc2!$G$4:$G$111,$F21)</f>
        <v>1</v>
      </c>
      <c r="P21" s="1">
        <f>SUMPRODUCT((Calc2!$G$4:$G$111=F21)*(Calc2!$H$4:$H$111&lt;Calc2!$I$4:$I$111))</f>
        <v>0</v>
      </c>
      <c r="Q21" s="108">
        <f>SUMPRODUCT((F21=Calc2!$F$4:$F$111)*Calc2!$M$4:$M$111)+SUMPRODUCT((F21=Calc2!$G$4:$G$111)*Calc2!$N$4:$N$111)</f>
        <v>0</v>
      </c>
      <c r="S21" s="2" t="str">
        <f>Calc2!$C21</f>
        <v>UMF Breidablik</v>
      </c>
      <c r="T21" s="298">
        <f>J21*Factors!$B$4+(I21+Factors!$D$5)*Factors!$B$5+G21*Factors!$B$6+O21*Factors!$B$7+L21*Factors!$B$8+P21*Factors!$B$9</f>
        <v>5495060.1099999994</v>
      </c>
      <c r="U21" s="110">
        <f>Tie_Break!$D23</f>
        <v>0</v>
      </c>
      <c r="V21" s="9">
        <f t="shared" si="5"/>
        <v>30.000900000000001</v>
      </c>
      <c r="X21" s="110"/>
    </row>
    <row r="22" spans="2:24" s="2" customFormat="1" x14ac:dyDescent="0.2">
      <c r="B22" s="1">
        <v>19</v>
      </c>
      <c r="C22" s="9">
        <f t="shared" si="1"/>
        <v>29</v>
      </c>
      <c r="D22" s="110">
        <f t="shared" si="2"/>
        <v>29.021999999999998</v>
      </c>
      <c r="E22" s="110">
        <f t="shared" si="3"/>
        <v>29</v>
      </c>
      <c r="F22" s="134" t="str">
        <f>Calc2!$C22</f>
        <v>Slovan Bratislava</v>
      </c>
      <c r="G22" s="1">
        <f>SUMIFS(Calc2!$H$4:$H$111,Calc2!$F$4:$F$111,$F22)+SUMIFS(Calc2!$I$4:$I$111,Calc2!$G$4:$G$111,$F22)</f>
        <v>5</v>
      </c>
      <c r="H22" s="1">
        <f>SUMIFS(Calc2!$I$4:$I$111,Calc2!$F$4:$F$111,$F22)+SUMIFS(Calc2!$H$4:$H$111,Calc2!$G$4:$G$111,$F22)</f>
        <v>9</v>
      </c>
      <c r="I22" s="110">
        <f t="shared" si="6"/>
        <v>-4</v>
      </c>
      <c r="J22" s="12">
        <f t="shared" si="4"/>
        <v>6</v>
      </c>
      <c r="K22" s="1">
        <f>SUMPRODUCT((Calc2!$F$4:$F$111=F22)*(Calc2!$H$4:$H$111&lt;&gt;""))+SUMPRODUCT((Calc2!$G$4:$G$111=F22)*(Calc2!$I$4:$I$111&lt;&gt;""))</f>
        <v>6</v>
      </c>
      <c r="L22" s="1">
        <f>SUMPRODUCT((Calc2!$F$4:$F$111=F22)*(Calc2!$H$4:$H$111&gt;Calc2!$I$4:$I$111))+SUMPRODUCT((Calc2!$G$4:$G$111=F22)*(Calc2!$H$4:$H$111&lt;Calc2!$I$4:$I$111))</f>
        <v>2</v>
      </c>
      <c r="M22" s="1">
        <f>SUMPRODUCT((Calc2!$F$4:$G$111=F22)*(Calc2!$H$4:$H$111=Calc2!$I$4:$I$111)*(Calc2!$H$4:$H$111&lt;&gt;"")*(Calc2!$I$4:$I$111&lt;&gt;""))</f>
        <v>0</v>
      </c>
      <c r="N22" s="1">
        <f>SUMPRODUCT((Calc2!$F$4:$F$111=F22)*(Calc2!$H$4:$H$111&lt;Calc2!$I$4:$I$111))+SUMPRODUCT((Calc2!$G$4:$G$111=F22)*(Calc2!$H$4:$H$111&gt;Calc2!$I$4:$I$111))</f>
        <v>4</v>
      </c>
      <c r="O22" s="1">
        <f>SUMIFS(Calc2!$I$4:$I$111,Calc2!$G$4:$G$111,$F22)</f>
        <v>1</v>
      </c>
      <c r="P22" s="1">
        <f>SUMPRODUCT((Calc2!$G$4:$G$111=F22)*(Calc2!$H$4:$H$111&lt;Calc2!$I$4:$I$111))</f>
        <v>0</v>
      </c>
      <c r="Q22" s="108">
        <f>SUMPRODUCT((F22=Calc2!$F$4:$F$111)*Calc2!$M$4:$M$111)+SUMPRODUCT((F22=Calc2!$G$4:$G$111)*Calc2!$N$4:$N$111)</f>
        <v>0</v>
      </c>
      <c r="S22" s="2" t="str">
        <f>Calc2!$C22</f>
        <v>Slovan Bratislava</v>
      </c>
      <c r="T22" s="298">
        <f>J22*Factors!$B$4+(I22+Factors!$D$5)*Factors!$B$5+G22*Factors!$B$6+O22*Factors!$B$7+L22*Factors!$B$8+P22*Factors!$B$9</f>
        <v>6496050.1199999992</v>
      </c>
      <c r="U22" s="110">
        <f>Tie_Break!$D24</f>
        <v>0</v>
      </c>
      <c r="V22" s="9">
        <f t="shared" si="5"/>
        <v>29.000900000000001</v>
      </c>
      <c r="X22" s="110"/>
    </row>
    <row r="23" spans="2:24" s="2" customFormat="1" x14ac:dyDescent="0.2">
      <c r="B23" s="1">
        <v>20</v>
      </c>
      <c r="C23" s="9">
        <f t="shared" si="1"/>
        <v>1</v>
      </c>
      <c r="D23" s="110">
        <f t="shared" si="2"/>
        <v>1.0229999999999999</v>
      </c>
      <c r="E23" s="110">
        <f t="shared" si="3"/>
        <v>1</v>
      </c>
      <c r="F23" s="134" t="str">
        <f>Calc2!$C23</f>
        <v>Racing Straßburg</v>
      </c>
      <c r="G23" s="1">
        <f>SUMIFS(Calc2!$H$4:$H$111,Calc2!$F$4:$F$111,$F23)+SUMIFS(Calc2!$I$4:$I$111,Calc2!$G$4:$G$111,$F23)</f>
        <v>11</v>
      </c>
      <c r="H23" s="1">
        <f>SUMIFS(Calc2!$I$4:$I$111,Calc2!$F$4:$F$111,$F23)+SUMIFS(Calc2!$H$4:$H$111,Calc2!$G$4:$G$111,$F23)</f>
        <v>5</v>
      </c>
      <c r="I23" s="110">
        <f t="shared" ref="I23:I34" si="7">G23-H23</f>
        <v>6</v>
      </c>
      <c r="J23" s="12">
        <f t="shared" si="4"/>
        <v>16</v>
      </c>
      <c r="K23" s="1">
        <f>SUMPRODUCT((Calc2!$F$4:$F$111=F23)*(Calc2!$H$4:$H$111&lt;&gt;""))+SUMPRODUCT((Calc2!$G$4:$G$111=F23)*(Calc2!$I$4:$I$111&lt;&gt;""))</f>
        <v>6</v>
      </c>
      <c r="L23" s="1">
        <f>SUMPRODUCT((Calc2!$F$4:$F$111=F23)*(Calc2!$H$4:$H$111&gt;Calc2!$I$4:$I$111))+SUMPRODUCT((Calc2!$G$4:$G$111=F23)*(Calc2!$H$4:$H$111&lt;Calc2!$I$4:$I$111))</f>
        <v>5</v>
      </c>
      <c r="M23" s="1">
        <f>SUMPRODUCT((Calc2!$F$4:$G$111=F23)*(Calc2!$H$4:$H$111=Calc2!$I$4:$I$111)*(Calc2!$H$4:$H$111&lt;&gt;"")*(Calc2!$I$4:$I$111&lt;&gt;""))</f>
        <v>1</v>
      </c>
      <c r="N23" s="1">
        <f>SUMPRODUCT((Calc2!$F$4:$F$111=F23)*(Calc2!$H$4:$H$111&lt;Calc2!$I$4:$I$111))+SUMPRODUCT((Calc2!$G$4:$G$111=F23)*(Calc2!$H$4:$H$111&gt;Calc2!$I$4:$I$111))</f>
        <v>0</v>
      </c>
      <c r="O23" s="1">
        <f>SUMIFS(Calc2!$I$4:$I$111,Calc2!$G$4:$G$111,$F23)</f>
        <v>5</v>
      </c>
      <c r="P23" s="1">
        <f>SUMPRODUCT((Calc2!$G$4:$G$111=F23)*(Calc2!$H$4:$H$111&lt;Calc2!$I$4:$I$111))</f>
        <v>3</v>
      </c>
      <c r="Q23" s="108">
        <f>SUMPRODUCT((F23=Calc2!$F$4:$F$111)*Calc2!$M$4:$M$111)+SUMPRODUCT((F23=Calc2!$G$4:$G$111)*Calc2!$N$4:$N$111)</f>
        <v>0</v>
      </c>
      <c r="S23" s="2" t="str">
        <f>Calc2!$C23</f>
        <v>Racing Straßburg</v>
      </c>
      <c r="T23" s="298">
        <f>J23*Factors!$B$4+(I23+Factors!$D$5)*Factors!$B$5+G23*Factors!$B$6+O23*Factors!$B$7+L23*Factors!$B$8+P23*Factors!$B$9</f>
        <v>16506110.553000001</v>
      </c>
      <c r="U23" s="110">
        <f>Tie_Break!$D25</f>
        <v>0</v>
      </c>
      <c r="V23" s="9">
        <f t="shared" si="5"/>
        <v>1.0008999999999999</v>
      </c>
      <c r="X23" s="110"/>
    </row>
    <row r="24" spans="2:24" s="2" customFormat="1" x14ac:dyDescent="0.2">
      <c r="B24" s="1">
        <v>21</v>
      </c>
      <c r="C24" s="9">
        <f t="shared" si="1"/>
        <v>14</v>
      </c>
      <c r="D24" s="110">
        <f t="shared" si="2"/>
        <v>14.023999999999999</v>
      </c>
      <c r="E24" s="110">
        <f t="shared" si="3"/>
        <v>14</v>
      </c>
      <c r="F24" s="134" t="str">
        <f>Calc2!$C24</f>
        <v>AC Florenz</v>
      </c>
      <c r="G24" s="1">
        <f>SUMIFS(Calc2!$H$4:$H$111,Calc2!$F$4:$F$111,$F24)+SUMIFS(Calc2!$I$4:$I$111,Calc2!$G$4:$G$111,$F24)</f>
        <v>8</v>
      </c>
      <c r="H24" s="1">
        <f>SUMIFS(Calc2!$I$4:$I$111,Calc2!$F$4:$F$111,$F24)+SUMIFS(Calc2!$H$4:$H$111,Calc2!$G$4:$G$111,$F24)</f>
        <v>5</v>
      </c>
      <c r="I24" s="110">
        <f t="shared" si="7"/>
        <v>3</v>
      </c>
      <c r="J24" s="12">
        <f t="shared" si="4"/>
        <v>9</v>
      </c>
      <c r="K24" s="1">
        <f>SUMPRODUCT((Calc2!$F$4:$F$111=F24)*(Calc2!$H$4:$H$111&lt;&gt;""))+SUMPRODUCT((Calc2!$G$4:$G$111=F24)*(Calc2!$I$4:$I$111&lt;&gt;""))</f>
        <v>6</v>
      </c>
      <c r="L24" s="1">
        <f>SUMPRODUCT((Calc2!$F$4:$F$111=F24)*(Calc2!$H$4:$H$111&gt;Calc2!$I$4:$I$111))+SUMPRODUCT((Calc2!$G$4:$G$111=F24)*(Calc2!$H$4:$H$111&lt;Calc2!$I$4:$I$111))</f>
        <v>3</v>
      </c>
      <c r="M24" s="1">
        <f>SUMPRODUCT((Calc2!$F$4:$G$111=F24)*(Calc2!$H$4:$H$111=Calc2!$I$4:$I$111)*(Calc2!$H$4:$H$111&lt;&gt;"")*(Calc2!$I$4:$I$111&lt;&gt;""))</f>
        <v>0</v>
      </c>
      <c r="N24" s="1">
        <f>SUMPRODUCT((Calc2!$F$4:$F$111=F24)*(Calc2!$H$4:$H$111&lt;Calc2!$I$4:$I$111))+SUMPRODUCT((Calc2!$G$4:$G$111=F24)*(Calc2!$H$4:$H$111&gt;Calc2!$I$4:$I$111))</f>
        <v>3</v>
      </c>
      <c r="O24" s="1">
        <f>SUMIFS(Calc2!$I$4:$I$111,Calc2!$G$4:$G$111,$F24)</f>
        <v>4</v>
      </c>
      <c r="P24" s="1">
        <f>SUMPRODUCT((Calc2!$G$4:$G$111=F24)*(Calc2!$H$4:$H$111&lt;Calc2!$I$4:$I$111))</f>
        <v>1</v>
      </c>
      <c r="Q24" s="108">
        <f>SUMPRODUCT((F24=Calc2!$F$4:$F$111)*Calc2!$M$4:$M$111)+SUMPRODUCT((F24=Calc2!$G$4:$G$111)*Calc2!$N$4:$N$111)</f>
        <v>0</v>
      </c>
      <c r="S24" s="2" t="str">
        <f>Calc2!$C24</f>
        <v>AC Florenz</v>
      </c>
      <c r="T24" s="298">
        <f>J24*Factors!$B$4+(I24+Factors!$D$5)*Factors!$B$5+G24*Factors!$B$6+O24*Factors!$B$7+L24*Factors!$B$8+P24*Factors!$B$9</f>
        <v>9503080.4309999999</v>
      </c>
      <c r="U24" s="110">
        <f>Tie_Break!$D26</f>
        <v>0</v>
      </c>
      <c r="V24" s="9">
        <f t="shared" si="5"/>
        <v>14.0009</v>
      </c>
      <c r="X24" s="110"/>
    </row>
    <row r="25" spans="2:24" s="2" customFormat="1" x14ac:dyDescent="0.2">
      <c r="B25" s="1">
        <v>22</v>
      </c>
      <c r="C25" s="9">
        <f t="shared" si="1"/>
        <v>24</v>
      </c>
      <c r="D25" s="110">
        <f t="shared" si="2"/>
        <v>24.024999999999999</v>
      </c>
      <c r="E25" s="110">
        <f t="shared" si="3"/>
        <v>24</v>
      </c>
      <c r="F25" s="134" t="str">
        <f>Calc2!$C25</f>
        <v>Sigma Olmütz</v>
      </c>
      <c r="G25" s="1">
        <f>SUMIFS(Calc2!$H$4:$H$111,Calc2!$F$4:$F$111,$F25)+SUMIFS(Calc2!$I$4:$I$111,Calc2!$G$4:$G$111,$F25)</f>
        <v>7</v>
      </c>
      <c r="H25" s="1">
        <f>SUMIFS(Calc2!$I$4:$I$111,Calc2!$F$4:$F$111,$F25)+SUMIFS(Calc2!$H$4:$H$111,Calc2!$G$4:$G$111,$F25)</f>
        <v>9</v>
      </c>
      <c r="I25" s="110">
        <f t="shared" si="7"/>
        <v>-2</v>
      </c>
      <c r="J25" s="12">
        <f t="shared" si="4"/>
        <v>7</v>
      </c>
      <c r="K25" s="1">
        <f>SUMPRODUCT((Calc2!$F$4:$F$111=F25)*(Calc2!$H$4:$H$111&lt;&gt;""))+SUMPRODUCT((Calc2!$G$4:$G$111=F25)*(Calc2!$I$4:$I$111&lt;&gt;""))</f>
        <v>6</v>
      </c>
      <c r="L25" s="1">
        <f>SUMPRODUCT((Calc2!$F$4:$F$111=F25)*(Calc2!$H$4:$H$111&gt;Calc2!$I$4:$I$111))+SUMPRODUCT((Calc2!$G$4:$G$111=F25)*(Calc2!$H$4:$H$111&lt;Calc2!$I$4:$I$111))</f>
        <v>2</v>
      </c>
      <c r="M25" s="1">
        <f>SUMPRODUCT((Calc2!$F$4:$G$111=F25)*(Calc2!$H$4:$H$111=Calc2!$I$4:$I$111)*(Calc2!$H$4:$H$111&lt;&gt;"")*(Calc2!$I$4:$I$111&lt;&gt;""))</f>
        <v>1</v>
      </c>
      <c r="N25" s="1">
        <f>SUMPRODUCT((Calc2!$F$4:$F$111=F25)*(Calc2!$H$4:$H$111&lt;Calc2!$I$4:$I$111))+SUMPRODUCT((Calc2!$G$4:$G$111=F25)*(Calc2!$H$4:$H$111&gt;Calc2!$I$4:$I$111))</f>
        <v>3</v>
      </c>
      <c r="O25" s="1">
        <f>SUMIFS(Calc2!$I$4:$I$111,Calc2!$G$4:$G$111,$F25)</f>
        <v>3</v>
      </c>
      <c r="P25" s="1">
        <f>SUMPRODUCT((Calc2!$G$4:$G$111=F25)*(Calc2!$H$4:$H$111&lt;Calc2!$I$4:$I$111))</f>
        <v>1</v>
      </c>
      <c r="Q25" s="108">
        <f>SUMPRODUCT((F25=Calc2!$F$4:$F$111)*Calc2!$M$4:$M$111)+SUMPRODUCT((F25=Calc2!$G$4:$G$111)*Calc2!$N$4:$N$111)</f>
        <v>0</v>
      </c>
      <c r="S25" s="2" t="str">
        <f>Calc2!$C25</f>
        <v>Sigma Olmütz</v>
      </c>
      <c r="T25" s="298">
        <f>J25*Factors!$B$4+(I25+Factors!$D$5)*Factors!$B$5+G25*Factors!$B$6+O25*Factors!$B$7+L25*Factors!$B$8+P25*Factors!$B$9</f>
        <v>7498070.3209999995</v>
      </c>
      <c r="U25" s="110">
        <f>Tie_Break!$D27</f>
        <v>0</v>
      </c>
      <c r="V25" s="9">
        <f t="shared" si="5"/>
        <v>24.000900000000001</v>
      </c>
      <c r="X25" s="110"/>
    </row>
    <row r="26" spans="2:24" s="2" customFormat="1" x14ac:dyDescent="0.2">
      <c r="B26" s="1">
        <v>23</v>
      </c>
      <c r="C26" s="9">
        <f t="shared" si="1"/>
        <v>28</v>
      </c>
      <c r="D26" s="110">
        <f t="shared" si="2"/>
        <v>28.026</v>
      </c>
      <c r="E26" s="110">
        <f t="shared" si="3"/>
        <v>28</v>
      </c>
      <c r="F26" s="134" t="str">
        <f>Calc2!$C26</f>
        <v>Legia Warschau</v>
      </c>
      <c r="G26" s="1">
        <f>SUMIFS(Calc2!$H$4:$H$111,Calc2!$F$4:$F$111,$F26)+SUMIFS(Calc2!$I$4:$I$111,Calc2!$G$4:$G$111,$F26)</f>
        <v>8</v>
      </c>
      <c r="H26" s="1">
        <f>SUMIFS(Calc2!$I$4:$I$111,Calc2!$F$4:$F$111,$F26)+SUMIFS(Calc2!$H$4:$H$111,Calc2!$G$4:$G$111,$F26)</f>
        <v>8</v>
      </c>
      <c r="I26" s="110">
        <f t="shared" si="7"/>
        <v>0</v>
      </c>
      <c r="J26" s="12">
        <f t="shared" si="4"/>
        <v>6</v>
      </c>
      <c r="K26" s="1">
        <f>SUMPRODUCT((Calc2!$F$4:$F$111=F26)*(Calc2!$H$4:$H$111&lt;&gt;""))+SUMPRODUCT((Calc2!$G$4:$G$111=F26)*(Calc2!$I$4:$I$111&lt;&gt;""))</f>
        <v>6</v>
      </c>
      <c r="L26" s="1">
        <f>SUMPRODUCT((Calc2!$F$4:$F$111=F26)*(Calc2!$H$4:$H$111&gt;Calc2!$I$4:$I$111))+SUMPRODUCT((Calc2!$G$4:$G$111=F26)*(Calc2!$H$4:$H$111&lt;Calc2!$I$4:$I$111))</f>
        <v>2</v>
      </c>
      <c r="M26" s="1">
        <f>SUMPRODUCT((Calc2!$F$4:$G$111=F26)*(Calc2!$H$4:$H$111=Calc2!$I$4:$I$111)*(Calc2!$H$4:$H$111&lt;&gt;"")*(Calc2!$I$4:$I$111&lt;&gt;""))</f>
        <v>0</v>
      </c>
      <c r="N26" s="1">
        <f>SUMPRODUCT((Calc2!$F$4:$F$111=F26)*(Calc2!$H$4:$H$111&lt;Calc2!$I$4:$I$111))+SUMPRODUCT((Calc2!$G$4:$G$111=F26)*(Calc2!$H$4:$H$111&gt;Calc2!$I$4:$I$111))</f>
        <v>4</v>
      </c>
      <c r="O26" s="1">
        <f>SUMIFS(Calc2!$I$4:$I$111,Calc2!$G$4:$G$111,$F26)</f>
        <v>4</v>
      </c>
      <c r="P26" s="1">
        <f>SUMPRODUCT((Calc2!$G$4:$G$111=F26)*(Calc2!$H$4:$H$111&lt;Calc2!$I$4:$I$111))</f>
        <v>1</v>
      </c>
      <c r="Q26" s="108">
        <f>SUMPRODUCT((F26=Calc2!$F$4:$F$111)*Calc2!$M$4:$M$111)+SUMPRODUCT((F26=Calc2!$G$4:$G$111)*Calc2!$N$4:$N$111)</f>
        <v>0</v>
      </c>
      <c r="S26" s="2" t="str">
        <f>Calc2!$C26</f>
        <v>Legia Warschau</v>
      </c>
      <c r="T26" s="298">
        <f>J26*Factors!$B$4+(I26+Factors!$D$5)*Factors!$B$5+G26*Factors!$B$6+O26*Factors!$B$7+L26*Factors!$B$8+P26*Factors!$B$9</f>
        <v>6500080.4210000001</v>
      </c>
      <c r="U26" s="110">
        <f>Tie_Break!$D28</f>
        <v>0</v>
      </c>
      <c r="V26" s="9">
        <f t="shared" si="5"/>
        <v>28.000900000000001</v>
      </c>
      <c r="X26" s="110"/>
    </row>
    <row r="27" spans="2:24" s="2" customFormat="1" x14ac:dyDescent="0.2">
      <c r="B27" s="1">
        <v>24</v>
      </c>
      <c r="C27" s="9">
        <f t="shared" si="1"/>
        <v>11</v>
      </c>
      <c r="D27" s="110">
        <f t="shared" si="2"/>
        <v>11.026999999999999</v>
      </c>
      <c r="E27" s="110">
        <f t="shared" si="3"/>
        <v>11</v>
      </c>
      <c r="F27" s="134" t="str">
        <f>Calc2!$C27</f>
        <v>Samsunspor</v>
      </c>
      <c r="G27" s="1">
        <f>SUMIFS(Calc2!$H$4:$H$111,Calc2!$F$4:$F$111,$F27)+SUMIFS(Calc2!$I$4:$I$111,Calc2!$G$4:$G$111,$F27)</f>
        <v>10</v>
      </c>
      <c r="H27" s="1">
        <f>SUMIFS(Calc2!$I$4:$I$111,Calc2!$F$4:$F$111,$F27)+SUMIFS(Calc2!$H$4:$H$111,Calc2!$G$4:$G$111,$F27)</f>
        <v>6</v>
      </c>
      <c r="I27" s="110">
        <f t="shared" si="7"/>
        <v>4</v>
      </c>
      <c r="J27" s="12">
        <f t="shared" si="4"/>
        <v>10</v>
      </c>
      <c r="K27" s="1">
        <f>SUMPRODUCT((Calc2!$F$4:$F$111=F27)*(Calc2!$H$4:$H$111&lt;&gt;""))+SUMPRODUCT((Calc2!$G$4:$G$111=F27)*(Calc2!$I$4:$I$111&lt;&gt;""))</f>
        <v>6</v>
      </c>
      <c r="L27" s="1">
        <f>SUMPRODUCT((Calc2!$F$4:$F$111=F27)*(Calc2!$H$4:$H$111&gt;Calc2!$I$4:$I$111))+SUMPRODUCT((Calc2!$G$4:$G$111=F27)*(Calc2!$H$4:$H$111&lt;Calc2!$I$4:$I$111))</f>
        <v>3</v>
      </c>
      <c r="M27" s="1">
        <f>SUMPRODUCT((Calc2!$F$4:$G$111=F27)*(Calc2!$H$4:$H$111=Calc2!$I$4:$I$111)*(Calc2!$H$4:$H$111&lt;&gt;"")*(Calc2!$I$4:$I$111&lt;&gt;""))</f>
        <v>1</v>
      </c>
      <c r="N27" s="1">
        <f>SUMPRODUCT((Calc2!$F$4:$F$111=F27)*(Calc2!$H$4:$H$111&lt;Calc2!$I$4:$I$111))+SUMPRODUCT((Calc2!$G$4:$G$111=F27)*(Calc2!$H$4:$H$111&gt;Calc2!$I$4:$I$111))</f>
        <v>2</v>
      </c>
      <c r="O27" s="1">
        <f>SUMIFS(Calc2!$I$4:$I$111,Calc2!$G$4:$G$111,$F27)</f>
        <v>3</v>
      </c>
      <c r="P27" s="1">
        <f>SUMPRODUCT((Calc2!$G$4:$G$111=F27)*(Calc2!$H$4:$H$111&lt;Calc2!$I$4:$I$111))</f>
        <v>1</v>
      </c>
      <c r="Q27" s="108">
        <f>SUMPRODUCT((F27=Calc2!$F$4:$F$111)*Calc2!$M$4:$M$111)+SUMPRODUCT((F27=Calc2!$G$4:$G$111)*Calc2!$N$4:$N$111)</f>
        <v>0</v>
      </c>
      <c r="S27" s="2" t="str">
        <f>Calc2!$C27</f>
        <v>Samsunspor</v>
      </c>
      <c r="T27" s="298">
        <f>J27*Factors!$B$4+(I27+Factors!$D$5)*Factors!$B$5+G27*Factors!$B$6+O27*Factors!$B$7+L27*Factors!$B$8+P27*Factors!$B$9</f>
        <v>10504100.331</v>
      </c>
      <c r="U27" s="110">
        <f>Tie_Break!$D29</f>
        <v>0</v>
      </c>
      <c r="V27" s="9">
        <f t="shared" si="5"/>
        <v>11.0009</v>
      </c>
      <c r="X27" s="110"/>
    </row>
    <row r="28" spans="2:24" s="2" customFormat="1" x14ac:dyDescent="0.2">
      <c r="B28" s="1">
        <v>25</v>
      </c>
      <c r="C28" s="9">
        <f t="shared" si="1"/>
        <v>4</v>
      </c>
      <c r="D28" s="110">
        <f t="shared" si="2"/>
        <v>4.0279999999999996</v>
      </c>
      <c r="E28" s="110">
        <f t="shared" si="3"/>
        <v>4</v>
      </c>
      <c r="F28" s="134" t="str">
        <f>Calc2!$C28</f>
        <v>Sparta Prag</v>
      </c>
      <c r="G28" s="1">
        <f>SUMIFS(Calc2!$H$4:$H$111,Calc2!$F$4:$F$111,$F28)+SUMIFS(Calc2!$I$4:$I$111,Calc2!$G$4:$G$111,$F28)</f>
        <v>10</v>
      </c>
      <c r="H28" s="1">
        <f>SUMIFS(Calc2!$I$4:$I$111,Calc2!$F$4:$F$111,$F28)+SUMIFS(Calc2!$H$4:$H$111,Calc2!$G$4:$G$111,$F28)</f>
        <v>3</v>
      </c>
      <c r="I28" s="110">
        <f t="shared" si="7"/>
        <v>7</v>
      </c>
      <c r="J28" s="12">
        <f t="shared" si="4"/>
        <v>13</v>
      </c>
      <c r="K28" s="1">
        <f>SUMPRODUCT((Calc2!$F$4:$F$111=F28)*(Calc2!$H$4:$H$111&lt;&gt;""))+SUMPRODUCT((Calc2!$G$4:$G$111=F28)*(Calc2!$I$4:$I$111&lt;&gt;""))</f>
        <v>6</v>
      </c>
      <c r="L28" s="1">
        <f>SUMPRODUCT((Calc2!$F$4:$F$111=F28)*(Calc2!$H$4:$H$111&gt;Calc2!$I$4:$I$111))+SUMPRODUCT((Calc2!$G$4:$G$111=F28)*(Calc2!$H$4:$H$111&lt;Calc2!$I$4:$I$111))</f>
        <v>4</v>
      </c>
      <c r="M28" s="1">
        <f>SUMPRODUCT((Calc2!$F$4:$G$111=F28)*(Calc2!$H$4:$H$111=Calc2!$I$4:$I$111)*(Calc2!$H$4:$H$111&lt;&gt;"")*(Calc2!$I$4:$I$111&lt;&gt;""))</f>
        <v>1</v>
      </c>
      <c r="N28" s="1">
        <f>SUMPRODUCT((Calc2!$F$4:$F$111=F28)*(Calc2!$H$4:$H$111&lt;Calc2!$I$4:$I$111))+SUMPRODUCT((Calc2!$G$4:$G$111=F28)*(Calc2!$H$4:$H$111&gt;Calc2!$I$4:$I$111))</f>
        <v>1</v>
      </c>
      <c r="O28" s="1">
        <f>SUMIFS(Calc2!$I$4:$I$111,Calc2!$G$4:$G$111,$F28)</f>
        <v>3</v>
      </c>
      <c r="P28" s="1">
        <f>SUMPRODUCT((Calc2!$G$4:$G$111=F28)*(Calc2!$H$4:$H$111&lt;Calc2!$I$4:$I$111))</f>
        <v>2</v>
      </c>
      <c r="Q28" s="108">
        <f>SUMPRODUCT((F28=Calc2!$F$4:$F$111)*Calc2!$M$4:$M$111)+SUMPRODUCT((F28=Calc2!$G$4:$G$111)*Calc2!$N$4:$N$111)</f>
        <v>0</v>
      </c>
      <c r="S28" s="2" t="str">
        <f>Calc2!$C28</f>
        <v>Sparta Prag</v>
      </c>
      <c r="T28" s="298">
        <f>J28*Factors!$B$4+(I28+Factors!$D$5)*Factors!$B$5+G28*Factors!$B$6+O28*Factors!$B$7+L28*Factors!$B$8+P28*Factors!$B$9</f>
        <v>13507100.342</v>
      </c>
      <c r="U28" s="110">
        <f>Tie_Break!$D30</f>
        <v>0</v>
      </c>
      <c r="V28" s="9">
        <f t="shared" si="5"/>
        <v>4.0008999999999997</v>
      </c>
      <c r="X28" s="110"/>
    </row>
    <row r="29" spans="2:24" s="2" customFormat="1" x14ac:dyDescent="0.2">
      <c r="B29" s="1">
        <v>26</v>
      </c>
      <c r="C29" s="9">
        <f t="shared" si="1"/>
        <v>31</v>
      </c>
      <c r="D29" s="110">
        <f t="shared" si="2"/>
        <v>31.029</v>
      </c>
      <c r="E29" s="110">
        <f t="shared" si="3"/>
        <v>31</v>
      </c>
      <c r="F29" s="134" t="str">
        <f>Calc2!$C29</f>
        <v>Shamrock Rovers</v>
      </c>
      <c r="G29" s="1">
        <f>SUMIFS(Calc2!$H$4:$H$111,Calc2!$F$4:$F$111,$F29)+SUMIFS(Calc2!$I$4:$I$111,Calc2!$G$4:$G$111,$F29)</f>
        <v>7</v>
      </c>
      <c r="H29" s="1">
        <f>SUMIFS(Calc2!$I$4:$I$111,Calc2!$F$4:$F$111,$F29)+SUMIFS(Calc2!$H$4:$H$111,Calc2!$G$4:$G$111,$F29)</f>
        <v>13</v>
      </c>
      <c r="I29" s="110">
        <f t="shared" si="7"/>
        <v>-6</v>
      </c>
      <c r="J29" s="12">
        <f t="shared" si="4"/>
        <v>4</v>
      </c>
      <c r="K29" s="1">
        <f>SUMPRODUCT((Calc2!$F$4:$F$111=F29)*(Calc2!$H$4:$H$111&lt;&gt;""))+SUMPRODUCT((Calc2!$G$4:$G$111=F29)*(Calc2!$I$4:$I$111&lt;&gt;""))</f>
        <v>6</v>
      </c>
      <c r="L29" s="1">
        <f>SUMPRODUCT((Calc2!$F$4:$F$111=F29)*(Calc2!$H$4:$H$111&gt;Calc2!$I$4:$I$111))+SUMPRODUCT((Calc2!$G$4:$G$111=F29)*(Calc2!$H$4:$H$111&lt;Calc2!$I$4:$I$111))</f>
        <v>1</v>
      </c>
      <c r="M29" s="1">
        <f>SUMPRODUCT((Calc2!$F$4:$G$111=F29)*(Calc2!$H$4:$H$111=Calc2!$I$4:$I$111)*(Calc2!$H$4:$H$111&lt;&gt;"")*(Calc2!$I$4:$I$111&lt;&gt;""))</f>
        <v>1</v>
      </c>
      <c r="N29" s="1">
        <f>SUMPRODUCT((Calc2!$F$4:$F$111=F29)*(Calc2!$H$4:$H$111&lt;Calc2!$I$4:$I$111))+SUMPRODUCT((Calc2!$G$4:$G$111=F29)*(Calc2!$H$4:$H$111&gt;Calc2!$I$4:$I$111))</f>
        <v>4</v>
      </c>
      <c r="O29" s="1">
        <f>SUMIFS(Calc2!$I$4:$I$111,Calc2!$G$4:$G$111,$F29)</f>
        <v>3</v>
      </c>
      <c r="P29" s="1">
        <f>SUMPRODUCT((Calc2!$G$4:$G$111=F29)*(Calc2!$H$4:$H$111&lt;Calc2!$I$4:$I$111))</f>
        <v>0</v>
      </c>
      <c r="Q29" s="108">
        <f>SUMPRODUCT((F29=Calc2!$F$4:$F$111)*Calc2!$M$4:$M$111)+SUMPRODUCT((F29=Calc2!$G$4:$G$111)*Calc2!$N$4:$N$111)</f>
        <v>0</v>
      </c>
      <c r="S29" s="2" t="str">
        <f>Calc2!$C29</f>
        <v>Shamrock Rovers</v>
      </c>
      <c r="T29" s="298">
        <f>J29*Factors!$B$4+(I29+Factors!$D$5)*Factors!$B$5+G29*Factors!$B$6+O29*Factors!$B$7+L29*Factors!$B$8+P29*Factors!$B$9</f>
        <v>4494070.3099999996</v>
      </c>
      <c r="U29" s="110">
        <f>Tie_Break!$D31</f>
        <v>0</v>
      </c>
      <c r="V29" s="9">
        <f t="shared" si="5"/>
        <v>31.000900000000001</v>
      </c>
      <c r="X29" s="110"/>
    </row>
    <row r="30" spans="2:24" s="2" customFormat="1" x14ac:dyDescent="0.2">
      <c r="B30" s="1">
        <v>27</v>
      </c>
      <c r="C30" s="9">
        <f t="shared" si="1"/>
        <v>12</v>
      </c>
      <c r="D30" s="110">
        <f t="shared" si="2"/>
        <v>12.03</v>
      </c>
      <c r="E30" s="110">
        <f t="shared" si="3"/>
        <v>12</v>
      </c>
      <c r="F30" s="134" t="str">
        <f>Calc2!$C30</f>
        <v>NK Celje</v>
      </c>
      <c r="G30" s="1">
        <f>SUMIFS(Calc2!$H$4:$H$111,Calc2!$F$4:$F$111,$F30)+SUMIFS(Calc2!$I$4:$I$111,Calc2!$G$4:$G$111,$F30)</f>
        <v>8</v>
      </c>
      <c r="H30" s="1">
        <f>SUMIFS(Calc2!$I$4:$I$111,Calc2!$F$4:$F$111,$F30)+SUMIFS(Calc2!$H$4:$H$111,Calc2!$G$4:$G$111,$F30)</f>
        <v>7</v>
      </c>
      <c r="I30" s="110">
        <f t="shared" si="7"/>
        <v>1</v>
      </c>
      <c r="J30" s="12">
        <f t="shared" si="4"/>
        <v>10</v>
      </c>
      <c r="K30" s="1">
        <f>SUMPRODUCT((Calc2!$F$4:$F$111=F30)*(Calc2!$H$4:$H$111&lt;&gt;""))+SUMPRODUCT((Calc2!$G$4:$G$111=F30)*(Calc2!$I$4:$I$111&lt;&gt;""))</f>
        <v>6</v>
      </c>
      <c r="L30" s="1">
        <f>SUMPRODUCT((Calc2!$F$4:$F$111=F30)*(Calc2!$H$4:$H$111&gt;Calc2!$I$4:$I$111))+SUMPRODUCT((Calc2!$G$4:$G$111=F30)*(Calc2!$H$4:$H$111&lt;Calc2!$I$4:$I$111))</f>
        <v>3</v>
      </c>
      <c r="M30" s="1">
        <f>SUMPRODUCT((Calc2!$F$4:$G$111=F30)*(Calc2!$H$4:$H$111=Calc2!$I$4:$I$111)*(Calc2!$H$4:$H$111&lt;&gt;"")*(Calc2!$I$4:$I$111&lt;&gt;""))</f>
        <v>1</v>
      </c>
      <c r="N30" s="1">
        <f>SUMPRODUCT((Calc2!$F$4:$F$111=F30)*(Calc2!$H$4:$H$111&lt;Calc2!$I$4:$I$111))+SUMPRODUCT((Calc2!$G$4:$G$111=F30)*(Calc2!$H$4:$H$111&gt;Calc2!$I$4:$I$111))</f>
        <v>2</v>
      </c>
      <c r="O30" s="1">
        <f>SUMIFS(Calc2!$I$4:$I$111,Calc2!$G$4:$G$111,$F30)</f>
        <v>3</v>
      </c>
      <c r="P30" s="1">
        <f>SUMPRODUCT((Calc2!$G$4:$G$111=F30)*(Calc2!$H$4:$H$111&lt;Calc2!$I$4:$I$111))</f>
        <v>1</v>
      </c>
      <c r="Q30" s="108">
        <f>SUMPRODUCT((F30=Calc2!$F$4:$F$111)*Calc2!$M$4:$M$111)+SUMPRODUCT((F30=Calc2!$G$4:$G$111)*Calc2!$N$4:$N$111)</f>
        <v>0</v>
      </c>
      <c r="S30" s="2" t="str">
        <f>Calc2!$C30</f>
        <v>NK Celje</v>
      </c>
      <c r="T30" s="298">
        <f>J30*Factors!$B$4+(I30+Factors!$D$5)*Factors!$B$5+G30*Factors!$B$6+O30*Factors!$B$7+L30*Factors!$B$8+P30*Factors!$B$9</f>
        <v>10501080.331</v>
      </c>
      <c r="U30" s="110">
        <f>Tie_Break!$D32</f>
        <v>0</v>
      </c>
      <c r="V30" s="9">
        <f t="shared" si="5"/>
        <v>12.0009</v>
      </c>
      <c r="X30" s="110"/>
    </row>
    <row r="31" spans="2:24" s="2" customFormat="1" x14ac:dyDescent="0.2">
      <c r="B31" s="1">
        <v>28</v>
      </c>
      <c r="C31" s="9">
        <f t="shared" si="1"/>
        <v>3</v>
      </c>
      <c r="D31" s="110">
        <f t="shared" si="2"/>
        <v>3.0310000000000001</v>
      </c>
      <c r="E31" s="110">
        <f t="shared" si="3"/>
        <v>3</v>
      </c>
      <c r="F31" s="134" t="str">
        <f>Calc2!$C31</f>
        <v>AEK Athen</v>
      </c>
      <c r="G31" s="1">
        <f>SUMIFS(Calc2!$H$4:$H$111,Calc2!$F$4:$F$111,$F31)+SUMIFS(Calc2!$I$4:$I$111,Calc2!$G$4:$G$111,$F31)</f>
        <v>14</v>
      </c>
      <c r="H31" s="1">
        <f>SUMIFS(Calc2!$I$4:$I$111,Calc2!$F$4:$F$111,$F31)+SUMIFS(Calc2!$H$4:$H$111,Calc2!$G$4:$G$111,$F31)</f>
        <v>7</v>
      </c>
      <c r="I31" s="110">
        <f t="shared" si="7"/>
        <v>7</v>
      </c>
      <c r="J31" s="12">
        <f t="shared" si="4"/>
        <v>13</v>
      </c>
      <c r="K31" s="1">
        <f>SUMPRODUCT((Calc2!$F$4:$F$111=F31)*(Calc2!$H$4:$H$111&lt;&gt;""))+SUMPRODUCT((Calc2!$G$4:$G$111=F31)*(Calc2!$I$4:$I$111&lt;&gt;""))</f>
        <v>6</v>
      </c>
      <c r="L31" s="1">
        <f>SUMPRODUCT((Calc2!$F$4:$F$111=F31)*(Calc2!$H$4:$H$111&gt;Calc2!$I$4:$I$111))+SUMPRODUCT((Calc2!$G$4:$G$111=F31)*(Calc2!$H$4:$H$111&lt;Calc2!$I$4:$I$111))</f>
        <v>4</v>
      </c>
      <c r="M31" s="1">
        <f>SUMPRODUCT((Calc2!$F$4:$G$111=F31)*(Calc2!$H$4:$H$111=Calc2!$I$4:$I$111)*(Calc2!$H$4:$H$111&lt;&gt;"")*(Calc2!$I$4:$I$111&lt;&gt;""))</f>
        <v>1</v>
      </c>
      <c r="N31" s="1">
        <f>SUMPRODUCT((Calc2!$F$4:$F$111=F31)*(Calc2!$H$4:$H$111&lt;Calc2!$I$4:$I$111))+SUMPRODUCT((Calc2!$G$4:$G$111=F31)*(Calc2!$H$4:$H$111&gt;Calc2!$I$4:$I$111))</f>
        <v>1</v>
      </c>
      <c r="O31" s="1">
        <f>SUMIFS(Calc2!$I$4:$I$111,Calc2!$G$4:$G$111,$F31)</f>
        <v>4</v>
      </c>
      <c r="P31" s="1">
        <f>SUMPRODUCT((Calc2!$G$4:$G$111=F31)*(Calc2!$H$4:$H$111&lt;Calc2!$I$4:$I$111))</f>
        <v>2</v>
      </c>
      <c r="Q31" s="108">
        <f>SUMPRODUCT((F31=Calc2!$F$4:$F$111)*Calc2!$M$4:$M$111)+SUMPRODUCT((F31=Calc2!$G$4:$G$111)*Calc2!$N$4:$N$111)</f>
        <v>0</v>
      </c>
      <c r="S31" s="2" t="str">
        <f>Calc2!$C31</f>
        <v>AEK Athen</v>
      </c>
      <c r="T31" s="298">
        <f>J31*Factors!$B$4+(I31+Factors!$D$5)*Factors!$B$5+G31*Factors!$B$6+O31*Factors!$B$7+L31*Factors!$B$8+P31*Factors!$B$9</f>
        <v>13507140.442</v>
      </c>
      <c r="U31" s="110">
        <f>Tie_Break!$D33</f>
        <v>0</v>
      </c>
      <c r="V31" s="9">
        <f t="shared" si="5"/>
        <v>3.0009000000000001</v>
      </c>
      <c r="X31" s="110"/>
    </row>
    <row r="32" spans="2:24" s="2" customFormat="1" x14ac:dyDescent="0.2">
      <c r="B32" s="1">
        <v>29</v>
      </c>
      <c r="C32" s="9">
        <f t="shared" si="1"/>
        <v>35</v>
      </c>
      <c r="D32" s="110">
        <f t="shared" si="2"/>
        <v>35.031999999999996</v>
      </c>
      <c r="E32" s="110">
        <f t="shared" si="3"/>
        <v>35</v>
      </c>
      <c r="F32" s="134" t="str">
        <f>Calc2!$C32</f>
        <v>FC Aberdeen</v>
      </c>
      <c r="G32" s="1">
        <f>SUMIFS(Calc2!$H$4:$H$111,Calc2!$F$4:$F$111,$F32)+SUMIFS(Calc2!$I$4:$I$111,Calc2!$G$4:$G$111,$F32)</f>
        <v>3</v>
      </c>
      <c r="H32" s="1">
        <f>SUMIFS(Calc2!$I$4:$I$111,Calc2!$F$4:$F$111,$F32)+SUMIFS(Calc2!$H$4:$H$111,Calc2!$G$4:$G$111,$F32)</f>
        <v>14</v>
      </c>
      <c r="I32" s="110">
        <f t="shared" si="7"/>
        <v>-11</v>
      </c>
      <c r="J32" s="12">
        <f t="shared" si="4"/>
        <v>2</v>
      </c>
      <c r="K32" s="1">
        <f>SUMPRODUCT((Calc2!$F$4:$F$111=F32)*(Calc2!$H$4:$H$111&lt;&gt;""))+SUMPRODUCT((Calc2!$G$4:$G$111=F32)*(Calc2!$I$4:$I$111&lt;&gt;""))</f>
        <v>6</v>
      </c>
      <c r="L32" s="1">
        <f>SUMPRODUCT((Calc2!$F$4:$F$111=F32)*(Calc2!$H$4:$H$111&gt;Calc2!$I$4:$I$111))+SUMPRODUCT((Calc2!$G$4:$G$111=F32)*(Calc2!$H$4:$H$111&lt;Calc2!$I$4:$I$111))</f>
        <v>0</v>
      </c>
      <c r="M32" s="1">
        <f>SUMPRODUCT((Calc2!$F$4:$G$111=F32)*(Calc2!$H$4:$H$111=Calc2!$I$4:$I$111)*(Calc2!$H$4:$H$111&lt;&gt;"")*(Calc2!$I$4:$I$111&lt;&gt;""))</f>
        <v>2</v>
      </c>
      <c r="N32" s="1">
        <f>SUMPRODUCT((Calc2!$F$4:$F$111=F32)*(Calc2!$H$4:$H$111&lt;Calc2!$I$4:$I$111))+SUMPRODUCT((Calc2!$G$4:$G$111=F32)*(Calc2!$H$4:$H$111&gt;Calc2!$I$4:$I$111))</f>
        <v>4</v>
      </c>
      <c r="O32" s="1">
        <f>SUMIFS(Calc2!$I$4:$I$111,Calc2!$G$4:$G$111,$F32)</f>
        <v>0</v>
      </c>
      <c r="P32" s="1">
        <f>SUMPRODUCT((Calc2!$G$4:$G$111=F32)*(Calc2!$H$4:$H$111&lt;Calc2!$I$4:$I$111))</f>
        <v>0</v>
      </c>
      <c r="Q32" s="108">
        <f>SUMPRODUCT((F32=Calc2!$F$4:$F$111)*Calc2!$M$4:$M$111)+SUMPRODUCT((F32=Calc2!$G$4:$G$111)*Calc2!$N$4:$N$111)</f>
        <v>0</v>
      </c>
      <c r="S32" s="2" t="str">
        <f>Calc2!$C32</f>
        <v>FC Aberdeen</v>
      </c>
      <c r="T32" s="298">
        <f>J32*Factors!$B$4+(I32+Factors!$D$5)*Factors!$B$5+G32*Factors!$B$6+O32*Factors!$B$7+L32*Factors!$B$8+P32*Factors!$B$9</f>
        <v>2489030</v>
      </c>
      <c r="U32" s="110">
        <f>Tie_Break!$D34</f>
        <v>0</v>
      </c>
      <c r="V32" s="9">
        <f t="shared" si="5"/>
        <v>35.000900000000001</v>
      </c>
      <c r="X32" s="110"/>
    </row>
    <row r="33" spans="2:25" s="2" customFormat="1" x14ac:dyDescent="0.2">
      <c r="B33" s="1">
        <v>30</v>
      </c>
      <c r="C33" s="9">
        <f t="shared" si="1"/>
        <v>6</v>
      </c>
      <c r="D33" s="110">
        <f t="shared" si="2"/>
        <v>6.0330000000000004</v>
      </c>
      <c r="E33" s="110">
        <f t="shared" si="3"/>
        <v>6</v>
      </c>
      <c r="F33" s="134" t="str">
        <f>Calc2!$C33</f>
        <v>Schachtar Donezk</v>
      </c>
      <c r="G33" s="1">
        <f>SUMIFS(Calc2!$H$4:$H$111,Calc2!$F$4:$F$111,$F33)+SUMIFS(Calc2!$I$4:$I$111,Calc2!$G$4:$G$111,$F33)</f>
        <v>10</v>
      </c>
      <c r="H33" s="1">
        <f>SUMIFS(Calc2!$I$4:$I$111,Calc2!$F$4:$F$111,$F33)+SUMIFS(Calc2!$H$4:$H$111,Calc2!$G$4:$G$111,$F33)</f>
        <v>5</v>
      </c>
      <c r="I33" s="110">
        <f t="shared" si="7"/>
        <v>5</v>
      </c>
      <c r="J33" s="12">
        <f t="shared" si="4"/>
        <v>13</v>
      </c>
      <c r="K33" s="1">
        <f>SUMPRODUCT((Calc2!$F$4:$F$111=F33)*(Calc2!$H$4:$H$111&lt;&gt;""))+SUMPRODUCT((Calc2!$G$4:$G$111=F33)*(Calc2!$I$4:$I$111&lt;&gt;""))</f>
        <v>6</v>
      </c>
      <c r="L33" s="1">
        <f>SUMPRODUCT((Calc2!$F$4:$F$111=F33)*(Calc2!$H$4:$H$111&gt;Calc2!$I$4:$I$111))+SUMPRODUCT((Calc2!$G$4:$G$111=F33)*(Calc2!$H$4:$H$111&lt;Calc2!$I$4:$I$111))</f>
        <v>4</v>
      </c>
      <c r="M33" s="1">
        <f>SUMPRODUCT((Calc2!$F$4:$G$111=F33)*(Calc2!$H$4:$H$111=Calc2!$I$4:$I$111)*(Calc2!$H$4:$H$111&lt;&gt;"")*(Calc2!$I$4:$I$111&lt;&gt;""))</f>
        <v>1</v>
      </c>
      <c r="N33" s="1">
        <f>SUMPRODUCT((Calc2!$F$4:$F$111=F33)*(Calc2!$H$4:$H$111&lt;Calc2!$I$4:$I$111))+SUMPRODUCT((Calc2!$G$4:$G$111=F33)*(Calc2!$H$4:$H$111&gt;Calc2!$I$4:$I$111))</f>
        <v>1</v>
      </c>
      <c r="O33" s="1">
        <f>SUMIFS(Calc2!$I$4:$I$111,Calc2!$G$4:$G$111,$F33)</f>
        <v>7</v>
      </c>
      <c r="P33" s="1">
        <f>SUMPRODUCT((Calc2!$G$4:$G$111=F33)*(Calc2!$H$4:$H$111&lt;Calc2!$I$4:$I$111))</f>
        <v>3</v>
      </c>
      <c r="Q33" s="108">
        <f>SUMPRODUCT((F33=Calc2!$F$4:$F$111)*Calc2!$M$4:$M$111)+SUMPRODUCT((F33=Calc2!$G$4:$G$111)*Calc2!$N$4:$N$111)</f>
        <v>0</v>
      </c>
      <c r="S33" s="2" t="str">
        <f>Calc2!$C33</f>
        <v>Schachtar Donezk</v>
      </c>
      <c r="T33" s="298">
        <f>J33*Factors!$B$4+(I33+Factors!$D$5)*Factors!$B$5+G33*Factors!$B$6+O33*Factors!$B$7+L33*Factors!$B$8+P33*Factors!$B$9</f>
        <v>13505100.742999999</v>
      </c>
      <c r="U33" s="110">
        <f>Tie_Break!$D35</f>
        <v>0</v>
      </c>
      <c r="V33" s="9">
        <f t="shared" si="5"/>
        <v>6.0008999999999997</v>
      </c>
      <c r="X33" s="110"/>
    </row>
    <row r="34" spans="2:25" s="2" customFormat="1" x14ac:dyDescent="0.2">
      <c r="B34" s="1">
        <v>31</v>
      </c>
      <c r="C34" s="9">
        <f t="shared" si="1"/>
        <v>2</v>
      </c>
      <c r="D34" s="110">
        <f t="shared" si="2"/>
        <v>2.0339999999999998</v>
      </c>
      <c r="E34" s="110">
        <f t="shared" si="3"/>
        <v>2</v>
      </c>
      <c r="F34" s="134" t="str">
        <f>Calc2!$C34</f>
        <v>Rakow Tschenstochau</v>
      </c>
      <c r="G34" s="1">
        <f>SUMIFS(Calc2!$H$4:$H$111,Calc2!$F$4:$F$111,$F34)+SUMIFS(Calc2!$I$4:$I$111,Calc2!$G$4:$G$111,$F34)</f>
        <v>9</v>
      </c>
      <c r="H34" s="1">
        <f>SUMIFS(Calc2!$I$4:$I$111,Calc2!$F$4:$F$111,$F34)+SUMIFS(Calc2!$H$4:$H$111,Calc2!$G$4:$G$111,$F34)</f>
        <v>2</v>
      </c>
      <c r="I34" s="110">
        <f t="shared" si="7"/>
        <v>7</v>
      </c>
      <c r="J34" s="12">
        <f t="shared" si="4"/>
        <v>14</v>
      </c>
      <c r="K34" s="1">
        <f>SUMPRODUCT((Calc2!$F$4:$F$111=F34)*(Calc2!$H$4:$H$111&lt;&gt;""))+SUMPRODUCT((Calc2!$G$4:$G$111=F34)*(Calc2!$I$4:$I$111&lt;&gt;""))</f>
        <v>6</v>
      </c>
      <c r="L34" s="1">
        <f>SUMPRODUCT((Calc2!$F$4:$F$111=F34)*(Calc2!$H$4:$H$111&gt;Calc2!$I$4:$I$111))+SUMPRODUCT((Calc2!$G$4:$G$111=F34)*(Calc2!$H$4:$H$111&lt;Calc2!$I$4:$I$111))</f>
        <v>4</v>
      </c>
      <c r="M34" s="1">
        <f>SUMPRODUCT((Calc2!$F$4:$G$111=F34)*(Calc2!$H$4:$H$111=Calc2!$I$4:$I$111)*(Calc2!$H$4:$H$111&lt;&gt;"")*(Calc2!$I$4:$I$111&lt;&gt;""))</f>
        <v>2</v>
      </c>
      <c r="N34" s="1">
        <f>SUMPRODUCT((Calc2!$F$4:$F$111=F34)*(Calc2!$H$4:$H$111&lt;Calc2!$I$4:$I$111))+SUMPRODUCT((Calc2!$G$4:$G$111=F34)*(Calc2!$H$4:$H$111&gt;Calc2!$I$4:$I$111))</f>
        <v>0</v>
      </c>
      <c r="O34" s="1">
        <f>SUMIFS(Calc2!$I$4:$I$111,Calc2!$G$4:$G$111,$F34)</f>
        <v>2</v>
      </c>
      <c r="P34" s="1">
        <f>SUMPRODUCT((Calc2!$G$4:$G$111=F34)*(Calc2!$H$4:$H$111&lt;Calc2!$I$4:$I$111))</f>
        <v>1</v>
      </c>
      <c r="Q34" s="108">
        <f>SUMPRODUCT((F34=Calc2!$F$4:$F$111)*Calc2!$M$4:$M$111)+SUMPRODUCT((F34=Calc2!$G$4:$G$111)*Calc2!$N$4:$N$111)</f>
        <v>0</v>
      </c>
      <c r="S34" s="2" t="str">
        <f>Calc2!$C34</f>
        <v>Rakow Tschenstochau</v>
      </c>
      <c r="T34" s="298">
        <f>J34*Factors!$B$4+(I34+Factors!$D$5)*Factors!$B$5+G34*Factors!$B$6+O34*Factors!$B$7+L34*Factors!$B$8+P34*Factors!$B$9</f>
        <v>14507090.240999999</v>
      </c>
      <c r="U34" s="110">
        <f>Tie_Break!$D36</f>
        <v>0</v>
      </c>
      <c r="V34" s="9">
        <f t="shared" si="5"/>
        <v>2.0009000000000001</v>
      </c>
      <c r="X34" s="110"/>
    </row>
    <row r="35" spans="2:25" s="2" customFormat="1" x14ac:dyDescent="0.2">
      <c r="B35" s="1">
        <v>32</v>
      </c>
      <c r="C35" s="9">
        <f t="shared" si="1"/>
        <v>25</v>
      </c>
      <c r="D35" s="110">
        <f t="shared" ref="D35:D39" si="8">E35+ROW()/1000</f>
        <v>25.035</v>
      </c>
      <c r="E35" s="110">
        <f t="shared" si="3"/>
        <v>25</v>
      </c>
      <c r="F35" s="134" t="str">
        <f>Calc2!$C35</f>
        <v>Universitatea Craiova</v>
      </c>
      <c r="G35" s="1">
        <f>SUMIFS(Calc2!$H$4:$H$111,Calc2!$F$4:$F$111,$F35)+SUMIFS(Calc2!$I$4:$I$111,Calc2!$G$4:$G$111,$F35)</f>
        <v>6</v>
      </c>
      <c r="H35" s="1">
        <f>SUMIFS(Calc2!$I$4:$I$111,Calc2!$F$4:$F$111,$F35)+SUMIFS(Calc2!$H$4:$H$111,Calc2!$G$4:$G$111,$F35)</f>
        <v>8</v>
      </c>
      <c r="I35" s="110">
        <f t="shared" ref="I35:I39" si="9">G35-H35</f>
        <v>-2</v>
      </c>
      <c r="J35" s="12">
        <f t="shared" si="4"/>
        <v>7</v>
      </c>
      <c r="K35" s="1">
        <f>SUMPRODUCT((Calc2!$F$4:$F$111=F35)*(Calc2!$H$4:$H$111&lt;&gt;""))+SUMPRODUCT((Calc2!$G$4:$G$111=F35)*(Calc2!$I$4:$I$111&lt;&gt;""))</f>
        <v>6</v>
      </c>
      <c r="L35" s="1">
        <f>SUMPRODUCT((Calc2!$F$4:$F$111=F35)*(Calc2!$H$4:$H$111&gt;Calc2!$I$4:$I$111))+SUMPRODUCT((Calc2!$G$4:$G$111=F35)*(Calc2!$H$4:$H$111&lt;Calc2!$I$4:$I$111))</f>
        <v>2</v>
      </c>
      <c r="M35" s="1">
        <f>SUMPRODUCT((Calc2!$F$4:$G$111=F35)*(Calc2!$H$4:$H$111=Calc2!$I$4:$I$111)*(Calc2!$H$4:$H$111&lt;&gt;"")*(Calc2!$I$4:$I$111&lt;&gt;""))</f>
        <v>1</v>
      </c>
      <c r="N35" s="1">
        <f>SUMPRODUCT((Calc2!$F$4:$F$111=F35)*(Calc2!$H$4:$H$111&lt;Calc2!$I$4:$I$111))+SUMPRODUCT((Calc2!$G$4:$G$111=F35)*(Calc2!$H$4:$H$111&gt;Calc2!$I$4:$I$111))</f>
        <v>3</v>
      </c>
      <c r="O35" s="1">
        <f>SUMIFS(Calc2!$I$4:$I$111,Calc2!$G$4:$G$111,$F35)</f>
        <v>3</v>
      </c>
      <c r="P35" s="1">
        <f>SUMPRODUCT((Calc2!$G$4:$G$111=F35)*(Calc2!$H$4:$H$111&lt;Calc2!$I$4:$I$111))</f>
        <v>1</v>
      </c>
      <c r="Q35" s="108">
        <f>SUMPRODUCT((F35=Calc2!$F$4:$F$111)*Calc2!$M$4:$M$111)+SUMPRODUCT((F35=Calc2!$G$4:$G$111)*Calc2!$N$4:$N$111)</f>
        <v>0</v>
      </c>
      <c r="S35" s="2" t="str">
        <f>Calc2!$C35</f>
        <v>Universitatea Craiova</v>
      </c>
      <c r="T35" s="298">
        <f>J35*Factors!$B$4+(I35+Factors!$D$5)*Factors!$B$5+G35*Factors!$B$6+O35*Factors!$B$7+L35*Factors!$B$8+P35*Factors!$B$9</f>
        <v>7498060.3209999995</v>
      </c>
      <c r="U35" s="366">
        <f>Tie_Break!$D37</f>
        <v>0</v>
      </c>
      <c r="V35" s="9">
        <f t="shared" si="5"/>
        <v>25.000900000000001</v>
      </c>
      <c r="X35" s="110"/>
    </row>
    <row r="36" spans="2:25" s="2" customFormat="1" x14ac:dyDescent="0.2">
      <c r="B36" s="1">
        <v>33</v>
      </c>
      <c r="C36" s="9">
        <f t="shared" si="1"/>
        <v>8</v>
      </c>
      <c r="D36" s="110">
        <f t="shared" si="8"/>
        <v>8.0359999999999996</v>
      </c>
      <c r="E36" s="110">
        <f t="shared" si="3"/>
        <v>8</v>
      </c>
      <c r="F36" s="134" t="str">
        <f>Calc2!$C36</f>
        <v>AEK Larnaka</v>
      </c>
      <c r="G36" s="1">
        <f>SUMIFS(Calc2!$H$4:$H$111,Calc2!$F$4:$F$111,$F36)+SUMIFS(Calc2!$I$4:$I$111,Calc2!$G$4:$G$111,$F36)</f>
        <v>7</v>
      </c>
      <c r="H36" s="1">
        <f>SUMIFS(Calc2!$I$4:$I$111,Calc2!$F$4:$F$111,$F36)+SUMIFS(Calc2!$H$4:$H$111,Calc2!$G$4:$G$111,$F36)</f>
        <v>1</v>
      </c>
      <c r="I36" s="110">
        <f t="shared" si="9"/>
        <v>6</v>
      </c>
      <c r="J36" s="12">
        <f t="shared" si="4"/>
        <v>12</v>
      </c>
      <c r="K36" s="1">
        <f>SUMPRODUCT((Calc2!$F$4:$F$111=F36)*(Calc2!$H$4:$H$111&lt;&gt;""))+SUMPRODUCT((Calc2!$G$4:$G$111=F36)*(Calc2!$I$4:$I$111&lt;&gt;""))</f>
        <v>6</v>
      </c>
      <c r="L36" s="1">
        <f>SUMPRODUCT((Calc2!$F$4:$F$111=F36)*(Calc2!$H$4:$H$111&gt;Calc2!$I$4:$I$111))+SUMPRODUCT((Calc2!$G$4:$G$111=F36)*(Calc2!$H$4:$H$111&lt;Calc2!$I$4:$I$111))</f>
        <v>3</v>
      </c>
      <c r="M36" s="1">
        <f>SUMPRODUCT((Calc2!$F$4:$G$111=F36)*(Calc2!$H$4:$H$111=Calc2!$I$4:$I$111)*(Calc2!$H$4:$H$111&lt;&gt;"")*(Calc2!$I$4:$I$111&lt;&gt;""))</f>
        <v>3</v>
      </c>
      <c r="N36" s="1">
        <f>SUMPRODUCT((Calc2!$F$4:$F$111=F36)*(Calc2!$H$4:$H$111&lt;Calc2!$I$4:$I$111))+SUMPRODUCT((Calc2!$G$4:$G$111=F36)*(Calc2!$H$4:$H$111&gt;Calc2!$I$4:$I$111))</f>
        <v>0</v>
      </c>
      <c r="O36" s="1">
        <f>SUMIFS(Calc2!$I$4:$I$111,Calc2!$G$4:$G$111,$F36)</f>
        <v>2</v>
      </c>
      <c r="P36" s="1">
        <f>SUMPRODUCT((Calc2!$G$4:$G$111=F36)*(Calc2!$H$4:$H$111&lt;Calc2!$I$4:$I$111))</f>
        <v>1</v>
      </c>
      <c r="Q36" s="108">
        <f>SUMPRODUCT((F36=Calc2!$F$4:$F$111)*Calc2!$M$4:$M$111)+SUMPRODUCT((F36=Calc2!$G$4:$G$111)*Calc2!$N$4:$N$111)</f>
        <v>0</v>
      </c>
      <c r="S36" s="2" t="str">
        <f>Calc2!$C36</f>
        <v>AEK Larnaka</v>
      </c>
      <c r="T36" s="298">
        <f>J36*Factors!$B$4+(I36+Factors!$D$5)*Factors!$B$5+G36*Factors!$B$6+O36*Factors!$B$7+L36*Factors!$B$8+P36*Factors!$B$9</f>
        <v>12506070.230999999</v>
      </c>
      <c r="U36" s="366">
        <f>Tie_Break!$D38</f>
        <v>0</v>
      </c>
      <c r="V36" s="9">
        <f t="shared" si="5"/>
        <v>8.0008999999999997</v>
      </c>
      <c r="X36" s="110"/>
    </row>
    <row r="37" spans="2:25" s="2" customFormat="1" x14ac:dyDescent="0.2">
      <c r="B37" s="1">
        <v>34</v>
      </c>
      <c r="C37" s="9">
        <f t="shared" si="1"/>
        <v>13</v>
      </c>
      <c r="D37" s="110">
        <f t="shared" si="8"/>
        <v>13.037000000000001</v>
      </c>
      <c r="E37" s="110">
        <f t="shared" si="3"/>
        <v>13</v>
      </c>
      <c r="F37" s="134" t="str">
        <f>Calc2!$C37</f>
        <v>AZ Alkmaar</v>
      </c>
      <c r="G37" s="1">
        <f>SUMIFS(Calc2!$H$4:$H$111,Calc2!$F$4:$F$111,$F37)+SUMIFS(Calc2!$I$4:$I$111,Calc2!$G$4:$G$111,$F37)</f>
        <v>7</v>
      </c>
      <c r="H37" s="1">
        <f>SUMIFS(Calc2!$I$4:$I$111,Calc2!$F$4:$F$111,$F37)+SUMIFS(Calc2!$H$4:$H$111,Calc2!$G$4:$G$111,$F37)</f>
        <v>7</v>
      </c>
      <c r="I37" s="110">
        <f t="shared" si="9"/>
        <v>0</v>
      </c>
      <c r="J37" s="12">
        <f t="shared" si="4"/>
        <v>10</v>
      </c>
      <c r="K37" s="1">
        <f>SUMPRODUCT((Calc2!$F$4:$F$111=F37)*(Calc2!$H$4:$H$111&lt;&gt;""))+SUMPRODUCT((Calc2!$G$4:$G$111=F37)*(Calc2!$I$4:$I$111&lt;&gt;""))</f>
        <v>6</v>
      </c>
      <c r="L37" s="1">
        <f>SUMPRODUCT((Calc2!$F$4:$F$111=F37)*(Calc2!$H$4:$H$111&gt;Calc2!$I$4:$I$111))+SUMPRODUCT((Calc2!$G$4:$G$111=F37)*(Calc2!$H$4:$H$111&lt;Calc2!$I$4:$I$111))</f>
        <v>3</v>
      </c>
      <c r="M37" s="1">
        <f>SUMPRODUCT((Calc2!$F$4:$G$111=F37)*(Calc2!$H$4:$H$111=Calc2!$I$4:$I$111)*(Calc2!$H$4:$H$111&lt;&gt;"")*(Calc2!$I$4:$I$111&lt;&gt;""))</f>
        <v>1</v>
      </c>
      <c r="N37" s="1">
        <f>SUMPRODUCT((Calc2!$F$4:$F$111=F37)*(Calc2!$H$4:$H$111&lt;Calc2!$I$4:$I$111))+SUMPRODUCT((Calc2!$G$4:$G$111=F37)*(Calc2!$H$4:$H$111&gt;Calc2!$I$4:$I$111))</f>
        <v>2</v>
      </c>
      <c r="O37" s="1">
        <f>SUMIFS(Calc2!$I$4:$I$111,Calc2!$G$4:$G$111,$F37)</f>
        <v>4</v>
      </c>
      <c r="P37" s="1">
        <f>SUMPRODUCT((Calc2!$G$4:$G$111=F37)*(Calc2!$H$4:$H$111&lt;Calc2!$I$4:$I$111))</f>
        <v>1</v>
      </c>
      <c r="Q37" s="108">
        <f>SUMPRODUCT((F37=Calc2!$F$4:$F$111)*Calc2!$M$4:$M$111)+SUMPRODUCT((F37=Calc2!$G$4:$G$111)*Calc2!$N$4:$N$111)</f>
        <v>0</v>
      </c>
      <c r="S37" s="2" t="str">
        <f>Calc2!$C37</f>
        <v>AZ Alkmaar</v>
      </c>
      <c r="T37" s="298">
        <f>J37*Factors!$B$4+(I37+Factors!$D$5)*Factors!$B$5+G37*Factors!$B$6+O37*Factors!$B$7+L37*Factors!$B$8+P37*Factors!$B$9</f>
        <v>10500070.431</v>
      </c>
      <c r="U37" s="366">
        <f>Tie_Break!$D39</f>
        <v>0</v>
      </c>
      <c r="V37" s="9">
        <f t="shared" si="5"/>
        <v>13.0009</v>
      </c>
      <c r="X37" s="110"/>
    </row>
    <row r="38" spans="2:25" s="2" customFormat="1" x14ac:dyDescent="0.2">
      <c r="B38" s="1">
        <v>35</v>
      </c>
      <c r="C38" s="9">
        <f t="shared" si="1"/>
        <v>34</v>
      </c>
      <c r="D38" s="110">
        <f t="shared" si="8"/>
        <v>34.037999999999997</v>
      </c>
      <c r="E38" s="110">
        <f t="shared" si="3"/>
        <v>34</v>
      </c>
      <c r="F38" s="134" t="str">
        <f>Calc2!$C38</f>
        <v>FC Shelbourne</v>
      </c>
      <c r="G38" s="1">
        <f>SUMIFS(Calc2!$H$4:$H$111,Calc2!$F$4:$F$111,$F38)+SUMIFS(Calc2!$I$4:$I$111,Calc2!$G$4:$G$111,$F38)</f>
        <v>0</v>
      </c>
      <c r="H38" s="1">
        <f>SUMIFS(Calc2!$I$4:$I$111,Calc2!$F$4:$F$111,$F38)+SUMIFS(Calc2!$H$4:$H$111,Calc2!$G$4:$G$111,$F38)</f>
        <v>7</v>
      </c>
      <c r="I38" s="110">
        <f t="shared" si="9"/>
        <v>-7</v>
      </c>
      <c r="J38" s="12">
        <f t="shared" si="4"/>
        <v>2</v>
      </c>
      <c r="K38" s="1">
        <f>SUMPRODUCT((Calc2!$F$4:$F$111=F38)*(Calc2!$H$4:$H$111&lt;&gt;""))+SUMPRODUCT((Calc2!$G$4:$G$111=F38)*(Calc2!$I$4:$I$111&lt;&gt;""))</f>
        <v>6</v>
      </c>
      <c r="L38" s="1">
        <f>SUMPRODUCT((Calc2!$F$4:$F$111=F38)*(Calc2!$H$4:$H$111&gt;Calc2!$I$4:$I$111))+SUMPRODUCT((Calc2!$G$4:$G$111=F38)*(Calc2!$H$4:$H$111&lt;Calc2!$I$4:$I$111))</f>
        <v>0</v>
      </c>
      <c r="M38" s="1">
        <f>SUMPRODUCT((Calc2!$F$4:$G$111=F38)*(Calc2!$H$4:$H$111=Calc2!$I$4:$I$111)*(Calc2!$H$4:$H$111&lt;&gt;"")*(Calc2!$I$4:$I$111&lt;&gt;""))</f>
        <v>2</v>
      </c>
      <c r="N38" s="1">
        <f>SUMPRODUCT((Calc2!$F$4:$F$111=F38)*(Calc2!$H$4:$H$111&lt;Calc2!$I$4:$I$111))+SUMPRODUCT((Calc2!$G$4:$G$111=F38)*(Calc2!$H$4:$H$111&gt;Calc2!$I$4:$I$111))</f>
        <v>4</v>
      </c>
      <c r="O38" s="1">
        <f>SUMIFS(Calc2!$I$4:$I$111,Calc2!$G$4:$G$111,$F38)</f>
        <v>0</v>
      </c>
      <c r="P38" s="1">
        <f>SUMPRODUCT((Calc2!$G$4:$G$111=F38)*(Calc2!$H$4:$H$111&lt;Calc2!$I$4:$I$111))</f>
        <v>0</v>
      </c>
      <c r="Q38" s="108">
        <f>SUMPRODUCT((F38=Calc2!$F$4:$F$111)*Calc2!$M$4:$M$111)+SUMPRODUCT((F38=Calc2!$G$4:$G$111)*Calc2!$N$4:$N$111)</f>
        <v>0</v>
      </c>
      <c r="S38" s="2" t="str">
        <f>Calc2!$C38</f>
        <v>FC Shelbourne</v>
      </c>
      <c r="T38" s="298">
        <f>J38*Factors!$B$4+(I38+Factors!$D$5)*Factors!$B$5+G38*Factors!$B$6+O38*Factors!$B$7+L38*Factors!$B$8+P38*Factors!$B$9</f>
        <v>2493000</v>
      </c>
      <c r="U38" s="366">
        <f>Tie_Break!$D40</f>
        <v>0</v>
      </c>
      <c r="V38" s="9">
        <f t="shared" si="5"/>
        <v>34.000900000000001</v>
      </c>
      <c r="X38" s="110"/>
    </row>
    <row r="39" spans="2:25" s="2" customFormat="1" ht="12.75" thickBot="1" x14ac:dyDescent="0.25">
      <c r="B39" s="1">
        <v>36</v>
      </c>
      <c r="C39" s="10">
        <f t="shared" si="1"/>
        <v>33</v>
      </c>
      <c r="D39" s="110">
        <f t="shared" si="8"/>
        <v>33.039000000000001</v>
      </c>
      <c r="E39" s="110">
        <f t="shared" si="3"/>
        <v>33</v>
      </c>
      <c r="F39" s="134" t="str">
        <f>Calc2!$C39</f>
        <v>BK Häcken</v>
      </c>
      <c r="G39" s="1">
        <f>SUMIFS(Calc2!$H$4:$H$111,Calc2!$F$4:$F$111,$F39)+SUMIFS(Calc2!$I$4:$I$111,Calc2!$G$4:$G$111,$F39)</f>
        <v>5</v>
      </c>
      <c r="H39" s="1">
        <f>SUMIFS(Calc2!$I$4:$I$111,Calc2!$F$4:$F$111,$F39)+SUMIFS(Calc2!$H$4:$H$111,Calc2!$G$4:$G$111,$F39)</f>
        <v>8</v>
      </c>
      <c r="I39" s="110">
        <f t="shared" si="9"/>
        <v>-3</v>
      </c>
      <c r="J39" s="12">
        <f t="shared" si="4"/>
        <v>3</v>
      </c>
      <c r="K39" s="1">
        <f>SUMPRODUCT((Calc2!$F$4:$F$111=F39)*(Calc2!$H$4:$H$111&lt;&gt;""))+SUMPRODUCT((Calc2!$G$4:$G$111=F39)*(Calc2!$I$4:$I$111&lt;&gt;""))</f>
        <v>6</v>
      </c>
      <c r="L39" s="1">
        <f>SUMPRODUCT((Calc2!$F$4:$F$111=F39)*(Calc2!$H$4:$H$111&gt;Calc2!$I$4:$I$111))+SUMPRODUCT((Calc2!$G$4:$G$111=F39)*(Calc2!$H$4:$H$111&lt;Calc2!$I$4:$I$111))</f>
        <v>0</v>
      </c>
      <c r="M39" s="1">
        <f>SUMPRODUCT((Calc2!$F$4:$G$111=F39)*(Calc2!$H$4:$H$111=Calc2!$I$4:$I$111)*(Calc2!$H$4:$H$111&lt;&gt;"")*(Calc2!$I$4:$I$111&lt;&gt;""))</f>
        <v>3</v>
      </c>
      <c r="N39" s="1">
        <f>SUMPRODUCT((Calc2!$F$4:$F$111=F39)*(Calc2!$H$4:$H$111&lt;Calc2!$I$4:$I$111))+SUMPRODUCT((Calc2!$G$4:$G$111=F39)*(Calc2!$H$4:$H$111&gt;Calc2!$I$4:$I$111))</f>
        <v>3</v>
      </c>
      <c r="O39" s="1">
        <f>SUMIFS(Calc2!$I$4:$I$111,Calc2!$G$4:$G$111,$F39)</f>
        <v>1</v>
      </c>
      <c r="P39" s="1">
        <f>SUMPRODUCT((Calc2!$G$4:$G$111=F39)*(Calc2!$H$4:$H$111&lt;Calc2!$I$4:$I$111))</f>
        <v>0</v>
      </c>
      <c r="Q39" s="108">
        <f>SUMPRODUCT((F39=Calc2!$F$4:$F$111)*Calc2!$M$4:$M$111)+SUMPRODUCT((F39=Calc2!$G$4:$G$111)*Calc2!$N$4:$N$111)</f>
        <v>0</v>
      </c>
      <c r="S39" s="2" t="str">
        <f>Calc2!$C39</f>
        <v>BK Häcken</v>
      </c>
      <c r="T39" s="298">
        <f>J39*Factors!$B$4+(I39+Factors!$D$5)*Factors!$B$5+G39*Factors!$B$6+O39*Factors!$B$7+L39*Factors!$B$8+P39*Factors!$B$9</f>
        <v>3497050.1</v>
      </c>
      <c r="U39" s="366">
        <f>Tie_Break!$D41</f>
        <v>0</v>
      </c>
      <c r="V39" s="10">
        <f t="shared" si="5"/>
        <v>33.000900000000001</v>
      </c>
      <c r="X39" s="110"/>
    </row>
    <row r="40" spans="2:25" s="2" customFormat="1" ht="21.75" customHeight="1" thickTop="1" x14ac:dyDescent="0.2">
      <c r="B40" s="12"/>
      <c r="F40" s="153">
        <f>36-COUNTBLANK($F$4:$F$39)</f>
        <v>36</v>
      </c>
      <c r="K40" s="12">
        <f>QUOTIENT(SUM(K4:K39),2)</f>
        <v>108</v>
      </c>
      <c r="S40" s="4"/>
      <c r="T40" s="1"/>
      <c r="U40" s="1"/>
    </row>
    <row r="41" spans="2:25" s="2" customFormat="1" ht="51" customHeight="1" x14ac:dyDescent="0.2">
      <c r="B41" s="565"/>
      <c r="C41" s="565"/>
      <c r="F41" s="154" t="s">
        <v>108</v>
      </c>
      <c r="K41" s="154" t="s">
        <v>109</v>
      </c>
      <c r="S41" s="4"/>
      <c r="T41" s="1"/>
      <c r="U41" s="1"/>
    </row>
    <row r="42" spans="2:25" s="2" customFormat="1" x14ac:dyDescent="0.2">
      <c r="F42" s="153">
        <f>QUOTIENT($F$40,2)</f>
        <v>18</v>
      </c>
      <c r="Q42" s="1"/>
      <c r="R42" s="1"/>
      <c r="S42" s="1"/>
    </row>
    <row r="43" spans="2:25" s="2" customFormat="1" ht="22.5" x14ac:dyDescent="0.2">
      <c r="F43" s="154" t="s">
        <v>120</v>
      </c>
      <c r="Q43" s="1"/>
      <c r="R43" s="1"/>
      <c r="S43" s="1"/>
    </row>
    <row r="44" spans="2:25" s="2" customFormat="1" x14ac:dyDescent="0.2">
      <c r="F44" s="134"/>
      <c r="Y44" s="4"/>
    </row>
    <row r="45" spans="2:25" s="2" customFormat="1" hidden="1" x14ac:dyDescent="0.2">
      <c r="F45" s="134"/>
      <c r="Y45" s="4"/>
    </row>
    <row r="46" spans="2:25" s="2" customFormat="1" hidden="1" x14ac:dyDescent="0.2">
      <c r="F46" s="134"/>
    </row>
    <row r="47" spans="2:25" s="2" customFormat="1" hidden="1" x14ac:dyDescent="0.2">
      <c r="F47" s="134"/>
    </row>
    <row r="48" spans="2:25" s="2" customFormat="1" hidden="1" x14ac:dyDescent="0.2">
      <c r="F48" s="134"/>
    </row>
    <row r="49" spans="2:13" s="2" customFormat="1" hidden="1" x14ac:dyDescent="0.2">
      <c r="F49" s="134"/>
    </row>
    <row r="50" spans="2:13" s="2" customFormat="1" hidden="1" x14ac:dyDescent="0.2">
      <c r="F50" s="134"/>
    </row>
    <row r="51" spans="2:13" s="2" customFormat="1" hidden="1" x14ac:dyDescent="0.2">
      <c r="F51" s="134"/>
    </row>
    <row r="52" spans="2:13" s="2" customFormat="1" hidden="1" x14ac:dyDescent="0.2">
      <c r="B52" s="4"/>
      <c r="C52" s="4"/>
      <c r="D52" s="4"/>
      <c r="E52" s="4"/>
      <c r="F52" s="138"/>
      <c r="G52" s="4"/>
      <c r="H52" s="4"/>
      <c r="I52" s="4"/>
      <c r="J52" s="4"/>
      <c r="K52" s="4"/>
      <c r="L52" s="4"/>
      <c r="M52" s="4"/>
    </row>
    <row r="53" spans="2:13" s="2" customFormat="1" hidden="1" x14ac:dyDescent="0.2">
      <c r="B53" s="4"/>
      <c r="C53" s="4"/>
      <c r="D53" s="4"/>
      <c r="E53" s="4"/>
      <c r="F53" s="138"/>
      <c r="G53" s="7"/>
      <c r="H53" s="7"/>
      <c r="I53" s="7"/>
      <c r="J53" s="7"/>
      <c r="K53" s="7"/>
      <c r="L53" s="7"/>
      <c r="M53" s="7"/>
    </row>
    <row r="54" spans="2:13" s="2" customFormat="1" hidden="1" x14ac:dyDescent="0.2">
      <c r="B54" s="4"/>
      <c r="C54" s="4"/>
      <c r="D54" s="4"/>
      <c r="E54" s="4"/>
      <c r="F54" s="138"/>
      <c r="G54" s="7"/>
      <c r="H54" s="7"/>
      <c r="I54" s="7"/>
      <c r="J54" s="7"/>
      <c r="K54" s="7"/>
      <c r="L54" s="7"/>
      <c r="M54" s="7"/>
    </row>
    <row r="55" spans="2:13" s="2" customFormat="1" hidden="1" x14ac:dyDescent="0.2">
      <c r="B55" s="4"/>
      <c r="C55" s="4"/>
      <c r="D55" s="4"/>
      <c r="E55" s="4"/>
      <c r="F55" s="138"/>
      <c r="G55" s="7"/>
      <c r="H55" s="7"/>
      <c r="I55" s="7"/>
      <c r="J55" s="7"/>
      <c r="K55" s="7"/>
      <c r="L55" s="7"/>
      <c r="M55" s="7"/>
    </row>
    <row r="56" spans="2:13" s="2" customFormat="1" hidden="1" x14ac:dyDescent="0.2">
      <c r="B56" s="4"/>
      <c r="C56" s="4"/>
      <c r="D56" s="4"/>
      <c r="E56" s="4"/>
      <c r="F56" s="138"/>
      <c r="G56" s="7"/>
      <c r="H56" s="7"/>
      <c r="I56" s="7"/>
      <c r="J56" s="7"/>
      <c r="K56" s="7"/>
      <c r="L56" s="7"/>
      <c r="M56" s="7"/>
    </row>
    <row r="57" spans="2:13" s="2" customFormat="1" hidden="1" x14ac:dyDescent="0.2">
      <c r="B57" s="4"/>
      <c r="C57" s="4"/>
      <c r="D57" s="4"/>
      <c r="E57" s="4"/>
      <c r="F57" s="138"/>
      <c r="G57" s="7"/>
      <c r="H57" s="7"/>
      <c r="I57" s="7"/>
      <c r="J57" s="7"/>
      <c r="K57" s="7"/>
      <c r="L57" s="7"/>
      <c r="M57" s="7"/>
    </row>
    <row r="58" spans="2:13" s="2" customFormat="1" hidden="1" x14ac:dyDescent="0.2">
      <c r="B58" s="4"/>
      <c r="C58" s="4"/>
      <c r="D58" s="4"/>
      <c r="E58" s="4"/>
      <c r="F58" s="138"/>
      <c r="G58" s="7"/>
      <c r="H58" s="7"/>
      <c r="I58" s="7"/>
      <c r="J58" s="7"/>
      <c r="K58" s="7"/>
      <c r="L58" s="7"/>
      <c r="M58" s="7"/>
    </row>
    <row r="59" spans="2:13" s="2" customFormat="1" hidden="1" x14ac:dyDescent="0.2">
      <c r="B59" s="4"/>
      <c r="C59" s="4"/>
      <c r="D59" s="4"/>
      <c r="E59" s="4"/>
      <c r="F59" s="138"/>
      <c r="G59" s="7"/>
      <c r="H59" s="7"/>
      <c r="I59" s="7"/>
      <c r="J59" s="7"/>
      <c r="K59" s="7"/>
      <c r="L59" s="7"/>
      <c r="M59" s="7"/>
    </row>
    <row r="60" spans="2:13" s="2" customFormat="1" hidden="1" x14ac:dyDescent="0.2">
      <c r="B60" s="4"/>
      <c r="C60" s="4"/>
      <c r="D60" s="4"/>
      <c r="E60" s="4"/>
      <c r="F60" s="138"/>
      <c r="G60" s="7"/>
      <c r="H60" s="7"/>
      <c r="I60" s="7"/>
      <c r="J60" s="7"/>
      <c r="K60" s="7"/>
      <c r="L60" s="7"/>
      <c r="M60" s="7"/>
    </row>
    <row r="61" spans="2:13" s="2" customFormat="1" hidden="1" x14ac:dyDescent="0.2">
      <c r="B61" s="4"/>
      <c r="C61" s="4"/>
      <c r="D61" s="4"/>
      <c r="E61" s="4"/>
      <c r="F61" s="138"/>
      <c r="G61" s="7"/>
      <c r="H61" s="7"/>
      <c r="I61" s="7"/>
      <c r="J61" s="7"/>
      <c r="K61" s="7"/>
      <c r="L61" s="7"/>
      <c r="M61" s="7"/>
    </row>
    <row r="62" spans="2:13" s="2" customFormat="1" hidden="1" x14ac:dyDescent="0.2">
      <c r="B62" s="4"/>
      <c r="C62" s="4"/>
      <c r="D62" s="4"/>
      <c r="E62" s="4"/>
      <c r="F62" s="138"/>
      <c r="G62" s="7"/>
      <c r="H62" s="7"/>
      <c r="I62" s="7"/>
      <c r="J62" s="7"/>
      <c r="K62" s="7"/>
      <c r="L62" s="7"/>
      <c r="M62" s="7"/>
    </row>
    <row r="63" spans="2:13" s="2" customFormat="1" hidden="1" x14ac:dyDescent="0.2">
      <c r="B63" s="4"/>
      <c r="C63" s="4"/>
      <c r="D63" s="4"/>
      <c r="E63" s="4"/>
      <c r="F63" s="138"/>
      <c r="G63" s="7"/>
      <c r="H63" s="7"/>
      <c r="I63" s="7"/>
      <c r="J63" s="7"/>
      <c r="K63" s="7"/>
      <c r="L63" s="7"/>
      <c r="M63" s="7"/>
    </row>
    <row r="64" spans="2:13" s="2" customFormat="1" hidden="1" x14ac:dyDescent="0.2">
      <c r="B64" s="4"/>
      <c r="C64" s="4"/>
      <c r="D64" s="4"/>
      <c r="E64" s="4"/>
      <c r="F64" s="138"/>
      <c r="G64" s="7"/>
      <c r="H64" s="7"/>
      <c r="I64" s="7"/>
      <c r="J64" s="7"/>
      <c r="K64" s="7"/>
      <c r="L64" s="7"/>
      <c r="M64" s="7"/>
    </row>
    <row r="65" spans="2:13" s="2" customFormat="1" hidden="1" x14ac:dyDescent="0.2">
      <c r="B65" s="4"/>
      <c r="C65" s="4"/>
      <c r="D65" s="4"/>
      <c r="E65" s="4"/>
      <c r="F65" s="138"/>
      <c r="G65" s="7"/>
      <c r="H65" s="7"/>
      <c r="I65" s="7"/>
      <c r="J65" s="7"/>
      <c r="K65" s="7"/>
      <c r="L65" s="7"/>
      <c r="M65" s="7"/>
    </row>
    <row r="66" spans="2:13" s="2" customFormat="1" hidden="1" x14ac:dyDescent="0.2">
      <c r="B66" s="4"/>
      <c r="C66" s="4"/>
      <c r="D66" s="4"/>
      <c r="E66" s="4"/>
      <c r="F66" s="138"/>
      <c r="G66" s="7"/>
      <c r="H66" s="7"/>
      <c r="I66" s="7"/>
      <c r="J66" s="7"/>
      <c r="K66" s="7"/>
      <c r="L66" s="7"/>
      <c r="M66" s="7"/>
    </row>
    <row r="67" spans="2:13" s="2" customFormat="1" hidden="1" x14ac:dyDescent="0.2">
      <c r="B67" s="4"/>
      <c r="C67" s="4"/>
      <c r="D67" s="4"/>
      <c r="E67" s="4"/>
      <c r="F67" s="138"/>
      <c r="G67" s="7"/>
      <c r="H67" s="7"/>
      <c r="I67" s="7"/>
      <c r="J67" s="7"/>
      <c r="K67" s="7"/>
      <c r="L67" s="7"/>
      <c r="M67" s="7"/>
    </row>
    <row r="68" spans="2:13" s="2" customFormat="1" hidden="1" x14ac:dyDescent="0.2">
      <c r="B68" s="4"/>
      <c r="C68" s="4"/>
      <c r="D68" s="4"/>
      <c r="E68" s="4"/>
      <c r="F68" s="138"/>
      <c r="G68" s="7"/>
      <c r="H68" s="7"/>
      <c r="I68" s="7"/>
      <c r="J68" s="7"/>
      <c r="K68" s="7"/>
      <c r="L68" s="7"/>
      <c r="M68" s="7"/>
    </row>
    <row r="69" spans="2:13" s="2" customFormat="1" hidden="1" x14ac:dyDescent="0.2">
      <c r="B69" s="4"/>
      <c r="C69" s="4"/>
      <c r="D69" s="4"/>
      <c r="E69" s="4"/>
      <c r="F69" s="138"/>
      <c r="G69" s="7"/>
      <c r="H69" s="7"/>
      <c r="I69" s="7"/>
      <c r="J69" s="7"/>
      <c r="K69" s="7"/>
      <c r="L69" s="7"/>
      <c r="M69" s="7"/>
    </row>
    <row r="70" spans="2:13" s="2" customFormat="1" hidden="1" x14ac:dyDescent="0.2">
      <c r="B70" s="4"/>
      <c r="C70" s="4"/>
      <c r="D70" s="4"/>
      <c r="E70" s="4"/>
      <c r="F70" s="138"/>
      <c r="G70" s="7"/>
      <c r="H70" s="7"/>
      <c r="I70" s="7"/>
      <c r="J70" s="7"/>
      <c r="K70" s="7"/>
      <c r="L70" s="7"/>
      <c r="M70" s="7"/>
    </row>
    <row r="71" spans="2:13" s="2" customFormat="1" hidden="1" x14ac:dyDescent="0.2">
      <c r="B71" s="4"/>
      <c r="C71" s="4"/>
      <c r="D71" s="4"/>
      <c r="E71" s="4"/>
      <c r="F71" s="138"/>
      <c r="G71" s="7"/>
      <c r="H71" s="7"/>
      <c r="I71" s="7"/>
      <c r="J71" s="7"/>
      <c r="K71" s="7"/>
      <c r="L71" s="7"/>
      <c r="M71" s="7"/>
    </row>
    <row r="72" spans="2:13" s="2" customFormat="1" hidden="1" x14ac:dyDescent="0.2">
      <c r="B72" s="4"/>
      <c r="C72" s="4"/>
      <c r="D72" s="4"/>
      <c r="E72" s="4"/>
      <c r="F72" s="138"/>
      <c r="G72" s="7"/>
      <c r="H72" s="7"/>
      <c r="I72" s="7"/>
      <c r="J72" s="7"/>
      <c r="K72" s="7"/>
      <c r="L72" s="7"/>
      <c r="M72" s="7"/>
    </row>
    <row r="73" spans="2:13" s="2" customFormat="1" hidden="1" x14ac:dyDescent="0.2">
      <c r="B73" s="4"/>
      <c r="C73" s="4"/>
      <c r="D73" s="4"/>
      <c r="E73" s="4"/>
      <c r="F73" s="138"/>
      <c r="G73" s="7"/>
      <c r="H73" s="7"/>
      <c r="I73" s="7"/>
      <c r="J73" s="7"/>
      <c r="K73" s="7"/>
      <c r="L73" s="7"/>
      <c r="M73" s="7"/>
    </row>
    <row r="74" spans="2:13" s="2" customFormat="1" hidden="1" x14ac:dyDescent="0.2">
      <c r="B74" s="4"/>
      <c r="C74" s="4"/>
      <c r="D74" s="4"/>
      <c r="E74" s="4"/>
      <c r="F74" s="138"/>
      <c r="G74" s="7"/>
      <c r="H74" s="7"/>
      <c r="I74" s="7"/>
      <c r="J74" s="7"/>
      <c r="K74" s="7"/>
      <c r="L74" s="7"/>
      <c r="M74" s="7"/>
    </row>
    <row r="75" spans="2:13" s="2" customFormat="1" hidden="1" x14ac:dyDescent="0.2">
      <c r="B75" s="4"/>
      <c r="C75" s="4"/>
      <c r="D75" s="4"/>
      <c r="E75" s="4"/>
      <c r="F75" s="138"/>
      <c r="G75" s="7"/>
      <c r="H75" s="7"/>
      <c r="I75" s="7"/>
      <c r="J75" s="7"/>
      <c r="K75" s="7"/>
      <c r="L75" s="7"/>
      <c r="M75" s="7"/>
    </row>
    <row r="76" spans="2:13" s="2" customFormat="1" hidden="1" x14ac:dyDescent="0.2">
      <c r="B76" s="4"/>
      <c r="C76" s="4"/>
      <c r="D76" s="4"/>
      <c r="E76" s="4"/>
      <c r="F76" s="138"/>
      <c r="G76" s="7"/>
      <c r="H76" s="7"/>
      <c r="I76" s="7"/>
      <c r="J76" s="7"/>
      <c r="K76" s="7"/>
      <c r="L76" s="7"/>
      <c r="M76" s="7"/>
    </row>
    <row r="77" spans="2:13" s="2" customFormat="1" hidden="1" x14ac:dyDescent="0.2">
      <c r="B77" s="4"/>
      <c r="C77" s="4"/>
      <c r="D77" s="4"/>
      <c r="E77" s="4"/>
      <c r="F77" s="138"/>
      <c r="G77" s="7"/>
      <c r="H77" s="7"/>
      <c r="I77" s="7"/>
      <c r="J77" s="7"/>
      <c r="K77" s="7"/>
      <c r="L77" s="7"/>
      <c r="M77" s="7"/>
    </row>
    <row r="78" spans="2:13" s="2" customFormat="1" hidden="1" x14ac:dyDescent="0.2">
      <c r="B78" s="4"/>
      <c r="C78" s="4"/>
      <c r="D78" s="4"/>
      <c r="E78" s="4"/>
      <c r="F78" s="138"/>
      <c r="G78" s="7"/>
      <c r="H78" s="7"/>
      <c r="I78" s="7"/>
      <c r="J78" s="7"/>
      <c r="K78" s="7"/>
      <c r="L78" s="7"/>
      <c r="M78" s="7"/>
    </row>
    <row r="79" spans="2:13" s="2" customFormat="1" hidden="1" x14ac:dyDescent="0.2">
      <c r="B79" s="4"/>
      <c r="C79" s="4"/>
      <c r="D79" s="4"/>
      <c r="E79" s="4"/>
      <c r="F79" s="138"/>
      <c r="G79" s="7"/>
      <c r="H79" s="7"/>
      <c r="I79" s="7"/>
      <c r="J79" s="7"/>
      <c r="K79" s="7"/>
      <c r="L79" s="7"/>
      <c r="M79" s="7"/>
    </row>
    <row r="80" spans="2:13" s="2" customFormat="1" hidden="1" x14ac:dyDescent="0.2">
      <c r="B80" s="4"/>
      <c r="C80" s="4"/>
      <c r="D80" s="4"/>
      <c r="E80" s="4"/>
      <c r="F80" s="138"/>
      <c r="G80" s="7"/>
      <c r="H80" s="7"/>
      <c r="I80" s="7"/>
      <c r="J80" s="7"/>
      <c r="K80" s="7"/>
      <c r="L80" s="7"/>
      <c r="M80" s="7"/>
    </row>
    <row r="81" spans="2:13" s="2" customFormat="1" hidden="1" x14ac:dyDescent="0.2">
      <c r="B81" s="4"/>
      <c r="C81" s="4"/>
      <c r="D81" s="4"/>
      <c r="E81" s="4"/>
      <c r="F81" s="138"/>
      <c r="G81" s="7"/>
      <c r="H81" s="7"/>
      <c r="I81" s="7"/>
      <c r="J81" s="7"/>
      <c r="K81" s="7"/>
      <c r="L81" s="7"/>
      <c r="M81" s="7"/>
    </row>
    <row r="82" spans="2:13" s="2" customFormat="1" hidden="1" x14ac:dyDescent="0.2">
      <c r="B82" s="4"/>
      <c r="C82" s="4"/>
      <c r="D82" s="4"/>
      <c r="E82" s="4"/>
      <c r="F82" s="138"/>
      <c r="G82" s="7"/>
      <c r="H82" s="7"/>
      <c r="I82" s="7"/>
      <c r="J82" s="7"/>
      <c r="K82" s="7"/>
      <c r="L82" s="7"/>
      <c r="M82" s="7"/>
    </row>
    <row r="83" spans="2:13" s="2" customFormat="1" hidden="1" x14ac:dyDescent="0.2">
      <c r="B83" s="4"/>
      <c r="C83" s="4"/>
      <c r="D83" s="4"/>
      <c r="E83" s="4"/>
      <c r="F83" s="138"/>
      <c r="G83" s="7"/>
      <c r="H83" s="7"/>
      <c r="I83" s="7"/>
      <c r="J83" s="7"/>
      <c r="K83" s="7"/>
      <c r="L83" s="7"/>
      <c r="M83" s="7"/>
    </row>
    <row r="84" spans="2:13" s="2" customFormat="1" hidden="1" x14ac:dyDescent="0.2">
      <c r="B84" s="4"/>
      <c r="C84" s="4"/>
      <c r="D84" s="4"/>
      <c r="E84" s="4"/>
      <c r="F84" s="138"/>
      <c r="G84" s="7"/>
      <c r="H84" s="7"/>
      <c r="I84" s="7"/>
      <c r="J84" s="7"/>
      <c r="K84" s="7"/>
      <c r="L84" s="7"/>
      <c r="M84" s="7"/>
    </row>
    <row r="85" spans="2:13" s="2" customFormat="1" hidden="1" x14ac:dyDescent="0.2">
      <c r="B85" s="4"/>
      <c r="C85" s="4"/>
      <c r="D85" s="4"/>
      <c r="E85" s="4"/>
      <c r="F85" s="138"/>
      <c r="G85" s="7"/>
      <c r="H85" s="7"/>
      <c r="I85" s="7"/>
      <c r="J85" s="7"/>
      <c r="K85" s="7"/>
      <c r="L85" s="7"/>
      <c r="M85" s="7"/>
    </row>
    <row r="86" spans="2:13" s="2" customFormat="1" hidden="1" x14ac:dyDescent="0.2">
      <c r="B86" s="4"/>
      <c r="C86" s="4"/>
      <c r="D86" s="4"/>
      <c r="E86" s="4"/>
      <c r="F86" s="138"/>
      <c r="G86" s="7"/>
      <c r="H86" s="7"/>
      <c r="I86" s="7"/>
      <c r="J86" s="7"/>
      <c r="K86" s="7"/>
      <c r="L86" s="7"/>
      <c r="M86" s="7"/>
    </row>
    <row r="87" spans="2:13" s="2" customFormat="1" hidden="1" x14ac:dyDescent="0.2">
      <c r="B87" s="4"/>
      <c r="C87" s="4"/>
      <c r="D87" s="4"/>
      <c r="E87" s="4"/>
      <c r="F87" s="138"/>
      <c r="G87" s="7"/>
      <c r="H87" s="7"/>
      <c r="I87" s="7"/>
      <c r="J87" s="7"/>
      <c r="K87" s="7"/>
      <c r="L87" s="7"/>
      <c r="M87" s="7"/>
    </row>
    <row r="88" spans="2:13" s="2" customFormat="1" hidden="1" x14ac:dyDescent="0.2">
      <c r="B88" s="4"/>
      <c r="C88" s="4"/>
      <c r="D88" s="4"/>
      <c r="E88" s="4"/>
      <c r="F88" s="138"/>
      <c r="G88" s="7"/>
      <c r="H88" s="7"/>
      <c r="I88" s="7"/>
      <c r="J88" s="7"/>
      <c r="K88" s="7"/>
      <c r="L88" s="7"/>
      <c r="M88" s="7"/>
    </row>
    <row r="89" spans="2:13" s="2" customFormat="1" hidden="1" x14ac:dyDescent="0.2">
      <c r="B89" s="4"/>
      <c r="C89" s="4"/>
      <c r="D89" s="4"/>
      <c r="E89" s="4"/>
      <c r="F89" s="138"/>
      <c r="G89" s="7"/>
      <c r="H89" s="7"/>
      <c r="I89" s="7"/>
      <c r="J89" s="7"/>
      <c r="K89" s="7"/>
      <c r="L89" s="7"/>
      <c r="M89" s="7"/>
    </row>
    <row r="90" spans="2:13" s="2" customFormat="1" hidden="1" x14ac:dyDescent="0.2">
      <c r="B90" s="4"/>
      <c r="C90" s="4"/>
      <c r="D90" s="4"/>
      <c r="E90" s="4"/>
      <c r="F90" s="138"/>
      <c r="G90" s="7"/>
      <c r="H90" s="7"/>
      <c r="I90" s="7"/>
      <c r="J90" s="7"/>
      <c r="K90" s="7"/>
      <c r="L90" s="7"/>
      <c r="M90" s="7"/>
    </row>
    <row r="91" spans="2:13" s="2" customFormat="1" hidden="1" x14ac:dyDescent="0.2">
      <c r="B91" s="4"/>
      <c r="C91" s="4"/>
      <c r="D91" s="4"/>
      <c r="E91" s="4"/>
      <c r="F91" s="138"/>
      <c r="G91" s="7"/>
      <c r="H91" s="7"/>
      <c r="I91" s="7"/>
      <c r="J91" s="7"/>
      <c r="K91" s="7"/>
      <c r="L91" s="7"/>
      <c r="M91" s="7"/>
    </row>
    <row r="92" spans="2:13" s="2" customFormat="1" hidden="1" x14ac:dyDescent="0.2">
      <c r="B92" s="4"/>
      <c r="C92" s="4"/>
      <c r="D92" s="4"/>
      <c r="E92" s="4"/>
      <c r="F92" s="138"/>
      <c r="G92" s="7"/>
      <c r="H92" s="7"/>
      <c r="I92" s="7"/>
      <c r="J92" s="7"/>
      <c r="K92" s="7"/>
      <c r="L92" s="7"/>
      <c r="M92" s="7"/>
    </row>
    <row r="93" spans="2:13" s="2" customFormat="1" hidden="1" x14ac:dyDescent="0.2">
      <c r="B93" s="4"/>
      <c r="C93" s="4"/>
      <c r="D93" s="4"/>
      <c r="E93" s="4"/>
      <c r="F93" s="138"/>
      <c r="G93" s="7"/>
      <c r="H93" s="7"/>
      <c r="I93" s="7"/>
      <c r="J93" s="7"/>
      <c r="K93" s="7"/>
      <c r="L93" s="7"/>
      <c r="M93" s="7"/>
    </row>
    <row r="94" spans="2:13" s="2" customFormat="1" hidden="1" x14ac:dyDescent="0.2">
      <c r="B94" s="4"/>
      <c r="C94" s="4"/>
      <c r="D94" s="4"/>
      <c r="E94" s="4"/>
      <c r="F94" s="138"/>
      <c r="G94" s="7"/>
      <c r="H94" s="7"/>
      <c r="I94" s="7"/>
      <c r="J94" s="7"/>
      <c r="K94" s="7"/>
      <c r="L94" s="7"/>
      <c r="M94" s="7"/>
    </row>
    <row r="95" spans="2:13" s="2" customFormat="1" hidden="1" x14ac:dyDescent="0.2">
      <c r="B95" s="4"/>
      <c r="C95" s="4"/>
      <c r="D95" s="4"/>
      <c r="E95" s="4"/>
      <c r="F95" s="138"/>
      <c r="G95" s="7"/>
      <c r="H95" s="7"/>
      <c r="I95" s="7"/>
      <c r="J95" s="7"/>
      <c r="K95" s="7"/>
      <c r="L95" s="7"/>
      <c r="M95" s="7"/>
    </row>
    <row r="96" spans="2:13" s="2" customFormat="1" hidden="1" x14ac:dyDescent="0.2">
      <c r="B96" s="4"/>
      <c r="C96" s="4"/>
      <c r="D96" s="4"/>
      <c r="E96" s="4"/>
      <c r="F96" s="138"/>
      <c r="G96" s="7"/>
      <c r="H96" s="7"/>
      <c r="I96" s="7"/>
      <c r="J96" s="7"/>
      <c r="K96" s="7"/>
      <c r="L96" s="7"/>
      <c r="M96" s="7"/>
    </row>
    <row r="97" spans="2:13" s="2" customFormat="1" hidden="1" x14ac:dyDescent="0.2">
      <c r="B97" s="4"/>
      <c r="C97" s="4"/>
      <c r="D97" s="4"/>
      <c r="E97" s="4"/>
      <c r="F97" s="138"/>
      <c r="G97" s="7"/>
      <c r="H97" s="7"/>
      <c r="I97" s="7"/>
      <c r="J97" s="7"/>
      <c r="K97" s="7"/>
      <c r="L97" s="7"/>
      <c r="M97" s="7"/>
    </row>
    <row r="98" spans="2:13" s="2" customFormat="1" hidden="1" x14ac:dyDescent="0.2">
      <c r="B98" s="4"/>
      <c r="C98" s="4"/>
      <c r="D98" s="4"/>
      <c r="E98" s="4"/>
      <c r="F98" s="138"/>
      <c r="G98" s="7"/>
      <c r="H98" s="7"/>
      <c r="I98" s="7"/>
      <c r="J98" s="7"/>
      <c r="K98" s="7"/>
      <c r="L98" s="7"/>
      <c r="M98" s="7"/>
    </row>
    <row r="99" spans="2:13" s="2" customFormat="1" hidden="1" x14ac:dyDescent="0.2">
      <c r="B99" s="4"/>
      <c r="C99" s="4"/>
      <c r="D99" s="4"/>
      <c r="E99" s="4"/>
      <c r="F99" s="138"/>
      <c r="G99" s="7"/>
      <c r="H99" s="7"/>
      <c r="I99" s="7"/>
      <c r="J99" s="7"/>
      <c r="K99" s="7"/>
      <c r="L99" s="7"/>
      <c r="M99" s="7"/>
    </row>
    <row r="100" spans="2:13" s="2" customFormat="1" hidden="1" x14ac:dyDescent="0.2">
      <c r="B100" s="4"/>
      <c r="C100" s="4"/>
      <c r="D100" s="4"/>
      <c r="E100" s="4"/>
      <c r="F100" s="138"/>
      <c r="G100" s="7"/>
      <c r="H100" s="7"/>
      <c r="I100" s="7"/>
      <c r="J100" s="7"/>
      <c r="K100" s="7"/>
      <c r="L100" s="7"/>
      <c r="M100" s="7"/>
    </row>
    <row r="101" spans="2:13" s="2" customFormat="1" hidden="1" x14ac:dyDescent="0.2">
      <c r="B101" s="4"/>
      <c r="C101" s="4"/>
      <c r="D101" s="4"/>
      <c r="E101" s="4"/>
      <c r="F101" s="138"/>
      <c r="G101" s="7"/>
      <c r="H101" s="7"/>
      <c r="I101" s="7"/>
      <c r="J101" s="7"/>
      <c r="K101" s="7"/>
      <c r="L101" s="7"/>
      <c r="M101" s="7"/>
    </row>
    <row r="102" spans="2:13" s="2" customFormat="1" hidden="1" x14ac:dyDescent="0.2">
      <c r="B102" s="4"/>
      <c r="C102" s="4"/>
      <c r="D102" s="4"/>
      <c r="E102" s="4"/>
      <c r="F102" s="138"/>
      <c r="G102" s="7"/>
      <c r="H102" s="7"/>
      <c r="I102" s="7"/>
      <c r="J102" s="7"/>
      <c r="K102" s="7"/>
      <c r="L102" s="7"/>
      <c r="M102" s="7"/>
    </row>
    <row r="103" spans="2:13" s="2" customFormat="1" hidden="1" x14ac:dyDescent="0.2">
      <c r="B103" s="4"/>
      <c r="C103" s="4"/>
      <c r="D103" s="4"/>
      <c r="E103" s="4"/>
      <c r="F103" s="138"/>
      <c r="G103" s="7"/>
      <c r="H103" s="7"/>
      <c r="I103" s="7"/>
      <c r="J103" s="7"/>
      <c r="K103" s="7"/>
      <c r="L103" s="7"/>
      <c r="M103" s="7"/>
    </row>
    <row r="104" spans="2:13" s="2" customFormat="1" hidden="1" x14ac:dyDescent="0.2">
      <c r="B104" s="4"/>
      <c r="C104" s="4"/>
      <c r="D104" s="4"/>
      <c r="E104" s="4"/>
      <c r="F104" s="138"/>
      <c r="G104" s="7"/>
      <c r="H104" s="7"/>
      <c r="I104" s="7"/>
      <c r="J104" s="7"/>
      <c r="K104" s="7"/>
      <c r="L104" s="7"/>
      <c r="M104" s="7"/>
    </row>
    <row r="105" spans="2:13" s="2" customFormat="1" hidden="1" x14ac:dyDescent="0.2">
      <c r="B105" s="4"/>
      <c r="C105" s="4"/>
      <c r="D105" s="4"/>
      <c r="E105" s="4"/>
      <c r="F105" s="138"/>
      <c r="G105" s="7"/>
      <c r="H105" s="7"/>
      <c r="I105" s="7"/>
      <c r="J105" s="7"/>
      <c r="K105" s="7"/>
      <c r="L105" s="7"/>
      <c r="M105" s="7"/>
    </row>
    <row r="106" spans="2:13" s="2" customFormat="1" hidden="1" x14ac:dyDescent="0.2">
      <c r="B106" s="4"/>
      <c r="C106" s="4"/>
      <c r="D106" s="4"/>
      <c r="E106" s="4"/>
      <c r="F106" s="138"/>
      <c r="G106" s="7"/>
      <c r="H106" s="7"/>
      <c r="I106" s="7"/>
      <c r="J106" s="7"/>
      <c r="K106" s="7"/>
      <c r="L106" s="7"/>
      <c r="M106" s="7"/>
    </row>
    <row r="107" spans="2:13" s="2" customFormat="1" hidden="1" x14ac:dyDescent="0.2">
      <c r="B107" s="4"/>
      <c r="C107" s="4"/>
      <c r="D107" s="4"/>
      <c r="E107" s="4"/>
      <c r="F107" s="138"/>
      <c r="G107" s="7"/>
      <c r="H107" s="7"/>
      <c r="I107" s="7"/>
      <c r="J107" s="7"/>
      <c r="K107" s="7"/>
      <c r="L107" s="7"/>
      <c r="M107" s="7"/>
    </row>
    <row r="108" spans="2:13" s="2" customFormat="1" hidden="1" x14ac:dyDescent="0.2">
      <c r="B108" s="4"/>
      <c r="C108" s="4"/>
      <c r="D108" s="4"/>
      <c r="E108" s="4"/>
      <c r="F108" s="138"/>
      <c r="G108" s="7"/>
      <c r="H108" s="7"/>
      <c r="I108" s="7"/>
      <c r="J108" s="7"/>
      <c r="K108" s="7"/>
      <c r="L108" s="7"/>
      <c r="M108" s="7"/>
    </row>
    <row r="109" spans="2:13" s="2" customFormat="1" hidden="1" x14ac:dyDescent="0.2">
      <c r="B109" s="4"/>
      <c r="C109" s="4"/>
      <c r="D109" s="4"/>
      <c r="E109" s="4"/>
      <c r="F109" s="138"/>
      <c r="G109" s="7"/>
      <c r="H109" s="7"/>
      <c r="I109" s="7"/>
      <c r="J109" s="7"/>
      <c r="K109" s="7"/>
      <c r="L109" s="7"/>
      <c r="M109" s="7"/>
    </row>
    <row r="110" spans="2:13" s="2" customFormat="1" hidden="1" x14ac:dyDescent="0.2">
      <c r="B110" s="4"/>
      <c r="C110" s="4"/>
      <c r="D110" s="4"/>
      <c r="E110" s="4"/>
      <c r="F110" s="138"/>
      <c r="G110" s="7"/>
      <c r="H110" s="7"/>
      <c r="I110" s="7"/>
      <c r="J110" s="7"/>
      <c r="K110" s="7"/>
      <c r="L110" s="7"/>
      <c r="M110" s="7"/>
    </row>
    <row r="111" spans="2:13" s="2" customFormat="1" hidden="1" x14ac:dyDescent="0.2">
      <c r="B111" s="4"/>
      <c r="C111" s="4"/>
      <c r="D111" s="4"/>
      <c r="E111" s="4"/>
      <c r="F111" s="138"/>
      <c r="G111" s="7"/>
      <c r="H111" s="7"/>
      <c r="I111" s="7"/>
      <c r="J111" s="7"/>
      <c r="K111" s="7"/>
      <c r="L111" s="7"/>
      <c r="M111" s="7"/>
    </row>
    <row r="112" spans="2:13" s="2" customFormat="1" hidden="1" x14ac:dyDescent="0.2">
      <c r="B112" s="4"/>
      <c r="C112" s="4"/>
      <c r="D112" s="4"/>
      <c r="E112" s="4"/>
      <c r="F112" s="138"/>
      <c r="G112" s="7"/>
      <c r="H112" s="7"/>
      <c r="I112" s="7"/>
      <c r="J112" s="7"/>
      <c r="K112" s="7"/>
      <c r="L112" s="7"/>
      <c r="M112" s="7"/>
    </row>
    <row r="113" spans="2:13" s="2" customFormat="1" hidden="1" x14ac:dyDescent="0.2">
      <c r="B113" s="4"/>
      <c r="C113" s="4"/>
      <c r="D113" s="4"/>
      <c r="E113" s="4"/>
      <c r="F113" s="138"/>
      <c r="G113" s="7"/>
      <c r="H113" s="7"/>
      <c r="I113" s="7"/>
      <c r="J113" s="7"/>
      <c r="K113" s="7"/>
      <c r="L113" s="7"/>
      <c r="M113" s="7"/>
    </row>
    <row r="114" spans="2:13" s="2" customFormat="1" hidden="1" x14ac:dyDescent="0.2">
      <c r="B114" s="4"/>
      <c r="C114" s="4"/>
      <c r="D114" s="4"/>
      <c r="E114" s="4"/>
      <c r="F114" s="138"/>
      <c r="G114" s="7"/>
      <c r="H114" s="7"/>
      <c r="I114" s="7"/>
      <c r="J114" s="7"/>
      <c r="K114" s="7"/>
      <c r="L114" s="7"/>
      <c r="M114" s="7"/>
    </row>
    <row r="115" spans="2:13" s="2" customFormat="1" hidden="1" x14ac:dyDescent="0.2">
      <c r="B115" s="4"/>
      <c r="C115" s="4"/>
      <c r="D115" s="4"/>
      <c r="E115" s="4"/>
      <c r="F115" s="138"/>
      <c r="G115" s="7"/>
      <c r="H115" s="7"/>
      <c r="I115" s="7"/>
      <c r="J115" s="7"/>
      <c r="K115" s="7"/>
      <c r="L115" s="7"/>
      <c r="M115" s="7"/>
    </row>
    <row r="116" spans="2:13" s="2" customFormat="1" hidden="1" x14ac:dyDescent="0.2">
      <c r="B116" s="4"/>
      <c r="C116" s="4"/>
      <c r="D116" s="4"/>
      <c r="E116" s="4"/>
      <c r="F116" s="138"/>
      <c r="G116" s="7"/>
      <c r="H116" s="7"/>
      <c r="I116" s="7"/>
      <c r="J116" s="7"/>
      <c r="K116" s="7"/>
      <c r="L116" s="7"/>
      <c r="M116" s="7"/>
    </row>
    <row r="117" spans="2:13" s="2" customFormat="1" hidden="1" x14ac:dyDescent="0.2">
      <c r="B117" s="4"/>
      <c r="C117" s="4"/>
      <c r="D117" s="4"/>
      <c r="E117" s="4"/>
      <c r="F117" s="138"/>
      <c r="G117" s="7"/>
      <c r="H117" s="7"/>
      <c r="I117" s="7"/>
      <c r="J117" s="7"/>
      <c r="K117" s="7"/>
      <c r="L117" s="7"/>
      <c r="M117" s="7"/>
    </row>
  </sheetData>
  <sheetProtection sheet="1" objects="1" scenarios="1" selectLockedCells="1"/>
  <mergeCells count="2">
    <mergeCell ref="B41:C41"/>
    <mergeCell ref="O2:P2"/>
  </mergeCells>
  <phoneticPr fontId="3" type="noConversion"/>
  <pageMargins left="0.78740157499999996" right="0.78740157499999996" top="0.984251969" bottom="0.984251969" header="0.4921259845" footer="0.4921259845"/>
  <pageSetup paperSize="9" orientation="portrait" horizontalDpi="0" verticalDpi="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Tabelle2"/>
  <dimension ref="A1:T291"/>
  <sheetViews>
    <sheetView showGridLines="0" showRowColHeaders="0" workbookViewId="0">
      <selection activeCell="U1" sqref="U1:XFD1048576"/>
    </sheetView>
  </sheetViews>
  <sheetFormatPr baseColWidth="10" defaultColWidth="0" defaultRowHeight="12.75" zeroHeight="1" x14ac:dyDescent="0.2"/>
  <cols>
    <col min="1" max="1" width="11.5703125" customWidth="1"/>
    <col min="2" max="2" width="7.7109375" customWidth="1"/>
    <col min="3" max="3" width="20.28515625" bestFit="1" customWidth="1"/>
    <col min="4" max="4" width="7" customWidth="1"/>
    <col min="5" max="5" width="7.28515625" customWidth="1"/>
    <col min="6" max="7" width="20.28515625" style="140" bestFit="1" customWidth="1"/>
    <col min="8" max="9" width="7.85546875" customWidth="1"/>
    <col min="10" max="10" width="33.5703125" bestFit="1" customWidth="1"/>
    <col min="11" max="11" width="7.85546875" customWidth="1"/>
    <col min="12" max="14" width="11.5703125" customWidth="1"/>
    <col min="15" max="15" width="2.7109375" customWidth="1"/>
    <col min="16" max="16" width="11.5703125" customWidth="1"/>
    <col min="17" max="17" width="37.85546875" bestFit="1" customWidth="1"/>
    <col min="18" max="19" width="11.5703125" customWidth="1"/>
    <col min="20" max="20" width="3.42578125" customWidth="1"/>
    <col min="21" max="16384" width="11.5703125" hidden="1"/>
  </cols>
  <sheetData>
    <row r="1" spans="1:19" x14ac:dyDescent="0.2">
      <c r="A1" s="216">
        <v>1</v>
      </c>
    </row>
    <row r="2" spans="1:19" x14ac:dyDescent="0.2">
      <c r="A2" s="216">
        <v>2</v>
      </c>
    </row>
    <row r="3" spans="1:19" ht="13.5" thickBot="1" x14ac:dyDescent="0.25">
      <c r="A3" s="216">
        <v>3</v>
      </c>
      <c r="B3" s="2"/>
      <c r="C3" s="2"/>
      <c r="D3" s="2"/>
      <c r="E3" s="2"/>
      <c r="F3" s="134"/>
      <c r="G3" s="134"/>
      <c r="H3" s="2"/>
      <c r="I3" s="2"/>
      <c r="J3" s="88" t="s">
        <v>92</v>
      </c>
      <c r="K3" s="88" t="s">
        <v>12</v>
      </c>
      <c r="L3" s="88" t="s">
        <v>89</v>
      </c>
      <c r="M3" s="567" t="s">
        <v>149</v>
      </c>
      <c r="N3" s="567"/>
    </row>
    <row r="4" spans="1:19" ht="13.5" thickTop="1" x14ac:dyDescent="0.2">
      <c r="A4" s="216">
        <v>4</v>
      </c>
      <c r="B4" s="20" t="s">
        <v>5</v>
      </c>
      <c r="C4" s="24" t="str">
        <f>IF(Planning!$D7="","",Planning!$D7)</f>
        <v>Dynamo Kiew</v>
      </c>
      <c r="D4" s="2"/>
      <c r="E4" s="213">
        <v>1</v>
      </c>
      <c r="F4" s="135" t="str">
        <f>Planning!$Q7</f>
        <v>Dynamo Kiew</v>
      </c>
      <c r="G4" s="136" t="str">
        <f>Planning!$S7</f>
        <v>Crystal Palace</v>
      </c>
      <c r="H4" s="14">
        <f>IF(AND(Results!$Q$6&gt;0,$E4-1&gt;=Results!$Q$6*Calc!$F$42),"",IF(AND(Results!$I9&lt;&gt;"",Results!$K9&lt;&gt;"",Results!$F9&lt;&gt;Results!$H9,$F4&lt;&gt;"",$G4&lt;&gt;""),Results!$I9,""))</f>
        <v>0</v>
      </c>
      <c r="I4" s="15">
        <f>IF(AND(Results!$Q$6&gt;0,$E4-1&gt;=Results!$Q$6*Calc!$F$42),"",IF(AND(Results!$I9&lt;&gt;"",Results!$K9&lt;&gt;"",Results!$F9&lt;&gt;Results!$H9,$F4&lt;&gt;"",$G4&lt;&gt;""),Results!$K9,""))</f>
        <v>2</v>
      </c>
      <c r="J4" s="13" t="str">
        <f>IF(Planning!$I7=0,F4&amp;G4,"")</f>
        <v>Dynamo KiewCrystal Palace</v>
      </c>
      <c r="K4" s="14">
        <f t="shared" ref="K4:K35" si="0">IF(AND(F4&lt;&gt;"",G4&lt;&gt;"",F4&lt;&gt;G4,H4&lt;&gt;"",I4&lt;&gt;""),1,0)</f>
        <v>1</v>
      </c>
      <c r="L4" s="85" t="str">
        <f>IF(AND(K4&gt;0,Planning!$I7=0),H4&amp;Language!$E$90&amp;I4,"")</f>
        <v>0 - 2</v>
      </c>
      <c r="M4" s="224">
        <f>IF($H4="",0,Results!$L9)</f>
        <v>0</v>
      </c>
      <c r="N4" s="225">
        <f>IF($I4="",0,Results!$M9)</f>
        <v>0</v>
      </c>
      <c r="P4" s="494">
        <v>1</v>
      </c>
      <c r="Q4" s="495" t="str">
        <f>IF(Planning!$I7=0,G4&amp;F4,"")</f>
        <v>Crystal PalaceDynamo Kiew</v>
      </c>
      <c r="R4" s="496">
        <f t="shared" ref="R4:R35" si="1">K4</f>
        <v>1</v>
      </c>
      <c r="S4" s="497" t="str">
        <f>IF(AND(R4&gt;0,Planning!$I7=0),I4&amp;Language!$E$90&amp;H4,"")</f>
        <v>2 - 0</v>
      </c>
    </row>
    <row r="5" spans="1:19" x14ac:dyDescent="0.2">
      <c r="A5" s="216">
        <v>5</v>
      </c>
      <c r="B5" s="21" t="s">
        <v>6</v>
      </c>
      <c r="C5" s="25" t="str">
        <f>IF(Planning!$D8="","",Planning!$D8)</f>
        <v>Crystal Palace</v>
      </c>
      <c r="D5" s="2"/>
      <c r="E5" s="214">
        <v>2</v>
      </c>
      <c r="F5" s="137" t="str">
        <f>Planning!$Q8</f>
        <v>Lech Posen</v>
      </c>
      <c r="G5" s="138" t="str">
        <f>Planning!$S8</f>
        <v>Rapid Wien</v>
      </c>
      <c r="H5" s="7">
        <f>IF(AND(Results!$Q$6&gt;0,$E5-1&gt;=Results!$Q$6*Calc!$F$42),"",IF(AND(Results!$I10&lt;&gt;"",Results!$K10&lt;&gt;"",Results!$F10&lt;&gt;Results!$H10,$F5&lt;&gt;"",$G5&lt;&gt;""),Results!$I10,""))</f>
        <v>4</v>
      </c>
      <c r="I5" s="17">
        <f>IF(AND(Results!$Q$6&gt;0,$E5-1&gt;=Results!$Q$6*Calc!$F$42),"",IF(AND(Results!$I10&lt;&gt;"",Results!$K10&lt;&gt;"",Results!$F10&lt;&gt;Results!$H10,$F5&lt;&gt;"",$G5&lt;&gt;""),Results!$K10,""))</f>
        <v>1</v>
      </c>
      <c r="J5" s="16" t="str">
        <f>IF(Planning!$I8=0,F5&amp;G5,"")</f>
        <v>Lech PosenRapid Wien</v>
      </c>
      <c r="K5" s="7">
        <f t="shared" si="0"/>
        <v>1</v>
      </c>
      <c r="L5" s="7" t="str">
        <f>IF(AND(K5&gt;0,Planning!$I8=0),H5&amp;Language!$E$90&amp;I5,"")</f>
        <v>4 - 1</v>
      </c>
      <c r="M5" s="226">
        <f>IF($H5="",0,Results!$L10)</f>
        <v>0</v>
      </c>
      <c r="N5" s="227">
        <f>IF($I5="",0,Results!$M10)</f>
        <v>0</v>
      </c>
      <c r="P5" s="234">
        <v>2</v>
      </c>
      <c r="Q5" s="235" t="str">
        <f>IF(Planning!$I8=0,G5&amp;F5,"")</f>
        <v>Rapid WienLech Posen</v>
      </c>
      <c r="R5" s="247">
        <f t="shared" si="1"/>
        <v>1</v>
      </c>
      <c r="S5" s="278" t="str">
        <f>IF(AND(R5&gt;0,Planning!$I8=0),I5&amp;Language!$E$90&amp;H5,"")</f>
        <v>1 - 4</v>
      </c>
    </row>
    <row r="6" spans="1:19" x14ac:dyDescent="0.2">
      <c r="A6" s="216">
        <v>6</v>
      </c>
      <c r="B6" s="21" t="s">
        <v>7</v>
      </c>
      <c r="C6" s="25" t="str">
        <f>IF(Planning!$D9="","",Planning!$D9)</f>
        <v>Lech Posen</v>
      </c>
      <c r="D6" s="2"/>
      <c r="E6" s="214">
        <v>3</v>
      </c>
      <c r="F6" s="137" t="str">
        <f>Planning!$Q9</f>
        <v>Rayo Vallecano</v>
      </c>
      <c r="G6" s="138" t="str">
        <f>Planning!$S9</f>
        <v>Shkendija Tetovo</v>
      </c>
      <c r="H6" s="110">
        <f>IF(AND(Results!$Q$6&gt;0,$E6-1&gt;=Results!$Q$6*Calc!$F$42),"",IF(AND(Results!$I11&lt;&gt;"",Results!$K11&lt;&gt;"",Results!$F11&lt;&gt;Results!$H11,$F6&lt;&gt;"",$G6&lt;&gt;""),Results!$I11,""))</f>
        <v>2</v>
      </c>
      <c r="I6" s="17">
        <f>IF(AND(Results!$Q$6&gt;0,$E6-1&gt;=Results!$Q$6*Calc!$F$42),"",IF(AND(Results!$I11&lt;&gt;"",Results!$K11&lt;&gt;"",Results!$F11&lt;&gt;Results!$H11,$F6&lt;&gt;"",$G6&lt;&gt;""),Results!$K11,""))</f>
        <v>0</v>
      </c>
      <c r="J6" s="16" t="str">
        <f>IF(Planning!$I9=0,F6&amp;G6,"")</f>
        <v>Rayo VallecanoShkendija Tetovo</v>
      </c>
      <c r="K6" s="7">
        <f t="shared" si="0"/>
        <v>1</v>
      </c>
      <c r="L6" s="7" t="str">
        <f>IF(AND(K6&gt;0,Planning!$I9=0),H6&amp;Language!$E$90&amp;I6,"")</f>
        <v>2 - 0</v>
      </c>
      <c r="M6" s="226">
        <f>IF($H6="",0,Results!$L11)</f>
        <v>0</v>
      </c>
      <c r="N6" s="227">
        <f>IF($I6="",0,Results!$M11)</f>
        <v>0</v>
      </c>
      <c r="P6" s="234">
        <v>3</v>
      </c>
      <c r="Q6" s="235" t="str">
        <f>IF(Planning!$I9=0,G6&amp;F6,"")</f>
        <v>Shkendija TetovoRayo Vallecano</v>
      </c>
      <c r="R6" s="247">
        <f t="shared" si="1"/>
        <v>1</v>
      </c>
      <c r="S6" s="278" t="str">
        <f>IF(AND(R6&gt;0,Planning!$I9=0),I6&amp;Language!$E$90&amp;H6,"")</f>
        <v>0 - 2</v>
      </c>
    </row>
    <row r="7" spans="1:19" x14ac:dyDescent="0.2">
      <c r="A7" s="216"/>
      <c r="B7" s="21" t="s">
        <v>8</v>
      </c>
      <c r="C7" s="25" t="str">
        <f>IF(Planning!$D10="","",Planning!$D10)</f>
        <v>Rapid Wien</v>
      </c>
      <c r="D7" s="2"/>
      <c r="E7" s="214">
        <v>4</v>
      </c>
      <c r="F7" s="137" t="str">
        <f>Planning!$Q10</f>
        <v>Zrinjski Mostar</v>
      </c>
      <c r="G7" s="138" t="str">
        <f>Planning!$S10</f>
        <v>Lincoln Red Imps Fc</v>
      </c>
      <c r="H7" s="110">
        <f>IF(AND(Results!$Q$6&gt;0,$E7-1&gt;=Results!$Q$6*Calc!$F$42),"",IF(AND(Results!$I12&lt;&gt;"",Results!$K12&lt;&gt;"",Results!$F12&lt;&gt;Results!$H12,$F7&lt;&gt;"",$G7&lt;&gt;""),Results!$I12,""))</f>
        <v>5</v>
      </c>
      <c r="I7" s="17">
        <f>IF(AND(Results!$Q$6&gt;0,$E7-1&gt;=Results!$Q$6*Calc!$F$42),"",IF(AND(Results!$I12&lt;&gt;"",Results!$K12&lt;&gt;"",Results!$F12&lt;&gt;Results!$H12,$F7&lt;&gt;"",$G7&lt;&gt;""),Results!$K12,""))</f>
        <v>0</v>
      </c>
      <c r="J7" s="16" t="str">
        <f>IF(Planning!$I10=0,F7&amp;G7,"")</f>
        <v>Zrinjski MostarLincoln Red Imps Fc</v>
      </c>
      <c r="K7" s="7">
        <f t="shared" si="0"/>
        <v>1</v>
      </c>
      <c r="L7" s="7" t="str">
        <f>IF(AND(K7&gt;0,Planning!$I10=0),H7&amp;Language!$E$90&amp;I7,"")</f>
        <v>5 - 0</v>
      </c>
      <c r="M7" s="226">
        <f>IF($H7="",0,Results!$L12)</f>
        <v>0</v>
      </c>
      <c r="N7" s="227">
        <f>IF($I7="",0,Results!$M12)</f>
        <v>0</v>
      </c>
      <c r="P7" s="234">
        <v>4</v>
      </c>
      <c r="Q7" s="235" t="str">
        <f>IF(Planning!$I10=0,G7&amp;F7,"")</f>
        <v>Lincoln Red Imps FcZrinjski Mostar</v>
      </c>
      <c r="R7" s="247">
        <f t="shared" si="1"/>
        <v>1</v>
      </c>
      <c r="S7" s="278" t="str">
        <f>IF(AND(R7&gt;0,Planning!$I10=0),I7&amp;Language!$E$90&amp;H7,"")</f>
        <v>0 - 5</v>
      </c>
    </row>
    <row r="8" spans="1:19" x14ac:dyDescent="0.2">
      <c r="A8" s="216"/>
      <c r="B8" s="21" t="s">
        <v>9</v>
      </c>
      <c r="C8" s="25" t="str">
        <f>IF(Planning!$D11="","",Planning!$D11)</f>
        <v>Rayo Vallecano</v>
      </c>
      <c r="D8" s="2"/>
      <c r="E8" s="214">
        <v>5</v>
      </c>
      <c r="F8" s="137" t="str">
        <f>Planning!$Q11</f>
        <v>Jagiellonia Bialystok</v>
      </c>
      <c r="G8" s="138" t="str">
        <f>Planning!$S11</f>
        <v>Hamrun Spartans</v>
      </c>
      <c r="H8" s="110">
        <f>IF(AND(Results!$Q$6&gt;0,$E8-1&gt;=Results!$Q$6*Calc!$F$42),"",IF(AND(Results!$I13&lt;&gt;"",Results!$K13&lt;&gt;"",Results!$F13&lt;&gt;Results!$H13,$F8&lt;&gt;"",$G8&lt;&gt;""),Results!$I13,""))</f>
        <v>1</v>
      </c>
      <c r="I8" s="17">
        <f>IF(AND(Results!$Q$6&gt;0,$E8-1&gt;=Results!$Q$6*Calc!$F$42),"",IF(AND(Results!$I13&lt;&gt;"",Results!$K13&lt;&gt;"",Results!$F13&lt;&gt;Results!$H13,$F8&lt;&gt;"",$G8&lt;&gt;""),Results!$K13,""))</f>
        <v>0</v>
      </c>
      <c r="J8" s="16" t="str">
        <f>IF(Planning!$I11=0,F8&amp;G8,"")</f>
        <v>Jagiellonia BialystokHamrun Spartans</v>
      </c>
      <c r="K8" s="7">
        <f t="shared" si="0"/>
        <v>1</v>
      </c>
      <c r="L8" s="7" t="str">
        <f>IF(AND(K8&gt;0,Planning!$I11=0),H8&amp;Language!$E$90&amp;I8,"")</f>
        <v>1 - 0</v>
      </c>
      <c r="M8" s="226">
        <f>IF($H8="",0,Results!$L13)</f>
        <v>0</v>
      </c>
      <c r="N8" s="227">
        <f>IF($I8="",0,Results!$M13)</f>
        <v>0</v>
      </c>
      <c r="P8" s="234">
        <v>5</v>
      </c>
      <c r="Q8" s="235" t="str">
        <f>IF(Planning!$I11=0,G8&amp;F8,"")</f>
        <v>Hamrun SpartansJagiellonia Bialystok</v>
      </c>
      <c r="R8" s="247">
        <f t="shared" si="1"/>
        <v>1</v>
      </c>
      <c r="S8" s="278" t="str">
        <f>IF(AND(R8&gt;0,Planning!$I11=0),I8&amp;Language!$E$90&amp;H8,"")</f>
        <v>0 - 1</v>
      </c>
    </row>
    <row r="9" spans="1:19" x14ac:dyDescent="0.2">
      <c r="A9" s="216"/>
      <c r="B9" s="21" t="s">
        <v>10</v>
      </c>
      <c r="C9" s="25" t="str">
        <f>IF(Planning!$D12="","",Planning!$D12)</f>
        <v>Shkendija Tetovo</v>
      </c>
      <c r="D9" s="2"/>
      <c r="E9" s="214">
        <v>6</v>
      </c>
      <c r="F9" s="137" t="str">
        <f>Planning!$Q12</f>
        <v>Omonia Nikosia</v>
      </c>
      <c r="G9" s="138" t="str">
        <f>Planning!$S12</f>
        <v>1. FSV Mainz 05</v>
      </c>
      <c r="H9" s="110">
        <f>IF(AND(Results!$Q$6&gt;0,$E9-1&gt;=Results!$Q$6*Calc!$F$42),"",IF(AND(Results!$I14&lt;&gt;"",Results!$K14&lt;&gt;"",Results!$F14&lt;&gt;Results!$H14,$F9&lt;&gt;"",$G9&lt;&gt;""),Results!$I14,""))</f>
        <v>0</v>
      </c>
      <c r="I9" s="17">
        <f>IF(AND(Results!$Q$6&gt;0,$E9-1&gt;=Results!$Q$6*Calc!$F$42),"",IF(AND(Results!$I14&lt;&gt;"",Results!$K14&lt;&gt;"",Results!$F14&lt;&gt;Results!$H14,$F9&lt;&gt;"",$G9&lt;&gt;""),Results!$K14,""))</f>
        <v>1</v>
      </c>
      <c r="J9" s="16" t="str">
        <f>IF(Planning!$I12=0,F9&amp;G9,"")</f>
        <v>Omonia Nikosia1. FSV Mainz 05</v>
      </c>
      <c r="K9" s="7">
        <f t="shared" si="0"/>
        <v>1</v>
      </c>
      <c r="L9" s="7" t="str">
        <f>IF(AND(K9&gt;0,Planning!$I12=0),H9&amp;Language!$E$90&amp;I9,"")</f>
        <v>0 - 1</v>
      </c>
      <c r="M9" s="226">
        <f>IF($H9="",0,Results!$L14)</f>
        <v>0</v>
      </c>
      <c r="N9" s="227">
        <f>IF($I9="",0,Results!$M14)</f>
        <v>0</v>
      </c>
      <c r="P9" s="234">
        <v>6</v>
      </c>
      <c r="Q9" s="235" t="str">
        <f>IF(Planning!$I12=0,G9&amp;F9,"")</f>
        <v>1. FSV Mainz 05Omonia Nikosia</v>
      </c>
      <c r="R9" s="247">
        <f t="shared" si="1"/>
        <v>1</v>
      </c>
      <c r="S9" s="278" t="str">
        <f>IF(AND(R9&gt;0,Planning!$I12=0),I9&amp;Language!$E$90&amp;H9,"")</f>
        <v>1 - 0</v>
      </c>
    </row>
    <row r="10" spans="1:19" x14ac:dyDescent="0.2">
      <c r="A10" s="216"/>
      <c r="B10" s="21" t="s">
        <v>13</v>
      </c>
      <c r="C10" s="25" t="str">
        <f>IF(Planning!$D13="","",Planning!$D13)</f>
        <v>Zrinjski Mostar</v>
      </c>
      <c r="D10" s="2"/>
      <c r="E10" s="214">
        <v>7</v>
      </c>
      <c r="F10" s="137" t="str">
        <f>Planning!$Q13</f>
        <v>Kuopion PS</v>
      </c>
      <c r="G10" s="138" t="str">
        <f>Planning!$S13</f>
        <v>KF Drita Gjilan</v>
      </c>
      <c r="H10" s="110">
        <f>IF(AND(Results!$Q$6&gt;0,$E10-1&gt;=Results!$Q$6*Calc!$F$42),"",IF(AND(Results!$I15&lt;&gt;"",Results!$K15&lt;&gt;"",Results!$F15&lt;&gt;Results!$H15,$F10&lt;&gt;"",$G10&lt;&gt;""),Results!$I15,""))</f>
        <v>1</v>
      </c>
      <c r="I10" s="17">
        <f>IF(AND(Results!$Q$6&gt;0,$E10-1&gt;=Results!$Q$6*Calc!$F$42),"",IF(AND(Results!$I15&lt;&gt;"",Results!$K15&lt;&gt;"",Results!$F15&lt;&gt;Results!$H15,$F10&lt;&gt;"",$G10&lt;&gt;""),Results!$K15,""))</f>
        <v>1</v>
      </c>
      <c r="J10" s="16" t="str">
        <f>IF(Planning!$I13=0,F10&amp;G10,"")</f>
        <v>Kuopion PSKF Drita Gjilan</v>
      </c>
      <c r="K10" s="7">
        <f t="shared" si="0"/>
        <v>1</v>
      </c>
      <c r="L10" s="7" t="str">
        <f>IF(AND(K10&gt;0,Planning!$I13=0),H10&amp;Language!$E$90&amp;I10,"")</f>
        <v>1 - 1</v>
      </c>
      <c r="M10" s="226">
        <f>IF($H10="",0,Results!$L15)</f>
        <v>0</v>
      </c>
      <c r="N10" s="227">
        <f>IF($I10="",0,Results!$M15)</f>
        <v>0</v>
      </c>
      <c r="P10" s="234">
        <v>7</v>
      </c>
      <c r="Q10" s="235" t="str">
        <f>IF(Planning!$I13=0,G10&amp;F10,"")</f>
        <v>KF Drita GjilanKuopion PS</v>
      </c>
      <c r="R10" s="247">
        <f t="shared" si="1"/>
        <v>1</v>
      </c>
      <c r="S10" s="278" t="str">
        <f>IF(AND(R10&gt;0,Planning!$I13=0),I10&amp;Language!$E$90&amp;H10,"")</f>
        <v>1 - 1</v>
      </c>
    </row>
    <row r="11" spans="1:19" x14ac:dyDescent="0.2">
      <c r="A11" s="216"/>
      <c r="B11" s="21" t="s">
        <v>14</v>
      </c>
      <c r="C11" s="25" t="str">
        <f>IF(Planning!$D14="","",Planning!$D14)</f>
        <v>Lincoln Red Imps Fc</v>
      </c>
      <c r="D11" s="2"/>
      <c r="E11" s="214">
        <v>8</v>
      </c>
      <c r="F11" s="137" t="str">
        <f>Planning!$Q14</f>
        <v>FC Noah</v>
      </c>
      <c r="G11" s="138" t="str">
        <f>Planning!$S14</f>
        <v>HNK Rijeka</v>
      </c>
      <c r="H11" s="110">
        <f>IF(AND(Results!$Q$6&gt;0,$E11-1&gt;=Results!$Q$6*Calc!$F$42),"",IF(AND(Results!$I16&lt;&gt;"",Results!$K16&lt;&gt;"",Results!$F16&lt;&gt;Results!$H16,$F11&lt;&gt;"",$G11&lt;&gt;""),Results!$I16,""))</f>
        <v>1</v>
      </c>
      <c r="I11" s="17">
        <f>IF(AND(Results!$Q$6&gt;0,$E11-1&gt;=Results!$Q$6*Calc!$F$42),"",IF(AND(Results!$I16&lt;&gt;"",Results!$K16&lt;&gt;"",Results!$F16&lt;&gt;Results!$H16,$F11&lt;&gt;"",$G11&lt;&gt;""),Results!$K16,""))</f>
        <v>0</v>
      </c>
      <c r="J11" s="16" t="str">
        <f>IF(Planning!$I14=0,F11&amp;G11,"")</f>
        <v>FC NoahHNK Rijeka</v>
      </c>
      <c r="K11" s="7">
        <f t="shared" si="0"/>
        <v>1</v>
      </c>
      <c r="L11" s="7" t="str">
        <f>IF(AND(K11&gt;0,Planning!$I14=0),H11&amp;Language!$E$90&amp;I11,"")</f>
        <v>1 - 0</v>
      </c>
      <c r="M11" s="226">
        <f>IF($H11="",0,Results!$L16)</f>
        <v>0</v>
      </c>
      <c r="N11" s="227">
        <f>IF($I11="",0,Results!$M16)</f>
        <v>0</v>
      </c>
      <c r="P11" s="234">
        <v>8</v>
      </c>
      <c r="Q11" s="235" t="str">
        <f>IF(Planning!$I14=0,G11&amp;F11,"")</f>
        <v>HNK RijekaFC Noah</v>
      </c>
      <c r="R11" s="247">
        <f t="shared" si="1"/>
        <v>1</v>
      </c>
      <c r="S11" s="278" t="str">
        <f>IF(AND(R11&gt;0,Planning!$I14=0),I11&amp;Language!$E$90&amp;H11,"")</f>
        <v>0 - 1</v>
      </c>
    </row>
    <row r="12" spans="1:19" x14ac:dyDescent="0.2">
      <c r="A12" s="216"/>
      <c r="B12" s="21" t="s">
        <v>15</v>
      </c>
      <c r="C12" s="25" t="str">
        <f>IF(Planning!$D15="","",Planning!$D15)</f>
        <v>Jagiellonia Bialystok</v>
      </c>
      <c r="D12" s="2"/>
      <c r="E12" s="214">
        <v>9</v>
      </c>
      <c r="F12" s="137" t="str">
        <f>Planning!$Q15</f>
        <v>FC Lausanne-Sport</v>
      </c>
      <c r="G12" s="138" t="str">
        <f>Planning!$S15</f>
        <v>UMF Breidablik</v>
      </c>
      <c r="H12" s="110">
        <f>IF(AND(Results!$Q$6&gt;0,$E12-1&gt;=Results!$Q$6*Calc!$F$42),"",IF(AND(Results!$I17&lt;&gt;"",Results!$K17&lt;&gt;"",Results!$F17&lt;&gt;Results!$H17,$F12&lt;&gt;"",$G12&lt;&gt;""),Results!$I17,""))</f>
        <v>3</v>
      </c>
      <c r="I12" s="17">
        <f>IF(AND(Results!$Q$6&gt;0,$E12-1&gt;=Results!$Q$6*Calc!$F$42),"",IF(AND(Results!$I17&lt;&gt;"",Results!$K17&lt;&gt;"",Results!$F17&lt;&gt;Results!$H17,$F12&lt;&gt;"",$G12&lt;&gt;""),Results!$K17,""))</f>
        <v>0</v>
      </c>
      <c r="J12" s="16" t="str">
        <f>IF(Planning!$I15=0,F12&amp;G12,"")</f>
        <v>FC Lausanne-SportUMF Breidablik</v>
      </c>
      <c r="K12" s="7">
        <f t="shared" si="0"/>
        <v>1</v>
      </c>
      <c r="L12" s="7" t="str">
        <f>IF(AND(K12&gt;0,Planning!$I15=0),H12&amp;Language!$E$90&amp;I12,"")</f>
        <v>3 - 0</v>
      </c>
      <c r="M12" s="226">
        <f>IF($H12="",0,Results!$L17)</f>
        <v>0</v>
      </c>
      <c r="N12" s="227">
        <f>IF($I12="",0,Results!$M17)</f>
        <v>0</v>
      </c>
      <c r="P12" s="234">
        <v>9</v>
      </c>
      <c r="Q12" s="235" t="str">
        <f>IF(Planning!$I15=0,G12&amp;F12,"")</f>
        <v>UMF BreidablikFC Lausanne-Sport</v>
      </c>
      <c r="R12" s="247">
        <f t="shared" si="1"/>
        <v>1</v>
      </c>
      <c r="S12" s="278" t="str">
        <f>IF(AND(R12&gt;0,Planning!$I15=0),I12&amp;Language!$E$90&amp;H12,"")</f>
        <v>0 - 3</v>
      </c>
    </row>
    <row r="13" spans="1:19" x14ac:dyDescent="0.2">
      <c r="A13" s="216"/>
      <c r="B13" s="21" t="s">
        <v>21</v>
      </c>
      <c r="C13" s="25" t="str">
        <f>IF(Planning!$D16="","",Planning!$D16)</f>
        <v>Hamrun Spartans</v>
      </c>
      <c r="D13" s="2"/>
      <c r="E13" s="214">
        <v>10</v>
      </c>
      <c r="F13" s="137" t="str">
        <f>Planning!$Q16</f>
        <v>Slovan Bratislava</v>
      </c>
      <c r="G13" s="138" t="str">
        <f>Planning!$S16</f>
        <v>Racing Straßburg</v>
      </c>
      <c r="H13" s="110">
        <f>IF(AND(Results!$Q$6&gt;0,$E13-1&gt;=Results!$Q$6*Calc!$F$42),"",IF(AND(Results!$I18&lt;&gt;"",Results!$K18&lt;&gt;"",Results!$F18&lt;&gt;Results!$H18,$F13&lt;&gt;"",$G13&lt;&gt;""),Results!$I18,""))</f>
        <v>1</v>
      </c>
      <c r="I13" s="17">
        <f>IF(AND(Results!$Q$6&gt;0,$E13-1&gt;=Results!$Q$6*Calc!$F$42),"",IF(AND(Results!$I18&lt;&gt;"",Results!$K18&lt;&gt;"",Results!$F18&lt;&gt;Results!$H18,$F13&lt;&gt;"",$G13&lt;&gt;""),Results!$K18,""))</f>
        <v>2</v>
      </c>
      <c r="J13" s="16" t="str">
        <f>IF(Planning!$I16=0,F13&amp;G13,"")</f>
        <v>Slovan BratislavaRacing Straßburg</v>
      </c>
      <c r="K13" s="7">
        <f t="shared" si="0"/>
        <v>1</v>
      </c>
      <c r="L13" s="7" t="str">
        <f>IF(AND(K13&gt;0,Planning!$I16=0),H13&amp;Language!$E$90&amp;I13,"")</f>
        <v>1 - 2</v>
      </c>
      <c r="M13" s="226">
        <f>IF($H13="",0,Results!$L18)</f>
        <v>0</v>
      </c>
      <c r="N13" s="227">
        <f>IF($I13="",0,Results!$M18)</f>
        <v>0</v>
      </c>
      <c r="P13" s="234">
        <v>10</v>
      </c>
      <c r="Q13" s="235" t="str">
        <f>IF(Planning!$I16=0,G13&amp;F13,"")</f>
        <v>Racing StraßburgSlovan Bratislava</v>
      </c>
      <c r="R13" s="247">
        <f t="shared" si="1"/>
        <v>1</v>
      </c>
      <c r="S13" s="278" t="str">
        <f>IF(AND(R13&gt;0,Planning!$I16=0),I13&amp;Language!$E$90&amp;H13,"")</f>
        <v>2 - 1</v>
      </c>
    </row>
    <row r="14" spans="1:19" x14ac:dyDescent="0.2">
      <c r="A14" s="216"/>
      <c r="B14" s="21" t="s">
        <v>22</v>
      </c>
      <c r="C14" s="25" t="str">
        <f>IF(Planning!$D17="","",Planning!$D17)</f>
        <v>Omonia Nikosia</v>
      </c>
      <c r="D14" s="2"/>
      <c r="E14" s="214">
        <v>11</v>
      </c>
      <c r="F14" s="137" t="str">
        <f>Planning!$Q17</f>
        <v>AC Florenz</v>
      </c>
      <c r="G14" s="138" t="str">
        <f>Planning!$S17</f>
        <v>Sigma Olmütz</v>
      </c>
      <c r="H14" s="110">
        <f>IF(AND(Results!$Q$6&gt;0,$E14-1&gt;=Results!$Q$6*Calc!$F$42),"",IF(AND(Results!$I19&lt;&gt;"",Results!$K19&lt;&gt;"",Results!$F19&lt;&gt;Results!$H19,$F14&lt;&gt;"",$G14&lt;&gt;""),Results!$I19,""))</f>
        <v>2</v>
      </c>
      <c r="I14" s="17">
        <f>IF(AND(Results!$Q$6&gt;0,$E14-1&gt;=Results!$Q$6*Calc!$F$42),"",IF(AND(Results!$I19&lt;&gt;"",Results!$K19&lt;&gt;"",Results!$F19&lt;&gt;Results!$H19,$F14&lt;&gt;"",$G14&lt;&gt;""),Results!$K19,""))</f>
        <v>0</v>
      </c>
      <c r="J14" s="16" t="str">
        <f>IF(Planning!$I17=0,F14&amp;G14,"")</f>
        <v>AC FlorenzSigma Olmütz</v>
      </c>
      <c r="K14" s="7">
        <f t="shared" si="0"/>
        <v>1</v>
      </c>
      <c r="L14" s="7" t="str">
        <f>IF(AND(K14&gt;0,Planning!$I17=0),H14&amp;Language!$E$90&amp;I14,"")</f>
        <v>2 - 0</v>
      </c>
      <c r="M14" s="226">
        <f>IF($H14="",0,Results!$L19)</f>
        <v>0</v>
      </c>
      <c r="N14" s="227">
        <f>IF($I14="",0,Results!$M19)</f>
        <v>0</v>
      </c>
      <c r="P14" s="234">
        <v>11</v>
      </c>
      <c r="Q14" s="235" t="str">
        <f>IF(Planning!$I17=0,G14&amp;F14,"")</f>
        <v>Sigma OlmützAC Florenz</v>
      </c>
      <c r="R14" s="247">
        <f t="shared" si="1"/>
        <v>1</v>
      </c>
      <c r="S14" s="278" t="str">
        <f>IF(AND(R14&gt;0,Planning!$I17=0),I14&amp;Language!$E$90&amp;H14,"")</f>
        <v>0 - 2</v>
      </c>
    </row>
    <row r="15" spans="1:19" x14ac:dyDescent="0.2">
      <c r="A15" s="216"/>
      <c r="B15" s="21" t="s">
        <v>23</v>
      </c>
      <c r="C15" s="25" t="str">
        <f>IF(Planning!$D18="","",Planning!$D18)</f>
        <v>1. FSV Mainz 05</v>
      </c>
      <c r="D15" s="2"/>
      <c r="E15" s="214">
        <v>12</v>
      </c>
      <c r="F15" s="137" t="str">
        <f>Planning!$Q18</f>
        <v>Legia Warschau</v>
      </c>
      <c r="G15" s="138" t="str">
        <f>Planning!$S18</f>
        <v>Samsunspor</v>
      </c>
      <c r="H15" s="110">
        <f>IF(AND(Results!$Q$6&gt;0,$E15-1&gt;=Results!$Q$6*Calc!$F$42),"",IF(AND(Results!$I20&lt;&gt;"",Results!$K20&lt;&gt;"",Results!$F20&lt;&gt;Results!$H20,$F15&lt;&gt;"",$G15&lt;&gt;""),Results!$I20,""))</f>
        <v>0</v>
      </c>
      <c r="I15" s="17">
        <f>IF(AND(Results!$Q$6&gt;0,$E15-1&gt;=Results!$Q$6*Calc!$F$42),"",IF(AND(Results!$I20&lt;&gt;"",Results!$K20&lt;&gt;"",Results!$F20&lt;&gt;Results!$H20,$F15&lt;&gt;"",$G15&lt;&gt;""),Results!$K20,""))</f>
        <v>1</v>
      </c>
      <c r="J15" s="16" t="str">
        <f>IF(Planning!$I18=0,F15&amp;G15,"")</f>
        <v>Legia WarschauSamsunspor</v>
      </c>
      <c r="K15" s="7">
        <f t="shared" si="0"/>
        <v>1</v>
      </c>
      <c r="L15" s="7" t="str">
        <f>IF(AND(K15&gt;0,Planning!$I18=0),H15&amp;Language!$E$90&amp;I15,"")</f>
        <v>0 - 1</v>
      </c>
      <c r="M15" s="226">
        <f>IF($H15="",0,Results!$L20)</f>
        <v>0</v>
      </c>
      <c r="N15" s="227">
        <f>IF($I15="",0,Results!$M20)</f>
        <v>0</v>
      </c>
      <c r="P15" s="234">
        <v>12</v>
      </c>
      <c r="Q15" s="235" t="str">
        <f>IF(Planning!$I18=0,G15&amp;F15,"")</f>
        <v>SamsunsporLegia Warschau</v>
      </c>
      <c r="R15" s="247">
        <f t="shared" si="1"/>
        <v>1</v>
      </c>
      <c r="S15" s="278" t="str">
        <f>IF(AND(R15&gt;0,Planning!$I18=0),I15&amp;Language!$E$90&amp;H15,"")</f>
        <v>1 - 0</v>
      </c>
    </row>
    <row r="16" spans="1:19" x14ac:dyDescent="0.2">
      <c r="A16" s="216"/>
      <c r="B16" s="21" t="s">
        <v>24</v>
      </c>
      <c r="C16" s="25" t="str">
        <f>IF(Planning!$D19="","",Planning!$D19)</f>
        <v>Kuopion PS</v>
      </c>
      <c r="D16" s="2"/>
      <c r="E16" s="214">
        <v>13</v>
      </c>
      <c r="F16" s="137" t="str">
        <f>Planning!$Q19</f>
        <v>Sparta Prag</v>
      </c>
      <c r="G16" s="138" t="str">
        <f>Planning!$S19</f>
        <v>Shamrock Rovers</v>
      </c>
      <c r="H16" s="110">
        <f>IF(AND(Results!$Q$6&gt;0,$E16-1&gt;=Results!$Q$6*Calc!$F$42),"",IF(AND(Results!$I21&lt;&gt;"",Results!$K21&lt;&gt;"",Results!$F21&lt;&gt;Results!$H21,$F16&lt;&gt;"",$G16&lt;&gt;""),Results!$I21,""))</f>
        <v>4</v>
      </c>
      <c r="I16" s="17">
        <f>IF(AND(Results!$Q$6&gt;0,$E16-1&gt;=Results!$Q$6*Calc!$F$42),"",IF(AND(Results!$I21&lt;&gt;"",Results!$K21&lt;&gt;"",Results!$F21&lt;&gt;Results!$H21,$F16&lt;&gt;"",$G16&lt;&gt;""),Results!$K21,""))</f>
        <v>1</v>
      </c>
      <c r="J16" s="16" t="str">
        <f>IF(Planning!$I19=0,F16&amp;G16,"")</f>
        <v>Sparta PragShamrock Rovers</v>
      </c>
      <c r="K16" s="7">
        <f t="shared" si="0"/>
        <v>1</v>
      </c>
      <c r="L16" s="7" t="str">
        <f>IF(AND(K16&gt;0,Planning!$I19=0),H16&amp;Language!$E$90&amp;I16,"")</f>
        <v>4 - 1</v>
      </c>
      <c r="M16" s="226">
        <f>IF($H16="",0,Results!$L21)</f>
        <v>0</v>
      </c>
      <c r="N16" s="227">
        <f>IF($I16="",0,Results!$M21)</f>
        <v>0</v>
      </c>
      <c r="P16" s="234">
        <v>13</v>
      </c>
      <c r="Q16" s="235" t="str">
        <f>IF(Planning!$I19=0,G16&amp;F16,"")</f>
        <v>Shamrock RoversSparta Prag</v>
      </c>
      <c r="R16" s="247">
        <f t="shared" si="1"/>
        <v>1</v>
      </c>
      <c r="S16" s="278" t="str">
        <f>IF(AND(R16&gt;0,Planning!$I19=0),I16&amp;Language!$E$90&amp;H16,"")</f>
        <v>1 - 4</v>
      </c>
    </row>
    <row r="17" spans="1:19" x14ac:dyDescent="0.2">
      <c r="A17" s="216"/>
      <c r="B17" s="21" t="s">
        <v>25</v>
      </c>
      <c r="C17" s="25" t="str">
        <f>IF(Planning!$D20="","",Planning!$D20)</f>
        <v>KF Drita Gjilan</v>
      </c>
      <c r="D17" s="2"/>
      <c r="E17" s="214">
        <v>14</v>
      </c>
      <c r="F17" s="137" t="str">
        <f>Planning!$Q20</f>
        <v>NK Celje</v>
      </c>
      <c r="G17" s="138" t="str">
        <f>Planning!$S20</f>
        <v>AEK Athen</v>
      </c>
      <c r="H17" s="110">
        <f>IF(AND(Results!$Q$6&gt;0,$E17-1&gt;=Results!$Q$6*Calc!$F$42),"",IF(AND(Results!$I22&lt;&gt;"",Results!$K22&lt;&gt;"",Results!$F22&lt;&gt;Results!$H22,$F17&lt;&gt;"",$G17&lt;&gt;""),Results!$I22,""))</f>
        <v>3</v>
      </c>
      <c r="I17" s="17">
        <f>IF(AND(Results!$Q$6&gt;0,$E17-1&gt;=Results!$Q$6*Calc!$F$42),"",IF(AND(Results!$I22&lt;&gt;"",Results!$K22&lt;&gt;"",Results!$F22&lt;&gt;Results!$H22,$F17&lt;&gt;"",$G17&lt;&gt;""),Results!$K22,""))</f>
        <v>1</v>
      </c>
      <c r="J17" s="16" t="str">
        <f>IF(Planning!$I20=0,F17&amp;G17,"")</f>
        <v>NK CeljeAEK Athen</v>
      </c>
      <c r="K17" s="7">
        <f t="shared" si="0"/>
        <v>1</v>
      </c>
      <c r="L17" s="7" t="str">
        <f>IF(AND(K17&gt;0,Planning!$I20=0),H17&amp;Language!$E$90&amp;I17,"")</f>
        <v>3 - 1</v>
      </c>
      <c r="M17" s="226">
        <f>IF($H17="",0,Results!$L22)</f>
        <v>0</v>
      </c>
      <c r="N17" s="227">
        <f>IF($I17="",0,Results!$M22)</f>
        <v>0</v>
      </c>
      <c r="P17" s="234">
        <v>14</v>
      </c>
      <c r="Q17" s="235" t="str">
        <f>IF(Planning!$I20=0,G17&amp;F17,"")</f>
        <v>AEK AthenNK Celje</v>
      </c>
      <c r="R17" s="247">
        <f t="shared" si="1"/>
        <v>1</v>
      </c>
      <c r="S17" s="278" t="str">
        <f>IF(AND(R17&gt;0,Planning!$I20=0),I17&amp;Language!$E$90&amp;H17,"")</f>
        <v>1 - 3</v>
      </c>
    </row>
    <row r="18" spans="1:19" x14ac:dyDescent="0.2">
      <c r="A18" s="216"/>
      <c r="B18" s="21" t="s">
        <v>26</v>
      </c>
      <c r="C18" s="25" t="str">
        <f>IF(Planning!$D21="","",Planning!$D21)</f>
        <v>FC Noah</v>
      </c>
      <c r="D18" s="2"/>
      <c r="E18" s="214">
        <v>15</v>
      </c>
      <c r="F18" s="137" t="str">
        <f>Planning!$Q21</f>
        <v>FC Aberdeen</v>
      </c>
      <c r="G18" s="138" t="str">
        <f>Planning!$S21</f>
        <v>Schachtar Donezk</v>
      </c>
      <c r="H18" s="110">
        <f>IF(AND(Results!$Q$6&gt;0,$E18-1&gt;=Results!$Q$6*Calc!$F$42),"",IF(AND(Results!$I23&lt;&gt;"",Results!$K23&lt;&gt;"",Results!$F23&lt;&gt;Results!$H23,$F18&lt;&gt;"",$G18&lt;&gt;""),Results!$I23,""))</f>
        <v>2</v>
      </c>
      <c r="I18" s="17">
        <f>IF(AND(Results!$Q$6&gt;0,$E18-1&gt;=Results!$Q$6*Calc!$F$42),"",IF(AND(Results!$I23&lt;&gt;"",Results!$K23&lt;&gt;"",Results!$F23&lt;&gt;Results!$H23,$F18&lt;&gt;"",$G18&lt;&gt;""),Results!$K23,""))</f>
        <v>3</v>
      </c>
      <c r="J18" s="16" t="str">
        <f>IF(Planning!$I21=0,F18&amp;G18,"")</f>
        <v>FC AberdeenSchachtar Donezk</v>
      </c>
      <c r="K18" s="7">
        <f t="shared" si="0"/>
        <v>1</v>
      </c>
      <c r="L18" s="7" t="str">
        <f>IF(AND(K18&gt;0,Planning!$I21=0),H18&amp;Language!$E$90&amp;I18,"")</f>
        <v>2 - 3</v>
      </c>
      <c r="M18" s="226">
        <f>IF($H18="",0,Results!$L23)</f>
        <v>0</v>
      </c>
      <c r="N18" s="227">
        <f>IF($I18="",0,Results!$M23)</f>
        <v>0</v>
      </c>
      <c r="P18" s="234">
        <v>15</v>
      </c>
      <c r="Q18" s="235" t="str">
        <f>IF(Planning!$I21=0,G18&amp;F18,"")</f>
        <v>Schachtar DonezkFC Aberdeen</v>
      </c>
      <c r="R18" s="247">
        <f t="shared" si="1"/>
        <v>1</v>
      </c>
      <c r="S18" s="278" t="str">
        <f>IF(AND(R18&gt;0,Planning!$I21=0),I18&amp;Language!$E$90&amp;H18,"")</f>
        <v>3 - 2</v>
      </c>
    </row>
    <row r="19" spans="1:19" x14ac:dyDescent="0.2">
      <c r="A19" s="216"/>
      <c r="B19" s="21" t="s">
        <v>27</v>
      </c>
      <c r="C19" s="25" t="str">
        <f>IF(Planning!$D22="","",Planning!$D22)</f>
        <v>HNK Rijeka</v>
      </c>
      <c r="D19" s="2"/>
      <c r="E19" s="214">
        <v>16</v>
      </c>
      <c r="F19" s="137" t="str">
        <f>Planning!$Q22</f>
        <v>Rakow Tschenstochau</v>
      </c>
      <c r="G19" s="138" t="str">
        <f>Planning!$S22</f>
        <v>Universitatea Craiova</v>
      </c>
      <c r="H19" s="110">
        <f>IF(AND(Results!$Q$6&gt;0,$E19-1&gt;=Results!$Q$6*Calc!$F$42),"",IF(AND(Results!$I24&lt;&gt;"",Results!$K24&lt;&gt;"",Results!$F24&lt;&gt;Results!$H24,$F19&lt;&gt;"",$G19&lt;&gt;""),Results!$I24,""))</f>
        <v>2</v>
      </c>
      <c r="I19" s="17">
        <f>IF(AND(Results!$Q$6&gt;0,$E19-1&gt;=Results!$Q$6*Calc!$F$42),"",IF(AND(Results!$I24&lt;&gt;"",Results!$K24&lt;&gt;"",Results!$F24&lt;&gt;Results!$H24,$F19&lt;&gt;"",$G19&lt;&gt;""),Results!$K24,""))</f>
        <v>0</v>
      </c>
      <c r="J19" s="16" t="str">
        <f>IF(Planning!$I22=0,F19&amp;G19,"")</f>
        <v>Rakow TschenstochauUniversitatea Craiova</v>
      </c>
      <c r="K19" s="7">
        <f t="shared" si="0"/>
        <v>1</v>
      </c>
      <c r="L19" s="7" t="str">
        <f>IF(AND(K19&gt;0,Planning!$I22=0),H19&amp;Language!$E$90&amp;I19,"")</f>
        <v>2 - 0</v>
      </c>
      <c r="M19" s="226">
        <f>IF($H19="",0,Results!$L24)</f>
        <v>0</v>
      </c>
      <c r="N19" s="227">
        <f>IF($I19="",0,Results!$M24)</f>
        <v>0</v>
      </c>
      <c r="P19" s="234">
        <v>16</v>
      </c>
      <c r="Q19" s="235" t="str">
        <f>IF(Planning!$I22=0,G19&amp;F19,"")</f>
        <v>Universitatea CraiovaRakow Tschenstochau</v>
      </c>
      <c r="R19" s="247">
        <f t="shared" si="1"/>
        <v>1</v>
      </c>
      <c r="S19" s="278" t="str">
        <f>IF(AND(R19&gt;0,Planning!$I22=0),I19&amp;Language!$E$90&amp;H19,"")</f>
        <v>0 - 2</v>
      </c>
    </row>
    <row r="20" spans="1:19" x14ac:dyDescent="0.2">
      <c r="A20" s="216"/>
      <c r="B20" s="21" t="s">
        <v>28</v>
      </c>
      <c r="C20" s="25" t="str">
        <f>IF(Planning!$D23="","",Planning!$D23)</f>
        <v>FC Lausanne-Sport</v>
      </c>
      <c r="D20" s="2"/>
      <c r="E20" s="214">
        <v>17</v>
      </c>
      <c r="F20" s="137" t="str">
        <f>Planning!$Q23</f>
        <v>AEK Larnaka</v>
      </c>
      <c r="G20" s="138" t="str">
        <f>Planning!$S23</f>
        <v>AZ Alkmaar</v>
      </c>
      <c r="H20" s="110">
        <f>IF(AND(Results!$Q$6&gt;0,$E20-1&gt;=Results!$Q$6*Calc!$F$42),"",IF(AND(Results!$I25&lt;&gt;"",Results!$K25&lt;&gt;"",Results!$F25&lt;&gt;Results!$H25,$F20&lt;&gt;"",$G20&lt;&gt;""),Results!$I25,""))</f>
        <v>4</v>
      </c>
      <c r="I20" s="17">
        <f>IF(AND(Results!$Q$6&gt;0,$E20-1&gt;=Results!$Q$6*Calc!$F$42),"",IF(AND(Results!$I25&lt;&gt;"",Results!$K25&lt;&gt;"",Results!$F25&lt;&gt;Results!$H25,$F20&lt;&gt;"",$G20&lt;&gt;""),Results!$K25,""))</f>
        <v>0</v>
      </c>
      <c r="J20" s="16" t="str">
        <f>IF(Planning!$I23=0,F20&amp;G20,"")</f>
        <v>AEK LarnakaAZ Alkmaar</v>
      </c>
      <c r="K20" s="7">
        <f t="shared" si="0"/>
        <v>1</v>
      </c>
      <c r="L20" s="7" t="str">
        <f>IF(AND(K20&gt;0,Planning!$I23=0),H20&amp;Language!$E$90&amp;I20,"")</f>
        <v>4 - 0</v>
      </c>
      <c r="M20" s="226">
        <f>IF($H20="",0,Results!$L25)</f>
        <v>0</v>
      </c>
      <c r="N20" s="227">
        <f>IF($I20="",0,Results!$M25)</f>
        <v>0</v>
      </c>
      <c r="P20" s="234">
        <v>17</v>
      </c>
      <c r="Q20" s="235" t="str">
        <f>IF(Planning!$I23=0,G20&amp;F20,"")</f>
        <v>AZ AlkmaarAEK Larnaka</v>
      </c>
      <c r="R20" s="247">
        <f t="shared" si="1"/>
        <v>1</v>
      </c>
      <c r="S20" s="278" t="str">
        <f>IF(AND(R20&gt;0,Planning!$I23=0),I20&amp;Language!$E$90&amp;H20,"")</f>
        <v>0 - 4</v>
      </c>
    </row>
    <row r="21" spans="1:19" x14ac:dyDescent="0.2">
      <c r="A21" s="216"/>
      <c r="B21" s="21" t="s">
        <v>29</v>
      </c>
      <c r="C21" s="25" t="str">
        <f>IF(Planning!$D24="","",Planning!$D24)</f>
        <v>UMF Breidablik</v>
      </c>
      <c r="D21" s="2"/>
      <c r="E21" s="214">
        <v>18</v>
      </c>
      <c r="F21" s="137" t="str">
        <f>Planning!$Q24</f>
        <v>FC Shelbourne</v>
      </c>
      <c r="G21" s="138" t="str">
        <f>Planning!$S24</f>
        <v>BK Häcken</v>
      </c>
      <c r="H21" s="110">
        <f>IF(AND(Results!$Q$6&gt;0,$E21-1&gt;=Results!$Q$6*Calc!$F$42),"",IF(AND(Results!$I26&lt;&gt;"",Results!$K26&lt;&gt;"",Results!$F26&lt;&gt;Results!$H26,$F21&lt;&gt;"",$G21&lt;&gt;""),Results!$I26,""))</f>
        <v>0</v>
      </c>
      <c r="I21" s="17">
        <f>IF(AND(Results!$Q$6&gt;0,$E21-1&gt;=Results!$Q$6*Calc!$F$42),"",IF(AND(Results!$I26&lt;&gt;"",Results!$K26&lt;&gt;"",Results!$F26&lt;&gt;Results!$H26,$F21&lt;&gt;"",$G21&lt;&gt;""),Results!$K26,""))</f>
        <v>0</v>
      </c>
      <c r="J21" s="16" t="str">
        <f>IF(Planning!$I24=0,F21&amp;G21,"")</f>
        <v>FC ShelbourneBK Häcken</v>
      </c>
      <c r="K21" s="7">
        <f t="shared" si="0"/>
        <v>1</v>
      </c>
      <c r="L21" s="7" t="str">
        <f>IF(AND(K21&gt;0,Planning!$I24=0),H21&amp;Language!$E$90&amp;I21,"")</f>
        <v>0 - 0</v>
      </c>
      <c r="M21" s="226">
        <f>IF($H21="",0,Results!$L26)</f>
        <v>0</v>
      </c>
      <c r="N21" s="227">
        <f>IF($I21="",0,Results!$M26)</f>
        <v>0</v>
      </c>
      <c r="P21" s="234">
        <v>18</v>
      </c>
      <c r="Q21" s="235" t="str">
        <f>IF(Planning!$I24=0,G21&amp;F21,"")</f>
        <v>BK HäckenFC Shelbourne</v>
      </c>
      <c r="R21" s="247">
        <f t="shared" si="1"/>
        <v>1</v>
      </c>
      <c r="S21" s="278" t="str">
        <f>IF(AND(R21&gt;0,Planning!$I24=0),I21&amp;Language!$E$90&amp;H21,"")</f>
        <v>0 - 0</v>
      </c>
    </row>
    <row r="22" spans="1:19" x14ac:dyDescent="0.2">
      <c r="A22" s="216"/>
      <c r="B22" s="21" t="s">
        <v>30</v>
      </c>
      <c r="C22" s="25" t="str">
        <f>IF(Planning!$D25="","",Planning!$D25)</f>
        <v>Slovan Bratislava</v>
      </c>
      <c r="D22" s="2"/>
      <c r="E22" s="214">
        <v>19</v>
      </c>
      <c r="F22" s="137" t="str">
        <f>Planning!$Q25</f>
        <v>Schachtar Donezk</v>
      </c>
      <c r="G22" s="138" t="str">
        <f>Planning!$S25</f>
        <v>Legia Warschau</v>
      </c>
      <c r="H22" s="110">
        <f>IF(AND(Results!$Q$6&gt;0,$E22-1&gt;=Results!$Q$6*Calc!$F$42),"",IF(AND(Results!$I27&lt;&gt;"",Results!$K27&lt;&gt;"",Results!$F27&lt;&gt;Results!$H27,$F22&lt;&gt;"",$G22&lt;&gt;""),Results!$I27,""))</f>
        <v>1</v>
      </c>
      <c r="I22" s="17">
        <f>IF(AND(Results!$Q$6&gt;0,$E22-1&gt;=Results!$Q$6*Calc!$F$42),"",IF(AND(Results!$I27&lt;&gt;"",Results!$K27&lt;&gt;"",Results!$F27&lt;&gt;Results!$H27,$F22&lt;&gt;"",$G22&lt;&gt;""),Results!$K27,""))</f>
        <v>2</v>
      </c>
      <c r="J22" s="16" t="str">
        <f>IF(Planning!$I25=0,F22&amp;G22,"")</f>
        <v>Schachtar DonezkLegia Warschau</v>
      </c>
      <c r="K22" s="7">
        <f t="shared" si="0"/>
        <v>1</v>
      </c>
      <c r="L22" s="7" t="str">
        <f>IF(AND(K22&gt;0,Planning!$I25=0),H22&amp;Language!$E$90&amp;I22,"")</f>
        <v>1 - 2</v>
      </c>
      <c r="M22" s="226">
        <f>IF($H22="",0,Results!$L27)</f>
        <v>0</v>
      </c>
      <c r="N22" s="227">
        <f>IF($I22="",0,Results!$M27)</f>
        <v>0</v>
      </c>
      <c r="P22" s="234">
        <v>19</v>
      </c>
      <c r="Q22" s="235" t="str">
        <f>IF(Planning!$I25=0,G22&amp;F22,"")</f>
        <v>Legia WarschauSchachtar Donezk</v>
      </c>
      <c r="R22" s="247">
        <f t="shared" si="1"/>
        <v>1</v>
      </c>
      <c r="S22" s="278" t="str">
        <f>IF(AND(R22&gt;0,Planning!$I25=0),I22&amp;Language!$E$90&amp;H22,"")</f>
        <v>2 - 1</v>
      </c>
    </row>
    <row r="23" spans="1:19" x14ac:dyDescent="0.2">
      <c r="A23" s="216"/>
      <c r="B23" s="21" t="s">
        <v>31</v>
      </c>
      <c r="C23" s="25" t="str">
        <f>IF(Planning!$D26="","",Planning!$D26)</f>
        <v>Racing Straßburg</v>
      </c>
      <c r="D23" s="2"/>
      <c r="E23" s="214">
        <v>20</v>
      </c>
      <c r="F23" s="137" t="str">
        <f>Planning!$Q26</f>
        <v>Rapid Wien</v>
      </c>
      <c r="G23" s="138" t="str">
        <f>Planning!$S26</f>
        <v>AC Florenz</v>
      </c>
      <c r="H23" s="110">
        <f>IF(AND(Results!$Q$6&gt;0,$E23-1&gt;=Results!$Q$6*Calc!$F$42),"",IF(AND(Results!$I28&lt;&gt;"",Results!$K28&lt;&gt;"",Results!$F28&lt;&gt;Results!$H28,$F23&lt;&gt;"",$G23&lt;&gt;""),Results!$I28,""))</f>
        <v>0</v>
      </c>
      <c r="I23" s="17">
        <f>IF(AND(Results!$Q$6&gt;0,$E23-1&gt;=Results!$Q$6*Calc!$F$42),"",IF(AND(Results!$I28&lt;&gt;"",Results!$K28&lt;&gt;"",Results!$F28&lt;&gt;Results!$H28,$F23&lt;&gt;"",$G23&lt;&gt;""),Results!$K28,""))</f>
        <v>3</v>
      </c>
      <c r="J23" s="16" t="str">
        <f>IF(Planning!$I26=0,F23&amp;G23,"")</f>
        <v>Rapid WienAC Florenz</v>
      </c>
      <c r="K23" s="7">
        <f t="shared" si="0"/>
        <v>1</v>
      </c>
      <c r="L23" s="7" t="str">
        <f>IF(AND(K23&gt;0,Planning!$I26=0),H23&amp;Language!$E$90&amp;I23,"")</f>
        <v>0 - 3</v>
      </c>
      <c r="M23" s="226">
        <f>IF($H23="",0,Results!$L28)</f>
        <v>0</v>
      </c>
      <c r="N23" s="227">
        <f>IF($I23="",0,Results!$M28)</f>
        <v>0</v>
      </c>
      <c r="P23" s="234">
        <v>20</v>
      </c>
      <c r="Q23" s="235" t="str">
        <f>IF(Planning!$I26=0,G23&amp;F23,"")</f>
        <v>AC FlorenzRapid Wien</v>
      </c>
      <c r="R23" s="247">
        <f t="shared" si="1"/>
        <v>1</v>
      </c>
      <c r="S23" s="278" t="str">
        <f>IF(AND(R23&gt;0,Planning!$I26=0),I23&amp;Language!$E$90&amp;H23,"")</f>
        <v>3 - 0</v>
      </c>
    </row>
    <row r="24" spans="1:19" x14ac:dyDescent="0.2">
      <c r="A24" s="216"/>
      <c r="B24" s="21" t="s">
        <v>32</v>
      </c>
      <c r="C24" s="25" t="str">
        <f>IF(Planning!$D27="","",Planning!$D27)</f>
        <v>AC Florenz</v>
      </c>
      <c r="D24" s="2"/>
      <c r="E24" s="214">
        <v>21</v>
      </c>
      <c r="F24" s="137" t="str">
        <f>Planning!$Q27</f>
        <v>Racing Straßburg</v>
      </c>
      <c r="G24" s="138" t="str">
        <f>Planning!$S27</f>
        <v>Jagiellonia Bialystok</v>
      </c>
      <c r="H24" s="110">
        <f>IF(AND(Results!$Q$6&gt;0,$E24-1&gt;=Results!$Q$6*Calc!$F$42),"",IF(AND(Results!$I29&lt;&gt;"",Results!$K29&lt;&gt;"",Results!$F29&lt;&gt;Results!$H29,$F24&lt;&gt;"",$G24&lt;&gt;""),Results!$I29,""))</f>
        <v>1</v>
      </c>
      <c r="I24" s="17">
        <f>IF(AND(Results!$Q$6&gt;0,$E24-1&gt;=Results!$Q$6*Calc!$F$42),"",IF(AND(Results!$I29&lt;&gt;"",Results!$K29&lt;&gt;"",Results!$F29&lt;&gt;Results!$H29,$F24&lt;&gt;"",$G24&lt;&gt;""),Results!$K29,""))</f>
        <v>1</v>
      </c>
      <c r="J24" s="16" t="str">
        <f>IF(Planning!$I27=0,F24&amp;G24,"")</f>
        <v>Racing StraßburgJagiellonia Bialystok</v>
      </c>
      <c r="K24" s="7">
        <f t="shared" si="0"/>
        <v>1</v>
      </c>
      <c r="L24" s="7" t="str">
        <f>IF(AND(K24&gt;0,Planning!$I27=0),H24&amp;Language!$E$90&amp;I24,"")</f>
        <v>1 - 1</v>
      </c>
      <c r="M24" s="226">
        <f>IF($H24="",0,Results!$L29)</f>
        <v>0</v>
      </c>
      <c r="N24" s="227">
        <f>IF($I24="",0,Results!$M29)</f>
        <v>0</v>
      </c>
      <c r="P24" s="234">
        <v>21</v>
      </c>
      <c r="Q24" s="235" t="str">
        <f>IF(Planning!$I27=0,G24&amp;F24,"")</f>
        <v>Jagiellonia BialystokRacing Straßburg</v>
      </c>
      <c r="R24" s="247">
        <f t="shared" si="1"/>
        <v>1</v>
      </c>
      <c r="S24" s="278" t="str">
        <f>IF(AND(R24&gt;0,Planning!$I27=0),I24&amp;Language!$E$90&amp;H24,"")</f>
        <v>1 - 1</v>
      </c>
    </row>
    <row r="25" spans="1:19" x14ac:dyDescent="0.2">
      <c r="A25" s="216"/>
      <c r="B25" s="21" t="s">
        <v>33</v>
      </c>
      <c r="C25" s="25" t="str">
        <f>IF(Planning!$D28="","",Planning!$D28)</f>
        <v>Sigma Olmütz</v>
      </c>
      <c r="D25" s="2"/>
      <c r="E25" s="214">
        <v>22</v>
      </c>
      <c r="F25" s="137" t="str">
        <f>Planning!$Q28</f>
        <v>AEK Athen</v>
      </c>
      <c r="G25" s="138" t="str">
        <f>Planning!$S28</f>
        <v>FC Aberdeen</v>
      </c>
      <c r="H25" s="110">
        <f>IF(AND(Results!$Q$6&gt;0,$E25-1&gt;=Results!$Q$6*Calc!$F$42),"",IF(AND(Results!$I30&lt;&gt;"",Results!$K30&lt;&gt;"",Results!$F30&lt;&gt;Results!$H30,$F25&lt;&gt;"",$G25&lt;&gt;""),Results!$I30,""))</f>
        <v>6</v>
      </c>
      <c r="I25" s="17">
        <f>IF(AND(Results!$Q$6&gt;0,$E25-1&gt;=Results!$Q$6*Calc!$F$42),"",IF(AND(Results!$I30&lt;&gt;"",Results!$K30&lt;&gt;"",Results!$F30&lt;&gt;Results!$H30,$F25&lt;&gt;"",$G25&lt;&gt;""),Results!$K30,""))</f>
        <v>0</v>
      </c>
      <c r="J25" s="16" t="str">
        <f>IF(Planning!$I28=0,F25&amp;G25,"")</f>
        <v>AEK AthenFC Aberdeen</v>
      </c>
      <c r="K25" s="7">
        <f t="shared" si="0"/>
        <v>1</v>
      </c>
      <c r="L25" s="7" t="str">
        <f>IF(AND(K25&gt;0,Planning!$I28=0),H25&amp;Language!$E$90&amp;I25,"")</f>
        <v>6 - 0</v>
      </c>
      <c r="M25" s="226">
        <f>IF($H25="",0,Results!$L30)</f>
        <v>0</v>
      </c>
      <c r="N25" s="227">
        <f>IF($I25="",0,Results!$M30)</f>
        <v>0</v>
      </c>
      <c r="P25" s="234">
        <v>22</v>
      </c>
      <c r="Q25" s="235" t="str">
        <f>IF(Planning!$I28=0,G25&amp;F25,"")</f>
        <v>FC AberdeenAEK Athen</v>
      </c>
      <c r="R25" s="247">
        <f t="shared" si="1"/>
        <v>1</v>
      </c>
      <c r="S25" s="278" t="str">
        <f>IF(AND(R25&gt;0,Planning!$I28=0),I25&amp;Language!$E$90&amp;H25,"")</f>
        <v>0 - 6</v>
      </c>
    </row>
    <row r="26" spans="1:19" x14ac:dyDescent="0.2">
      <c r="A26" s="216"/>
      <c r="B26" s="21" t="s">
        <v>34</v>
      </c>
      <c r="C26" s="25" t="str">
        <f>IF(Planning!$D29="","",Planning!$D29)</f>
        <v>Legia Warschau</v>
      </c>
      <c r="D26" s="2"/>
      <c r="E26" s="214">
        <v>23</v>
      </c>
      <c r="F26" s="137" t="str">
        <f>Planning!$Q29</f>
        <v>HNK Rijeka</v>
      </c>
      <c r="G26" s="138" t="str">
        <f>Planning!$S29</f>
        <v>Sparta Prag</v>
      </c>
      <c r="H26" s="110">
        <f>IF(AND(Results!$Q$6&gt;0,$E26-1&gt;=Results!$Q$6*Calc!$F$42),"",IF(AND(Results!$I31&lt;&gt;"",Results!$K31&lt;&gt;"",Results!$F31&lt;&gt;Results!$H31,$F26&lt;&gt;"",$G26&lt;&gt;""),Results!$I31,""))</f>
        <v>1</v>
      </c>
      <c r="I26" s="17">
        <f>IF(AND(Results!$Q$6&gt;0,$E26-1&gt;=Results!$Q$6*Calc!$F$42),"",IF(AND(Results!$I31&lt;&gt;"",Results!$K31&lt;&gt;"",Results!$F31&lt;&gt;Results!$H31,$F26&lt;&gt;"",$G26&lt;&gt;""),Results!$K31,""))</f>
        <v>0</v>
      </c>
      <c r="J26" s="16" t="str">
        <f>IF(Planning!$I29=0,F26&amp;G26,"")</f>
        <v>HNK RijekaSparta Prag</v>
      </c>
      <c r="K26" s="7">
        <f t="shared" si="0"/>
        <v>1</v>
      </c>
      <c r="L26" s="7" t="str">
        <f>IF(AND(K26&gt;0,Planning!$I29=0),H26&amp;Language!$E$90&amp;I26,"")</f>
        <v>1 - 0</v>
      </c>
      <c r="M26" s="226">
        <f>IF($H26="",0,Results!$L31)</f>
        <v>0</v>
      </c>
      <c r="N26" s="227">
        <f>IF($I26="",0,Results!$M31)</f>
        <v>0</v>
      </c>
      <c r="P26" s="234">
        <v>23</v>
      </c>
      <c r="Q26" s="235" t="str">
        <f>IF(Planning!$I29=0,G26&amp;F26,"")</f>
        <v>Sparta PragHNK Rijeka</v>
      </c>
      <c r="R26" s="247">
        <f t="shared" si="1"/>
        <v>1</v>
      </c>
      <c r="S26" s="278" t="str">
        <f>IF(AND(R26&gt;0,Planning!$I29=0),I26&amp;Language!$E$90&amp;H26,"")</f>
        <v>0 - 1</v>
      </c>
    </row>
    <row r="27" spans="1:19" x14ac:dyDescent="0.2">
      <c r="A27" s="216"/>
      <c r="B27" s="21" t="s">
        <v>35</v>
      </c>
      <c r="C27" s="25" t="str">
        <f>IF(Planning!$D30="","",Planning!$D30)</f>
        <v>Samsunspor</v>
      </c>
      <c r="D27" s="2"/>
      <c r="E27" s="214">
        <v>24</v>
      </c>
      <c r="F27" s="137" t="str">
        <f>Planning!$Q30</f>
        <v>KF Drita Gjilan</v>
      </c>
      <c r="G27" s="138" t="str">
        <f>Planning!$S30</f>
        <v>Omonia Nikosia</v>
      </c>
      <c r="H27" s="110">
        <f>IF(AND(Results!$Q$6&gt;0,$E27-1&gt;=Results!$Q$6*Calc!$F$42),"",IF(AND(Results!$I32&lt;&gt;"",Results!$K32&lt;&gt;"",Results!$F32&lt;&gt;Results!$H32,$F27&lt;&gt;"",$G27&lt;&gt;""),Results!$I32,""))</f>
        <v>1</v>
      </c>
      <c r="I27" s="17">
        <f>IF(AND(Results!$Q$6&gt;0,$E27-1&gt;=Results!$Q$6*Calc!$F$42),"",IF(AND(Results!$I32&lt;&gt;"",Results!$K32&lt;&gt;"",Results!$F32&lt;&gt;Results!$H32,$F27&lt;&gt;"",$G27&lt;&gt;""),Results!$K32,""))</f>
        <v>1</v>
      </c>
      <c r="J27" s="16" t="str">
        <f>IF(Planning!$I30=0,F27&amp;G27,"")</f>
        <v>KF Drita GjilanOmonia Nikosia</v>
      </c>
      <c r="K27" s="7">
        <f t="shared" si="0"/>
        <v>1</v>
      </c>
      <c r="L27" s="7" t="str">
        <f>IF(AND(K27&gt;0,Planning!$I30=0),H27&amp;Language!$E$90&amp;I27,"")</f>
        <v>1 - 1</v>
      </c>
      <c r="M27" s="226">
        <f>IF($H27="",0,Results!$L32)</f>
        <v>0</v>
      </c>
      <c r="N27" s="227">
        <f>IF($I27="",0,Results!$M32)</f>
        <v>0</v>
      </c>
      <c r="P27" s="234">
        <v>24</v>
      </c>
      <c r="Q27" s="235" t="str">
        <f>IF(Planning!$I30=0,G27&amp;F27,"")</f>
        <v>Omonia NikosiaKF Drita Gjilan</v>
      </c>
      <c r="R27" s="247">
        <f t="shared" si="1"/>
        <v>1</v>
      </c>
      <c r="S27" s="278" t="str">
        <f>IF(AND(R27&gt;0,Planning!$I30=0),I27&amp;Language!$E$90&amp;H27,"")</f>
        <v>1 - 1</v>
      </c>
    </row>
    <row r="28" spans="1:19" x14ac:dyDescent="0.2">
      <c r="A28" s="216"/>
      <c r="B28" s="21" t="s">
        <v>36</v>
      </c>
      <c r="C28" s="25" t="str">
        <f>IF(Planning!$D31="","",Planning!$D31)</f>
        <v>Sparta Prag</v>
      </c>
      <c r="D28" s="2"/>
      <c r="E28" s="214">
        <v>25</v>
      </c>
      <c r="F28" s="137" t="str">
        <f>Planning!$Q31</f>
        <v>UMF Breidablik</v>
      </c>
      <c r="G28" s="138" t="str">
        <f>Planning!$S31</f>
        <v>Kuopion PS</v>
      </c>
      <c r="H28" s="110">
        <f>IF(AND(Results!$Q$6&gt;0,$E28-1&gt;=Results!$Q$6*Calc!$F$42),"",IF(AND(Results!$I33&lt;&gt;"",Results!$K33&lt;&gt;"",Results!$F33&lt;&gt;Results!$H33,$F28&lt;&gt;"",$G28&lt;&gt;""),Results!$I33,""))</f>
        <v>0</v>
      </c>
      <c r="I28" s="17">
        <f>IF(AND(Results!$Q$6&gt;0,$E28-1&gt;=Results!$Q$6*Calc!$F$42),"",IF(AND(Results!$I33&lt;&gt;"",Results!$K33&lt;&gt;"",Results!$F33&lt;&gt;Results!$H33,$F28&lt;&gt;"",$G28&lt;&gt;""),Results!$K33,""))</f>
        <v>0</v>
      </c>
      <c r="J28" s="16" t="str">
        <f>IF(Planning!$I31=0,F28&amp;G28,"")</f>
        <v>UMF BreidablikKuopion PS</v>
      </c>
      <c r="K28" s="7">
        <f t="shared" si="0"/>
        <v>1</v>
      </c>
      <c r="L28" s="7" t="str">
        <f>IF(AND(K28&gt;0,Planning!$I31=0),H28&amp;Language!$E$90&amp;I28,"")</f>
        <v>0 - 0</v>
      </c>
      <c r="M28" s="226">
        <f>IF($H28="",0,Results!$L33)</f>
        <v>0</v>
      </c>
      <c r="N28" s="227">
        <f>IF($I28="",0,Results!$M33)</f>
        <v>0</v>
      </c>
      <c r="P28" s="234">
        <v>25</v>
      </c>
      <c r="Q28" s="235" t="str">
        <f>IF(Planning!$I31=0,G28&amp;F28,"")</f>
        <v>Kuopion PSUMF Breidablik</v>
      </c>
      <c r="R28" s="247">
        <f t="shared" si="1"/>
        <v>1</v>
      </c>
      <c r="S28" s="278" t="str">
        <f>IF(AND(R28&gt;0,Planning!$I31=0),I28&amp;Language!$E$90&amp;H28,"")</f>
        <v>0 - 0</v>
      </c>
    </row>
    <row r="29" spans="1:19" x14ac:dyDescent="0.2">
      <c r="A29" s="216"/>
      <c r="B29" s="21" t="s">
        <v>37</v>
      </c>
      <c r="C29" s="25" t="str">
        <f>IF(Planning!$D32="","",Planning!$D32)</f>
        <v>Shamrock Rovers</v>
      </c>
      <c r="D29" s="2"/>
      <c r="E29" s="214">
        <v>26</v>
      </c>
      <c r="F29" s="137" t="str">
        <f>Planning!$Q32</f>
        <v>Shkendija Tetovo</v>
      </c>
      <c r="G29" s="138" t="str">
        <f>Planning!$S32</f>
        <v>FC Shelbourne</v>
      </c>
      <c r="H29" s="110">
        <f>IF(AND(Results!$Q$6&gt;0,$E29-1&gt;=Results!$Q$6*Calc!$F$42),"",IF(AND(Results!$I34&lt;&gt;"",Results!$K34&lt;&gt;"",Results!$F34&lt;&gt;Results!$H34,$F29&lt;&gt;"",$G29&lt;&gt;""),Results!$I34,""))</f>
        <v>1</v>
      </c>
      <c r="I29" s="17">
        <f>IF(AND(Results!$Q$6&gt;0,$E29-1&gt;=Results!$Q$6*Calc!$F$42),"",IF(AND(Results!$I34&lt;&gt;"",Results!$K34&lt;&gt;"",Results!$F34&lt;&gt;Results!$H34,$F29&lt;&gt;"",$G29&lt;&gt;""),Results!$K34,""))</f>
        <v>0</v>
      </c>
      <c r="J29" s="16" t="str">
        <f>IF(Planning!$I32=0,F29&amp;G29,"")</f>
        <v>Shkendija TetovoFC Shelbourne</v>
      </c>
      <c r="K29" s="7">
        <f t="shared" si="0"/>
        <v>1</v>
      </c>
      <c r="L29" s="7" t="str">
        <f>IF(AND(K29&gt;0,Planning!$I32=0),H29&amp;Language!$E$90&amp;I29,"")</f>
        <v>1 - 0</v>
      </c>
      <c r="M29" s="226">
        <f>IF($H29="",0,Results!$L34)</f>
        <v>0</v>
      </c>
      <c r="N29" s="227">
        <f>IF($I29="",0,Results!$M34)</f>
        <v>0</v>
      </c>
      <c r="P29" s="234">
        <v>26</v>
      </c>
      <c r="Q29" s="235" t="str">
        <f>IF(Planning!$I32=0,G29&amp;F29,"")</f>
        <v>FC ShelbourneShkendija Tetovo</v>
      </c>
      <c r="R29" s="247">
        <f t="shared" si="1"/>
        <v>1</v>
      </c>
      <c r="S29" s="278" t="str">
        <f>IF(AND(R29&gt;0,Planning!$I32=0),I29&amp;Language!$E$90&amp;H29,"")</f>
        <v>0 - 1</v>
      </c>
    </row>
    <row r="30" spans="1:19" x14ac:dyDescent="0.2">
      <c r="A30" s="216"/>
      <c r="B30" s="21" t="s">
        <v>38</v>
      </c>
      <c r="C30" s="25" t="str">
        <f>IF(Planning!$D33="","",Planning!$D33)</f>
        <v>NK Celje</v>
      </c>
      <c r="D30" s="2"/>
      <c r="E30" s="214">
        <v>27</v>
      </c>
      <c r="F30" s="137" t="str">
        <f>Planning!$Q33</f>
        <v>BK Häcken</v>
      </c>
      <c r="G30" s="138" t="str">
        <f>Planning!$S33</f>
        <v>Rayo Vallecano</v>
      </c>
      <c r="H30" s="110">
        <f>IF(AND(Results!$Q$6&gt;0,$E30-1&gt;=Results!$Q$6*Calc!$F$42),"",IF(AND(Results!$I35&lt;&gt;"",Results!$K35&lt;&gt;"",Results!$F35&lt;&gt;Results!$H35,$F30&lt;&gt;"",$G30&lt;&gt;""),Results!$I35,""))</f>
        <v>2</v>
      </c>
      <c r="I30" s="17">
        <f>IF(AND(Results!$Q$6&gt;0,$E30-1&gt;=Results!$Q$6*Calc!$F$42),"",IF(AND(Results!$I35&lt;&gt;"",Results!$K35&lt;&gt;"",Results!$F35&lt;&gt;Results!$H35,$F30&lt;&gt;"",$G30&lt;&gt;""),Results!$K35,""))</f>
        <v>2</v>
      </c>
      <c r="J30" s="16" t="str">
        <f>IF(Planning!$I33=0,F30&amp;G30,"")</f>
        <v>BK HäckenRayo Vallecano</v>
      </c>
      <c r="K30" s="7">
        <f t="shared" si="0"/>
        <v>1</v>
      </c>
      <c r="L30" s="7" t="str">
        <f>IF(AND(K30&gt;0,Planning!$I33=0),H30&amp;Language!$E$90&amp;I30,"")</f>
        <v>2 - 2</v>
      </c>
      <c r="M30" s="226">
        <f>IF($H30="",0,Results!$L35)</f>
        <v>0</v>
      </c>
      <c r="N30" s="227">
        <f>IF($I30="",0,Results!$M35)</f>
        <v>0</v>
      </c>
      <c r="P30" s="234">
        <v>27</v>
      </c>
      <c r="Q30" s="235" t="str">
        <f>IF(Planning!$I33=0,G30&amp;F30,"")</f>
        <v>Rayo VallecanoBK Häcken</v>
      </c>
      <c r="R30" s="247">
        <f t="shared" si="1"/>
        <v>1</v>
      </c>
      <c r="S30" s="278" t="str">
        <f>IF(AND(R30&gt;0,Planning!$I33=0),I30&amp;Language!$E$90&amp;H30,"")</f>
        <v>2 - 2</v>
      </c>
    </row>
    <row r="31" spans="1:19" x14ac:dyDescent="0.2">
      <c r="A31" s="216"/>
      <c r="B31" s="21" t="s">
        <v>39</v>
      </c>
      <c r="C31" s="25" t="str">
        <f>IF(Planning!$D34="","",Planning!$D34)</f>
        <v>AEK Athen</v>
      </c>
      <c r="D31" s="2"/>
      <c r="E31" s="214">
        <v>28</v>
      </c>
      <c r="F31" s="137" t="str">
        <f>Planning!$Q34</f>
        <v>AZ Alkmaar</v>
      </c>
      <c r="G31" s="138" t="str">
        <f>Planning!$S34</f>
        <v>Slovan Bratislava</v>
      </c>
      <c r="H31" s="110">
        <f>IF(AND(Results!$Q$6&gt;0,$E31-1&gt;=Results!$Q$6*Calc!$F$42),"",IF(AND(Results!$I36&lt;&gt;"",Results!$K36&lt;&gt;"",Results!$F36&lt;&gt;Results!$H36,$F31&lt;&gt;"",$G31&lt;&gt;""),Results!$I36,""))</f>
        <v>1</v>
      </c>
      <c r="I31" s="17">
        <f>IF(AND(Results!$Q$6&gt;0,$E31-1&gt;=Results!$Q$6*Calc!$F$42),"",IF(AND(Results!$I36&lt;&gt;"",Results!$K36&lt;&gt;"",Results!$F36&lt;&gt;Results!$H36,$F31&lt;&gt;"",$G31&lt;&gt;""),Results!$K36,""))</f>
        <v>0</v>
      </c>
      <c r="J31" s="16" t="str">
        <f>IF(Planning!$I34=0,F31&amp;G31,"")</f>
        <v>AZ AlkmaarSlovan Bratislava</v>
      </c>
      <c r="K31" s="7">
        <f t="shared" si="0"/>
        <v>1</v>
      </c>
      <c r="L31" s="7" t="str">
        <f>IF(AND(K31&gt;0,Planning!$I34=0),H31&amp;Language!$E$90&amp;I31,"")</f>
        <v>1 - 0</v>
      </c>
      <c r="M31" s="226">
        <f>IF($H31="",0,Results!$L36)</f>
        <v>0</v>
      </c>
      <c r="N31" s="227">
        <f>IF($I31="",0,Results!$M36)</f>
        <v>0</v>
      </c>
      <c r="P31" s="234">
        <v>28</v>
      </c>
      <c r="Q31" s="235" t="str">
        <f>IF(Planning!$I34=0,G31&amp;F31,"")</f>
        <v>Slovan BratislavaAZ Alkmaar</v>
      </c>
      <c r="R31" s="247">
        <f t="shared" si="1"/>
        <v>1</v>
      </c>
      <c r="S31" s="278" t="str">
        <f>IF(AND(R31&gt;0,Planning!$I34=0),I31&amp;Language!$E$90&amp;H31,"")</f>
        <v>0 - 1</v>
      </c>
    </row>
    <row r="32" spans="1:19" x14ac:dyDescent="0.2">
      <c r="A32" s="216"/>
      <c r="B32" s="21" t="s">
        <v>40</v>
      </c>
      <c r="C32" s="25" t="str">
        <f>IF(Planning!$D35="","",Planning!$D35)</f>
        <v>FC Aberdeen</v>
      </c>
      <c r="D32" s="2"/>
      <c r="E32" s="214">
        <v>29</v>
      </c>
      <c r="F32" s="137" t="str">
        <f>Planning!$Q35</f>
        <v>Crystal Palace</v>
      </c>
      <c r="G32" s="138" t="str">
        <f>Planning!$S35</f>
        <v>AEK Larnaka</v>
      </c>
      <c r="H32" s="110">
        <f>IF(AND(Results!$Q$6&gt;0,$E32-1&gt;=Results!$Q$6*Calc!$F$42),"",IF(AND(Results!$I37&lt;&gt;"",Results!$K37&lt;&gt;"",Results!$F37&lt;&gt;Results!$H37,$F32&lt;&gt;"",$G32&lt;&gt;""),Results!$I37,""))</f>
        <v>0</v>
      </c>
      <c r="I32" s="17">
        <f>IF(AND(Results!$Q$6&gt;0,$E32-1&gt;=Results!$Q$6*Calc!$F$42),"",IF(AND(Results!$I37&lt;&gt;"",Results!$K37&lt;&gt;"",Results!$F37&lt;&gt;Results!$H37,$F32&lt;&gt;"",$G32&lt;&gt;""),Results!$K37,""))</f>
        <v>1</v>
      </c>
      <c r="J32" s="16" t="str">
        <f>IF(Planning!$I35=0,F32&amp;G32,"")</f>
        <v>Crystal PalaceAEK Larnaka</v>
      </c>
      <c r="K32" s="7">
        <f t="shared" si="0"/>
        <v>1</v>
      </c>
      <c r="L32" s="7" t="str">
        <f>IF(AND(K32&gt;0,Planning!$I35=0),H32&amp;Language!$E$90&amp;I32,"")</f>
        <v>0 - 1</v>
      </c>
      <c r="M32" s="226">
        <f>IF($H32="",0,Results!$L37)</f>
        <v>0</v>
      </c>
      <c r="N32" s="227">
        <f>IF($I32="",0,Results!$M37)</f>
        <v>0</v>
      </c>
      <c r="P32" s="234">
        <v>29</v>
      </c>
      <c r="Q32" s="235" t="str">
        <f>IF(Planning!$I35=0,G32&amp;F32,"")</f>
        <v>AEK LarnakaCrystal Palace</v>
      </c>
      <c r="R32" s="247">
        <f t="shared" si="1"/>
        <v>1</v>
      </c>
      <c r="S32" s="278" t="str">
        <f>IF(AND(R32&gt;0,Planning!$I35=0),I32&amp;Language!$E$90&amp;H32,"")</f>
        <v>1 - 0</v>
      </c>
    </row>
    <row r="33" spans="1:19" x14ac:dyDescent="0.2">
      <c r="A33" s="216"/>
      <c r="B33" s="21" t="s">
        <v>41</v>
      </c>
      <c r="C33" s="25" t="str">
        <f>IF(Planning!$D36="","",Planning!$D36)</f>
        <v>Schachtar Donezk</v>
      </c>
      <c r="D33" s="2"/>
      <c r="E33" s="214">
        <v>30</v>
      </c>
      <c r="F33" s="137" t="str">
        <f>Planning!$Q36</f>
        <v>Shamrock Rovers</v>
      </c>
      <c r="G33" s="138" t="str">
        <f>Planning!$S36</f>
        <v>NK Celje</v>
      </c>
      <c r="H33" s="110">
        <f>IF(AND(Results!$Q$6&gt;0,$E33-1&gt;=Results!$Q$6*Calc!$F$42),"",IF(AND(Results!$I38&lt;&gt;"",Results!$K38&lt;&gt;"",Results!$F38&lt;&gt;Results!$H38,$F33&lt;&gt;"",$G33&lt;&gt;""),Results!$I38,""))</f>
        <v>0</v>
      </c>
      <c r="I33" s="17">
        <f>IF(AND(Results!$Q$6&gt;0,$E33-1&gt;=Results!$Q$6*Calc!$F$42),"",IF(AND(Results!$I38&lt;&gt;"",Results!$K38&lt;&gt;"",Results!$F38&lt;&gt;Results!$H38,$F33&lt;&gt;"",$G33&lt;&gt;""),Results!$K38,""))</f>
        <v>2</v>
      </c>
      <c r="J33" s="16" t="str">
        <f>IF(Planning!$I36=0,F33&amp;G33,"")</f>
        <v>Shamrock RoversNK Celje</v>
      </c>
      <c r="K33" s="7">
        <f t="shared" si="0"/>
        <v>1</v>
      </c>
      <c r="L33" s="7" t="str">
        <f>IF(AND(K33&gt;0,Planning!$I36=0),H33&amp;Language!$E$90&amp;I33,"")</f>
        <v>0 - 2</v>
      </c>
      <c r="M33" s="226">
        <f>IF($H33="",0,Results!$L38)</f>
        <v>0</v>
      </c>
      <c r="N33" s="227">
        <f>IF($I33="",0,Results!$M38)</f>
        <v>0</v>
      </c>
      <c r="P33" s="234">
        <v>30</v>
      </c>
      <c r="Q33" s="235" t="str">
        <f>IF(Planning!$I36=0,G33&amp;F33,"")</f>
        <v>NK CeljeShamrock Rovers</v>
      </c>
      <c r="R33" s="247">
        <f t="shared" si="1"/>
        <v>1</v>
      </c>
      <c r="S33" s="278" t="str">
        <f>IF(AND(R33&gt;0,Planning!$I36=0),I33&amp;Language!$E$90&amp;H33,"")</f>
        <v>2 - 0</v>
      </c>
    </row>
    <row r="34" spans="1:19" x14ac:dyDescent="0.2">
      <c r="A34" s="216"/>
      <c r="B34" s="21" t="s">
        <v>42</v>
      </c>
      <c r="C34" s="25" t="str">
        <f>IF(Planning!$D37="","",Planning!$D37)</f>
        <v>Rakow Tschenstochau</v>
      </c>
      <c r="D34" s="2"/>
      <c r="E34" s="214">
        <v>31</v>
      </c>
      <c r="F34" s="137" t="str">
        <f>Planning!$Q37</f>
        <v>1. FSV Mainz 05</v>
      </c>
      <c r="G34" s="138" t="str">
        <f>Planning!$S37</f>
        <v>Zrinjski Mostar</v>
      </c>
      <c r="H34" s="110">
        <f>IF(AND(Results!$Q$6&gt;0,$E34-1&gt;=Results!$Q$6*Calc!$F$42),"",IF(AND(Results!$I39&lt;&gt;"",Results!$K39&lt;&gt;"",Results!$F39&lt;&gt;Results!$H39,$F34&lt;&gt;"",$G34&lt;&gt;""),Results!$I39,""))</f>
        <v>1</v>
      </c>
      <c r="I34" s="17">
        <f>IF(AND(Results!$Q$6&gt;0,$E34-1&gt;=Results!$Q$6*Calc!$F$42),"",IF(AND(Results!$I39&lt;&gt;"",Results!$K39&lt;&gt;"",Results!$F39&lt;&gt;Results!$H39,$F34&lt;&gt;"",$G34&lt;&gt;""),Results!$K39,""))</f>
        <v>0</v>
      </c>
      <c r="J34" s="16" t="str">
        <f>IF(Planning!$I37=0,F34&amp;G34,"")</f>
        <v>1. FSV Mainz 05Zrinjski Mostar</v>
      </c>
      <c r="K34" s="7">
        <f t="shared" si="0"/>
        <v>1</v>
      </c>
      <c r="L34" s="7" t="str">
        <f>IF(AND(K34&gt;0,Planning!$I37=0),H34&amp;Language!$E$90&amp;I34,"")</f>
        <v>1 - 0</v>
      </c>
      <c r="M34" s="226">
        <f>IF($H34="",0,Results!$L39)</f>
        <v>0</v>
      </c>
      <c r="N34" s="227">
        <f>IF($I34="",0,Results!$M39)</f>
        <v>0</v>
      </c>
      <c r="P34" s="234">
        <v>31</v>
      </c>
      <c r="Q34" s="235" t="str">
        <f>IF(Planning!$I37=0,G34&amp;F34,"")</f>
        <v>Zrinjski Mostar1. FSV Mainz 05</v>
      </c>
      <c r="R34" s="247">
        <f t="shared" si="1"/>
        <v>1</v>
      </c>
      <c r="S34" s="278" t="str">
        <f>IF(AND(R34&gt;0,Planning!$I37=0),I34&amp;Language!$E$90&amp;H34,"")</f>
        <v>0 - 1</v>
      </c>
    </row>
    <row r="35" spans="1:19" x14ac:dyDescent="0.2">
      <c r="A35" s="216"/>
      <c r="B35" s="21" t="s">
        <v>43</v>
      </c>
      <c r="C35" s="25" t="str">
        <f>IF(Planning!$D38="","",Planning!$D38)</f>
        <v>Universitatea Craiova</v>
      </c>
      <c r="D35" s="2"/>
      <c r="E35" s="214">
        <v>32</v>
      </c>
      <c r="F35" s="137" t="str">
        <f>Planning!$Q38</f>
        <v>Lincoln Red Imps Fc</v>
      </c>
      <c r="G35" s="138" t="str">
        <f>Planning!$S38</f>
        <v>Lech Posen</v>
      </c>
      <c r="H35" s="110">
        <f>IF(AND(Results!$Q$6&gt;0,$E35-1&gt;=Results!$Q$6*Calc!$F$42),"",IF(AND(Results!$I40&lt;&gt;"",Results!$K40&lt;&gt;"",Results!$F40&lt;&gt;Results!$H40,$F35&lt;&gt;"",$G35&lt;&gt;""),Results!$I40,""))</f>
        <v>2</v>
      </c>
      <c r="I35" s="17">
        <f>IF(AND(Results!$Q$6&gt;0,$E35-1&gt;=Results!$Q$6*Calc!$F$42),"",IF(AND(Results!$I40&lt;&gt;"",Results!$K40&lt;&gt;"",Results!$F40&lt;&gt;Results!$H40,$F35&lt;&gt;"",$G35&lt;&gt;""),Results!$K40,""))</f>
        <v>1</v>
      </c>
      <c r="J35" s="16" t="str">
        <f>IF(Planning!$I38=0,F35&amp;G35,"")</f>
        <v>Lincoln Red Imps FcLech Posen</v>
      </c>
      <c r="K35" s="7">
        <f t="shared" si="0"/>
        <v>1</v>
      </c>
      <c r="L35" s="7" t="str">
        <f>IF(AND(K35&gt;0,Planning!$I38=0),H35&amp;Language!$E$90&amp;I35,"")</f>
        <v>2 - 1</v>
      </c>
      <c r="M35" s="226">
        <f>IF($H35="",0,Results!$L40)</f>
        <v>0</v>
      </c>
      <c r="N35" s="227">
        <f>IF($I35="",0,Results!$M40)</f>
        <v>0</v>
      </c>
      <c r="P35" s="234">
        <v>32</v>
      </c>
      <c r="Q35" s="235" t="str">
        <f>IF(Planning!$I38=0,G35&amp;F35,"")</f>
        <v>Lech PosenLincoln Red Imps Fc</v>
      </c>
      <c r="R35" s="247">
        <f t="shared" si="1"/>
        <v>1</v>
      </c>
      <c r="S35" s="278" t="str">
        <f>IF(AND(R35&gt;0,Planning!$I38=0),I35&amp;Language!$E$90&amp;H35,"")</f>
        <v>1 - 2</v>
      </c>
    </row>
    <row r="36" spans="1:19" x14ac:dyDescent="0.2">
      <c r="A36" s="216"/>
      <c r="B36" s="21" t="s">
        <v>153</v>
      </c>
      <c r="C36" s="25" t="str">
        <f>IF(Planning!$D39="","",Planning!$D39)</f>
        <v>AEK Larnaka</v>
      </c>
      <c r="D36" s="2"/>
      <c r="E36" s="214">
        <v>33</v>
      </c>
      <c r="F36" s="137" t="str">
        <f>Planning!$Q39</f>
        <v>Sigma Olmütz</v>
      </c>
      <c r="G36" s="138" t="str">
        <f>Planning!$S39</f>
        <v>Rakow Tschenstochau</v>
      </c>
      <c r="H36" s="110">
        <f>IF(AND(Results!$Q$6&gt;0,$E36-1&gt;=Results!$Q$6*Calc!$F$42),"",IF(AND(Results!$I41&lt;&gt;"",Results!$K41&lt;&gt;"",Results!$F41&lt;&gt;Results!$H41,$F36&lt;&gt;"",$G36&lt;&gt;""),Results!$I41,""))</f>
        <v>1</v>
      </c>
      <c r="I36" s="17">
        <f>IF(AND(Results!$Q$6&gt;0,$E36-1&gt;=Results!$Q$6*Calc!$F$42),"",IF(AND(Results!$I41&lt;&gt;"",Results!$K41&lt;&gt;"",Results!$F41&lt;&gt;Results!$H41,$F36&lt;&gt;"",$G36&lt;&gt;""),Results!$K41,""))</f>
        <v>1</v>
      </c>
      <c r="J36" s="16" t="str">
        <f>IF(Planning!$I39=0,F36&amp;G36,"")</f>
        <v>Sigma OlmützRakow Tschenstochau</v>
      </c>
      <c r="K36" s="7">
        <f t="shared" ref="K36:K67" si="2">IF(AND(F36&lt;&gt;"",G36&lt;&gt;"",F36&lt;&gt;G36,H36&lt;&gt;"",I36&lt;&gt;""),1,0)</f>
        <v>1</v>
      </c>
      <c r="L36" s="7" t="str">
        <f>IF(AND(K36&gt;0,Planning!$I39=0),H36&amp;Language!$E$90&amp;I36,"")</f>
        <v>1 - 1</v>
      </c>
      <c r="M36" s="226">
        <f>IF($H36="",0,Results!$L41)</f>
        <v>0</v>
      </c>
      <c r="N36" s="227">
        <f>IF($I36="",0,Results!$M41)</f>
        <v>0</v>
      </c>
      <c r="P36" s="234">
        <v>33</v>
      </c>
      <c r="Q36" s="235" t="str">
        <f>IF(Planning!$I39=0,G36&amp;F36,"")</f>
        <v>Rakow TschenstochauSigma Olmütz</v>
      </c>
      <c r="R36" s="247">
        <f t="shared" ref="R36:R67" si="3">K36</f>
        <v>1</v>
      </c>
      <c r="S36" s="278" t="str">
        <f>IF(AND(R36&gt;0,Planning!$I39=0),I36&amp;Language!$E$90&amp;H36,"")</f>
        <v>1 - 1</v>
      </c>
    </row>
    <row r="37" spans="1:19" x14ac:dyDescent="0.2">
      <c r="A37" s="216"/>
      <c r="B37" s="21" t="s">
        <v>154</v>
      </c>
      <c r="C37" s="25" t="str">
        <f>IF(Planning!$D40="","",Planning!$D40)</f>
        <v>AZ Alkmaar</v>
      </c>
      <c r="D37" s="2"/>
      <c r="E37" s="214">
        <v>34</v>
      </c>
      <c r="F37" s="137" t="str">
        <f>Planning!$Q40</f>
        <v>Samsunspor</v>
      </c>
      <c r="G37" s="138" t="str">
        <f>Planning!$S40</f>
        <v>Dynamo Kiew</v>
      </c>
      <c r="H37" s="110">
        <f>IF(AND(Results!$Q$6&gt;0,$E37-1&gt;=Results!$Q$6*Calc!$F$42),"",IF(AND(Results!$I42&lt;&gt;"",Results!$K42&lt;&gt;"",Results!$F42&lt;&gt;Results!$H42,$F37&lt;&gt;"",$G37&lt;&gt;""),Results!$I42,""))</f>
        <v>3</v>
      </c>
      <c r="I37" s="17">
        <f>IF(AND(Results!$Q$6&gt;0,$E37-1&gt;=Results!$Q$6*Calc!$F$42),"",IF(AND(Results!$I42&lt;&gt;"",Results!$K42&lt;&gt;"",Results!$F42&lt;&gt;Results!$H42,$F37&lt;&gt;"",$G37&lt;&gt;""),Results!$K42,""))</f>
        <v>0</v>
      </c>
      <c r="J37" s="16" t="str">
        <f>IF(Planning!$I40=0,F37&amp;G37,"")</f>
        <v>SamsunsporDynamo Kiew</v>
      </c>
      <c r="K37" s="7">
        <f t="shared" si="2"/>
        <v>1</v>
      </c>
      <c r="L37" s="7" t="str">
        <f>IF(AND(K37&gt;0,Planning!$I40=0),H37&amp;Language!$E$90&amp;I37,"")</f>
        <v>3 - 0</v>
      </c>
      <c r="M37" s="226">
        <f>IF($H37="",0,Results!$L42)</f>
        <v>0</v>
      </c>
      <c r="N37" s="227">
        <f>IF($I37="",0,Results!$M42)</f>
        <v>0</v>
      </c>
      <c r="P37" s="234">
        <v>34</v>
      </c>
      <c r="Q37" s="235" t="str">
        <f>IF(Planning!$I40=0,G37&amp;F37,"")</f>
        <v>Dynamo KiewSamsunspor</v>
      </c>
      <c r="R37" s="247">
        <f t="shared" si="3"/>
        <v>1</v>
      </c>
      <c r="S37" s="278" t="str">
        <f>IF(AND(R37&gt;0,Planning!$I40=0),I37&amp;Language!$E$90&amp;H37,"")</f>
        <v>0 - 3</v>
      </c>
    </row>
    <row r="38" spans="1:19" x14ac:dyDescent="0.2">
      <c r="A38" s="216"/>
      <c r="B38" s="21" t="s">
        <v>155</v>
      </c>
      <c r="C38" s="25" t="str">
        <f>IF(Planning!$D41="","",Planning!$D41)</f>
        <v>FC Shelbourne</v>
      </c>
      <c r="D38" s="2"/>
      <c r="E38" s="214">
        <v>35</v>
      </c>
      <c r="F38" s="137" t="str">
        <f>Planning!$Q41</f>
        <v>Universitatea Craiova</v>
      </c>
      <c r="G38" s="138" t="str">
        <f>Planning!$S41</f>
        <v>FC Noah</v>
      </c>
      <c r="H38" s="110">
        <f>IF(AND(Results!$Q$6&gt;0,$E38-1&gt;=Results!$Q$6*Calc!$F$42),"",IF(AND(Results!$I43&lt;&gt;"",Results!$K43&lt;&gt;"",Results!$F43&lt;&gt;Results!$H43,$F38&lt;&gt;"",$G38&lt;&gt;""),Results!$I43,""))</f>
        <v>1</v>
      </c>
      <c r="I38" s="17">
        <f>IF(AND(Results!$Q$6&gt;0,$E38-1&gt;=Results!$Q$6*Calc!$F$42),"",IF(AND(Results!$I43&lt;&gt;"",Results!$K43&lt;&gt;"",Results!$F43&lt;&gt;Results!$H43,$F38&lt;&gt;"",$G38&lt;&gt;""),Results!$K43,""))</f>
        <v>1</v>
      </c>
      <c r="J38" s="16" t="str">
        <f>IF(Planning!$I41=0,F38&amp;G38,"")</f>
        <v>Universitatea CraiovaFC Noah</v>
      </c>
      <c r="K38" s="7">
        <f t="shared" si="2"/>
        <v>1</v>
      </c>
      <c r="L38" s="7" t="str">
        <f>IF(AND(K38&gt;0,Planning!$I41=0),H38&amp;Language!$E$90&amp;I38,"")</f>
        <v>1 - 1</v>
      </c>
      <c r="M38" s="226">
        <f>IF($H38="",0,Results!$L43)</f>
        <v>0</v>
      </c>
      <c r="N38" s="227">
        <f>IF($I38="",0,Results!$M43)</f>
        <v>0</v>
      </c>
      <c r="P38" s="234">
        <v>35</v>
      </c>
      <c r="Q38" s="235" t="str">
        <f>IF(Planning!$I41=0,G38&amp;F38,"")</f>
        <v>FC NoahUniversitatea Craiova</v>
      </c>
      <c r="R38" s="247">
        <f t="shared" si="3"/>
        <v>1</v>
      </c>
      <c r="S38" s="278" t="str">
        <f>IF(AND(R38&gt;0,Planning!$I41=0),I38&amp;Language!$E$90&amp;H38,"")</f>
        <v>1 - 1</v>
      </c>
    </row>
    <row r="39" spans="1:19" ht="13.5" thickBot="1" x14ac:dyDescent="0.25">
      <c r="A39" s="216"/>
      <c r="B39" s="132" t="s">
        <v>156</v>
      </c>
      <c r="C39" s="133" t="str">
        <f>IF(Planning!$D42="","",Planning!$D42)</f>
        <v>BK Häcken</v>
      </c>
      <c r="D39" s="2"/>
      <c r="E39" s="214">
        <v>36</v>
      </c>
      <c r="F39" s="137" t="str">
        <f>Planning!$Q42</f>
        <v>Hamrun Spartans</v>
      </c>
      <c r="G39" s="138" t="str">
        <f>Planning!$S42</f>
        <v>FC Lausanne-Sport</v>
      </c>
      <c r="H39" s="110">
        <f>IF(AND(Results!$Q$6&gt;0,$E39-1&gt;=Results!$Q$6*Calc!$F$42),"",IF(AND(Results!$I44&lt;&gt;"",Results!$K44&lt;&gt;"",Results!$F44&lt;&gt;Results!$H44,$F39&lt;&gt;"",$G39&lt;&gt;""),Results!$I44,""))</f>
        <v>1</v>
      </c>
      <c r="I39" s="17">
        <f>IF(AND(Results!$Q$6&gt;0,$E39-1&gt;=Results!$Q$6*Calc!$F$42),"",IF(AND(Results!$I44&lt;&gt;"",Results!$K44&lt;&gt;"",Results!$F44&lt;&gt;Results!$H44,$F39&lt;&gt;"",$G39&lt;&gt;""),Results!$K44,""))</f>
        <v>1</v>
      </c>
      <c r="J39" s="16" t="str">
        <f>IF(Planning!$I42=0,F39&amp;G39,"")</f>
        <v>Hamrun SpartansFC Lausanne-Sport</v>
      </c>
      <c r="K39" s="7">
        <f t="shared" si="2"/>
        <v>1</v>
      </c>
      <c r="L39" s="7" t="str">
        <f>IF(AND(K39&gt;0,Planning!$I42=0),H39&amp;Language!$E$90&amp;I39,"")</f>
        <v>1 - 1</v>
      </c>
      <c r="M39" s="226">
        <f>IF($H39="",0,Results!$L44)</f>
        <v>0</v>
      </c>
      <c r="N39" s="227">
        <f>IF($I39="",0,Results!$M44)</f>
        <v>0</v>
      </c>
      <c r="P39" s="234">
        <v>36</v>
      </c>
      <c r="Q39" s="235" t="str">
        <f>IF(Planning!$I42=0,G39&amp;F39,"")</f>
        <v>FC Lausanne-SportHamrun Spartans</v>
      </c>
      <c r="R39" s="247">
        <f t="shared" si="3"/>
        <v>1</v>
      </c>
      <c r="S39" s="278" t="str">
        <f>IF(AND(R39&gt;0,Planning!$I42=0),I39&amp;Language!$E$90&amp;H39,"")</f>
        <v>1 - 1</v>
      </c>
    </row>
    <row r="40" spans="1:19" ht="13.5" thickTop="1" x14ac:dyDescent="0.2">
      <c r="A40" s="216"/>
      <c r="B40" s="2"/>
      <c r="C40" s="2"/>
      <c r="D40" s="2"/>
      <c r="E40" s="214">
        <v>37</v>
      </c>
      <c r="F40" s="137" t="str">
        <f>Planning!$Q43</f>
        <v>Schachtar Donezk</v>
      </c>
      <c r="G40" s="138" t="str">
        <f>Planning!$S43</f>
        <v>UMF Breidablik</v>
      </c>
      <c r="H40" s="110">
        <f>IF(AND(Results!$Q$6&gt;0,$E40-1&gt;=Results!$Q$6*Calc!$F$42),"",IF(AND(Results!$I45&lt;&gt;"",Results!$K45&lt;&gt;"",Results!$F45&lt;&gt;Results!$H45,$F40&lt;&gt;"",$G40&lt;&gt;""),Results!$I45,""))</f>
        <v>2</v>
      </c>
      <c r="I40" s="17">
        <f>IF(AND(Results!$Q$6&gt;0,$E40-1&gt;=Results!$Q$6*Calc!$F$42),"",IF(AND(Results!$I45&lt;&gt;"",Results!$K45&lt;&gt;"",Results!$F45&lt;&gt;Results!$H45,$F40&lt;&gt;"",$G40&lt;&gt;""),Results!$K45,""))</f>
        <v>0</v>
      </c>
      <c r="J40" s="16" t="str">
        <f>IF(Planning!$I43=0,F40&amp;G40,"")</f>
        <v>Schachtar DonezkUMF Breidablik</v>
      </c>
      <c r="K40" s="7">
        <f t="shared" si="2"/>
        <v>1</v>
      </c>
      <c r="L40" s="7" t="str">
        <f>IF(AND(K40&gt;0,Planning!$I43=0),H40&amp;Language!$E$90&amp;I40,"")</f>
        <v>2 - 0</v>
      </c>
      <c r="M40" s="226">
        <f>IF($H40="",0,Results!$L45)</f>
        <v>0</v>
      </c>
      <c r="N40" s="227">
        <f>IF($I40="",0,Results!$M45)</f>
        <v>0</v>
      </c>
      <c r="P40" s="234">
        <v>37</v>
      </c>
      <c r="Q40" s="235" t="str">
        <f>IF(Planning!$I43=0,G40&amp;F40,"")</f>
        <v>UMF BreidablikSchachtar Donezk</v>
      </c>
      <c r="R40" s="247">
        <f t="shared" si="3"/>
        <v>1</v>
      </c>
      <c r="S40" s="278" t="str">
        <f>IF(AND(R40&gt;0,Planning!$I43=0),I40&amp;Language!$E$90&amp;H40,"")</f>
        <v>0 - 2</v>
      </c>
    </row>
    <row r="41" spans="1:19" x14ac:dyDescent="0.2">
      <c r="A41" s="216"/>
      <c r="B41" s="2"/>
      <c r="C41" s="2"/>
      <c r="D41" s="2"/>
      <c r="E41" s="214">
        <v>38</v>
      </c>
      <c r="F41" s="137" t="str">
        <f>Planning!$Q44</f>
        <v>Sparta Prag</v>
      </c>
      <c r="G41" s="138" t="str">
        <f>Planning!$S44</f>
        <v>Rakow Tschenstochau</v>
      </c>
      <c r="H41" s="110">
        <f>IF(AND(Results!$Q$6&gt;0,$E41-1&gt;=Results!$Q$6*Calc!$F$42),"",IF(AND(Results!$I46&lt;&gt;"",Results!$K46&lt;&gt;"",Results!$F46&lt;&gt;Results!$H46,$F41&lt;&gt;"",$G41&lt;&gt;""),Results!$I46,""))</f>
        <v>0</v>
      </c>
      <c r="I41" s="17">
        <f>IF(AND(Results!$Q$6&gt;0,$E41-1&gt;=Results!$Q$6*Calc!$F$42),"",IF(AND(Results!$I46&lt;&gt;"",Results!$K46&lt;&gt;"",Results!$F46&lt;&gt;Results!$H46,$F41&lt;&gt;"",$G41&lt;&gt;""),Results!$K46,""))</f>
        <v>0</v>
      </c>
      <c r="J41" s="16" t="str">
        <f>IF(Planning!$I44=0,F41&amp;G41,"")</f>
        <v>Sparta PragRakow Tschenstochau</v>
      </c>
      <c r="K41" s="7">
        <f t="shared" si="2"/>
        <v>1</v>
      </c>
      <c r="L41" s="7" t="str">
        <f>IF(AND(K41&gt;0,Planning!$I44=0),H41&amp;Language!$E$90&amp;I41,"")</f>
        <v>0 - 0</v>
      </c>
      <c r="M41" s="226">
        <f>IF($H41="",0,Results!$L46)</f>
        <v>0</v>
      </c>
      <c r="N41" s="227">
        <f>IF($I41="",0,Results!$M46)</f>
        <v>0</v>
      </c>
      <c r="P41" s="234">
        <v>38</v>
      </c>
      <c r="Q41" s="235" t="str">
        <f>IF(Planning!$I44=0,G41&amp;F41,"")</f>
        <v>Rakow TschenstochauSparta Prag</v>
      </c>
      <c r="R41" s="247">
        <f t="shared" si="3"/>
        <v>1</v>
      </c>
      <c r="S41" s="278" t="str">
        <f>IF(AND(R41&gt;0,Planning!$I44=0),I41&amp;Language!$E$90&amp;H41,"")</f>
        <v>0 - 0</v>
      </c>
    </row>
    <row r="42" spans="1:19" x14ac:dyDescent="0.2">
      <c r="A42" s="216"/>
      <c r="B42" s="2"/>
      <c r="C42" s="2"/>
      <c r="D42" s="2"/>
      <c r="E42" s="214">
        <v>39</v>
      </c>
      <c r="F42" s="137" t="str">
        <f>Planning!$Q45</f>
        <v>1. FSV Mainz 05</v>
      </c>
      <c r="G42" s="138" t="str">
        <f>Planning!$S45</f>
        <v>AC Florenz</v>
      </c>
      <c r="H42" s="110">
        <f>IF(AND(Results!$Q$6&gt;0,$E42-1&gt;=Results!$Q$6*Calc!$F$42),"",IF(AND(Results!$I47&lt;&gt;"",Results!$K47&lt;&gt;"",Results!$F47&lt;&gt;Results!$H47,$F42&lt;&gt;"",$G42&lt;&gt;""),Results!$I47,""))</f>
        <v>2</v>
      </c>
      <c r="I42" s="17">
        <f>IF(AND(Results!$Q$6&gt;0,$E42-1&gt;=Results!$Q$6*Calc!$F$42),"",IF(AND(Results!$I47&lt;&gt;"",Results!$K47&lt;&gt;"",Results!$F47&lt;&gt;Results!$H47,$F42&lt;&gt;"",$G42&lt;&gt;""),Results!$K47,""))</f>
        <v>1</v>
      </c>
      <c r="J42" s="16" t="str">
        <f>IF(Planning!$I45=0,F42&amp;G42,"")</f>
        <v>1. FSV Mainz 05AC Florenz</v>
      </c>
      <c r="K42" s="7">
        <f t="shared" si="2"/>
        <v>1</v>
      </c>
      <c r="L42" s="7" t="str">
        <f>IF(AND(K42&gt;0,Planning!$I45=0),H42&amp;Language!$E$90&amp;I42,"")</f>
        <v>2 - 1</v>
      </c>
      <c r="M42" s="226">
        <f>IF($H42="",0,Results!$L47)</f>
        <v>0</v>
      </c>
      <c r="N42" s="227">
        <f>IF($I42="",0,Results!$M47)</f>
        <v>0</v>
      </c>
      <c r="P42" s="234">
        <v>39</v>
      </c>
      <c r="Q42" s="235" t="str">
        <f>IF(Planning!$I45=0,G42&amp;F42,"")</f>
        <v>AC Florenz1. FSV Mainz 05</v>
      </c>
      <c r="R42" s="247">
        <f t="shared" si="3"/>
        <v>1</v>
      </c>
      <c r="S42" s="278" t="str">
        <f>IF(AND(R42&gt;0,Planning!$I45=0),I42&amp;Language!$E$90&amp;H42,"")</f>
        <v>1 - 2</v>
      </c>
    </row>
    <row r="43" spans="1:19" x14ac:dyDescent="0.2">
      <c r="A43" s="216"/>
      <c r="B43" s="2"/>
      <c r="C43" s="2"/>
      <c r="D43" s="2"/>
      <c r="E43" s="214">
        <v>40</v>
      </c>
      <c r="F43" s="137" t="str">
        <f>Planning!$Q46</f>
        <v>NK Celje</v>
      </c>
      <c r="G43" s="138" t="str">
        <f>Planning!$S46</f>
        <v>Legia Warschau</v>
      </c>
      <c r="H43" s="110">
        <f>IF(AND(Results!$Q$6&gt;0,$E43-1&gt;=Results!$Q$6*Calc!$F$42),"",IF(AND(Results!$I48&lt;&gt;"",Results!$K48&lt;&gt;"",Results!$F48&lt;&gt;Results!$H48,$F43&lt;&gt;"",$G43&lt;&gt;""),Results!$I48,""))</f>
        <v>2</v>
      </c>
      <c r="I43" s="17">
        <f>IF(AND(Results!$Q$6&gt;0,$E43-1&gt;=Results!$Q$6*Calc!$F$42),"",IF(AND(Results!$I48&lt;&gt;"",Results!$K48&lt;&gt;"",Results!$F48&lt;&gt;Results!$H48,$F43&lt;&gt;"",$G43&lt;&gt;""),Results!$K48,""))</f>
        <v>1</v>
      </c>
      <c r="J43" s="16" t="str">
        <f>IF(Planning!$I46=0,F43&amp;G43,"")</f>
        <v>NK CeljeLegia Warschau</v>
      </c>
      <c r="K43" s="7">
        <f t="shared" si="2"/>
        <v>1</v>
      </c>
      <c r="L43" s="7" t="str">
        <f>IF(AND(K43&gt;0,Planning!$I46=0),H43&amp;Language!$E$90&amp;I43,"")</f>
        <v>2 - 1</v>
      </c>
      <c r="M43" s="226">
        <f>IF($H43="",0,Results!$L48)</f>
        <v>0</v>
      </c>
      <c r="N43" s="227">
        <f>IF($I43="",0,Results!$M48)</f>
        <v>0</v>
      </c>
      <c r="P43" s="234">
        <v>40</v>
      </c>
      <c r="Q43" s="235" t="str">
        <f>IF(Planning!$I46=0,G43&amp;F43,"")</f>
        <v>Legia WarschauNK Celje</v>
      </c>
      <c r="R43" s="247">
        <f t="shared" si="3"/>
        <v>1</v>
      </c>
      <c r="S43" s="278" t="str">
        <f>IF(AND(R43&gt;0,Planning!$I46=0),I43&amp;Language!$E$90&amp;H43,"")</f>
        <v>1 - 2</v>
      </c>
    </row>
    <row r="44" spans="1:19" x14ac:dyDescent="0.2">
      <c r="A44" s="216"/>
      <c r="B44" s="2"/>
      <c r="C44" s="2"/>
      <c r="D44" s="2"/>
      <c r="E44" s="214">
        <v>41</v>
      </c>
      <c r="F44" s="137" t="str">
        <f>Planning!$Q47</f>
        <v>AEK Athen</v>
      </c>
      <c r="G44" s="138" t="str">
        <f>Planning!$S47</f>
        <v>Shamrock Rovers</v>
      </c>
      <c r="H44" s="110">
        <f>IF(AND(Results!$Q$6&gt;0,$E44-1&gt;=Results!$Q$6*Calc!$F$42),"",IF(AND(Results!$I49&lt;&gt;"",Results!$K49&lt;&gt;"",Results!$F49&lt;&gt;Results!$H49,$F44&lt;&gt;"",$G44&lt;&gt;""),Results!$I49,""))</f>
        <v>1</v>
      </c>
      <c r="I44" s="17">
        <f>IF(AND(Results!$Q$6&gt;0,$E44-1&gt;=Results!$Q$6*Calc!$F$42),"",IF(AND(Results!$I49&lt;&gt;"",Results!$K49&lt;&gt;"",Results!$F49&lt;&gt;Results!$H49,$F44&lt;&gt;"",$G44&lt;&gt;""),Results!$K49,""))</f>
        <v>1</v>
      </c>
      <c r="J44" s="16" t="str">
        <f>IF(Planning!$I47=0,F44&amp;G44,"")</f>
        <v>AEK AthenShamrock Rovers</v>
      </c>
      <c r="K44" s="7">
        <f t="shared" si="2"/>
        <v>1</v>
      </c>
      <c r="L44" s="7" t="str">
        <f>IF(AND(K44&gt;0,Planning!$I47=0),H44&amp;Language!$E$90&amp;I44,"")</f>
        <v>1 - 1</v>
      </c>
      <c r="M44" s="226">
        <f>IF($H44="",0,Results!$L49)</f>
        <v>0</v>
      </c>
      <c r="N44" s="227">
        <f>IF($I44="",0,Results!$M49)</f>
        <v>0</v>
      </c>
      <c r="P44" s="234">
        <v>41</v>
      </c>
      <c r="Q44" s="235" t="str">
        <f>IF(Planning!$I47=0,G44&amp;F44,"")</f>
        <v>Shamrock RoversAEK Athen</v>
      </c>
      <c r="R44" s="247">
        <f t="shared" si="3"/>
        <v>1</v>
      </c>
      <c r="S44" s="278" t="str">
        <f>IF(AND(R44&gt;0,Planning!$I47=0),I44&amp;Language!$E$90&amp;H44,"")</f>
        <v>1 - 1</v>
      </c>
    </row>
    <row r="45" spans="1:19" x14ac:dyDescent="0.2">
      <c r="A45" s="216"/>
      <c r="B45" s="2"/>
      <c r="C45" s="2"/>
      <c r="D45" s="2"/>
      <c r="E45" s="214">
        <v>42</v>
      </c>
      <c r="F45" s="137" t="str">
        <f>Planning!$Q48</f>
        <v>Kuopion PS</v>
      </c>
      <c r="G45" s="138" t="str">
        <f>Planning!$S48</f>
        <v>Slovan Bratislava</v>
      </c>
      <c r="H45" s="110">
        <f>IF(AND(Results!$Q$6&gt;0,$E45-1&gt;=Results!$Q$6*Calc!$F$42),"",IF(AND(Results!$I50&lt;&gt;"",Results!$K50&lt;&gt;"",Results!$F50&lt;&gt;Results!$H50,$F45&lt;&gt;"",$G45&lt;&gt;""),Results!$I50,""))</f>
        <v>3</v>
      </c>
      <c r="I45" s="17">
        <f>IF(AND(Results!$Q$6&gt;0,$E45-1&gt;=Results!$Q$6*Calc!$F$42),"",IF(AND(Results!$I50&lt;&gt;"",Results!$K50&lt;&gt;"",Results!$F50&lt;&gt;Results!$H50,$F45&lt;&gt;"",$G45&lt;&gt;""),Results!$K50,""))</f>
        <v>1</v>
      </c>
      <c r="J45" s="16" t="str">
        <f>IF(Planning!$I48=0,F45&amp;G45,"")</f>
        <v>Kuopion PSSlovan Bratislava</v>
      </c>
      <c r="K45" s="7">
        <f t="shared" si="2"/>
        <v>1</v>
      </c>
      <c r="L45" s="7" t="str">
        <f>IF(AND(K45&gt;0,Planning!$I48=0),H45&amp;Language!$E$90&amp;I45,"")</f>
        <v>3 - 1</v>
      </c>
      <c r="M45" s="226">
        <f>IF($H45="",0,Results!$L50)</f>
        <v>0</v>
      </c>
      <c r="N45" s="227">
        <f>IF($I45="",0,Results!$M50)</f>
        <v>0</v>
      </c>
      <c r="P45" s="234">
        <v>42</v>
      </c>
      <c r="Q45" s="235" t="str">
        <f>IF(Planning!$I48=0,G45&amp;F45,"")</f>
        <v>Slovan BratislavaKuopion PS</v>
      </c>
      <c r="R45" s="247">
        <f t="shared" si="3"/>
        <v>1</v>
      </c>
      <c r="S45" s="278" t="str">
        <f>IF(AND(R45&gt;0,Planning!$I48=0),I45&amp;Language!$E$90&amp;H45,"")</f>
        <v>1 - 3</v>
      </c>
    </row>
    <row r="46" spans="1:19" x14ac:dyDescent="0.2">
      <c r="A46" s="216"/>
      <c r="B46" s="2"/>
      <c r="C46" s="2"/>
      <c r="D46" s="2"/>
      <c r="E46" s="214">
        <v>43</v>
      </c>
      <c r="F46" s="137" t="str">
        <f>Planning!$Q49</f>
        <v>Samsunspor</v>
      </c>
      <c r="G46" s="138" t="str">
        <f>Planning!$S49</f>
        <v>Hamrun Spartans</v>
      </c>
      <c r="H46" s="110">
        <f>IF(AND(Results!$Q$6&gt;0,$E46-1&gt;=Results!$Q$6*Calc!$F$42),"",IF(AND(Results!$I51&lt;&gt;"",Results!$K51&lt;&gt;"",Results!$F51&lt;&gt;Results!$H51,$F46&lt;&gt;"",$G46&lt;&gt;""),Results!$I51,""))</f>
        <v>3</v>
      </c>
      <c r="I46" s="17">
        <f>IF(AND(Results!$Q$6&gt;0,$E46-1&gt;=Results!$Q$6*Calc!$F$42),"",IF(AND(Results!$I51&lt;&gt;"",Results!$K51&lt;&gt;"",Results!$F51&lt;&gt;Results!$H51,$F46&lt;&gt;"",$G46&lt;&gt;""),Results!$K51,""))</f>
        <v>0</v>
      </c>
      <c r="J46" s="16" t="str">
        <f>IF(Planning!$I49=0,F46&amp;G46,"")</f>
        <v>SamsunsporHamrun Spartans</v>
      </c>
      <c r="K46" s="7">
        <f t="shared" si="2"/>
        <v>1</v>
      </c>
      <c r="L46" s="7" t="str">
        <f>IF(AND(K46&gt;0,Planning!$I49=0),H46&amp;Language!$E$90&amp;I46,"")</f>
        <v>3 - 0</v>
      </c>
      <c r="M46" s="226">
        <f>IF($H46="",0,Results!$L51)</f>
        <v>0</v>
      </c>
      <c r="N46" s="227">
        <f>IF($I46="",0,Results!$M51)</f>
        <v>0</v>
      </c>
      <c r="P46" s="234">
        <v>43</v>
      </c>
      <c r="Q46" s="235" t="str">
        <f>IF(Planning!$I49=0,G46&amp;F46,"")</f>
        <v>Hamrun SpartansSamsunspor</v>
      </c>
      <c r="R46" s="247">
        <f t="shared" si="3"/>
        <v>1</v>
      </c>
      <c r="S46" s="278" t="str">
        <f>IF(AND(R46&gt;0,Planning!$I49=0),I46&amp;Language!$E$90&amp;H46,"")</f>
        <v>0 - 3</v>
      </c>
    </row>
    <row r="47" spans="1:19" x14ac:dyDescent="0.2">
      <c r="A47" s="216"/>
      <c r="B47" s="2"/>
      <c r="C47" s="2"/>
      <c r="D47" s="2"/>
      <c r="E47" s="214">
        <v>44</v>
      </c>
      <c r="F47" s="137" t="str">
        <f>Planning!$Q50</f>
        <v>AEK Larnaka</v>
      </c>
      <c r="G47" s="138" t="str">
        <f>Planning!$S50</f>
        <v>FC Aberdeen</v>
      </c>
      <c r="H47" s="110">
        <f>IF(AND(Results!$Q$6&gt;0,$E47-1&gt;=Results!$Q$6*Calc!$F$42),"",IF(AND(Results!$I52&lt;&gt;"",Results!$K52&lt;&gt;"",Results!$F52&lt;&gt;Results!$H52,$F47&lt;&gt;"",$G47&lt;&gt;""),Results!$I52,""))</f>
        <v>0</v>
      </c>
      <c r="I47" s="17">
        <f>IF(AND(Results!$Q$6&gt;0,$E47-1&gt;=Results!$Q$6*Calc!$F$42),"",IF(AND(Results!$I52&lt;&gt;"",Results!$K52&lt;&gt;"",Results!$F52&lt;&gt;Results!$H52,$F47&lt;&gt;"",$G47&lt;&gt;""),Results!$K52,""))</f>
        <v>0</v>
      </c>
      <c r="J47" s="16" t="str">
        <f>IF(Planning!$I50=0,F47&amp;G47,"")</f>
        <v>AEK LarnakaFC Aberdeen</v>
      </c>
      <c r="K47" s="7">
        <f t="shared" si="2"/>
        <v>1</v>
      </c>
      <c r="L47" s="7" t="str">
        <f>IF(AND(K47&gt;0,Planning!$I50=0),H47&amp;Language!$E$90&amp;I47,"")</f>
        <v>0 - 0</v>
      </c>
      <c r="M47" s="226">
        <f>IF($H47="",0,Results!$L52)</f>
        <v>0</v>
      </c>
      <c r="N47" s="227">
        <f>IF($I47="",0,Results!$M52)</f>
        <v>0</v>
      </c>
      <c r="P47" s="234">
        <v>44</v>
      </c>
      <c r="Q47" s="235" t="str">
        <f>IF(Planning!$I50=0,G47&amp;F47,"")</f>
        <v>FC AberdeenAEK Larnaka</v>
      </c>
      <c r="R47" s="247">
        <f t="shared" si="3"/>
        <v>1</v>
      </c>
      <c r="S47" s="278" t="str">
        <f>IF(AND(R47&gt;0,Planning!$I50=0),I47&amp;Language!$E$90&amp;H47,"")</f>
        <v>0 - 0</v>
      </c>
    </row>
    <row r="48" spans="1:19" x14ac:dyDescent="0.2">
      <c r="A48" s="216"/>
      <c r="B48" s="2"/>
      <c r="C48" s="2"/>
      <c r="D48" s="2"/>
      <c r="E48" s="214">
        <v>45</v>
      </c>
      <c r="F48" s="137" t="str">
        <f>Planning!$Q51</f>
        <v>FC Noah</v>
      </c>
      <c r="G48" s="138" t="str">
        <f>Planning!$S51</f>
        <v>Sigma Olmütz</v>
      </c>
      <c r="H48" s="110">
        <f>IF(AND(Results!$Q$6&gt;0,$E48-1&gt;=Results!$Q$6*Calc!$F$42),"",IF(AND(Results!$I53&lt;&gt;"",Results!$K53&lt;&gt;"",Results!$F53&lt;&gt;Results!$H53,$F48&lt;&gt;"",$G48&lt;&gt;""),Results!$I53,""))</f>
        <v>1</v>
      </c>
      <c r="I48" s="17">
        <f>IF(AND(Results!$Q$6&gt;0,$E48-1&gt;=Results!$Q$6*Calc!$F$42),"",IF(AND(Results!$I53&lt;&gt;"",Results!$K53&lt;&gt;"",Results!$F53&lt;&gt;Results!$H53,$F48&lt;&gt;"",$G48&lt;&gt;""),Results!$K53,""))</f>
        <v>2</v>
      </c>
      <c r="J48" s="16" t="str">
        <f>IF(Planning!$I51=0,F48&amp;G48,"")</f>
        <v>FC NoahSigma Olmütz</v>
      </c>
      <c r="K48" s="7">
        <f t="shared" si="2"/>
        <v>1</v>
      </c>
      <c r="L48" s="7" t="str">
        <f>IF(AND(K48&gt;0,Planning!$I51=0),H48&amp;Language!$E$90&amp;I48,"")</f>
        <v>1 - 2</v>
      </c>
      <c r="M48" s="226">
        <f>IF($H48="",0,Results!$L53)</f>
        <v>0</v>
      </c>
      <c r="N48" s="227">
        <f>IF($I48="",0,Results!$M53)</f>
        <v>0</v>
      </c>
      <c r="P48" s="234">
        <v>45</v>
      </c>
      <c r="Q48" s="235" t="str">
        <f>IF(Planning!$I51=0,G48&amp;F48,"")</f>
        <v>Sigma OlmützFC Noah</v>
      </c>
      <c r="R48" s="247">
        <f t="shared" si="3"/>
        <v>1</v>
      </c>
      <c r="S48" s="278" t="str">
        <f>IF(AND(R48&gt;0,Planning!$I51=0),I48&amp;Language!$E$90&amp;H48,"")</f>
        <v>2 - 1</v>
      </c>
    </row>
    <row r="49" spans="1:19" x14ac:dyDescent="0.2">
      <c r="A49" s="216"/>
      <c r="B49" s="2"/>
      <c r="C49" s="2"/>
      <c r="D49" s="2"/>
      <c r="E49" s="214">
        <v>46</v>
      </c>
      <c r="F49" s="137" t="str">
        <f>Planning!$Q52</f>
        <v>Rapid Wien</v>
      </c>
      <c r="G49" s="138" t="str">
        <f>Planning!$S52</f>
        <v>Universitatea Craiova</v>
      </c>
      <c r="H49" s="110">
        <f>IF(AND(Results!$Q$6&gt;0,$E49-1&gt;=Results!$Q$6*Calc!$F$42),"",IF(AND(Results!$I54&lt;&gt;"",Results!$K54&lt;&gt;"",Results!$F54&lt;&gt;Results!$H54,$F49&lt;&gt;"",$G49&lt;&gt;""),Results!$I54,""))</f>
        <v>0</v>
      </c>
      <c r="I49" s="17">
        <f>IF(AND(Results!$Q$6&gt;0,$E49-1&gt;=Results!$Q$6*Calc!$F$42),"",IF(AND(Results!$I54&lt;&gt;"",Results!$K54&lt;&gt;"",Results!$F54&lt;&gt;Results!$H54,$F49&lt;&gt;"",$G49&lt;&gt;""),Results!$K54,""))</f>
        <v>1</v>
      </c>
      <c r="J49" s="16" t="str">
        <f>IF(Planning!$I52=0,F49&amp;G49,"")</f>
        <v>Rapid WienUniversitatea Craiova</v>
      </c>
      <c r="K49" s="7">
        <f t="shared" si="2"/>
        <v>1</v>
      </c>
      <c r="L49" s="7" t="str">
        <f>IF(AND(K49&gt;0,Planning!$I52=0),H49&amp;Language!$E$90&amp;I49,"")</f>
        <v>0 - 1</v>
      </c>
      <c r="M49" s="226">
        <f>IF($H49="",0,Results!$L54)</f>
        <v>0</v>
      </c>
      <c r="N49" s="227">
        <f>IF($I49="",0,Results!$M54)</f>
        <v>0</v>
      </c>
      <c r="P49" s="234">
        <v>46</v>
      </c>
      <c r="Q49" s="235" t="str">
        <f>IF(Planning!$I52=0,G49&amp;F49,"")</f>
        <v>Universitatea CraiovaRapid Wien</v>
      </c>
      <c r="R49" s="247">
        <f t="shared" si="3"/>
        <v>1</v>
      </c>
      <c r="S49" s="278" t="str">
        <f>IF(AND(R49&gt;0,Planning!$I52=0),I49&amp;Language!$E$90&amp;H49,"")</f>
        <v>1 - 0</v>
      </c>
    </row>
    <row r="50" spans="1:19" x14ac:dyDescent="0.2">
      <c r="A50" s="216"/>
      <c r="B50" s="2"/>
      <c r="C50" s="2"/>
      <c r="D50" s="2"/>
      <c r="E50" s="214">
        <v>47</v>
      </c>
      <c r="F50" s="137" t="str">
        <f>Planning!$Q53</f>
        <v>Crystal Palace</v>
      </c>
      <c r="G50" s="138" t="str">
        <f>Planning!$S53</f>
        <v>AZ Alkmaar</v>
      </c>
      <c r="H50" s="110">
        <f>IF(AND(Results!$Q$6&gt;0,$E50-1&gt;=Results!$Q$6*Calc!$F$42),"",IF(AND(Results!$I55&lt;&gt;"",Results!$K55&lt;&gt;"",Results!$F55&lt;&gt;Results!$H55,$F50&lt;&gt;"",$G50&lt;&gt;""),Results!$I55,""))</f>
        <v>3</v>
      </c>
      <c r="I50" s="17">
        <f>IF(AND(Results!$Q$6&gt;0,$E50-1&gt;=Results!$Q$6*Calc!$F$42),"",IF(AND(Results!$I55&lt;&gt;"",Results!$K55&lt;&gt;"",Results!$F55&lt;&gt;Results!$H55,$F50&lt;&gt;"",$G50&lt;&gt;""),Results!$K55,""))</f>
        <v>1</v>
      </c>
      <c r="J50" s="16" t="str">
        <f>IF(Planning!$I53=0,F50&amp;G50,"")</f>
        <v>Crystal PalaceAZ Alkmaar</v>
      </c>
      <c r="K50" s="7">
        <f t="shared" si="2"/>
        <v>1</v>
      </c>
      <c r="L50" s="7" t="str">
        <f>IF(AND(K50&gt;0,Planning!$I53=0),H50&amp;Language!$E$90&amp;I50,"")</f>
        <v>3 - 1</v>
      </c>
      <c r="M50" s="226">
        <f>IF($H50="",0,Results!$L55)</f>
        <v>0</v>
      </c>
      <c r="N50" s="227">
        <f>IF($I50="",0,Results!$M55)</f>
        <v>0</v>
      </c>
      <c r="P50" s="234">
        <v>47</v>
      </c>
      <c r="Q50" s="235" t="str">
        <f>IF(Planning!$I53=0,G50&amp;F50,"")</f>
        <v>AZ AlkmaarCrystal Palace</v>
      </c>
      <c r="R50" s="247">
        <f t="shared" si="3"/>
        <v>1</v>
      </c>
      <c r="S50" s="278" t="str">
        <f>IF(AND(R50&gt;0,Planning!$I53=0),I50&amp;Language!$E$90&amp;H50,"")</f>
        <v>1 - 3</v>
      </c>
    </row>
    <row r="51" spans="1:19" x14ac:dyDescent="0.2">
      <c r="A51" s="216"/>
      <c r="B51" s="2"/>
      <c r="C51" s="2"/>
      <c r="D51" s="2"/>
      <c r="E51" s="214">
        <v>48</v>
      </c>
      <c r="F51" s="137" t="str">
        <f>Planning!$Q54</f>
        <v>Dynamo Kiew</v>
      </c>
      <c r="G51" s="138" t="str">
        <f>Planning!$S54</f>
        <v>Zrinjski Mostar</v>
      </c>
      <c r="H51" s="110">
        <f>IF(AND(Results!$Q$6&gt;0,$E51-1&gt;=Results!$Q$6*Calc!$F$42),"",IF(AND(Results!$I56&lt;&gt;"",Results!$K56&lt;&gt;"",Results!$F56&lt;&gt;Results!$H56,$F51&lt;&gt;"",$G51&lt;&gt;""),Results!$I56,""))</f>
        <v>6</v>
      </c>
      <c r="I51" s="17">
        <f>IF(AND(Results!$Q$6&gt;0,$E51-1&gt;=Results!$Q$6*Calc!$F$42),"",IF(AND(Results!$I56&lt;&gt;"",Results!$K56&lt;&gt;"",Results!$F56&lt;&gt;Results!$H56,$F51&lt;&gt;"",$G51&lt;&gt;""),Results!$K56,""))</f>
        <v>0</v>
      </c>
      <c r="J51" s="16" t="str">
        <f>IF(Planning!$I54=0,F51&amp;G51,"")</f>
        <v>Dynamo KiewZrinjski Mostar</v>
      </c>
      <c r="K51" s="7">
        <f t="shared" si="2"/>
        <v>1</v>
      </c>
      <c r="L51" s="7" t="str">
        <f>IF(AND(K51&gt;0,Planning!$I54=0),H51&amp;Language!$E$90&amp;I51,"")</f>
        <v>6 - 0</v>
      </c>
      <c r="M51" s="226">
        <f>IF($H51="",0,Results!$L56)</f>
        <v>0</v>
      </c>
      <c r="N51" s="227">
        <f>IF($I51="",0,Results!$M56)</f>
        <v>0</v>
      </c>
      <c r="P51" s="234">
        <v>48</v>
      </c>
      <c r="Q51" s="235" t="str">
        <f>IF(Planning!$I54=0,G51&amp;F51,"")</f>
        <v>Zrinjski MostarDynamo Kiew</v>
      </c>
      <c r="R51" s="247">
        <f t="shared" si="3"/>
        <v>1</v>
      </c>
      <c r="S51" s="278" t="str">
        <f>IF(AND(R51&gt;0,Planning!$I54=0),I51&amp;Language!$E$90&amp;H51,"")</f>
        <v>0 - 6</v>
      </c>
    </row>
    <row r="52" spans="1:19" x14ac:dyDescent="0.2">
      <c r="A52" s="216"/>
      <c r="B52" s="2"/>
      <c r="C52" s="2"/>
      <c r="D52" s="2"/>
      <c r="E52" s="214">
        <v>49</v>
      </c>
      <c r="F52" s="137" t="str">
        <f>Planning!$Q55</f>
        <v>Rayo Vallecano</v>
      </c>
      <c r="G52" s="138" t="str">
        <f>Planning!$S55</f>
        <v>Lech Posen</v>
      </c>
      <c r="H52" s="110">
        <f>IF(AND(Results!$Q$6&gt;0,$E52-1&gt;=Results!$Q$6*Calc!$F$42),"",IF(AND(Results!$I57&lt;&gt;"",Results!$K57&lt;&gt;"",Results!$F57&lt;&gt;Results!$H57,$F52&lt;&gt;"",$G52&lt;&gt;""),Results!$I57,""))</f>
        <v>3</v>
      </c>
      <c r="I52" s="17">
        <f>IF(AND(Results!$Q$6&gt;0,$E52-1&gt;=Results!$Q$6*Calc!$F$42),"",IF(AND(Results!$I57&lt;&gt;"",Results!$K57&lt;&gt;"",Results!$F57&lt;&gt;Results!$H57,$F52&lt;&gt;"",$G52&lt;&gt;""),Results!$K57,""))</f>
        <v>2</v>
      </c>
      <c r="J52" s="16" t="str">
        <f>IF(Planning!$I55=0,F52&amp;G52,"")</f>
        <v>Rayo VallecanoLech Posen</v>
      </c>
      <c r="K52" s="7">
        <f t="shared" si="2"/>
        <v>1</v>
      </c>
      <c r="L52" s="7" t="str">
        <f>IF(AND(K52&gt;0,Planning!$I55=0),H52&amp;Language!$E$90&amp;I52,"")</f>
        <v>3 - 2</v>
      </c>
      <c r="M52" s="226">
        <f>IF($H52="",0,Results!$L57)</f>
        <v>0</v>
      </c>
      <c r="N52" s="227">
        <f>IF($I52="",0,Results!$M57)</f>
        <v>0</v>
      </c>
      <c r="P52" s="234">
        <v>49</v>
      </c>
      <c r="Q52" s="235" t="str">
        <f>IF(Planning!$I55=0,G52&amp;F52,"")</f>
        <v>Lech PosenRayo Vallecano</v>
      </c>
      <c r="R52" s="247">
        <f t="shared" si="3"/>
        <v>1</v>
      </c>
      <c r="S52" s="278" t="str">
        <f>IF(AND(R52&gt;0,Planning!$I55=0),I52&amp;Language!$E$90&amp;H52,"")</f>
        <v>2 - 3</v>
      </c>
    </row>
    <row r="53" spans="1:19" x14ac:dyDescent="0.2">
      <c r="A53" s="216"/>
      <c r="B53" s="2"/>
      <c r="C53" s="2"/>
      <c r="D53" s="2"/>
      <c r="E53" s="214">
        <v>50</v>
      </c>
      <c r="F53" s="137" t="str">
        <f>Planning!$Q56</f>
        <v>Lincoln Red Imps Fc</v>
      </c>
      <c r="G53" s="138" t="str">
        <f>Planning!$S56</f>
        <v>HNK Rijeka</v>
      </c>
      <c r="H53" s="110">
        <f>IF(AND(Results!$Q$6&gt;0,$E53-1&gt;=Results!$Q$6*Calc!$F$42),"",IF(AND(Results!$I58&lt;&gt;"",Results!$K58&lt;&gt;"",Results!$F58&lt;&gt;Results!$H58,$F53&lt;&gt;"",$G53&lt;&gt;""),Results!$I58,""))</f>
        <v>1</v>
      </c>
      <c r="I53" s="17">
        <f>IF(AND(Results!$Q$6&gt;0,$E53-1&gt;=Results!$Q$6*Calc!$F$42),"",IF(AND(Results!$I58&lt;&gt;"",Results!$K58&lt;&gt;"",Results!$F58&lt;&gt;Results!$H58,$F53&lt;&gt;"",$G53&lt;&gt;""),Results!$K58,""))</f>
        <v>1</v>
      </c>
      <c r="J53" s="16" t="str">
        <f>IF(Planning!$I56=0,F53&amp;G53,"")</f>
        <v>Lincoln Red Imps FcHNK Rijeka</v>
      </c>
      <c r="K53" s="7">
        <f t="shared" si="2"/>
        <v>1</v>
      </c>
      <c r="L53" s="7" t="str">
        <f>IF(AND(K53&gt;0,Planning!$I56=0),H53&amp;Language!$E$90&amp;I53,"")</f>
        <v>1 - 1</v>
      </c>
      <c r="M53" s="226">
        <f>IF($H53="",0,Results!$L58)</f>
        <v>0</v>
      </c>
      <c r="N53" s="227">
        <f>IF($I53="",0,Results!$M58)</f>
        <v>0</v>
      </c>
      <c r="P53" s="234">
        <v>50</v>
      </c>
      <c r="Q53" s="235" t="str">
        <f>IF(Planning!$I56=0,G53&amp;F53,"")</f>
        <v>HNK RijekaLincoln Red Imps Fc</v>
      </c>
      <c r="R53" s="247">
        <f t="shared" si="3"/>
        <v>1</v>
      </c>
      <c r="S53" s="278" t="str">
        <f>IF(AND(R53&gt;0,Planning!$I56=0),I53&amp;Language!$E$90&amp;H53,"")</f>
        <v>1 - 1</v>
      </c>
    </row>
    <row r="54" spans="1:19" x14ac:dyDescent="0.2">
      <c r="A54" s="216"/>
      <c r="B54" s="2"/>
      <c r="C54" s="2"/>
      <c r="D54" s="2"/>
      <c r="E54" s="214">
        <v>51</v>
      </c>
      <c r="F54" s="137" t="str">
        <f>Planning!$Q57</f>
        <v>Shkendija Tetovo</v>
      </c>
      <c r="G54" s="138" t="str">
        <f>Planning!$S57</f>
        <v>Jagiellonia Bialystok</v>
      </c>
      <c r="H54" s="110">
        <f>IF(AND(Results!$Q$6&gt;0,$E54-1&gt;=Results!$Q$6*Calc!$F$42),"",IF(AND(Results!$I59&lt;&gt;"",Results!$K59&lt;&gt;"",Results!$F59&lt;&gt;Results!$H59,$F54&lt;&gt;"",$G54&lt;&gt;""),Results!$I59,""))</f>
        <v>1</v>
      </c>
      <c r="I54" s="17">
        <f>IF(AND(Results!$Q$6&gt;0,$E54-1&gt;=Results!$Q$6*Calc!$F$42),"",IF(AND(Results!$I59&lt;&gt;"",Results!$K59&lt;&gt;"",Results!$F59&lt;&gt;Results!$H59,$F54&lt;&gt;"",$G54&lt;&gt;""),Results!$K59,""))</f>
        <v>1</v>
      </c>
      <c r="J54" s="16" t="str">
        <f>IF(Planning!$I57=0,F54&amp;G54,"")</f>
        <v>Shkendija TetovoJagiellonia Bialystok</v>
      </c>
      <c r="K54" s="7">
        <f t="shared" si="2"/>
        <v>1</v>
      </c>
      <c r="L54" s="7" t="str">
        <f>IF(AND(K54&gt;0,Planning!$I57=0),H54&amp;Language!$E$90&amp;I54,"")</f>
        <v>1 - 1</v>
      </c>
      <c r="M54" s="226">
        <f>IF($H54="",0,Results!$L59)</f>
        <v>0</v>
      </c>
      <c r="N54" s="227">
        <f>IF($I54="",0,Results!$M59)</f>
        <v>0</v>
      </c>
      <c r="P54" s="234">
        <v>51</v>
      </c>
      <c r="Q54" s="235" t="str">
        <f>IF(Planning!$I57=0,G54&amp;F54,"")</f>
        <v>Jagiellonia BialystokShkendija Tetovo</v>
      </c>
      <c r="R54" s="247">
        <f t="shared" si="3"/>
        <v>1</v>
      </c>
      <c r="S54" s="278" t="str">
        <f>IF(AND(R54&gt;0,Planning!$I57=0),I54&amp;Language!$E$90&amp;H54,"")</f>
        <v>1 - 1</v>
      </c>
    </row>
    <row r="55" spans="1:19" x14ac:dyDescent="0.2">
      <c r="A55" s="216"/>
      <c r="B55" s="2"/>
      <c r="C55" s="2"/>
      <c r="D55" s="2"/>
      <c r="E55" s="214">
        <v>52</v>
      </c>
      <c r="F55" s="137" t="str">
        <f>Planning!$Q58</f>
        <v>BK Häcken</v>
      </c>
      <c r="G55" s="138" t="str">
        <f>Planning!$S58</f>
        <v>Racing Straßburg</v>
      </c>
      <c r="H55" s="110">
        <f>IF(AND(Results!$Q$6&gt;0,$E55-1&gt;=Results!$Q$6*Calc!$F$42),"",IF(AND(Results!$I60&lt;&gt;"",Results!$K60&lt;&gt;"",Results!$F60&lt;&gt;Results!$H60,$F55&lt;&gt;"",$G55&lt;&gt;""),Results!$I60,""))</f>
        <v>1</v>
      </c>
      <c r="I55" s="17">
        <f>IF(AND(Results!$Q$6&gt;0,$E55-1&gt;=Results!$Q$6*Calc!$F$42),"",IF(AND(Results!$I60&lt;&gt;"",Results!$K60&lt;&gt;"",Results!$F60&lt;&gt;Results!$H60,$F55&lt;&gt;"",$G55&lt;&gt;""),Results!$K60,""))</f>
        <v>2</v>
      </c>
      <c r="J55" s="16" t="str">
        <f>IF(Planning!$I58=0,F55&amp;G55,"")</f>
        <v>BK HäckenRacing Straßburg</v>
      </c>
      <c r="K55" s="7">
        <f t="shared" si="2"/>
        <v>1</v>
      </c>
      <c r="L55" s="7" t="str">
        <f>IF(AND(K55&gt;0,Planning!$I58=0),H55&amp;Language!$E$90&amp;I55,"")</f>
        <v>1 - 2</v>
      </c>
      <c r="M55" s="226">
        <f>IF($H55="",0,Results!$L60)</f>
        <v>0</v>
      </c>
      <c r="N55" s="227">
        <f>IF($I55="",0,Results!$M60)</f>
        <v>0</v>
      </c>
      <c r="P55" s="234">
        <v>52</v>
      </c>
      <c r="Q55" s="235" t="str">
        <f>IF(Planning!$I58=0,G55&amp;F55,"")</f>
        <v>Racing StraßburgBK Häcken</v>
      </c>
      <c r="R55" s="247">
        <f t="shared" si="3"/>
        <v>1</v>
      </c>
      <c r="S55" s="278" t="str">
        <f>IF(AND(R55&gt;0,Planning!$I58=0),I55&amp;Language!$E$90&amp;H55,"")</f>
        <v>2 - 1</v>
      </c>
    </row>
    <row r="56" spans="1:19" x14ac:dyDescent="0.2">
      <c r="A56" s="216"/>
      <c r="B56" s="2"/>
      <c r="C56" s="2"/>
      <c r="D56" s="2"/>
      <c r="E56" s="214">
        <v>53</v>
      </c>
      <c r="F56" s="137" t="str">
        <f>Planning!$Q59</f>
        <v>FC Shelbourne</v>
      </c>
      <c r="G56" s="138" t="str">
        <f>Planning!$S59</f>
        <v>KF Drita Gjilan</v>
      </c>
      <c r="H56" s="110">
        <f>IF(AND(Results!$Q$6&gt;0,$E56-1&gt;=Results!$Q$6*Calc!$F$42),"",IF(AND(Results!$I61&lt;&gt;"",Results!$K61&lt;&gt;"",Results!$F61&lt;&gt;Results!$H61,$F56&lt;&gt;"",$G56&lt;&gt;""),Results!$I61,""))</f>
        <v>0</v>
      </c>
      <c r="I56" s="17">
        <f>IF(AND(Results!$Q$6&gt;0,$E56-1&gt;=Results!$Q$6*Calc!$F$42),"",IF(AND(Results!$I61&lt;&gt;"",Results!$K61&lt;&gt;"",Results!$F61&lt;&gt;Results!$H61,$F56&lt;&gt;"",$G56&lt;&gt;""),Results!$K61,""))</f>
        <v>1</v>
      </c>
      <c r="J56" s="16" t="str">
        <f>IF(Planning!$I59=0,F56&amp;G56,"")</f>
        <v>FC ShelbourneKF Drita Gjilan</v>
      </c>
      <c r="K56" s="7">
        <f t="shared" si="2"/>
        <v>1</v>
      </c>
      <c r="L56" s="7" t="str">
        <f>IF(AND(K56&gt;0,Planning!$I59=0),H56&amp;Language!$E$90&amp;I56,"")</f>
        <v>0 - 1</v>
      </c>
      <c r="M56" s="226">
        <f>IF($H56="",0,Results!$L61)</f>
        <v>0</v>
      </c>
      <c r="N56" s="227">
        <f>IF($I56="",0,Results!$M61)</f>
        <v>0</v>
      </c>
      <c r="P56" s="234">
        <v>53</v>
      </c>
      <c r="Q56" s="235" t="str">
        <f>IF(Planning!$I59=0,G56&amp;F56,"")</f>
        <v>KF Drita GjilanFC Shelbourne</v>
      </c>
      <c r="R56" s="247">
        <f t="shared" si="3"/>
        <v>1</v>
      </c>
      <c r="S56" s="278" t="str">
        <f>IF(AND(R56&gt;0,Planning!$I59=0),I56&amp;Language!$E$90&amp;H56,"")</f>
        <v>1 - 0</v>
      </c>
    </row>
    <row r="57" spans="1:19" x14ac:dyDescent="0.2">
      <c r="A57" s="216"/>
      <c r="B57" s="2"/>
      <c r="C57" s="2"/>
      <c r="D57" s="2"/>
      <c r="E57" s="214">
        <v>54</v>
      </c>
      <c r="F57" s="137" t="str">
        <f>Planning!$Q60</f>
        <v>FC Lausanne-Sport</v>
      </c>
      <c r="G57" s="138" t="str">
        <f>Planning!$S60</f>
        <v>Omonia Nikosia</v>
      </c>
      <c r="H57" s="110">
        <f>IF(AND(Results!$Q$6&gt;0,$E57-1&gt;=Results!$Q$6*Calc!$F$42),"",IF(AND(Results!$I62&lt;&gt;"",Results!$K62&lt;&gt;"",Results!$F62&lt;&gt;Results!$H62,$F57&lt;&gt;"",$G57&lt;&gt;""),Results!$I62,""))</f>
        <v>1</v>
      </c>
      <c r="I57" s="17">
        <f>IF(AND(Results!$Q$6&gt;0,$E57-1&gt;=Results!$Q$6*Calc!$F$42),"",IF(AND(Results!$I62&lt;&gt;"",Results!$K62&lt;&gt;"",Results!$F62&lt;&gt;Results!$H62,$F57&lt;&gt;"",$G57&lt;&gt;""),Results!$K62,""))</f>
        <v>1</v>
      </c>
      <c r="J57" s="16" t="str">
        <f>IF(Planning!$I60=0,F57&amp;G57,"")</f>
        <v>FC Lausanne-SportOmonia Nikosia</v>
      </c>
      <c r="K57" s="7">
        <f t="shared" si="2"/>
        <v>1</v>
      </c>
      <c r="L57" s="7" t="str">
        <f>IF(AND(K57&gt;0,Planning!$I60=0),H57&amp;Language!$E$90&amp;I57,"")</f>
        <v>1 - 1</v>
      </c>
      <c r="M57" s="226">
        <f>IF($H57="",0,Results!$L62)</f>
        <v>0</v>
      </c>
      <c r="N57" s="227">
        <f>IF($I57="",0,Results!$M62)</f>
        <v>0</v>
      </c>
      <c r="P57" s="234">
        <v>54</v>
      </c>
      <c r="Q57" s="235" t="str">
        <f>IF(Planning!$I60=0,G57&amp;F57,"")</f>
        <v>Omonia NikosiaFC Lausanne-Sport</v>
      </c>
      <c r="R57" s="247">
        <f t="shared" si="3"/>
        <v>1</v>
      </c>
      <c r="S57" s="278" t="str">
        <f>IF(AND(R57&gt;0,Planning!$I60=0),I57&amp;Language!$E$90&amp;H57,"")</f>
        <v>1 - 1</v>
      </c>
    </row>
    <row r="58" spans="1:19" x14ac:dyDescent="0.2">
      <c r="A58" s="216"/>
      <c r="B58" s="2"/>
      <c r="C58" s="2"/>
      <c r="D58" s="2"/>
      <c r="E58" s="214">
        <v>55</v>
      </c>
      <c r="F58" s="137" t="str">
        <f>Planning!$Q61</f>
        <v>Slovan Bratislava</v>
      </c>
      <c r="G58" s="138" t="str">
        <f>Planning!$S61</f>
        <v>Rayo Vallecano</v>
      </c>
      <c r="H58" s="110">
        <f>IF(AND(Results!$Q$6&gt;0,$E58-1&gt;=Results!$Q$6*Calc!$F$42),"",IF(AND(Results!$I63&lt;&gt;"",Results!$K63&lt;&gt;"",Results!$F63&lt;&gt;Results!$H63,$F58&lt;&gt;"",$G58&lt;&gt;""),Results!$I63,""))</f>
        <v>2</v>
      </c>
      <c r="I58" s="17">
        <f>IF(AND(Results!$Q$6&gt;0,$E58-1&gt;=Results!$Q$6*Calc!$F$42),"",IF(AND(Results!$I63&lt;&gt;"",Results!$K63&lt;&gt;"",Results!$F63&lt;&gt;Results!$H63,$F58&lt;&gt;"",$G58&lt;&gt;""),Results!$K63,""))</f>
        <v>1</v>
      </c>
      <c r="J58" s="16" t="str">
        <f>IF(Planning!$I61=0,F58&amp;G58,"")</f>
        <v>Slovan BratislavaRayo Vallecano</v>
      </c>
      <c r="K58" s="7">
        <f t="shared" si="2"/>
        <v>1</v>
      </c>
      <c r="L58" s="7" t="str">
        <f>IF(AND(K58&gt;0,Planning!$I61=0),H58&amp;Language!$E$90&amp;I58,"")</f>
        <v>2 - 1</v>
      </c>
      <c r="M58" s="226">
        <f>IF($H58="",0,Results!$L63)</f>
        <v>0</v>
      </c>
      <c r="N58" s="227">
        <f>IF($I58="",0,Results!$M63)</f>
        <v>0</v>
      </c>
      <c r="P58" s="234">
        <v>55</v>
      </c>
      <c r="Q58" s="235" t="str">
        <f>IF(Planning!$I61=0,G58&amp;F58,"")</f>
        <v>Rayo VallecanoSlovan Bratislava</v>
      </c>
      <c r="R58" s="247">
        <f t="shared" si="3"/>
        <v>1</v>
      </c>
      <c r="S58" s="278" t="str">
        <f>IF(AND(R58&gt;0,Planning!$I61=0),I58&amp;Language!$E$90&amp;H58,"")</f>
        <v>1 - 2</v>
      </c>
    </row>
    <row r="59" spans="1:19" x14ac:dyDescent="0.2">
      <c r="A59" s="216"/>
      <c r="B59" s="2"/>
      <c r="C59" s="2"/>
      <c r="D59" s="2"/>
      <c r="E59" s="214">
        <v>56</v>
      </c>
      <c r="F59" s="137" t="str">
        <f>Planning!$Q62</f>
        <v>AZ Alkmaar</v>
      </c>
      <c r="G59" s="138" t="str">
        <f>Planning!$S62</f>
        <v>FC Shelbourne</v>
      </c>
      <c r="H59" s="110">
        <f>IF(AND(Results!$Q$6&gt;0,$E59-1&gt;=Results!$Q$6*Calc!$F$42),"",IF(AND(Results!$I64&lt;&gt;"",Results!$K64&lt;&gt;"",Results!$F64&lt;&gt;Results!$H64,$F59&lt;&gt;"",$G59&lt;&gt;""),Results!$I64,""))</f>
        <v>2</v>
      </c>
      <c r="I59" s="17">
        <f>IF(AND(Results!$Q$6&gt;0,$E59-1&gt;=Results!$Q$6*Calc!$F$42),"",IF(AND(Results!$I64&lt;&gt;"",Results!$K64&lt;&gt;"",Results!$F64&lt;&gt;Results!$H64,$F59&lt;&gt;"",$G59&lt;&gt;""),Results!$K64,""))</f>
        <v>0</v>
      </c>
      <c r="J59" s="16" t="str">
        <f>IF(Planning!$I62=0,F59&amp;G59,"")</f>
        <v>AZ AlkmaarFC Shelbourne</v>
      </c>
      <c r="K59" s="7">
        <f t="shared" si="2"/>
        <v>1</v>
      </c>
      <c r="L59" s="7" t="str">
        <f>IF(AND(K59&gt;0,Planning!$I62=0),H59&amp;Language!$E$90&amp;I59,"")</f>
        <v>2 - 0</v>
      </c>
      <c r="M59" s="226">
        <f>IF($H59="",0,Results!$L64)</f>
        <v>0</v>
      </c>
      <c r="N59" s="227">
        <f>IF($I59="",0,Results!$M64)</f>
        <v>0</v>
      </c>
      <c r="P59" s="234">
        <v>56</v>
      </c>
      <c r="Q59" s="235" t="str">
        <f>IF(Planning!$I62=0,G59&amp;F59,"")</f>
        <v>FC ShelbourneAZ Alkmaar</v>
      </c>
      <c r="R59" s="247">
        <f t="shared" si="3"/>
        <v>1</v>
      </c>
      <c r="S59" s="278" t="str">
        <f>IF(AND(R59&gt;0,Planning!$I62=0),I59&amp;Language!$E$90&amp;H59,"")</f>
        <v>0 - 2</v>
      </c>
    </row>
    <row r="60" spans="1:19" x14ac:dyDescent="0.2">
      <c r="A60" s="216"/>
      <c r="B60" s="2"/>
      <c r="C60" s="2"/>
      <c r="D60" s="2"/>
      <c r="E60" s="214">
        <v>57</v>
      </c>
      <c r="F60" s="137" t="str">
        <f>Planning!$Q63</f>
        <v>Lech Posen</v>
      </c>
      <c r="G60" s="138" t="str">
        <f>Planning!$S63</f>
        <v>FC Lausanne-Sport</v>
      </c>
      <c r="H60" s="110">
        <f>IF(AND(Results!$Q$6&gt;0,$E60-1&gt;=Results!$Q$6*Calc!$F$42),"",IF(AND(Results!$I65&lt;&gt;"",Results!$K65&lt;&gt;"",Results!$F65&lt;&gt;Results!$H65,$F60&lt;&gt;"",$G60&lt;&gt;""),Results!$I65,""))</f>
        <v>2</v>
      </c>
      <c r="I60" s="17">
        <f>IF(AND(Results!$Q$6&gt;0,$E60-1&gt;=Results!$Q$6*Calc!$F$42),"",IF(AND(Results!$I65&lt;&gt;"",Results!$K65&lt;&gt;"",Results!$F65&lt;&gt;Results!$H65,$F60&lt;&gt;"",$G60&lt;&gt;""),Results!$K65,""))</f>
        <v>0</v>
      </c>
      <c r="J60" s="16" t="str">
        <f>IF(Planning!$I63=0,F60&amp;G60,"")</f>
        <v>Lech PosenFC Lausanne-Sport</v>
      </c>
      <c r="K60" s="7">
        <f t="shared" si="2"/>
        <v>1</v>
      </c>
      <c r="L60" s="7" t="str">
        <f>IF(AND(K60&gt;0,Planning!$I63=0),H60&amp;Language!$E$90&amp;I60,"")</f>
        <v>2 - 0</v>
      </c>
      <c r="M60" s="226">
        <f>IF($H60="",0,Results!$L65)</f>
        <v>0</v>
      </c>
      <c r="N60" s="227">
        <f>IF($I60="",0,Results!$M65)</f>
        <v>0</v>
      </c>
      <c r="P60" s="234">
        <v>57</v>
      </c>
      <c r="Q60" s="235" t="str">
        <f>IF(Planning!$I63=0,G60&amp;F60,"")</f>
        <v>FC Lausanne-SportLech Posen</v>
      </c>
      <c r="R60" s="247">
        <f t="shared" si="3"/>
        <v>1</v>
      </c>
      <c r="S60" s="278" t="str">
        <f>IF(AND(R60&gt;0,Planning!$I63=0),I60&amp;Language!$E$90&amp;H60,"")</f>
        <v>0 - 2</v>
      </c>
    </row>
    <row r="61" spans="1:19" x14ac:dyDescent="0.2">
      <c r="A61" s="216"/>
      <c r="B61" s="2"/>
      <c r="C61" s="2"/>
      <c r="D61" s="2"/>
      <c r="E61" s="214">
        <v>58</v>
      </c>
      <c r="F61" s="137" t="str">
        <f>Planning!$Q64</f>
        <v>Zrinjski Mostar</v>
      </c>
      <c r="G61" s="138" t="str">
        <f>Planning!$S64</f>
        <v>BK Häcken</v>
      </c>
      <c r="H61" s="110">
        <f>IF(AND(Results!$Q$6&gt;0,$E61-1&gt;=Results!$Q$6*Calc!$F$42),"",IF(AND(Results!$I66&lt;&gt;"",Results!$K66&lt;&gt;"",Results!$F66&lt;&gt;Results!$H66,$F61&lt;&gt;"",$G61&lt;&gt;""),Results!$I66,""))</f>
        <v>2</v>
      </c>
      <c r="I61" s="17">
        <f>IF(AND(Results!$Q$6&gt;0,$E61-1&gt;=Results!$Q$6*Calc!$F$42),"",IF(AND(Results!$I66&lt;&gt;"",Results!$K66&lt;&gt;"",Results!$F66&lt;&gt;Results!$H66,$F61&lt;&gt;"",$G61&lt;&gt;""),Results!$K66,""))</f>
        <v>1</v>
      </c>
      <c r="J61" s="16" t="str">
        <f>IF(Planning!$I64=0,F61&amp;G61,"")</f>
        <v>Zrinjski MostarBK Häcken</v>
      </c>
      <c r="K61" s="7">
        <f t="shared" si="2"/>
        <v>1</v>
      </c>
      <c r="L61" s="7" t="str">
        <f>IF(AND(K61&gt;0,Planning!$I64=0),H61&amp;Language!$E$90&amp;I61,"")</f>
        <v>2 - 1</v>
      </c>
      <c r="M61" s="226">
        <f>IF($H61="",0,Results!$L66)</f>
        <v>0</v>
      </c>
      <c r="N61" s="227">
        <f>IF($I61="",0,Results!$M66)</f>
        <v>0</v>
      </c>
      <c r="P61" s="234">
        <v>58</v>
      </c>
      <c r="Q61" s="235" t="str">
        <f>IF(Planning!$I64=0,G61&amp;F61,"")</f>
        <v>BK HäckenZrinjski Mostar</v>
      </c>
      <c r="R61" s="247">
        <f t="shared" si="3"/>
        <v>1</v>
      </c>
      <c r="S61" s="278" t="str">
        <f>IF(AND(R61&gt;0,Planning!$I64=0),I61&amp;Language!$E$90&amp;H61,"")</f>
        <v>1 - 2</v>
      </c>
    </row>
    <row r="62" spans="1:19" x14ac:dyDescent="0.2">
      <c r="A62" s="216"/>
      <c r="B62" s="2"/>
      <c r="C62" s="2"/>
      <c r="D62" s="2"/>
      <c r="E62" s="214">
        <v>59</v>
      </c>
      <c r="F62" s="137" t="str">
        <f>Planning!$Q65</f>
        <v>Omonia Nikosia</v>
      </c>
      <c r="G62" s="138" t="str">
        <f>Planning!$S65</f>
        <v>Dynamo Kiew</v>
      </c>
      <c r="H62" s="110">
        <f>IF(AND(Results!$Q$6&gt;0,$E62-1&gt;=Results!$Q$6*Calc!$F$42),"",IF(AND(Results!$I67&lt;&gt;"",Results!$K67&lt;&gt;"",Results!$F67&lt;&gt;Results!$H67,$F62&lt;&gt;"",$G62&lt;&gt;""),Results!$I67,""))</f>
        <v>2</v>
      </c>
      <c r="I62" s="17">
        <f>IF(AND(Results!$Q$6&gt;0,$E62-1&gt;=Results!$Q$6*Calc!$F$42),"",IF(AND(Results!$I67&lt;&gt;"",Results!$K67&lt;&gt;"",Results!$F67&lt;&gt;Results!$H67,$F62&lt;&gt;"",$G62&lt;&gt;""),Results!$K67,""))</f>
        <v>0</v>
      </c>
      <c r="J62" s="16" t="str">
        <f>IF(Planning!$I65=0,F62&amp;G62,"")</f>
        <v>Omonia NikosiaDynamo Kiew</v>
      </c>
      <c r="K62" s="7">
        <f t="shared" si="2"/>
        <v>1</v>
      </c>
      <c r="L62" s="7" t="str">
        <f>IF(AND(K62&gt;0,Planning!$I65=0),H62&amp;Language!$E$90&amp;I62,"")</f>
        <v>2 - 0</v>
      </c>
      <c r="M62" s="226">
        <f>IF($H62="",0,Results!$L67)</f>
        <v>0</v>
      </c>
      <c r="N62" s="227">
        <f>IF($I62="",0,Results!$M67)</f>
        <v>0</v>
      </c>
      <c r="P62" s="234">
        <v>59</v>
      </c>
      <c r="Q62" s="235" t="str">
        <f>IF(Planning!$I65=0,G62&amp;F62,"")</f>
        <v>Dynamo KiewOmonia Nikosia</v>
      </c>
      <c r="R62" s="247">
        <f t="shared" si="3"/>
        <v>1</v>
      </c>
      <c r="S62" s="278" t="str">
        <f>IF(AND(R62&gt;0,Planning!$I65=0),I62&amp;Language!$E$90&amp;H62,"")</f>
        <v>0 - 2</v>
      </c>
    </row>
    <row r="63" spans="1:19" x14ac:dyDescent="0.2">
      <c r="A63" s="216"/>
      <c r="B63" s="2"/>
      <c r="C63" s="2"/>
      <c r="D63" s="2"/>
      <c r="E63" s="214">
        <v>60</v>
      </c>
      <c r="F63" s="137" t="str">
        <f>Planning!$Q66</f>
        <v>Sigma Olmütz</v>
      </c>
      <c r="G63" s="138" t="str">
        <f>Planning!$S66</f>
        <v>NK Celje</v>
      </c>
      <c r="H63" s="110">
        <f>IF(AND(Results!$Q$6&gt;0,$E63-1&gt;=Results!$Q$6*Calc!$F$42),"",IF(AND(Results!$I68&lt;&gt;"",Results!$K68&lt;&gt;"",Results!$F68&lt;&gt;Results!$H68,$F63&lt;&gt;"",$G63&lt;&gt;""),Results!$I68,""))</f>
        <v>2</v>
      </c>
      <c r="I63" s="17">
        <f>IF(AND(Results!$Q$6&gt;0,$E63-1&gt;=Results!$Q$6*Calc!$F$42),"",IF(AND(Results!$I68&lt;&gt;"",Results!$K68&lt;&gt;"",Results!$F68&lt;&gt;Results!$H68,$F63&lt;&gt;"",$G63&lt;&gt;""),Results!$K68,""))</f>
        <v>1</v>
      </c>
      <c r="J63" s="16" t="str">
        <f>IF(Planning!$I66=0,F63&amp;G63,"")</f>
        <v>Sigma OlmützNK Celje</v>
      </c>
      <c r="K63" s="7">
        <f t="shared" si="2"/>
        <v>1</v>
      </c>
      <c r="L63" s="7" t="str">
        <f>IF(AND(K63&gt;0,Planning!$I66=0),H63&amp;Language!$E$90&amp;I63,"")</f>
        <v>2 - 1</v>
      </c>
      <c r="M63" s="226">
        <f>IF($H63="",0,Results!$L68)</f>
        <v>0</v>
      </c>
      <c r="N63" s="227">
        <f>IF($I63="",0,Results!$M68)</f>
        <v>0</v>
      </c>
      <c r="P63" s="234">
        <v>60</v>
      </c>
      <c r="Q63" s="235" t="str">
        <f>IF(Planning!$I66=0,G63&amp;F63,"")</f>
        <v>NK CeljeSigma Olmütz</v>
      </c>
      <c r="R63" s="247">
        <f t="shared" si="3"/>
        <v>1</v>
      </c>
      <c r="S63" s="278" t="str">
        <f>IF(AND(R63&gt;0,Planning!$I66=0),I63&amp;Language!$E$90&amp;H63,"")</f>
        <v>1 - 2</v>
      </c>
    </row>
    <row r="64" spans="1:19" x14ac:dyDescent="0.2">
      <c r="A64" s="216"/>
      <c r="B64" s="2"/>
      <c r="C64" s="2"/>
      <c r="D64" s="2"/>
      <c r="E64" s="214">
        <v>61</v>
      </c>
      <c r="F64" s="137" t="str">
        <f>Planning!$Q67</f>
        <v>Rakow Tschenstochau</v>
      </c>
      <c r="G64" s="138" t="str">
        <f>Planning!$S67</f>
        <v>Rapid Wien</v>
      </c>
      <c r="H64" s="110">
        <f>IF(AND(Results!$Q$6&gt;0,$E64-1&gt;=Results!$Q$6*Calc!$F$42),"",IF(AND(Results!$I69&lt;&gt;"",Results!$K69&lt;&gt;"",Results!$F69&lt;&gt;Results!$H69,$F64&lt;&gt;"",$G64&lt;&gt;""),Results!$I69,""))</f>
        <v>4</v>
      </c>
      <c r="I64" s="17">
        <f>IF(AND(Results!$Q$6&gt;0,$E64-1&gt;=Results!$Q$6*Calc!$F$42),"",IF(AND(Results!$I69&lt;&gt;"",Results!$K69&lt;&gt;"",Results!$F69&lt;&gt;Results!$H69,$F64&lt;&gt;"",$G64&lt;&gt;""),Results!$K69,""))</f>
        <v>1</v>
      </c>
      <c r="J64" s="16" t="str">
        <f>IF(Planning!$I67=0,F64&amp;G64,"")</f>
        <v>Rakow TschenstochauRapid Wien</v>
      </c>
      <c r="K64" s="7">
        <f t="shared" si="2"/>
        <v>1</v>
      </c>
      <c r="L64" s="7" t="str">
        <f>IF(AND(K64&gt;0,Planning!$I67=0),H64&amp;Language!$E$90&amp;I64,"")</f>
        <v>4 - 1</v>
      </c>
      <c r="M64" s="226">
        <f>IF($H64="",0,Results!$L69)</f>
        <v>0</v>
      </c>
      <c r="N64" s="227">
        <f>IF($I64="",0,Results!$M69)</f>
        <v>0</v>
      </c>
      <c r="P64" s="234">
        <v>61</v>
      </c>
      <c r="Q64" s="235" t="str">
        <f>IF(Planning!$I67=0,G64&amp;F64,"")</f>
        <v>Rapid WienRakow Tschenstochau</v>
      </c>
      <c r="R64" s="247">
        <f t="shared" si="3"/>
        <v>1</v>
      </c>
      <c r="S64" s="278" t="str">
        <f>IF(AND(R64&gt;0,Planning!$I67=0),I64&amp;Language!$E$90&amp;H64,"")</f>
        <v>1 - 4</v>
      </c>
    </row>
    <row r="65" spans="2:19" x14ac:dyDescent="0.2">
      <c r="B65" s="2"/>
      <c r="C65" s="2"/>
      <c r="D65" s="2"/>
      <c r="E65" s="214">
        <v>62</v>
      </c>
      <c r="F65" s="137" t="str">
        <f>Planning!$Q68</f>
        <v>Universitatea Craiova</v>
      </c>
      <c r="G65" s="138" t="str">
        <f>Planning!$S68</f>
        <v>1. FSV Mainz 05</v>
      </c>
      <c r="H65" s="110">
        <f>IF(AND(Results!$Q$6&gt;0,$E65-1&gt;=Results!$Q$6*Calc!$F$42),"",IF(AND(Results!$I70&lt;&gt;"",Results!$K70&lt;&gt;"",Results!$F70&lt;&gt;Results!$H70,$F65&lt;&gt;"",$G65&lt;&gt;""),Results!$I70,""))</f>
        <v>1</v>
      </c>
      <c r="I65" s="17">
        <f>IF(AND(Results!$Q$6&gt;0,$E65-1&gt;=Results!$Q$6*Calc!$F$42),"",IF(AND(Results!$I70&lt;&gt;"",Results!$K70&lt;&gt;"",Results!$F70&lt;&gt;Results!$H70,$F65&lt;&gt;"",$G65&lt;&gt;""),Results!$K70,""))</f>
        <v>0</v>
      </c>
      <c r="J65" s="16" t="str">
        <f>IF(Planning!$I68=0,F65&amp;G65,"")</f>
        <v>Universitatea Craiova1. FSV Mainz 05</v>
      </c>
      <c r="K65" s="7">
        <f t="shared" si="2"/>
        <v>1</v>
      </c>
      <c r="L65" s="7" t="str">
        <f>IF(AND(K65&gt;0,Planning!$I68=0),H65&amp;Language!$E$90&amp;I65,"")</f>
        <v>1 - 0</v>
      </c>
      <c r="M65" s="226">
        <f>IF($H65="",0,Results!$L70)</f>
        <v>0</v>
      </c>
      <c r="N65" s="227">
        <f>IF($I65="",0,Results!$M70)</f>
        <v>0</v>
      </c>
      <c r="P65" s="234">
        <v>62</v>
      </c>
      <c r="Q65" s="235" t="str">
        <f>IF(Planning!$I68=0,G65&amp;F65,"")</f>
        <v>1. FSV Mainz 05Universitatea Craiova</v>
      </c>
      <c r="R65" s="247">
        <f t="shared" si="3"/>
        <v>1</v>
      </c>
      <c r="S65" s="278" t="str">
        <f>IF(AND(R65&gt;0,Planning!$I68=0),I65&amp;Language!$E$90&amp;H65,"")</f>
        <v>0 - 1</v>
      </c>
    </row>
    <row r="66" spans="2:19" x14ac:dyDescent="0.2">
      <c r="B66" s="2"/>
      <c r="C66" s="2"/>
      <c r="D66" s="2"/>
      <c r="E66" s="214">
        <v>63</v>
      </c>
      <c r="F66" s="137" t="str">
        <f>Planning!$Q69</f>
        <v>Hamrun Spartans</v>
      </c>
      <c r="G66" s="138" t="str">
        <f>Planning!$S69</f>
        <v>Lincoln Red Imps Fc</v>
      </c>
      <c r="H66" s="110">
        <f>IF(AND(Results!$Q$6&gt;0,$E66-1&gt;=Results!$Q$6*Calc!$F$42),"",IF(AND(Results!$I71&lt;&gt;"",Results!$K71&lt;&gt;"",Results!$F71&lt;&gt;Results!$H71,$F66&lt;&gt;"",$G66&lt;&gt;""),Results!$I71,""))</f>
        <v>3</v>
      </c>
      <c r="I66" s="17">
        <f>IF(AND(Results!$Q$6&gt;0,$E66-1&gt;=Results!$Q$6*Calc!$F$42),"",IF(AND(Results!$I71&lt;&gt;"",Results!$K71&lt;&gt;"",Results!$F71&lt;&gt;Results!$H71,$F66&lt;&gt;"",$G66&lt;&gt;""),Results!$K71,""))</f>
        <v>1</v>
      </c>
      <c r="J66" s="16" t="str">
        <f>IF(Planning!$I69=0,F66&amp;G66,"")</f>
        <v>Hamrun SpartansLincoln Red Imps Fc</v>
      </c>
      <c r="K66" s="7">
        <f t="shared" si="2"/>
        <v>1</v>
      </c>
      <c r="L66" s="7" t="str">
        <f>IF(AND(K66&gt;0,Planning!$I69=0),H66&amp;Language!$E$90&amp;I66,"")</f>
        <v>3 - 1</v>
      </c>
      <c r="M66" s="226">
        <f>IF($H66="",0,Results!$L71)</f>
        <v>0</v>
      </c>
      <c r="N66" s="227">
        <f>IF($I66="",0,Results!$M71)</f>
        <v>0</v>
      </c>
      <c r="P66" s="234">
        <v>63</v>
      </c>
      <c r="Q66" s="235" t="str">
        <f>IF(Planning!$I69=0,G66&amp;F66,"")</f>
        <v>Lincoln Red Imps FcHamrun Spartans</v>
      </c>
      <c r="R66" s="247">
        <f t="shared" si="3"/>
        <v>1</v>
      </c>
      <c r="S66" s="278" t="str">
        <f>IF(AND(R66&gt;0,Planning!$I69=0),I66&amp;Language!$E$90&amp;H66,"")</f>
        <v>1 - 3</v>
      </c>
    </row>
    <row r="67" spans="2:19" x14ac:dyDescent="0.2">
      <c r="B67" s="2"/>
      <c r="C67" s="2"/>
      <c r="D67" s="2"/>
      <c r="E67" s="214">
        <v>64</v>
      </c>
      <c r="F67" s="137" t="str">
        <f>Planning!$Q70</f>
        <v>AC Florenz</v>
      </c>
      <c r="G67" s="138" t="str">
        <f>Planning!$S70</f>
        <v>AEK Athen</v>
      </c>
      <c r="H67" s="110">
        <f>IF(AND(Results!$Q$6&gt;0,$E67-1&gt;=Results!$Q$6*Calc!$F$42),"",IF(AND(Results!$I72&lt;&gt;"",Results!$K72&lt;&gt;"",Results!$F72&lt;&gt;Results!$H72,$F67&lt;&gt;"",$G67&lt;&gt;""),Results!$I72,""))</f>
        <v>0</v>
      </c>
      <c r="I67" s="17">
        <f>IF(AND(Results!$Q$6&gt;0,$E67-1&gt;=Results!$Q$6*Calc!$F$42),"",IF(AND(Results!$I72&lt;&gt;"",Results!$K72&lt;&gt;"",Results!$F72&lt;&gt;Results!$H72,$F67&lt;&gt;"",$G67&lt;&gt;""),Results!$K72,""))</f>
        <v>1</v>
      </c>
      <c r="J67" s="16" t="str">
        <f>IF(Planning!$I70=0,F67&amp;G67,"")</f>
        <v>AC FlorenzAEK Athen</v>
      </c>
      <c r="K67" s="7">
        <f t="shared" si="2"/>
        <v>1</v>
      </c>
      <c r="L67" s="7" t="str">
        <f>IF(AND(K67&gt;0,Planning!$I70=0),H67&amp;Language!$E$90&amp;I67,"")</f>
        <v>0 - 1</v>
      </c>
      <c r="M67" s="226">
        <f>IF($H67="",0,Results!$L72)</f>
        <v>0</v>
      </c>
      <c r="N67" s="227">
        <f>IF($I67="",0,Results!$M72)</f>
        <v>0</v>
      </c>
      <c r="P67" s="234">
        <v>64</v>
      </c>
      <c r="Q67" s="235" t="str">
        <f>IF(Planning!$I70=0,G67&amp;F67,"")</f>
        <v>AEK AthenAC Florenz</v>
      </c>
      <c r="R67" s="247">
        <f t="shared" si="3"/>
        <v>1</v>
      </c>
      <c r="S67" s="278" t="str">
        <f>IF(AND(R67&gt;0,Planning!$I70=0),I67&amp;Language!$E$90&amp;H67,"")</f>
        <v>1 - 0</v>
      </c>
    </row>
    <row r="68" spans="2:19" x14ac:dyDescent="0.2">
      <c r="B68" s="2"/>
      <c r="C68" s="2"/>
      <c r="D68" s="2"/>
      <c r="E68" s="214">
        <v>65</v>
      </c>
      <c r="F68" s="137" t="str">
        <f>Planning!$Q71</f>
        <v>Legia Warschau</v>
      </c>
      <c r="G68" s="138" t="str">
        <f>Planning!$S71</f>
        <v>Sparta Prag</v>
      </c>
      <c r="H68" s="110">
        <f>IF(AND(Results!$Q$6&gt;0,$E68-1&gt;=Results!$Q$6*Calc!$F$42),"",IF(AND(Results!$I73&lt;&gt;"",Results!$K73&lt;&gt;"",Results!$F73&lt;&gt;Results!$H73,$F68&lt;&gt;"",$G68&lt;&gt;""),Results!$I73,""))</f>
        <v>0</v>
      </c>
      <c r="I68" s="17">
        <f>IF(AND(Results!$Q$6&gt;0,$E68-1&gt;=Results!$Q$6*Calc!$F$42),"",IF(AND(Results!$I73&lt;&gt;"",Results!$K73&lt;&gt;"",Results!$F73&lt;&gt;Results!$H73,$F68&lt;&gt;"",$G68&lt;&gt;""),Results!$K73,""))</f>
        <v>1</v>
      </c>
      <c r="J68" s="16" t="str">
        <f>IF(Planning!$I71=0,F68&amp;G68,"")</f>
        <v>Legia WarschauSparta Prag</v>
      </c>
      <c r="K68" s="7">
        <f t="shared" ref="K68:K74" si="4">IF(AND(F68&lt;&gt;"",G68&lt;&gt;"",F68&lt;&gt;G68,H68&lt;&gt;"",I68&lt;&gt;""),1,0)</f>
        <v>1</v>
      </c>
      <c r="L68" s="7" t="str">
        <f>IF(AND(K68&gt;0,Planning!$I71=0),H68&amp;Language!$E$90&amp;I68,"")</f>
        <v>0 - 1</v>
      </c>
      <c r="M68" s="226">
        <f>IF($H68="",0,Results!$L73)</f>
        <v>0</v>
      </c>
      <c r="N68" s="227">
        <f>IF($I68="",0,Results!$M73)</f>
        <v>0</v>
      </c>
      <c r="P68" s="234">
        <v>65</v>
      </c>
      <c r="Q68" s="235" t="str">
        <f>IF(Planning!$I71=0,G68&amp;F68,"")</f>
        <v>Sparta PragLegia Warschau</v>
      </c>
      <c r="R68" s="247">
        <f t="shared" ref="R68:R99" si="5">K68</f>
        <v>1</v>
      </c>
      <c r="S68" s="278" t="str">
        <f>IF(AND(R68&gt;0,Planning!$I71=0),I68&amp;Language!$E$90&amp;H68,"")</f>
        <v>1 - 0</v>
      </c>
    </row>
    <row r="69" spans="2:19" x14ac:dyDescent="0.2">
      <c r="B69" s="2"/>
      <c r="C69" s="2"/>
      <c r="D69" s="2"/>
      <c r="E69" s="214">
        <v>66</v>
      </c>
      <c r="F69" s="137" t="str">
        <f>Planning!$Q72</f>
        <v>Shamrock Rovers</v>
      </c>
      <c r="G69" s="138" t="str">
        <f>Planning!$S72</f>
        <v>Schachtar Donezk</v>
      </c>
      <c r="H69" s="110">
        <f>IF(AND(Results!$Q$6&gt;0,$E69-1&gt;=Results!$Q$6*Calc!$F$42),"",IF(AND(Results!$I74&lt;&gt;"",Results!$K74&lt;&gt;"",Results!$F74&lt;&gt;Results!$H74,$F69&lt;&gt;"",$G69&lt;&gt;""),Results!$I74,""))</f>
        <v>1</v>
      </c>
      <c r="I69" s="17">
        <f>IF(AND(Results!$Q$6&gt;0,$E69-1&gt;=Results!$Q$6*Calc!$F$42),"",IF(AND(Results!$I74&lt;&gt;"",Results!$K74&lt;&gt;"",Results!$F74&lt;&gt;Results!$H74,$F69&lt;&gt;"",$G69&lt;&gt;""),Results!$K74,""))</f>
        <v>2</v>
      </c>
      <c r="J69" s="16" t="str">
        <f>IF(Planning!$I72=0,F69&amp;G69,"")</f>
        <v>Shamrock RoversSchachtar Donezk</v>
      </c>
      <c r="K69" s="7">
        <f t="shared" si="4"/>
        <v>1</v>
      </c>
      <c r="L69" s="7" t="str">
        <f>IF(AND(K69&gt;0,Planning!$I72=0),H69&amp;Language!$E$90&amp;I69,"")</f>
        <v>1 - 2</v>
      </c>
      <c r="M69" s="226">
        <f>IF($H69="",0,Results!$L74)</f>
        <v>0</v>
      </c>
      <c r="N69" s="227">
        <f>IF($I69="",0,Results!$M74)</f>
        <v>0</v>
      </c>
      <c r="P69" s="234">
        <v>66</v>
      </c>
      <c r="Q69" s="235" t="str">
        <f>IF(Planning!$I72=0,G69&amp;F69,"")</f>
        <v>Schachtar DonezkShamrock Rovers</v>
      </c>
      <c r="R69" s="247">
        <f t="shared" si="5"/>
        <v>1</v>
      </c>
      <c r="S69" s="278" t="str">
        <f>IF(AND(R69&gt;0,Planning!$I72=0),I69&amp;Language!$E$90&amp;H69,"")</f>
        <v>2 - 1</v>
      </c>
    </row>
    <row r="70" spans="2:19" x14ac:dyDescent="0.2">
      <c r="B70" s="2"/>
      <c r="C70" s="2"/>
      <c r="D70" s="2"/>
      <c r="E70" s="214">
        <v>67</v>
      </c>
      <c r="F70" s="137" t="str">
        <f>Planning!$Q73</f>
        <v>Jagiellonia Bialystok</v>
      </c>
      <c r="G70" s="138" t="str">
        <f>Planning!$S73</f>
        <v>Kuopion PS</v>
      </c>
      <c r="H70" s="110">
        <f>IF(AND(Results!$Q$6&gt;0,$E70-1&gt;=Results!$Q$6*Calc!$F$42),"",IF(AND(Results!$I75&lt;&gt;"",Results!$K75&lt;&gt;"",Results!$F75&lt;&gt;Results!$H75,$F70&lt;&gt;"",$G70&lt;&gt;""),Results!$I75,""))</f>
        <v>1</v>
      </c>
      <c r="I70" s="17">
        <f>IF(AND(Results!$Q$6&gt;0,$E70-1&gt;=Results!$Q$6*Calc!$F$42),"",IF(AND(Results!$I75&lt;&gt;"",Results!$K75&lt;&gt;"",Results!$F75&lt;&gt;Results!$H75,$F70&lt;&gt;"",$G70&lt;&gt;""),Results!$K75,""))</f>
        <v>0</v>
      </c>
      <c r="J70" s="16" t="str">
        <f>IF(Planning!$I73=0,F70&amp;G70,"")</f>
        <v>Jagiellonia BialystokKuopion PS</v>
      </c>
      <c r="K70" s="7">
        <f t="shared" si="4"/>
        <v>1</v>
      </c>
      <c r="L70" s="7" t="str">
        <f>IF(AND(K70&gt;0,Planning!$I73=0),H70&amp;Language!$E$90&amp;I70,"")</f>
        <v>1 - 0</v>
      </c>
      <c r="M70" s="226">
        <f>IF($H70="",0,Results!$L75)</f>
        <v>0</v>
      </c>
      <c r="N70" s="227">
        <f>IF($I70="",0,Results!$M75)</f>
        <v>0</v>
      </c>
      <c r="P70" s="234">
        <v>67</v>
      </c>
      <c r="Q70" s="235" t="str">
        <f>IF(Planning!$I73=0,G70&amp;F70,"")</f>
        <v>Kuopion PSJagiellonia Bialystok</v>
      </c>
      <c r="R70" s="247">
        <f t="shared" si="5"/>
        <v>1</v>
      </c>
      <c r="S70" s="278" t="str">
        <f>IF(AND(R70&gt;0,Planning!$I73=0),I70&amp;Language!$E$90&amp;H70,"")</f>
        <v>0 - 1</v>
      </c>
    </row>
    <row r="71" spans="2:19" x14ac:dyDescent="0.2">
      <c r="B71" s="2"/>
      <c r="C71" s="2"/>
      <c r="D71" s="2"/>
      <c r="E71" s="214">
        <v>68</v>
      </c>
      <c r="F71" s="137" t="str">
        <f>Planning!$Q74</f>
        <v>Racing Straßburg</v>
      </c>
      <c r="G71" s="138" t="str">
        <f>Planning!$S74</f>
        <v>Crystal Palace</v>
      </c>
      <c r="H71" s="110">
        <f>IF(AND(Results!$Q$6&gt;0,$E71-1&gt;=Results!$Q$6*Calc!$F$42),"",IF(AND(Results!$I76&lt;&gt;"",Results!$K76&lt;&gt;"",Results!$F76&lt;&gt;Results!$H76,$F71&lt;&gt;"",$G71&lt;&gt;""),Results!$I76,""))</f>
        <v>2</v>
      </c>
      <c r="I71" s="17">
        <f>IF(AND(Results!$Q$6&gt;0,$E71-1&gt;=Results!$Q$6*Calc!$F$42),"",IF(AND(Results!$I76&lt;&gt;"",Results!$K76&lt;&gt;"",Results!$F76&lt;&gt;Results!$H76,$F71&lt;&gt;"",$G71&lt;&gt;""),Results!$K76,""))</f>
        <v>1</v>
      </c>
      <c r="J71" s="16" t="str">
        <f>IF(Planning!$I74=0,F71&amp;G71,"")</f>
        <v>Racing StraßburgCrystal Palace</v>
      </c>
      <c r="K71" s="7">
        <f t="shared" si="4"/>
        <v>1</v>
      </c>
      <c r="L71" s="7" t="str">
        <f>IF(AND(K71&gt;0,Planning!$I74=0),H71&amp;Language!$E$90&amp;I71,"")</f>
        <v>2 - 1</v>
      </c>
      <c r="M71" s="226">
        <f>IF($H71="",0,Results!$L76)</f>
        <v>0</v>
      </c>
      <c r="N71" s="227">
        <f>IF($I71="",0,Results!$M76)</f>
        <v>0</v>
      </c>
      <c r="P71" s="234">
        <v>68</v>
      </c>
      <c r="Q71" s="235" t="str">
        <f>IF(Planning!$I74=0,G71&amp;F71,"")</f>
        <v>Crystal PalaceRacing Straßburg</v>
      </c>
      <c r="R71" s="247">
        <f t="shared" si="5"/>
        <v>1</v>
      </c>
      <c r="S71" s="278" t="str">
        <f>IF(AND(R71&gt;0,Planning!$I74=0),I71&amp;Language!$E$90&amp;H71,"")</f>
        <v>1 - 2</v>
      </c>
    </row>
    <row r="72" spans="2:19" x14ac:dyDescent="0.2">
      <c r="B72" s="2"/>
      <c r="C72" s="2"/>
      <c r="D72" s="2"/>
      <c r="E72" s="214">
        <v>69</v>
      </c>
      <c r="F72" s="137" t="str">
        <f>Planning!$Q75</f>
        <v>HNK Rijeka</v>
      </c>
      <c r="G72" s="138" t="str">
        <f>Planning!$S75</f>
        <v>AEK Larnaka</v>
      </c>
      <c r="H72" s="110">
        <f>IF(AND(Results!$Q$6&gt;0,$E72-1&gt;=Results!$Q$6*Calc!$F$42),"",IF(AND(Results!$I77&lt;&gt;"",Results!$K77&lt;&gt;"",Results!$F77&lt;&gt;Results!$H77,$F72&lt;&gt;"",$G72&lt;&gt;""),Results!$I77,""))</f>
        <v>0</v>
      </c>
      <c r="I72" s="17">
        <f>IF(AND(Results!$Q$6&gt;0,$E72-1&gt;=Results!$Q$6*Calc!$F$42),"",IF(AND(Results!$I77&lt;&gt;"",Results!$K77&lt;&gt;"",Results!$F77&lt;&gt;Results!$H77,$F72&lt;&gt;"",$G72&lt;&gt;""),Results!$K77,""))</f>
        <v>0</v>
      </c>
      <c r="J72" s="16" t="str">
        <f>IF(Planning!$I75=0,F72&amp;G72,"")</f>
        <v>HNK RijekaAEK Larnaka</v>
      </c>
      <c r="K72" s="7">
        <f t="shared" si="4"/>
        <v>1</v>
      </c>
      <c r="L72" s="7" t="str">
        <f>IF(AND(K72&gt;0,Planning!$I75=0),H72&amp;Language!$E$90&amp;I72,"")</f>
        <v>0 - 0</v>
      </c>
      <c r="M72" s="226">
        <f>IF($H72="",0,Results!$L77)</f>
        <v>0</v>
      </c>
      <c r="N72" s="227">
        <f>IF($I72="",0,Results!$M77)</f>
        <v>0</v>
      </c>
      <c r="P72" s="234">
        <v>69</v>
      </c>
      <c r="Q72" s="235" t="str">
        <f>IF(Planning!$I75=0,G72&amp;F72,"")</f>
        <v>AEK LarnakaHNK Rijeka</v>
      </c>
      <c r="R72" s="247">
        <f t="shared" si="5"/>
        <v>1</v>
      </c>
      <c r="S72" s="278" t="str">
        <f>IF(AND(R72&gt;0,Planning!$I75=0),I72&amp;Language!$E$90&amp;H72,"")</f>
        <v>0 - 0</v>
      </c>
    </row>
    <row r="73" spans="2:19" x14ac:dyDescent="0.2">
      <c r="B73" s="2"/>
      <c r="C73" s="2"/>
      <c r="D73" s="2"/>
      <c r="E73" s="214">
        <v>70</v>
      </c>
      <c r="F73" s="137" t="str">
        <f>Planning!$Q76</f>
        <v>KF Drita Gjilan</v>
      </c>
      <c r="G73" s="138" t="str">
        <f>Planning!$S76</f>
        <v>Shkendija Tetovo</v>
      </c>
      <c r="H73" s="110">
        <f>IF(AND(Results!$Q$6&gt;0,$E73-1&gt;=Results!$Q$6*Calc!$F$42),"",IF(AND(Results!$I78&lt;&gt;"",Results!$K78&lt;&gt;"",Results!$F78&lt;&gt;Results!$H78,$F73&lt;&gt;"",$G73&lt;&gt;""),Results!$I78,""))</f>
        <v>1</v>
      </c>
      <c r="I73" s="17">
        <f>IF(AND(Results!$Q$6&gt;0,$E73-1&gt;=Results!$Q$6*Calc!$F$42),"",IF(AND(Results!$I78&lt;&gt;"",Results!$K78&lt;&gt;"",Results!$F78&lt;&gt;Results!$H78,$F73&lt;&gt;"",$G73&lt;&gt;""),Results!$K78,""))</f>
        <v>0</v>
      </c>
      <c r="J73" s="16" t="str">
        <f>IF(Planning!$I76=0,F73&amp;G73,"")</f>
        <v>KF Drita GjilanShkendija Tetovo</v>
      </c>
      <c r="K73" s="7">
        <f t="shared" si="4"/>
        <v>1</v>
      </c>
      <c r="L73" s="7" t="str">
        <f>IF(AND(K73&gt;0,Planning!$I76=0),H73&amp;Language!$E$90&amp;I73,"")</f>
        <v>1 - 0</v>
      </c>
      <c r="M73" s="226">
        <f>IF($H73="",0,Results!$L78)</f>
        <v>0</v>
      </c>
      <c r="N73" s="227">
        <f>IF($I73="",0,Results!$M78)</f>
        <v>0</v>
      </c>
      <c r="P73" s="234">
        <v>70</v>
      </c>
      <c r="Q73" s="235" t="str">
        <f>IF(Planning!$I76=0,G73&amp;F73,"")</f>
        <v>Shkendija TetovoKF Drita Gjilan</v>
      </c>
      <c r="R73" s="247">
        <f t="shared" si="5"/>
        <v>1</v>
      </c>
      <c r="S73" s="278" t="str">
        <f>IF(AND(R73&gt;0,Planning!$I76=0),I73&amp;Language!$E$90&amp;H73,"")</f>
        <v>0 - 1</v>
      </c>
    </row>
    <row r="74" spans="2:19" x14ac:dyDescent="0.2">
      <c r="B74" s="2"/>
      <c r="C74" s="2"/>
      <c r="D74" s="2"/>
      <c r="E74" s="214">
        <v>71</v>
      </c>
      <c r="F74" s="137" t="str">
        <f>Planning!$Q77</f>
        <v>FC Aberdeen</v>
      </c>
      <c r="G74" s="138" t="str">
        <f>Planning!$S77</f>
        <v>FC Noah</v>
      </c>
      <c r="H74" s="110">
        <f>IF(AND(Results!$Q$6&gt;0,$E74-1&gt;=Results!$Q$6*Calc!$F$42),"",IF(AND(Results!$I79&lt;&gt;"",Results!$K79&lt;&gt;"",Results!$F79&lt;&gt;Results!$H79,$F74&lt;&gt;"",$G74&lt;&gt;""),Results!$I79,""))</f>
        <v>1</v>
      </c>
      <c r="I74" s="17">
        <f>IF(AND(Results!$Q$6&gt;0,$E74-1&gt;=Results!$Q$6*Calc!$F$42),"",IF(AND(Results!$I79&lt;&gt;"",Results!$K79&lt;&gt;"",Results!$F79&lt;&gt;Results!$H79,$F74&lt;&gt;"",$G74&lt;&gt;""),Results!$K79,""))</f>
        <v>1</v>
      </c>
      <c r="J74" s="16" t="str">
        <f>IF(Planning!$I77=0,F74&amp;G74,"")</f>
        <v>FC AberdeenFC Noah</v>
      </c>
      <c r="K74" s="7">
        <f t="shared" si="4"/>
        <v>1</v>
      </c>
      <c r="L74" s="7" t="str">
        <f>IF(AND(K74&gt;0,Planning!$I77=0),H74&amp;Language!$E$90&amp;I74,"")</f>
        <v>1 - 1</v>
      </c>
      <c r="M74" s="226">
        <f>IF($H74="",0,Results!$L79)</f>
        <v>0</v>
      </c>
      <c r="N74" s="227">
        <f>IF($I74="",0,Results!$M79)</f>
        <v>0</v>
      </c>
      <c r="P74" s="234">
        <v>71</v>
      </c>
      <c r="Q74" s="235" t="str">
        <f>IF(Planning!$I77=0,G74&amp;F74,"")</f>
        <v>FC NoahFC Aberdeen</v>
      </c>
      <c r="R74" s="247">
        <f t="shared" si="5"/>
        <v>1</v>
      </c>
      <c r="S74" s="278" t="str">
        <f>IF(AND(R74&gt;0,Planning!$I77=0),I74&amp;Language!$E$90&amp;H74,"")</f>
        <v>1 - 1</v>
      </c>
    </row>
    <row r="75" spans="2:19" x14ac:dyDescent="0.2">
      <c r="B75" s="2"/>
      <c r="C75" s="2"/>
      <c r="D75" s="2"/>
      <c r="E75" s="214">
        <v>72</v>
      </c>
      <c r="F75" s="137" t="str">
        <f>Planning!$Q78</f>
        <v>UMF Breidablik</v>
      </c>
      <c r="G75" s="138" t="str">
        <f>Planning!$S78</f>
        <v>Samsunspor</v>
      </c>
      <c r="H75" s="110">
        <f>IF(AND(Results!$Q$6&gt;0,$E75-1&gt;=Results!$Q$6*Calc!$F$42),"",IF(AND(Results!$I80&lt;&gt;"",Results!$K80&lt;&gt;"",Results!$F80&lt;&gt;Results!$H80,$F75&lt;&gt;"",$G75&lt;&gt;""),Results!$I80,""))</f>
        <v>2</v>
      </c>
      <c r="I75" s="17">
        <f>IF(AND(Results!$Q$6&gt;0,$E75-1&gt;=Results!$Q$6*Calc!$F$42),"",IF(AND(Results!$I80&lt;&gt;"",Results!$K80&lt;&gt;"",Results!$F80&lt;&gt;Results!$H80,$F75&lt;&gt;"",$G75&lt;&gt;""),Results!$K80,""))</f>
        <v>2</v>
      </c>
      <c r="J75" s="16" t="str">
        <f>IF(Planning!$I78=0,F75&amp;G75,"")</f>
        <v>UMF BreidablikSamsunspor</v>
      </c>
      <c r="K75" s="110">
        <f t="shared" ref="K75:K111" si="6">IF(AND(F75&lt;&gt;"",G75&lt;&gt;"",F75&lt;&gt;G75,H75&lt;&gt;"",I75&lt;&gt;""),1,0)</f>
        <v>1</v>
      </c>
      <c r="L75" s="110" t="str">
        <f>IF(AND(K75&gt;0,Planning!$I78=0),H75&amp;Language!$E$90&amp;I75,"")</f>
        <v>2 - 2</v>
      </c>
      <c r="M75" s="226">
        <f>IF($H75="",0,Results!$L80)</f>
        <v>0</v>
      </c>
      <c r="N75" s="227">
        <f>IF($I75="",0,Results!$M80)</f>
        <v>0</v>
      </c>
      <c r="P75" s="234">
        <v>72</v>
      </c>
      <c r="Q75" s="235" t="str">
        <f>IF(Planning!$I78=0,G75&amp;F75,"")</f>
        <v>SamsunsporUMF Breidablik</v>
      </c>
      <c r="R75" s="247">
        <f t="shared" si="5"/>
        <v>1</v>
      </c>
      <c r="S75" s="278" t="str">
        <f>IF(AND(R75&gt;0,Planning!$I78=0),I75&amp;Language!$E$90&amp;H75,"")</f>
        <v>2 - 2</v>
      </c>
    </row>
    <row r="76" spans="2:19" x14ac:dyDescent="0.2">
      <c r="B76" s="2"/>
      <c r="C76" s="2"/>
      <c r="D76" s="2"/>
      <c r="E76" s="214">
        <v>73</v>
      </c>
      <c r="F76" s="137" t="str">
        <f>Planning!$Q79</f>
        <v>AC Florenz</v>
      </c>
      <c r="G76" s="138" t="str">
        <f>Planning!$S79</f>
        <v>Dynamo Kiew</v>
      </c>
      <c r="H76" s="110">
        <f>IF(AND(Results!$Q$6&gt;0,$E76-1&gt;=Results!$Q$6*Calc!$F$42),"",IF(AND(Results!$I81&lt;&gt;"",Results!$K81&lt;&gt;"",Results!$F81&lt;&gt;Results!$H81,$F76&lt;&gt;"",$G76&lt;&gt;""),Results!$I81,""))</f>
        <v>2</v>
      </c>
      <c r="I76" s="17">
        <f>IF(AND(Results!$Q$6&gt;0,$E76-1&gt;=Results!$Q$6*Calc!$F$42),"",IF(AND(Results!$I81&lt;&gt;"",Results!$K81&lt;&gt;"",Results!$F81&lt;&gt;Results!$H81,$F76&lt;&gt;"",$G76&lt;&gt;""),Results!$K81,""))</f>
        <v>1</v>
      </c>
      <c r="J76" s="16" t="str">
        <f>IF(Planning!$I79=0,F76&amp;G76,"")</f>
        <v>AC FlorenzDynamo Kiew</v>
      </c>
      <c r="K76" s="110">
        <f t="shared" si="6"/>
        <v>1</v>
      </c>
      <c r="L76" s="110" t="str">
        <f>IF(AND(K76&gt;0,Planning!$I79=0),H76&amp;Language!$E$90&amp;I76,"")</f>
        <v>2 - 1</v>
      </c>
      <c r="M76" s="226">
        <f>IF($H76="",0,Results!$L81)</f>
        <v>0</v>
      </c>
      <c r="N76" s="227">
        <f>IF($I76="",0,Results!$M81)</f>
        <v>0</v>
      </c>
      <c r="P76" s="234">
        <v>73</v>
      </c>
      <c r="Q76" s="235" t="str">
        <f>IF(Planning!$I79=0,G76&amp;F76,"")</f>
        <v>Dynamo KiewAC Florenz</v>
      </c>
      <c r="R76" s="247">
        <f t="shared" si="5"/>
        <v>1</v>
      </c>
      <c r="S76" s="278" t="str">
        <f>IF(AND(R76&gt;0,Planning!$I79=0),I76&amp;Language!$E$90&amp;H76,"")</f>
        <v>1 - 2</v>
      </c>
    </row>
    <row r="77" spans="2:19" x14ac:dyDescent="0.2">
      <c r="B77" s="5"/>
      <c r="C77" s="5"/>
      <c r="D77" s="5"/>
      <c r="E77" s="214">
        <v>74</v>
      </c>
      <c r="F77" s="137" t="str">
        <f>Planning!$Q80</f>
        <v>Jagiellonia Bialystok</v>
      </c>
      <c r="G77" s="138" t="str">
        <f>Planning!$S80</f>
        <v>Rayo Vallecano</v>
      </c>
      <c r="H77" s="110">
        <f>IF(AND(Results!$Q$6&gt;0,$E77-1&gt;=Results!$Q$6*Calc!$F$42),"",IF(AND(Results!$I82&lt;&gt;"",Results!$K82&lt;&gt;"",Results!$F82&lt;&gt;Results!$H82,$F77&lt;&gt;"",$G77&lt;&gt;""),Results!$I82,""))</f>
        <v>1</v>
      </c>
      <c r="I77" s="17">
        <f>IF(AND(Results!$Q$6&gt;0,$E77-1&gt;=Results!$Q$6*Calc!$F$42),"",IF(AND(Results!$I82&lt;&gt;"",Results!$K82&lt;&gt;"",Results!$F82&lt;&gt;Results!$H82,$F77&lt;&gt;"",$G77&lt;&gt;""),Results!$K82,""))</f>
        <v>2</v>
      </c>
      <c r="J77" s="16" t="str">
        <f>IF(Planning!$I80=0,F77&amp;G77,"")</f>
        <v>Jagiellonia BialystokRayo Vallecano</v>
      </c>
      <c r="K77" s="110">
        <f t="shared" si="6"/>
        <v>1</v>
      </c>
      <c r="L77" s="110" t="str">
        <f>IF(AND(K77&gt;0,Planning!$I80=0),H77&amp;Language!$E$90&amp;I77,"")</f>
        <v>1 - 2</v>
      </c>
      <c r="M77" s="226">
        <f>IF($H77="",0,Results!$L82)</f>
        <v>0</v>
      </c>
      <c r="N77" s="227">
        <f>IF($I77="",0,Results!$M82)</f>
        <v>0</v>
      </c>
      <c r="P77" s="234">
        <v>74</v>
      </c>
      <c r="Q77" s="235" t="str">
        <f>IF(Planning!$I80=0,G77&amp;F77,"")</f>
        <v>Rayo VallecanoJagiellonia Bialystok</v>
      </c>
      <c r="R77" s="247">
        <f t="shared" si="5"/>
        <v>1</v>
      </c>
      <c r="S77" s="278" t="str">
        <f>IF(AND(R77&gt;0,Planning!$I80=0),I77&amp;Language!$E$90&amp;H77,"")</f>
        <v>2 - 1</v>
      </c>
    </row>
    <row r="78" spans="2:19" x14ac:dyDescent="0.2">
      <c r="B78" s="5"/>
      <c r="C78" s="5"/>
      <c r="D78" s="5"/>
      <c r="E78" s="214">
        <v>75</v>
      </c>
      <c r="F78" s="137" t="str">
        <f>Planning!$Q81</f>
        <v>KF Drita Gjilan</v>
      </c>
      <c r="G78" s="138" t="str">
        <f>Planning!$S81</f>
        <v>AZ Alkmaar</v>
      </c>
      <c r="H78" s="110">
        <f>IF(AND(Results!$Q$6&gt;0,$E78-1&gt;=Results!$Q$6*Calc!$F$42),"",IF(AND(Results!$I83&lt;&gt;"",Results!$K83&lt;&gt;"",Results!$F83&lt;&gt;Results!$H83,$F78&lt;&gt;"",$G78&lt;&gt;""),Results!$I83,""))</f>
        <v>0</v>
      </c>
      <c r="I78" s="17">
        <f>IF(AND(Results!$Q$6&gt;0,$E78-1&gt;=Results!$Q$6*Calc!$F$42),"",IF(AND(Results!$I83&lt;&gt;"",Results!$K83&lt;&gt;"",Results!$F83&lt;&gt;Results!$H83,$F78&lt;&gt;"",$G78&lt;&gt;""),Results!$K83,""))</f>
        <v>3</v>
      </c>
      <c r="J78" s="16" t="str">
        <f>IF(Planning!$I81=0,F78&amp;G78,"")</f>
        <v>KF Drita GjilanAZ Alkmaar</v>
      </c>
      <c r="K78" s="110">
        <f t="shared" si="6"/>
        <v>1</v>
      </c>
      <c r="L78" s="110" t="str">
        <f>IF(AND(K78&gt;0,Planning!$I81=0),H78&amp;Language!$E$90&amp;I78,"")</f>
        <v>0 - 3</v>
      </c>
      <c r="M78" s="226">
        <f>IF($H78="",0,Results!$L83)</f>
        <v>0</v>
      </c>
      <c r="N78" s="227">
        <f>IF($I78="",0,Results!$M83)</f>
        <v>0</v>
      </c>
      <c r="P78" s="234">
        <v>75</v>
      </c>
      <c r="Q78" s="235" t="str">
        <f>IF(Planning!$I81=0,G78&amp;F78,"")</f>
        <v>AZ AlkmaarKF Drita Gjilan</v>
      </c>
      <c r="R78" s="247">
        <f t="shared" si="5"/>
        <v>1</v>
      </c>
      <c r="S78" s="278" t="str">
        <f>IF(AND(R78&gt;0,Planning!$I81=0),I78&amp;Language!$E$90&amp;H78,"")</f>
        <v>3 - 0</v>
      </c>
    </row>
    <row r="79" spans="2:19" x14ac:dyDescent="0.2">
      <c r="B79" s="5"/>
      <c r="C79" s="5"/>
      <c r="D79" s="5"/>
      <c r="E79" s="214">
        <v>76</v>
      </c>
      <c r="F79" s="137" t="str">
        <f>Planning!$Q82</f>
        <v>Samsunspor</v>
      </c>
      <c r="G79" s="138" t="str">
        <f>Planning!$S82</f>
        <v>AEK Athen</v>
      </c>
      <c r="H79" s="110">
        <f>IF(AND(Results!$Q$6&gt;0,$E79-1&gt;=Results!$Q$6*Calc!$F$42),"",IF(AND(Results!$I84&lt;&gt;"",Results!$K84&lt;&gt;"",Results!$F84&lt;&gt;Results!$H84,$F79&lt;&gt;"",$G79&lt;&gt;""),Results!$I84,""))</f>
        <v>1</v>
      </c>
      <c r="I79" s="17">
        <f>IF(AND(Results!$Q$6&gt;0,$E79-1&gt;=Results!$Q$6*Calc!$F$42),"",IF(AND(Results!$I84&lt;&gt;"",Results!$K84&lt;&gt;"",Results!$F84&lt;&gt;Results!$H84,$F79&lt;&gt;"",$G79&lt;&gt;""),Results!$K84,""))</f>
        <v>2</v>
      </c>
      <c r="J79" s="16" t="str">
        <f>IF(Planning!$I82=0,F79&amp;G79,"")</f>
        <v>SamsunsporAEK Athen</v>
      </c>
      <c r="K79" s="110">
        <f t="shared" si="6"/>
        <v>1</v>
      </c>
      <c r="L79" s="110" t="str">
        <f>IF(AND(K79&gt;0,Planning!$I82=0),H79&amp;Language!$E$90&amp;I79,"")</f>
        <v>1 - 2</v>
      </c>
      <c r="M79" s="226">
        <f>IF($H79="",0,Results!$L84)</f>
        <v>0</v>
      </c>
      <c r="N79" s="227">
        <f>IF($I79="",0,Results!$M84)</f>
        <v>0</v>
      </c>
      <c r="P79" s="234">
        <v>76</v>
      </c>
      <c r="Q79" s="235" t="str">
        <f>IF(Planning!$I82=0,G79&amp;F79,"")</f>
        <v>AEK AthenSamsunspor</v>
      </c>
      <c r="R79" s="247">
        <f t="shared" si="5"/>
        <v>1</v>
      </c>
      <c r="S79" s="278" t="str">
        <f>IF(AND(R79&gt;0,Planning!$I82=0),I79&amp;Language!$E$90&amp;H79,"")</f>
        <v>2 - 1</v>
      </c>
    </row>
    <row r="80" spans="2:19" x14ac:dyDescent="0.2">
      <c r="B80" s="5"/>
      <c r="C80" s="5"/>
      <c r="D80" s="5"/>
      <c r="E80" s="214">
        <v>77</v>
      </c>
      <c r="F80" s="137" t="str">
        <f>Planning!$Q83</f>
        <v>UMF Breidablik</v>
      </c>
      <c r="G80" s="138" t="str">
        <f>Planning!$S83</f>
        <v>Shamrock Rovers</v>
      </c>
      <c r="H80" s="110">
        <f>IF(AND(Results!$Q$6&gt;0,$E80-1&gt;=Results!$Q$6*Calc!$F$42),"",IF(AND(Results!$I85&lt;&gt;"",Results!$K85&lt;&gt;"",Results!$F85&lt;&gt;Results!$H85,$F80&lt;&gt;"",$G80&lt;&gt;""),Results!$I85,""))</f>
        <v>3</v>
      </c>
      <c r="I80" s="17">
        <f>IF(AND(Results!$Q$6&gt;0,$E80-1&gt;=Results!$Q$6*Calc!$F$42),"",IF(AND(Results!$I85&lt;&gt;"",Results!$K85&lt;&gt;"",Results!$F85&lt;&gt;Results!$H85,$F80&lt;&gt;"",$G80&lt;&gt;""),Results!$K85,""))</f>
        <v>1</v>
      </c>
      <c r="J80" s="16" t="str">
        <f>IF(Planning!$I83=0,F80&amp;G80,"")</f>
        <v>UMF BreidablikShamrock Rovers</v>
      </c>
      <c r="K80" s="110">
        <f t="shared" si="6"/>
        <v>1</v>
      </c>
      <c r="L80" s="110" t="str">
        <f>IF(AND(K80&gt;0,Planning!$I83=0),H80&amp;Language!$E$90&amp;I80,"")</f>
        <v>3 - 1</v>
      </c>
      <c r="M80" s="226">
        <f>IF($H80="",0,Results!$L85)</f>
        <v>0</v>
      </c>
      <c r="N80" s="227">
        <f>IF($I80="",0,Results!$M85)</f>
        <v>0</v>
      </c>
      <c r="P80" s="234">
        <v>77</v>
      </c>
      <c r="Q80" s="235" t="str">
        <f>IF(Planning!$I83=0,G80&amp;F80,"")</f>
        <v>Shamrock RoversUMF Breidablik</v>
      </c>
      <c r="R80" s="247">
        <f t="shared" si="5"/>
        <v>1</v>
      </c>
      <c r="S80" s="278" t="str">
        <f>IF(AND(R80&gt;0,Planning!$I83=0),I80&amp;Language!$E$90&amp;H80,"")</f>
        <v>1 - 3</v>
      </c>
    </row>
    <row r="81" spans="2:19" x14ac:dyDescent="0.2">
      <c r="B81" s="5"/>
      <c r="C81" s="5"/>
      <c r="D81" s="5"/>
      <c r="E81" s="214">
        <v>78</v>
      </c>
      <c r="F81" s="137" t="str">
        <f>Planning!$Q84</f>
        <v>Shkendija Tetovo</v>
      </c>
      <c r="G81" s="138" t="str">
        <f>Planning!$S84</f>
        <v>Slovan Bratislava</v>
      </c>
      <c r="H81" s="110">
        <f>IF(AND(Results!$Q$6&gt;0,$E81-1&gt;=Results!$Q$6*Calc!$F$42),"",IF(AND(Results!$I86&lt;&gt;"",Results!$K86&lt;&gt;"",Results!$F86&lt;&gt;Results!$H86,$F81&lt;&gt;"",$G81&lt;&gt;""),Results!$I86,""))</f>
        <v>2</v>
      </c>
      <c r="I81" s="17">
        <f>IF(AND(Results!$Q$6&gt;0,$E81-1&gt;=Results!$Q$6*Calc!$F$42),"",IF(AND(Results!$I86&lt;&gt;"",Results!$K86&lt;&gt;"",Results!$F86&lt;&gt;Results!$H86,$F81&lt;&gt;"",$G81&lt;&gt;""),Results!$K86,""))</f>
        <v>0</v>
      </c>
      <c r="J81" s="16" t="str">
        <f>IF(Planning!$I84=0,F81&amp;G81,"")</f>
        <v>Shkendija TetovoSlovan Bratislava</v>
      </c>
      <c r="K81" s="110">
        <f t="shared" si="6"/>
        <v>1</v>
      </c>
      <c r="L81" s="110" t="str">
        <f>IF(AND(K81&gt;0,Planning!$I84=0),H81&amp;Language!$E$90&amp;I81,"")</f>
        <v>2 - 0</v>
      </c>
      <c r="M81" s="226">
        <f>IF($H81="",0,Results!$L86)</f>
        <v>0</v>
      </c>
      <c r="N81" s="227">
        <f>IF($I81="",0,Results!$M86)</f>
        <v>0</v>
      </c>
      <c r="P81" s="234">
        <v>78</v>
      </c>
      <c r="Q81" s="235" t="str">
        <f>IF(Planning!$I84=0,G81&amp;F81,"")</f>
        <v>Slovan BratislavaShkendija Tetovo</v>
      </c>
      <c r="R81" s="247">
        <f t="shared" si="5"/>
        <v>1</v>
      </c>
      <c r="S81" s="278" t="str">
        <f>IF(AND(R81&gt;0,Planning!$I84=0),I81&amp;Language!$E$90&amp;H81,"")</f>
        <v>0 - 2</v>
      </c>
    </row>
    <row r="82" spans="2:19" x14ac:dyDescent="0.2">
      <c r="B82" s="5"/>
      <c r="C82" s="5"/>
      <c r="D82" s="5"/>
      <c r="E82" s="214">
        <v>79</v>
      </c>
      <c r="F82" s="137" t="str">
        <f>Planning!$Q85</f>
        <v>BK Häcken</v>
      </c>
      <c r="G82" s="138" t="str">
        <f>Planning!$S85</f>
        <v>AEK Larnaka</v>
      </c>
      <c r="H82" s="110">
        <f>IF(AND(Results!$Q$6&gt;0,$E82-1&gt;=Results!$Q$6*Calc!$F$42),"",IF(AND(Results!$I87&lt;&gt;"",Results!$K87&lt;&gt;"",Results!$F87&lt;&gt;Results!$H87,$F82&lt;&gt;"",$G82&lt;&gt;""),Results!$I87,""))</f>
        <v>1</v>
      </c>
      <c r="I82" s="17">
        <f>IF(AND(Results!$Q$6&gt;0,$E82-1&gt;=Results!$Q$6*Calc!$F$42),"",IF(AND(Results!$I87&lt;&gt;"",Results!$K87&lt;&gt;"",Results!$F87&lt;&gt;Results!$H87,$F82&lt;&gt;"",$G82&lt;&gt;""),Results!$K87,""))</f>
        <v>1</v>
      </c>
      <c r="J82" s="16" t="str">
        <f>IF(Planning!$I85=0,F82&amp;G82,"")</f>
        <v>BK HäckenAEK Larnaka</v>
      </c>
      <c r="K82" s="110">
        <f t="shared" si="6"/>
        <v>1</v>
      </c>
      <c r="L82" s="110" t="str">
        <f>IF(AND(K82&gt;0,Planning!$I85=0),H82&amp;Language!$E$90&amp;I82,"")</f>
        <v>1 - 1</v>
      </c>
      <c r="M82" s="226">
        <f>IF($H82="",0,Results!$L87)</f>
        <v>0</v>
      </c>
      <c r="N82" s="227">
        <f>IF($I82="",0,Results!$M87)</f>
        <v>0</v>
      </c>
      <c r="P82" s="234">
        <v>79</v>
      </c>
      <c r="Q82" s="235" t="str">
        <f>IF(Planning!$I85=0,G82&amp;F82,"")</f>
        <v>AEK LarnakaBK Häcken</v>
      </c>
      <c r="R82" s="247">
        <f t="shared" si="5"/>
        <v>1</v>
      </c>
      <c r="S82" s="278" t="str">
        <f>IF(AND(R82&gt;0,Planning!$I85=0),I82&amp;Language!$E$90&amp;H82,"")</f>
        <v>1 - 1</v>
      </c>
    </row>
    <row r="83" spans="2:19" x14ac:dyDescent="0.2">
      <c r="B83" s="5"/>
      <c r="C83" s="5"/>
      <c r="D83" s="5"/>
      <c r="E83" s="214">
        <v>80</v>
      </c>
      <c r="F83" s="137" t="str">
        <f>Planning!$Q86</f>
        <v>Universitatea Craiova</v>
      </c>
      <c r="G83" s="138" t="str">
        <f>Planning!$S86</f>
        <v>Sparta Prag</v>
      </c>
      <c r="H83" s="110">
        <f>IF(AND(Results!$Q$6&gt;0,$E83-1&gt;=Results!$Q$6*Calc!$F$42),"",IF(AND(Results!$I88&lt;&gt;"",Results!$K88&lt;&gt;"",Results!$F88&lt;&gt;Results!$H88,$F83&lt;&gt;"",$G83&lt;&gt;""),Results!$I88,""))</f>
        <v>1</v>
      </c>
      <c r="I83" s="17">
        <f>IF(AND(Results!$Q$6&gt;0,$E83-1&gt;=Results!$Q$6*Calc!$F$42),"",IF(AND(Results!$I88&lt;&gt;"",Results!$K88&lt;&gt;"",Results!$F88&lt;&gt;Results!$H88,$F83&lt;&gt;"",$G83&lt;&gt;""),Results!$K88,""))</f>
        <v>2</v>
      </c>
      <c r="J83" s="16" t="str">
        <f>IF(Planning!$I86=0,F83&amp;G83,"")</f>
        <v>Universitatea CraiovaSparta Prag</v>
      </c>
      <c r="K83" s="110">
        <f t="shared" si="6"/>
        <v>1</v>
      </c>
      <c r="L83" s="110" t="str">
        <f>IF(AND(K83&gt;0,Planning!$I86=0),H83&amp;Language!$E$90&amp;I83,"")</f>
        <v>1 - 2</v>
      </c>
      <c r="M83" s="226">
        <f>IF($H83="",0,Results!$L88)</f>
        <v>0</v>
      </c>
      <c r="N83" s="227">
        <f>IF($I83="",0,Results!$M88)</f>
        <v>0</v>
      </c>
      <c r="P83" s="234">
        <v>80</v>
      </c>
      <c r="Q83" s="235" t="str">
        <f>IF(Planning!$I86=0,G83&amp;F83,"")</f>
        <v>Sparta PragUniversitatea Craiova</v>
      </c>
      <c r="R83" s="247">
        <f t="shared" si="5"/>
        <v>1</v>
      </c>
      <c r="S83" s="278" t="str">
        <f>IF(AND(R83&gt;0,Planning!$I86=0),I83&amp;Language!$E$90&amp;H83,"")</f>
        <v>2 - 1</v>
      </c>
    </row>
    <row r="84" spans="2:19" x14ac:dyDescent="0.2">
      <c r="B84" s="5"/>
      <c r="C84" s="5"/>
      <c r="D84" s="5"/>
      <c r="E84" s="214">
        <v>81</v>
      </c>
      <c r="F84" s="137" t="str">
        <f>Planning!$Q87</f>
        <v>FC Noah</v>
      </c>
      <c r="G84" s="138" t="str">
        <f>Planning!$S87</f>
        <v>Legia Warschau</v>
      </c>
      <c r="H84" s="110">
        <f>IF(AND(Results!$Q$6&gt;0,$E84-1&gt;=Results!$Q$6*Calc!$F$42),"",IF(AND(Results!$I89&lt;&gt;"",Results!$K89&lt;&gt;"",Results!$F89&lt;&gt;Results!$H89,$F84&lt;&gt;"",$G84&lt;&gt;""),Results!$I89,""))</f>
        <v>2</v>
      </c>
      <c r="I84" s="17">
        <f>IF(AND(Results!$Q$6&gt;0,$E84-1&gt;=Results!$Q$6*Calc!$F$42),"",IF(AND(Results!$I89&lt;&gt;"",Results!$K89&lt;&gt;"",Results!$F89&lt;&gt;Results!$H89,$F84&lt;&gt;"",$G84&lt;&gt;""),Results!$K89,""))</f>
        <v>1</v>
      </c>
      <c r="J84" s="16" t="str">
        <f>IF(Planning!$I87=0,F84&amp;G84,"")</f>
        <v>FC NoahLegia Warschau</v>
      </c>
      <c r="K84" s="110">
        <f t="shared" si="6"/>
        <v>1</v>
      </c>
      <c r="L84" s="110" t="str">
        <f>IF(AND(K84&gt;0,Planning!$I87=0),H84&amp;Language!$E$90&amp;I84,"")</f>
        <v>2 - 1</v>
      </c>
      <c r="M84" s="226">
        <f>IF($H84="",0,Results!$L89)</f>
        <v>0</v>
      </c>
      <c r="N84" s="227">
        <f>IF($I84="",0,Results!$M89)</f>
        <v>0</v>
      </c>
      <c r="P84" s="234">
        <v>81</v>
      </c>
      <c r="Q84" s="235" t="str">
        <f>IF(Planning!$I87=0,G84&amp;F84,"")</f>
        <v>Legia WarschauFC Noah</v>
      </c>
      <c r="R84" s="247">
        <f t="shared" si="5"/>
        <v>1</v>
      </c>
      <c r="S84" s="278" t="str">
        <f>IF(AND(R84&gt;0,Planning!$I87=0),I84&amp;Language!$E$90&amp;H84,"")</f>
        <v>1 - 2</v>
      </c>
    </row>
    <row r="85" spans="2:19" x14ac:dyDescent="0.2">
      <c r="B85" s="5"/>
      <c r="C85" s="5"/>
      <c r="D85" s="5"/>
      <c r="E85" s="214">
        <v>82</v>
      </c>
      <c r="F85" s="137" t="str">
        <f>Planning!$Q88</f>
        <v>Rapid Wien</v>
      </c>
      <c r="G85" s="138" t="str">
        <f>Planning!$S88</f>
        <v>Omonia Nikosia</v>
      </c>
      <c r="H85" s="110">
        <f>IF(AND(Results!$Q$6&gt;0,$E85-1&gt;=Results!$Q$6*Calc!$F$42),"",IF(AND(Results!$I90&lt;&gt;"",Results!$K90&lt;&gt;"",Results!$F90&lt;&gt;Results!$H90,$F85&lt;&gt;"",$G85&lt;&gt;""),Results!$I90,""))</f>
        <v>0</v>
      </c>
      <c r="I85" s="17">
        <f>IF(AND(Results!$Q$6&gt;0,$E85-1&gt;=Results!$Q$6*Calc!$F$42),"",IF(AND(Results!$I90&lt;&gt;"",Results!$K90&lt;&gt;"",Results!$F90&lt;&gt;Results!$H90,$F85&lt;&gt;"",$G85&lt;&gt;""),Results!$K90,""))</f>
        <v>1</v>
      </c>
      <c r="J85" s="16" t="str">
        <f>IF(Planning!$I88=0,F85&amp;G85,"")</f>
        <v>Rapid WienOmonia Nikosia</v>
      </c>
      <c r="K85" s="110">
        <f t="shared" si="6"/>
        <v>1</v>
      </c>
      <c r="L85" s="110" t="str">
        <f>IF(AND(K85&gt;0,Planning!$I88=0),H85&amp;Language!$E$90&amp;I85,"")</f>
        <v>0 - 1</v>
      </c>
      <c r="M85" s="226">
        <f>IF($H85="",0,Results!$L90)</f>
        <v>0</v>
      </c>
      <c r="N85" s="227">
        <f>IF($I85="",0,Results!$M90)</f>
        <v>0</v>
      </c>
      <c r="P85" s="234">
        <v>82</v>
      </c>
      <c r="Q85" s="235" t="str">
        <f>IF(Planning!$I88=0,G85&amp;F85,"")</f>
        <v>Omonia NikosiaRapid Wien</v>
      </c>
      <c r="R85" s="247">
        <f t="shared" si="5"/>
        <v>1</v>
      </c>
      <c r="S85" s="278" t="str">
        <f>IF(AND(R85&gt;0,Planning!$I88=0),I85&amp;Language!$E$90&amp;H85,"")</f>
        <v>1 - 0</v>
      </c>
    </row>
    <row r="86" spans="2:19" x14ac:dyDescent="0.2">
      <c r="B86" s="5"/>
      <c r="C86" s="5"/>
      <c r="D86" s="5"/>
      <c r="E86" s="214">
        <v>83</v>
      </c>
      <c r="F86" s="137" t="str">
        <f>Planning!$Q89</f>
        <v>Lech Posen</v>
      </c>
      <c r="G86" s="138" t="str">
        <f>Planning!$S89</f>
        <v>1. FSV Mainz 05</v>
      </c>
      <c r="H86" s="110">
        <f>IF(AND(Results!$Q$6&gt;0,$E86-1&gt;=Results!$Q$6*Calc!$F$42),"",IF(AND(Results!$I91&lt;&gt;"",Results!$K91&lt;&gt;"",Results!$F91&lt;&gt;Results!$H91,$F86&lt;&gt;"",$G86&lt;&gt;""),Results!$I91,""))</f>
        <v>1</v>
      </c>
      <c r="I86" s="17">
        <f>IF(AND(Results!$Q$6&gt;0,$E86-1&gt;=Results!$Q$6*Calc!$F$42),"",IF(AND(Results!$I91&lt;&gt;"",Results!$K91&lt;&gt;"",Results!$F91&lt;&gt;Results!$H91,$F86&lt;&gt;"",$G86&lt;&gt;""),Results!$K91,""))</f>
        <v>1</v>
      </c>
      <c r="J86" s="16" t="str">
        <f>IF(Planning!$I89=0,F86&amp;G86,"")</f>
        <v>Lech Posen1. FSV Mainz 05</v>
      </c>
      <c r="K86" s="110">
        <f t="shared" si="6"/>
        <v>1</v>
      </c>
      <c r="L86" s="110" t="str">
        <f>IF(AND(K86&gt;0,Planning!$I89=0),H86&amp;Language!$E$90&amp;I86,"")</f>
        <v>1 - 1</v>
      </c>
      <c r="M86" s="226">
        <f>IF($H86="",0,Results!$L91)</f>
        <v>0</v>
      </c>
      <c r="N86" s="227">
        <f>IF($I86="",0,Results!$M91)</f>
        <v>0</v>
      </c>
      <c r="P86" s="234">
        <v>83</v>
      </c>
      <c r="Q86" s="235" t="str">
        <f>IF(Planning!$I89=0,G86&amp;F86,"")</f>
        <v>1. FSV Mainz 05Lech Posen</v>
      </c>
      <c r="R86" s="247">
        <f t="shared" si="5"/>
        <v>1</v>
      </c>
      <c r="S86" s="278" t="str">
        <f>IF(AND(R86&gt;0,Planning!$I89=0),I86&amp;Language!$E$90&amp;H86,"")</f>
        <v>1 - 1</v>
      </c>
    </row>
    <row r="87" spans="2:19" x14ac:dyDescent="0.2">
      <c r="B87" s="5"/>
      <c r="C87" s="5"/>
      <c r="D87" s="5"/>
      <c r="E87" s="214">
        <v>84</v>
      </c>
      <c r="F87" s="137" t="str">
        <f>Planning!$Q90</f>
        <v>HNK Rijeka</v>
      </c>
      <c r="G87" s="138" t="str">
        <f>Planning!$S90</f>
        <v>NK Celje</v>
      </c>
      <c r="H87" s="110">
        <f>IF(AND(Results!$Q$6&gt;0,$E87-1&gt;=Results!$Q$6*Calc!$F$42),"",IF(AND(Results!$I92&lt;&gt;"",Results!$K92&lt;&gt;"",Results!$F92&lt;&gt;Results!$H92,$F87&lt;&gt;"",$G87&lt;&gt;""),Results!$I92,""))</f>
        <v>3</v>
      </c>
      <c r="I87" s="17">
        <f>IF(AND(Results!$Q$6&gt;0,$E87-1&gt;=Results!$Q$6*Calc!$F$42),"",IF(AND(Results!$I92&lt;&gt;"",Results!$K92&lt;&gt;"",Results!$F92&lt;&gt;Results!$H92,$F87&lt;&gt;"",$G87&lt;&gt;""),Results!$K92,""))</f>
        <v>0</v>
      </c>
      <c r="J87" s="16" t="str">
        <f>IF(Planning!$I90=0,F87&amp;G87,"")</f>
        <v>HNK RijekaNK Celje</v>
      </c>
      <c r="K87" s="110">
        <f t="shared" si="6"/>
        <v>1</v>
      </c>
      <c r="L87" s="110" t="str">
        <f>IF(AND(K87&gt;0,Planning!$I90=0),H87&amp;Language!$E$90&amp;I87,"")</f>
        <v>3 - 0</v>
      </c>
      <c r="M87" s="226">
        <f>IF($H87="",0,Results!$L92)</f>
        <v>0</v>
      </c>
      <c r="N87" s="227">
        <f>IF($I87="",0,Results!$M92)</f>
        <v>0</v>
      </c>
      <c r="P87" s="234">
        <v>84</v>
      </c>
      <c r="Q87" s="235" t="str">
        <f>IF(Planning!$I90=0,G87&amp;F87,"")</f>
        <v>NK CeljeHNK Rijeka</v>
      </c>
      <c r="R87" s="247">
        <f t="shared" si="5"/>
        <v>1</v>
      </c>
      <c r="S87" s="278" t="str">
        <f>IF(AND(R87&gt;0,Planning!$I90=0),I87&amp;Language!$E$90&amp;H87,"")</f>
        <v>0 - 3</v>
      </c>
    </row>
    <row r="88" spans="2:19" x14ac:dyDescent="0.2">
      <c r="B88" s="5"/>
      <c r="C88" s="5"/>
      <c r="D88" s="5"/>
      <c r="E88" s="214">
        <v>85</v>
      </c>
      <c r="F88" s="137" t="str">
        <f>Planning!$Q91</f>
        <v>Lincoln Red Imps Fc</v>
      </c>
      <c r="G88" s="138" t="str">
        <f>Planning!$S91</f>
        <v>Sigma Olmütz</v>
      </c>
      <c r="H88" s="110">
        <f>IF(AND(Results!$Q$6&gt;0,$E88-1&gt;=Results!$Q$6*Calc!$F$42),"",IF(AND(Results!$I93&lt;&gt;"",Results!$K93&lt;&gt;"",Results!$F93&lt;&gt;Results!$H93,$F88&lt;&gt;"",$G88&lt;&gt;""),Results!$I93,""))</f>
        <v>2</v>
      </c>
      <c r="I88" s="17">
        <f>IF(AND(Results!$Q$6&gt;0,$E88-1&gt;=Results!$Q$6*Calc!$F$42),"",IF(AND(Results!$I93&lt;&gt;"",Results!$K93&lt;&gt;"",Results!$F93&lt;&gt;Results!$H93,$F88&lt;&gt;"",$G88&lt;&gt;""),Results!$K93,""))</f>
        <v>1</v>
      </c>
      <c r="J88" s="16" t="str">
        <f>IF(Planning!$I91=0,F88&amp;G88,"")</f>
        <v>Lincoln Red Imps FcSigma Olmütz</v>
      </c>
      <c r="K88" s="110">
        <f t="shared" si="6"/>
        <v>1</v>
      </c>
      <c r="L88" s="110" t="str">
        <f>IF(AND(K88&gt;0,Planning!$I91=0),H88&amp;Language!$E$90&amp;I88,"")</f>
        <v>2 - 1</v>
      </c>
      <c r="M88" s="226">
        <f>IF($H88="",0,Results!$L93)</f>
        <v>0</v>
      </c>
      <c r="N88" s="227">
        <f>IF($I88="",0,Results!$M93)</f>
        <v>0</v>
      </c>
      <c r="P88" s="234">
        <v>85</v>
      </c>
      <c r="Q88" s="235" t="str">
        <f>IF(Planning!$I91=0,G88&amp;F88,"")</f>
        <v>Sigma OlmützLincoln Red Imps Fc</v>
      </c>
      <c r="R88" s="247">
        <f t="shared" si="5"/>
        <v>1</v>
      </c>
      <c r="S88" s="278" t="str">
        <f>IF(AND(R88&gt;0,Planning!$I91=0),I88&amp;Language!$E$90&amp;H88,"")</f>
        <v>1 - 2</v>
      </c>
    </row>
    <row r="89" spans="2:19" x14ac:dyDescent="0.2">
      <c r="B89" s="5"/>
      <c r="C89" s="5"/>
      <c r="D89" s="5"/>
      <c r="E89" s="214">
        <v>86</v>
      </c>
      <c r="F89" s="137" t="str">
        <f>Planning!$Q92</f>
        <v>FC Aberdeen</v>
      </c>
      <c r="G89" s="138" t="str">
        <f>Planning!$S92</f>
        <v>Racing Straßburg</v>
      </c>
      <c r="H89" s="110">
        <f>IF(AND(Results!$Q$6&gt;0,$E89-1&gt;=Results!$Q$6*Calc!$F$42),"",IF(AND(Results!$I94&lt;&gt;"",Results!$K94&lt;&gt;"",Results!$F94&lt;&gt;Results!$H94,$F89&lt;&gt;"",$G89&lt;&gt;""),Results!$I94,""))</f>
        <v>0</v>
      </c>
      <c r="I89" s="17">
        <f>IF(AND(Results!$Q$6&gt;0,$E89-1&gt;=Results!$Q$6*Calc!$F$42),"",IF(AND(Results!$I94&lt;&gt;"",Results!$K94&lt;&gt;"",Results!$F94&lt;&gt;Results!$H94,$F89&lt;&gt;"",$G89&lt;&gt;""),Results!$K94,""))</f>
        <v>1</v>
      </c>
      <c r="J89" s="16" t="str">
        <f>IF(Planning!$I92=0,F89&amp;G89,"")</f>
        <v>FC AberdeenRacing Straßburg</v>
      </c>
      <c r="K89" s="110">
        <f t="shared" si="6"/>
        <v>1</v>
      </c>
      <c r="L89" s="110" t="str">
        <f>IF(AND(K89&gt;0,Planning!$I92=0),H89&amp;Language!$E$90&amp;I89,"")</f>
        <v>0 - 1</v>
      </c>
      <c r="M89" s="226">
        <f>IF($H89="",0,Results!$L94)</f>
        <v>0</v>
      </c>
      <c r="N89" s="227">
        <f>IF($I89="",0,Results!$M94)</f>
        <v>0</v>
      </c>
      <c r="P89" s="234">
        <v>86</v>
      </c>
      <c r="Q89" s="235" t="str">
        <f>IF(Planning!$I92=0,G89&amp;F89,"")</f>
        <v>Racing StraßburgFC Aberdeen</v>
      </c>
      <c r="R89" s="247">
        <f t="shared" si="5"/>
        <v>1</v>
      </c>
      <c r="S89" s="278" t="str">
        <f>IF(AND(R89&gt;0,Planning!$I92=0),I89&amp;Language!$E$90&amp;H89,"")</f>
        <v>1 - 0</v>
      </c>
    </row>
    <row r="90" spans="2:19" x14ac:dyDescent="0.2">
      <c r="B90" s="5"/>
      <c r="C90" s="5"/>
      <c r="D90" s="5"/>
      <c r="E90" s="214">
        <v>87</v>
      </c>
      <c r="F90" s="137" t="str">
        <f>Planning!$Q93</f>
        <v>Kuopion PS</v>
      </c>
      <c r="G90" s="138" t="str">
        <f>Planning!$S93</f>
        <v>FC Lausanne-Sport</v>
      </c>
      <c r="H90" s="110">
        <f>IF(AND(Results!$Q$6&gt;0,$E90-1&gt;=Results!$Q$6*Calc!$F$42),"",IF(AND(Results!$I95&lt;&gt;"",Results!$K95&lt;&gt;"",Results!$F95&lt;&gt;Results!$H95,$F90&lt;&gt;"",$G90&lt;&gt;""),Results!$I95,""))</f>
        <v>0</v>
      </c>
      <c r="I90" s="17">
        <f>IF(AND(Results!$Q$6&gt;0,$E90-1&gt;=Results!$Q$6*Calc!$F$42),"",IF(AND(Results!$I95&lt;&gt;"",Results!$K95&lt;&gt;"",Results!$F95&lt;&gt;Results!$H95,$F90&lt;&gt;"",$G90&lt;&gt;""),Results!$K95,""))</f>
        <v>0</v>
      </c>
      <c r="J90" s="16" t="str">
        <f>IF(Planning!$I93=0,F90&amp;G90,"")</f>
        <v>Kuopion PSFC Lausanne-Sport</v>
      </c>
      <c r="K90" s="110">
        <f t="shared" si="6"/>
        <v>1</v>
      </c>
      <c r="L90" s="110" t="str">
        <f>IF(AND(K90&gt;0,Planning!$I93=0),H90&amp;Language!$E$90&amp;I90,"")</f>
        <v>0 - 0</v>
      </c>
      <c r="M90" s="226">
        <f>IF($H90="",0,Results!$L95)</f>
        <v>0</v>
      </c>
      <c r="N90" s="227">
        <f>IF($I90="",0,Results!$M95)</f>
        <v>0</v>
      </c>
      <c r="P90" s="234">
        <v>87</v>
      </c>
      <c r="Q90" s="235" t="str">
        <f>IF(Planning!$I93=0,G90&amp;F90,"")</f>
        <v>FC Lausanne-SportKuopion PS</v>
      </c>
      <c r="R90" s="247">
        <f t="shared" si="5"/>
        <v>1</v>
      </c>
      <c r="S90" s="278" t="str">
        <f>IF(AND(R90&gt;0,Planning!$I93=0),I90&amp;Language!$E$90&amp;H90,"")</f>
        <v>0 - 0</v>
      </c>
    </row>
    <row r="91" spans="2:19" x14ac:dyDescent="0.2">
      <c r="B91" s="5"/>
      <c r="C91" s="5"/>
      <c r="D91" s="5"/>
      <c r="E91" s="214">
        <v>88</v>
      </c>
      <c r="F91" s="137" t="str">
        <f>Planning!$Q94</f>
        <v>Rakow Tschenstochau</v>
      </c>
      <c r="G91" s="138" t="str">
        <f>Planning!$S94</f>
        <v>Zrinjski Mostar</v>
      </c>
      <c r="H91" s="110">
        <f>IF(AND(Results!$Q$6&gt;0,$E91-1&gt;=Results!$Q$6*Calc!$F$42),"",IF(AND(Results!$I96&lt;&gt;"",Results!$K96&lt;&gt;"",Results!$F96&lt;&gt;Results!$H96,$F91&lt;&gt;"",$G91&lt;&gt;""),Results!$I96,""))</f>
        <v>1</v>
      </c>
      <c r="I91" s="17">
        <f>IF(AND(Results!$Q$6&gt;0,$E91-1&gt;=Results!$Q$6*Calc!$F$42),"",IF(AND(Results!$I96&lt;&gt;"",Results!$K96&lt;&gt;"",Results!$F96&lt;&gt;Results!$H96,$F91&lt;&gt;"",$G91&lt;&gt;""),Results!$K96,""))</f>
        <v>0</v>
      </c>
      <c r="J91" s="16" t="str">
        <f>IF(Planning!$I94=0,F91&amp;G91,"")</f>
        <v>Rakow TschenstochauZrinjski Mostar</v>
      </c>
      <c r="K91" s="110">
        <f t="shared" si="6"/>
        <v>1</v>
      </c>
      <c r="L91" s="110" t="str">
        <f>IF(AND(K91&gt;0,Planning!$I94=0),H91&amp;Language!$E$90&amp;I91,"")</f>
        <v>1 - 0</v>
      </c>
      <c r="M91" s="226">
        <f>IF($H91="",0,Results!$L96)</f>
        <v>0</v>
      </c>
      <c r="N91" s="227">
        <f>IF($I91="",0,Results!$M96)</f>
        <v>0</v>
      </c>
      <c r="P91" s="234">
        <v>88</v>
      </c>
      <c r="Q91" s="235" t="str">
        <f>IF(Planning!$I94=0,G91&amp;F91,"")</f>
        <v>Zrinjski MostarRakow Tschenstochau</v>
      </c>
      <c r="R91" s="247">
        <f t="shared" si="5"/>
        <v>1</v>
      </c>
      <c r="S91" s="278" t="str">
        <f>IF(AND(R91&gt;0,Planning!$I94=0),I91&amp;Language!$E$90&amp;H91,"")</f>
        <v>0 - 1</v>
      </c>
    </row>
    <row r="92" spans="2:19" x14ac:dyDescent="0.2">
      <c r="B92" s="5"/>
      <c r="C92" s="5"/>
      <c r="D92" s="5"/>
      <c r="E92" s="214">
        <v>89</v>
      </c>
      <c r="F92" s="137" t="str">
        <f>Planning!$Q95</f>
        <v>FC Shelbourne</v>
      </c>
      <c r="G92" s="138" t="str">
        <f>Planning!$S95</f>
        <v>Crystal Palace</v>
      </c>
      <c r="H92" s="110">
        <f>IF(AND(Results!$Q$6&gt;0,$E92-1&gt;=Results!$Q$6*Calc!$F$42),"",IF(AND(Results!$I97&lt;&gt;"",Results!$K97&lt;&gt;"",Results!$F97&lt;&gt;Results!$H97,$F92&lt;&gt;"",$G92&lt;&gt;""),Results!$I97,""))</f>
        <v>0</v>
      </c>
      <c r="I92" s="17">
        <f>IF(AND(Results!$Q$6&gt;0,$E92-1&gt;=Results!$Q$6*Calc!$F$42),"",IF(AND(Results!$I97&lt;&gt;"",Results!$K97&lt;&gt;"",Results!$F97&lt;&gt;Results!$H97,$F92&lt;&gt;"",$G92&lt;&gt;""),Results!$K97,""))</f>
        <v>3</v>
      </c>
      <c r="J92" s="16" t="str">
        <f>IF(Planning!$I95=0,F92&amp;G92,"")</f>
        <v>FC ShelbourneCrystal Palace</v>
      </c>
      <c r="K92" s="110">
        <f t="shared" si="6"/>
        <v>1</v>
      </c>
      <c r="L92" s="110" t="str">
        <f>IF(AND(K92&gt;0,Planning!$I95=0),H92&amp;Language!$E$90&amp;I92,"")</f>
        <v>0 - 3</v>
      </c>
      <c r="M92" s="226">
        <f>IF($H92="",0,Results!$L97)</f>
        <v>0</v>
      </c>
      <c r="N92" s="227">
        <f>IF($I92="",0,Results!$M97)</f>
        <v>0</v>
      </c>
      <c r="P92" s="234">
        <v>89</v>
      </c>
      <c r="Q92" s="235" t="str">
        <f>IF(Planning!$I95=0,G92&amp;F92,"")</f>
        <v>Crystal PalaceFC Shelbourne</v>
      </c>
      <c r="R92" s="247">
        <f t="shared" si="5"/>
        <v>1</v>
      </c>
      <c r="S92" s="278" t="str">
        <f>IF(AND(R92&gt;0,Planning!$I95=0),I92&amp;Language!$E$90&amp;H92,"")</f>
        <v>3 - 0</v>
      </c>
    </row>
    <row r="93" spans="2:19" x14ac:dyDescent="0.2">
      <c r="B93" s="5"/>
      <c r="C93" s="5"/>
      <c r="D93" s="5"/>
      <c r="E93" s="214">
        <v>90</v>
      </c>
      <c r="F93" s="137" t="str">
        <f>Planning!$Q96</f>
        <v>Hamrun Spartans</v>
      </c>
      <c r="G93" s="138" t="str">
        <f>Planning!$S96</f>
        <v>Schachtar Donezk</v>
      </c>
      <c r="H93" s="110">
        <f>IF(AND(Results!$Q$6&gt;0,$E93-1&gt;=Results!$Q$6*Calc!$F$42),"",IF(AND(Results!$I98&lt;&gt;"",Results!$K98&lt;&gt;"",Results!$F98&lt;&gt;Results!$H98,$F93&lt;&gt;"",$G93&lt;&gt;""),Results!$I98,""))</f>
        <v>0</v>
      </c>
      <c r="I93" s="17">
        <f>IF(AND(Results!$Q$6&gt;0,$E93-1&gt;=Results!$Q$6*Calc!$F$42),"",IF(AND(Results!$I98&lt;&gt;"",Results!$K98&lt;&gt;"",Results!$F98&lt;&gt;Results!$H98,$F93&lt;&gt;"",$G93&lt;&gt;""),Results!$K98,""))</f>
        <v>2</v>
      </c>
      <c r="J93" s="16" t="str">
        <f>IF(Planning!$I96=0,F93&amp;G93,"")</f>
        <v>Hamrun SpartansSchachtar Donezk</v>
      </c>
      <c r="K93" s="110">
        <f t="shared" si="6"/>
        <v>1</v>
      </c>
      <c r="L93" s="110" t="str">
        <f>IF(AND(K93&gt;0,Planning!$I96=0),H93&amp;Language!$E$90&amp;I93,"")</f>
        <v>0 - 2</v>
      </c>
      <c r="M93" s="226">
        <f>IF($H93="",0,Results!$L98)</f>
        <v>0</v>
      </c>
      <c r="N93" s="227">
        <f>IF($I93="",0,Results!$M98)</f>
        <v>0</v>
      </c>
      <c r="P93" s="234">
        <v>90</v>
      </c>
      <c r="Q93" s="235" t="str">
        <f>IF(Planning!$I96=0,G93&amp;F93,"")</f>
        <v>Schachtar DonezkHamrun Spartans</v>
      </c>
      <c r="R93" s="247">
        <f t="shared" si="5"/>
        <v>1</v>
      </c>
      <c r="S93" s="278" t="str">
        <f>IF(AND(R93&gt;0,Planning!$I96=0),I93&amp;Language!$E$90&amp;H93,"")</f>
        <v>2 - 0</v>
      </c>
    </row>
    <row r="94" spans="2:19" x14ac:dyDescent="0.2">
      <c r="B94" s="5"/>
      <c r="C94" s="5"/>
      <c r="D94" s="5"/>
      <c r="E94" s="214">
        <v>91</v>
      </c>
      <c r="F94" s="137" t="str">
        <f>Planning!$Q97</f>
        <v>Slovan Bratislava</v>
      </c>
      <c r="G94" s="138" t="str">
        <f>Planning!$S97</f>
        <v>BK Häcken</v>
      </c>
      <c r="H94" s="110">
        <f>IF(AND(Results!$Q$6&gt;0,$E94-1&gt;=Results!$Q$6*Calc!$F$42),"",IF(AND(Results!$I99&lt;&gt;"",Results!$K99&lt;&gt;"",Results!$F99&lt;&gt;Results!$H99,$F94&lt;&gt;"",$G94&lt;&gt;""),Results!$I99,""))</f>
        <v>1</v>
      </c>
      <c r="I94" s="17">
        <f>IF(AND(Results!$Q$6&gt;0,$E94-1&gt;=Results!$Q$6*Calc!$F$42),"",IF(AND(Results!$I99&lt;&gt;"",Results!$K99&lt;&gt;"",Results!$F99&lt;&gt;Results!$H99,$F94&lt;&gt;"",$G94&lt;&gt;""),Results!$K99,""))</f>
        <v>0</v>
      </c>
      <c r="J94" s="16" t="str">
        <f>IF(Planning!$I97=0,F94&amp;G94,"")</f>
        <v>Slovan BratislavaBK Häcken</v>
      </c>
      <c r="K94" s="110">
        <f t="shared" si="6"/>
        <v>1</v>
      </c>
      <c r="L94" s="110" t="str">
        <f>IF(AND(K94&gt;0,Planning!$I97=0),H94&amp;Language!$E$90&amp;I94,"")</f>
        <v>1 - 0</v>
      </c>
      <c r="M94" s="226">
        <f>IF($H94="",0,Results!$L99)</f>
        <v>0</v>
      </c>
      <c r="N94" s="227">
        <f>IF($I94="",0,Results!$M99)</f>
        <v>0</v>
      </c>
      <c r="P94" s="234">
        <v>91</v>
      </c>
      <c r="Q94" s="235" t="str">
        <f>IF(Planning!$I97=0,G94&amp;F94,"")</f>
        <v>BK HäckenSlovan Bratislava</v>
      </c>
      <c r="R94" s="247">
        <f t="shared" si="5"/>
        <v>1</v>
      </c>
      <c r="S94" s="278" t="str">
        <f>IF(AND(R94&gt;0,Planning!$I97=0),I94&amp;Language!$E$90&amp;H94,"")</f>
        <v>0 - 1</v>
      </c>
    </row>
    <row r="95" spans="2:19" x14ac:dyDescent="0.2">
      <c r="B95" s="5"/>
      <c r="C95" s="5"/>
      <c r="D95" s="5"/>
      <c r="E95" s="214">
        <v>92</v>
      </c>
      <c r="F95" s="137" t="str">
        <f>Planning!$Q98</f>
        <v>Schachtar Donezk</v>
      </c>
      <c r="G95" s="138" t="str">
        <f>Planning!$S98</f>
        <v>HNK Rijeka</v>
      </c>
      <c r="H95" s="110">
        <f>IF(AND(Results!$Q$6&gt;0,$E95-1&gt;=Results!$Q$6*Calc!$F$42),"",IF(AND(Results!$I100&lt;&gt;"",Results!$K100&lt;&gt;"",Results!$F100&lt;&gt;Results!$H100,$F95&lt;&gt;"",$G95&lt;&gt;""),Results!$I100,""))</f>
        <v>0</v>
      </c>
      <c r="I95" s="17">
        <f>IF(AND(Results!$Q$6&gt;0,$E95-1&gt;=Results!$Q$6*Calc!$F$42),"",IF(AND(Results!$I100&lt;&gt;"",Results!$K100&lt;&gt;"",Results!$F100&lt;&gt;Results!$H100,$F95&lt;&gt;"",$G95&lt;&gt;""),Results!$K100,""))</f>
        <v>0</v>
      </c>
      <c r="J95" s="16" t="str">
        <f>IF(Planning!$I98=0,F95&amp;G95,"")</f>
        <v>Schachtar DonezkHNK Rijeka</v>
      </c>
      <c r="K95" s="110">
        <f t="shared" si="6"/>
        <v>1</v>
      </c>
      <c r="L95" s="110" t="str">
        <f>IF(AND(K95&gt;0,Planning!$I98=0),H95&amp;Language!$E$90&amp;I95,"")</f>
        <v>0 - 0</v>
      </c>
      <c r="M95" s="226">
        <f>IF($H95="",0,Results!$L100)</f>
        <v>0</v>
      </c>
      <c r="N95" s="227">
        <f>IF($I95="",0,Results!$M100)</f>
        <v>0</v>
      </c>
      <c r="P95" s="234">
        <v>92</v>
      </c>
      <c r="Q95" s="235" t="str">
        <f>IF(Planning!$I98=0,G95&amp;F95,"")</f>
        <v>HNK RijekaSchachtar Donezk</v>
      </c>
      <c r="R95" s="247">
        <f t="shared" si="5"/>
        <v>1</v>
      </c>
      <c r="S95" s="278" t="str">
        <f>IF(AND(R95&gt;0,Planning!$I98=0),I95&amp;Language!$E$90&amp;H95,"")</f>
        <v>0 - 0</v>
      </c>
    </row>
    <row r="96" spans="2:19" x14ac:dyDescent="0.2">
      <c r="B96" s="5"/>
      <c r="C96" s="5"/>
      <c r="D96" s="5"/>
      <c r="E96" s="214">
        <v>93</v>
      </c>
      <c r="F96" s="137" t="str">
        <f>Planning!$Q99</f>
        <v>AZ Alkmaar</v>
      </c>
      <c r="G96" s="138" t="str">
        <f>Planning!$S99</f>
        <v>Jagiellonia Bialystok</v>
      </c>
      <c r="H96" s="110">
        <f>IF(AND(Results!$Q$6&gt;0,$E96-1&gt;=Results!$Q$6*Calc!$F$42),"",IF(AND(Results!$I101&lt;&gt;"",Results!$K101&lt;&gt;"",Results!$F101&lt;&gt;Results!$H101,$F96&lt;&gt;"",$G96&lt;&gt;""),Results!$I101,""))</f>
        <v>0</v>
      </c>
      <c r="I96" s="17">
        <f>IF(AND(Results!$Q$6&gt;0,$E96-1&gt;=Results!$Q$6*Calc!$F$42),"",IF(AND(Results!$I101&lt;&gt;"",Results!$K101&lt;&gt;"",Results!$F101&lt;&gt;Results!$H101,$F96&lt;&gt;"",$G96&lt;&gt;""),Results!$K101,""))</f>
        <v>0</v>
      </c>
      <c r="J96" s="16" t="str">
        <f>IF(Planning!$I99=0,F96&amp;G96,"")</f>
        <v>AZ AlkmaarJagiellonia Bialystok</v>
      </c>
      <c r="K96" s="110">
        <f t="shared" si="6"/>
        <v>1</v>
      </c>
      <c r="L96" s="110" t="str">
        <f>IF(AND(K96&gt;0,Planning!$I99=0),H96&amp;Language!$E$90&amp;I96,"")</f>
        <v>0 - 0</v>
      </c>
      <c r="M96" s="226">
        <f>IF($H96="",0,Results!$L101)</f>
        <v>0</v>
      </c>
      <c r="N96" s="227">
        <f>IF($I96="",0,Results!$M101)</f>
        <v>0</v>
      </c>
      <c r="P96" s="234">
        <v>93</v>
      </c>
      <c r="Q96" s="235" t="str">
        <f>IF(Planning!$I99=0,G96&amp;F96,"")</f>
        <v>Jagiellonia BialystokAZ Alkmaar</v>
      </c>
      <c r="R96" s="247">
        <f t="shared" si="5"/>
        <v>1</v>
      </c>
      <c r="S96" s="278" t="str">
        <f>IF(AND(R96&gt;0,Planning!$I99=0),I96&amp;Language!$E$90&amp;H96,"")</f>
        <v>0 - 0</v>
      </c>
    </row>
    <row r="97" spans="2:19" x14ac:dyDescent="0.2">
      <c r="B97" s="5"/>
      <c r="C97" s="5"/>
      <c r="D97" s="5"/>
      <c r="E97" s="214">
        <v>94</v>
      </c>
      <c r="F97" s="137" t="str">
        <f>Planning!$Q100</f>
        <v>Legia Warschau</v>
      </c>
      <c r="G97" s="138" t="str">
        <f>Planning!$S100</f>
        <v>Lincoln Red Imps Fc</v>
      </c>
      <c r="H97" s="110">
        <f>IF(AND(Results!$Q$6&gt;0,$E97-1&gt;=Results!$Q$6*Calc!$F$42),"",IF(AND(Results!$I102&lt;&gt;"",Results!$K102&lt;&gt;"",Results!$F102&lt;&gt;Results!$H102,$F97&lt;&gt;"",$G97&lt;&gt;""),Results!$I102,""))</f>
        <v>4</v>
      </c>
      <c r="I97" s="17">
        <f>IF(AND(Results!$Q$6&gt;0,$E97-1&gt;=Results!$Q$6*Calc!$F$42),"",IF(AND(Results!$I102&lt;&gt;"",Results!$K102&lt;&gt;"",Results!$F102&lt;&gt;Results!$H102,$F97&lt;&gt;"",$G97&lt;&gt;""),Results!$K102,""))</f>
        <v>1</v>
      </c>
      <c r="J97" s="16" t="str">
        <f>IF(Planning!$I100=0,F97&amp;G97,"")</f>
        <v>Legia WarschauLincoln Red Imps Fc</v>
      </c>
      <c r="K97" s="110">
        <f t="shared" si="6"/>
        <v>1</v>
      </c>
      <c r="L97" s="110" t="str">
        <f>IF(AND(K97&gt;0,Planning!$I100=0),H97&amp;Language!$E$90&amp;I97,"")</f>
        <v>4 - 1</v>
      </c>
      <c r="M97" s="226">
        <f>IF($H97="",0,Results!$L102)</f>
        <v>0</v>
      </c>
      <c r="N97" s="227">
        <f>IF($I97="",0,Results!$M102)</f>
        <v>0</v>
      </c>
      <c r="P97" s="234">
        <v>94</v>
      </c>
      <c r="Q97" s="235" t="str">
        <f>IF(Planning!$I100=0,G97&amp;F97,"")</f>
        <v>Lincoln Red Imps FcLegia Warschau</v>
      </c>
      <c r="R97" s="247">
        <f t="shared" si="5"/>
        <v>1</v>
      </c>
      <c r="S97" s="278" t="str">
        <f>IF(AND(R97&gt;0,Planning!$I100=0),I97&amp;Language!$E$90&amp;H97,"")</f>
        <v>1 - 4</v>
      </c>
    </row>
    <row r="98" spans="2:19" x14ac:dyDescent="0.2">
      <c r="B98" s="5"/>
      <c r="C98" s="5"/>
      <c r="D98" s="5"/>
      <c r="E98" s="214">
        <v>95</v>
      </c>
      <c r="F98" s="137" t="str">
        <f>Planning!$Q101</f>
        <v>Crystal Palace</v>
      </c>
      <c r="G98" s="138" t="str">
        <f>Planning!$S101</f>
        <v>Kuopion PS</v>
      </c>
      <c r="H98" s="110">
        <f>IF(AND(Results!$Q$6&gt;0,$E98-1&gt;=Results!$Q$6*Calc!$F$42),"",IF(AND(Results!$I103&lt;&gt;"",Results!$K103&lt;&gt;"",Results!$F103&lt;&gt;Results!$H103,$F98&lt;&gt;"",$G98&lt;&gt;""),Results!$I103,""))</f>
        <v>2</v>
      </c>
      <c r="I98" s="17">
        <f>IF(AND(Results!$Q$6&gt;0,$E98-1&gt;=Results!$Q$6*Calc!$F$42),"",IF(AND(Results!$I103&lt;&gt;"",Results!$K103&lt;&gt;"",Results!$F103&lt;&gt;Results!$H103,$F98&lt;&gt;"",$G98&lt;&gt;""),Results!$K103,""))</f>
        <v>2</v>
      </c>
      <c r="J98" s="16" t="str">
        <f>IF(Planning!$I101=0,F98&amp;G98,"")</f>
        <v>Crystal PalaceKuopion PS</v>
      </c>
      <c r="K98" s="110">
        <f t="shared" si="6"/>
        <v>1</v>
      </c>
      <c r="L98" s="110" t="str">
        <f>IF(AND(K98&gt;0,Planning!$I101=0),H98&amp;Language!$E$90&amp;I98,"")</f>
        <v>2 - 2</v>
      </c>
      <c r="M98" s="226">
        <f>IF($H98="",0,Results!$L103)</f>
        <v>0</v>
      </c>
      <c r="N98" s="227">
        <f>IF($I98="",0,Results!$M103)</f>
        <v>0</v>
      </c>
      <c r="P98" s="234">
        <v>95</v>
      </c>
      <c r="Q98" s="235" t="str">
        <f>IF(Planning!$I101=0,G98&amp;F98,"")</f>
        <v>Kuopion PSCrystal Palace</v>
      </c>
      <c r="R98" s="247">
        <f t="shared" si="5"/>
        <v>1</v>
      </c>
      <c r="S98" s="278" t="str">
        <f>IF(AND(R98&gt;0,Planning!$I101=0),I98&amp;Language!$E$90&amp;H98,"")</f>
        <v>2 - 2</v>
      </c>
    </row>
    <row r="99" spans="2:19" x14ac:dyDescent="0.2">
      <c r="B99" s="5"/>
      <c r="C99" s="5"/>
      <c r="D99" s="5"/>
      <c r="E99" s="214">
        <v>96</v>
      </c>
      <c r="F99" s="137" t="str">
        <f>Planning!$Q102</f>
        <v>Dynamo Kiew</v>
      </c>
      <c r="G99" s="138" t="str">
        <f>Planning!$S102</f>
        <v>FC Noah</v>
      </c>
      <c r="H99" s="110">
        <f>IF(AND(Results!$Q$6&gt;0,$E99-1&gt;=Results!$Q$6*Calc!$F$42),"",IF(AND(Results!$I104&lt;&gt;"",Results!$K104&lt;&gt;"",Results!$F104&lt;&gt;Results!$H104,$F99&lt;&gt;"",$G99&lt;&gt;""),Results!$I104,""))</f>
        <v>2</v>
      </c>
      <c r="I99" s="17">
        <f>IF(AND(Results!$Q$6&gt;0,$E99-1&gt;=Results!$Q$6*Calc!$F$42),"",IF(AND(Results!$I104&lt;&gt;"",Results!$K104&lt;&gt;"",Results!$F104&lt;&gt;Results!$H104,$F99&lt;&gt;"",$G99&lt;&gt;""),Results!$K104,""))</f>
        <v>0</v>
      </c>
      <c r="J99" s="16" t="str">
        <f>IF(Planning!$I102=0,F99&amp;G99,"")</f>
        <v>Dynamo KiewFC Noah</v>
      </c>
      <c r="K99" s="110">
        <f t="shared" si="6"/>
        <v>1</v>
      </c>
      <c r="L99" s="110" t="str">
        <f>IF(AND(K99&gt;0,Planning!$I102=0),H99&amp;Language!$E$90&amp;I99,"")</f>
        <v>2 - 0</v>
      </c>
      <c r="M99" s="226">
        <f>IF($H99="",0,Results!$L104)</f>
        <v>0</v>
      </c>
      <c r="N99" s="227">
        <f>IF($I99="",0,Results!$M104)</f>
        <v>0</v>
      </c>
      <c r="P99" s="234">
        <v>96</v>
      </c>
      <c r="Q99" s="235" t="str">
        <f>IF(Planning!$I102=0,G99&amp;F99,"")</f>
        <v>FC NoahDynamo Kiew</v>
      </c>
      <c r="R99" s="247">
        <f t="shared" si="5"/>
        <v>1</v>
      </c>
      <c r="S99" s="278" t="str">
        <f>IF(AND(R99&gt;0,Planning!$I102=0),I99&amp;Language!$E$90&amp;H99,"")</f>
        <v>0 - 2</v>
      </c>
    </row>
    <row r="100" spans="2:19" x14ac:dyDescent="0.2">
      <c r="B100" s="5"/>
      <c r="C100" s="5"/>
      <c r="D100" s="5"/>
      <c r="E100" s="214">
        <v>97</v>
      </c>
      <c r="F100" s="137" t="str">
        <f>Planning!$Q103</f>
        <v>Rayo Vallecano</v>
      </c>
      <c r="G100" s="138" t="str">
        <f>Planning!$S103</f>
        <v>KF Drita Gjilan</v>
      </c>
      <c r="H100" s="110">
        <f>IF(AND(Results!$Q$6&gt;0,$E100-1&gt;=Results!$Q$6*Calc!$F$42),"",IF(AND(Results!$I105&lt;&gt;"",Results!$K105&lt;&gt;"",Results!$F105&lt;&gt;Results!$H105,$F100&lt;&gt;"",$G100&lt;&gt;""),Results!$I105,""))</f>
        <v>3</v>
      </c>
      <c r="I100" s="17">
        <f>IF(AND(Results!$Q$6&gt;0,$E100-1&gt;=Results!$Q$6*Calc!$F$42),"",IF(AND(Results!$I105&lt;&gt;"",Results!$K105&lt;&gt;"",Results!$F105&lt;&gt;Results!$H105,$F100&lt;&gt;"",$G100&lt;&gt;""),Results!$K105,""))</f>
        <v>0</v>
      </c>
      <c r="J100" s="16" t="str">
        <f>IF(Planning!$I103=0,F100&amp;G100,"")</f>
        <v>Rayo VallecanoKF Drita Gjilan</v>
      </c>
      <c r="K100" s="110">
        <f t="shared" si="6"/>
        <v>1</v>
      </c>
      <c r="L100" s="110" t="str">
        <f>IF(AND(K100&gt;0,Planning!$I103=0),H100&amp;Language!$E$90&amp;I100,"")</f>
        <v>3 - 0</v>
      </c>
      <c r="M100" s="226">
        <f>IF($H100="",0,Results!$L105)</f>
        <v>0</v>
      </c>
      <c r="N100" s="227">
        <f>IF($I100="",0,Results!$M105)</f>
        <v>0</v>
      </c>
      <c r="P100" s="234">
        <v>97</v>
      </c>
      <c r="Q100" s="235" t="str">
        <f>IF(Planning!$I103=0,G100&amp;F100,"")</f>
        <v>KF Drita GjilanRayo Vallecano</v>
      </c>
      <c r="R100" s="247">
        <f t="shared" ref="R100:R111" si="7">K100</f>
        <v>1</v>
      </c>
      <c r="S100" s="278" t="str">
        <f>IF(AND(R100&gt;0,Planning!$I103=0),I100&amp;Language!$E$90&amp;H100,"")</f>
        <v>0 - 3</v>
      </c>
    </row>
    <row r="101" spans="2:19" x14ac:dyDescent="0.2">
      <c r="B101" s="5"/>
      <c r="C101" s="5"/>
      <c r="D101" s="5"/>
      <c r="E101" s="214">
        <v>98</v>
      </c>
      <c r="F101" s="137" t="str">
        <f>Planning!$Q104</f>
        <v>Sparta Prag</v>
      </c>
      <c r="G101" s="138" t="str">
        <f>Planning!$S104</f>
        <v>FC Aberdeen</v>
      </c>
      <c r="H101" s="110">
        <f>IF(AND(Results!$Q$6&gt;0,$E101-1&gt;=Results!$Q$6*Calc!$F$42),"",IF(AND(Results!$I106&lt;&gt;"",Results!$K106&lt;&gt;"",Results!$F106&lt;&gt;Results!$H106,$F101&lt;&gt;"",$G101&lt;&gt;""),Results!$I106,""))</f>
        <v>3</v>
      </c>
      <c r="I101" s="17">
        <f>IF(AND(Results!$Q$6&gt;0,$E101-1&gt;=Results!$Q$6*Calc!$F$42),"",IF(AND(Results!$I106&lt;&gt;"",Results!$K106&lt;&gt;"",Results!$F106&lt;&gt;Results!$H106,$F101&lt;&gt;"",$G101&lt;&gt;""),Results!$K106,""))</f>
        <v>0</v>
      </c>
      <c r="J101" s="16" t="str">
        <f>IF(Planning!$I104=0,F101&amp;G101,"")</f>
        <v>Sparta PragFC Aberdeen</v>
      </c>
      <c r="K101" s="110">
        <f t="shared" si="6"/>
        <v>1</v>
      </c>
      <c r="L101" s="110" t="str">
        <f>IF(AND(K101&gt;0,Planning!$I104=0),H101&amp;Language!$E$90&amp;I101,"")</f>
        <v>3 - 0</v>
      </c>
      <c r="M101" s="226">
        <f>IF($H101="",0,Results!$L106)</f>
        <v>0</v>
      </c>
      <c r="N101" s="227">
        <f>IF($I101="",0,Results!$M106)</f>
        <v>0</v>
      </c>
      <c r="P101" s="234">
        <v>98</v>
      </c>
      <c r="Q101" s="235" t="str">
        <f>IF(Planning!$I104=0,G101&amp;F101,"")</f>
        <v>FC AberdeenSparta Prag</v>
      </c>
      <c r="R101" s="247">
        <f t="shared" si="7"/>
        <v>1</v>
      </c>
      <c r="S101" s="278" t="str">
        <f>IF(AND(R101&gt;0,Planning!$I104=0),I101&amp;Language!$E$90&amp;H101,"")</f>
        <v>0 - 3</v>
      </c>
    </row>
    <row r="102" spans="2:19" x14ac:dyDescent="0.2">
      <c r="B102" s="5"/>
      <c r="C102" s="5"/>
      <c r="D102" s="5"/>
      <c r="E102" s="214">
        <v>99</v>
      </c>
      <c r="F102" s="137" t="str">
        <f>Planning!$Q105</f>
        <v>Shamrock Rovers</v>
      </c>
      <c r="G102" s="138" t="str">
        <f>Planning!$S105</f>
        <v>Hamrun Spartans</v>
      </c>
      <c r="H102" s="110">
        <f>IF(AND(Results!$Q$6&gt;0,$E102-1&gt;=Results!$Q$6*Calc!$F$42),"",IF(AND(Results!$I107&lt;&gt;"",Results!$K107&lt;&gt;"",Results!$F107&lt;&gt;Results!$H107,$F102&lt;&gt;"",$G102&lt;&gt;""),Results!$I107,""))</f>
        <v>3</v>
      </c>
      <c r="I102" s="17">
        <f>IF(AND(Results!$Q$6&gt;0,$E102-1&gt;=Results!$Q$6*Calc!$F$42),"",IF(AND(Results!$I107&lt;&gt;"",Results!$K107&lt;&gt;"",Results!$F107&lt;&gt;Results!$H107,$F102&lt;&gt;"",$G102&lt;&gt;""),Results!$K107,""))</f>
        <v>1</v>
      </c>
      <c r="J102" s="16" t="str">
        <f>IF(Planning!$I105=0,F102&amp;G102,"")</f>
        <v>Shamrock RoversHamrun Spartans</v>
      </c>
      <c r="K102" s="110">
        <f t="shared" si="6"/>
        <v>1</v>
      </c>
      <c r="L102" s="110" t="str">
        <f>IF(AND(K102&gt;0,Planning!$I105=0),H102&amp;Language!$E$90&amp;I102,"")</f>
        <v>3 - 1</v>
      </c>
      <c r="M102" s="226">
        <f>IF($H102="",0,Results!$L107)</f>
        <v>0</v>
      </c>
      <c r="N102" s="227">
        <f>IF($I102="",0,Results!$M107)</f>
        <v>0</v>
      </c>
      <c r="P102" s="234">
        <v>99</v>
      </c>
      <c r="Q102" s="235" t="str">
        <f>IF(Planning!$I105=0,G102&amp;F102,"")</f>
        <v>Hamrun SpartansShamrock Rovers</v>
      </c>
      <c r="R102" s="247">
        <f t="shared" si="7"/>
        <v>1</v>
      </c>
      <c r="S102" s="278" t="str">
        <f>IF(AND(R102&gt;0,Planning!$I105=0),I102&amp;Language!$E$90&amp;H102,"")</f>
        <v>1 - 3</v>
      </c>
    </row>
    <row r="103" spans="2:19" x14ac:dyDescent="0.2">
      <c r="B103" s="5"/>
      <c r="C103" s="5"/>
      <c r="D103" s="5"/>
      <c r="E103" s="214">
        <v>100</v>
      </c>
      <c r="F103" s="137" t="str">
        <f>Planning!$Q106</f>
        <v>1. FSV Mainz 05</v>
      </c>
      <c r="G103" s="138" t="str">
        <f>Planning!$S106</f>
        <v>Samsunspor</v>
      </c>
      <c r="H103" s="110">
        <f>IF(AND(Results!$Q$6&gt;0,$E103-1&gt;=Results!$Q$6*Calc!$F$42),"",IF(AND(Results!$I108&lt;&gt;"",Results!$K108&lt;&gt;"",Results!$F108&lt;&gt;Results!$H108,$F103&lt;&gt;"",$G103&lt;&gt;""),Results!$I108,""))</f>
        <v>2</v>
      </c>
      <c r="I103" s="17">
        <f>IF(AND(Results!$Q$6&gt;0,$E103-1&gt;=Results!$Q$6*Calc!$F$42),"",IF(AND(Results!$I108&lt;&gt;"",Results!$K108&lt;&gt;"",Results!$F108&lt;&gt;Results!$H108,$F103&lt;&gt;"",$G103&lt;&gt;""),Results!$K108,""))</f>
        <v>0</v>
      </c>
      <c r="J103" s="16" t="str">
        <f>IF(Planning!$I106=0,F103&amp;G103,"")</f>
        <v>1. FSV Mainz 05Samsunspor</v>
      </c>
      <c r="K103" s="110">
        <f t="shared" si="6"/>
        <v>1</v>
      </c>
      <c r="L103" s="110" t="str">
        <f>IF(AND(K103&gt;0,Planning!$I106=0),H103&amp;Language!$E$90&amp;I103,"")</f>
        <v>2 - 0</v>
      </c>
      <c r="M103" s="226">
        <f>IF($H103="",0,Results!$L108)</f>
        <v>0</v>
      </c>
      <c r="N103" s="227">
        <f>IF($I103="",0,Results!$M108)</f>
        <v>0</v>
      </c>
      <c r="P103" s="234">
        <v>100</v>
      </c>
      <c r="Q103" s="235" t="str">
        <f>IF(Planning!$I106=0,G103&amp;F103,"")</f>
        <v>Samsunspor1. FSV Mainz 05</v>
      </c>
      <c r="R103" s="247">
        <f t="shared" si="7"/>
        <v>1</v>
      </c>
      <c r="S103" s="278" t="str">
        <f>IF(AND(R103&gt;0,Planning!$I106=0),I103&amp;Language!$E$90&amp;H103,"")</f>
        <v>0 - 2</v>
      </c>
    </row>
    <row r="104" spans="2:19" x14ac:dyDescent="0.2">
      <c r="B104" s="5"/>
      <c r="C104" s="5"/>
      <c r="D104" s="5"/>
      <c r="E104" s="214">
        <v>101</v>
      </c>
      <c r="F104" s="137" t="str">
        <f>Planning!$Q107</f>
        <v>Zrinjski Mostar</v>
      </c>
      <c r="G104" s="138" t="str">
        <f>Planning!$S107</f>
        <v>Rapid Wien</v>
      </c>
      <c r="H104" s="110">
        <f>IF(AND(Results!$Q$6&gt;0,$E104-1&gt;=Results!$Q$6*Calc!$F$42),"",IF(AND(Results!$I109&lt;&gt;"",Results!$K109&lt;&gt;"",Results!$F109&lt;&gt;Results!$H109,$F104&lt;&gt;"",$G104&lt;&gt;""),Results!$I109,""))</f>
        <v>1</v>
      </c>
      <c r="I104" s="17">
        <f>IF(AND(Results!$Q$6&gt;0,$E104-1&gt;=Results!$Q$6*Calc!$F$42),"",IF(AND(Results!$I109&lt;&gt;"",Results!$K109&lt;&gt;"",Results!$F109&lt;&gt;Results!$H109,$F104&lt;&gt;"",$G104&lt;&gt;""),Results!$K109,""))</f>
        <v>1</v>
      </c>
      <c r="J104" s="16" t="str">
        <f>IF(Planning!$I107=0,F104&amp;G104,"")</f>
        <v>Zrinjski MostarRapid Wien</v>
      </c>
      <c r="K104" s="110">
        <f t="shared" si="6"/>
        <v>1</v>
      </c>
      <c r="L104" s="110" t="str">
        <f>IF(AND(K104&gt;0,Planning!$I107=0),H104&amp;Language!$E$90&amp;I104,"")</f>
        <v>1 - 1</v>
      </c>
      <c r="M104" s="226">
        <f>IF($H104="",0,Results!$L109)</f>
        <v>0</v>
      </c>
      <c r="N104" s="227">
        <f>IF($I104="",0,Results!$M109)</f>
        <v>0</v>
      </c>
      <c r="P104" s="234">
        <v>101</v>
      </c>
      <c r="Q104" s="235" t="str">
        <f>IF(Planning!$I107=0,G104&amp;F104,"")</f>
        <v>Rapid WienZrinjski Mostar</v>
      </c>
      <c r="R104" s="247">
        <f t="shared" si="7"/>
        <v>1</v>
      </c>
      <c r="S104" s="278" t="str">
        <f>IF(AND(R104&gt;0,Planning!$I107=0),I104&amp;Language!$E$90&amp;H104,"")</f>
        <v>1 - 1</v>
      </c>
    </row>
    <row r="105" spans="2:19" x14ac:dyDescent="0.2">
      <c r="B105" s="5"/>
      <c r="C105" s="5"/>
      <c r="D105" s="5"/>
      <c r="E105" s="214">
        <v>102</v>
      </c>
      <c r="F105" s="137" t="str">
        <f>Planning!$Q108</f>
        <v>NK Celje</v>
      </c>
      <c r="G105" s="138" t="str">
        <f>Planning!$S108</f>
        <v>FC Shelbourne</v>
      </c>
      <c r="H105" s="110">
        <f>IF(AND(Results!$Q$6&gt;0,$E105-1&gt;=Results!$Q$6*Calc!$F$42),"",IF(AND(Results!$I110&lt;&gt;"",Results!$K110&lt;&gt;"",Results!$F110&lt;&gt;Results!$H110,$F105&lt;&gt;"",$G105&lt;&gt;""),Results!$I110,""))</f>
        <v>0</v>
      </c>
      <c r="I105" s="17">
        <f>IF(AND(Results!$Q$6&gt;0,$E105-1&gt;=Results!$Q$6*Calc!$F$42),"",IF(AND(Results!$I110&lt;&gt;"",Results!$K110&lt;&gt;"",Results!$F110&lt;&gt;Results!$H110,$F105&lt;&gt;"",$G105&lt;&gt;""),Results!$K110,""))</f>
        <v>0</v>
      </c>
      <c r="J105" s="16" t="str">
        <f>IF(Planning!$I108=0,F105&amp;G105,"")</f>
        <v>NK CeljeFC Shelbourne</v>
      </c>
      <c r="K105" s="110">
        <f t="shared" si="6"/>
        <v>1</v>
      </c>
      <c r="L105" s="110" t="str">
        <f>IF(AND(K105&gt;0,Planning!$I108=0),H105&amp;Language!$E$90&amp;I105,"")</f>
        <v>0 - 0</v>
      </c>
      <c r="M105" s="226">
        <f>IF($H105="",0,Results!$L110)</f>
        <v>0</v>
      </c>
      <c r="N105" s="227">
        <f>IF($I105="",0,Results!$M110)</f>
        <v>0</v>
      </c>
      <c r="P105" s="234">
        <v>102</v>
      </c>
      <c r="Q105" s="235" t="str">
        <f>IF(Planning!$I108=0,G105&amp;F105,"")</f>
        <v>FC ShelbourneNK Celje</v>
      </c>
      <c r="R105" s="247">
        <f t="shared" si="7"/>
        <v>1</v>
      </c>
      <c r="S105" s="278" t="str">
        <f>IF(AND(R105&gt;0,Planning!$I108=0),I105&amp;Language!$E$90&amp;H105,"")</f>
        <v>0 - 0</v>
      </c>
    </row>
    <row r="106" spans="2:19" x14ac:dyDescent="0.2">
      <c r="B106" s="5"/>
      <c r="C106" s="5"/>
      <c r="D106" s="5"/>
      <c r="E106" s="214">
        <v>103</v>
      </c>
      <c r="F106" s="137" t="str">
        <f>Planning!$Q109</f>
        <v>Racing Straßburg</v>
      </c>
      <c r="G106" s="138" t="str">
        <f>Planning!$S109</f>
        <v>UMF Breidablik</v>
      </c>
      <c r="H106" s="110">
        <f>IF(AND(Results!$Q$6&gt;0,$E106-1&gt;=Results!$Q$6*Calc!$F$42),"",IF(AND(Results!$I111&lt;&gt;"",Results!$K111&lt;&gt;"",Results!$F111&lt;&gt;Results!$H111,$F106&lt;&gt;"",$G106&lt;&gt;""),Results!$I111,""))</f>
        <v>3</v>
      </c>
      <c r="I106" s="17">
        <f>IF(AND(Results!$Q$6&gt;0,$E106-1&gt;=Results!$Q$6*Calc!$F$42),"",IF(AND(Results!$I111&lt;&gt;"",Results!$K111&lt;&gt;"",Results!$F111&lt;&gt;Results!$H111,$F106&lt;&gt;"",$G106&lt;&gt;""),Results!$K111,""))</f>
        <v>1</v>
      </c>
      <c r="J106" s="16" t="str">
        <f>IF(Planning!$I109=0,F106&amp;G106,"")</f>
        <v>Racing StraßburgUMF Breidablik</v>
      </c>
      <c r="K106" s="110">
        <f t="shared" si="6"/>
        <v>1</v>
      </c>
      <c r="L106" s="110" t="str">
        <f>IF(AND(K106&gt;0,Planning!$I109=0),H106&amp;Language!$E$90&amp;I106,"")</f>
        <v>3 - 1</v>
      </c>
      <c r="M106" s="226">
        <f>IF($H106="",0,Results!$L111)</f>
        <v>0</v>
      </c>
      <c r="N106" s="227">
        <f>IF($I106="",0,Results!$M111)</f>
        <v>0</v>
      </c>
      <c r="P106" s="234">
        <v>103</v>
      </c>
      <c r="Q106" s="235" t="str">
        <f>IF(Planning!$I109=0,G106&amp;F106,"")</f>
        <v>UMF BreidablikRacing Straßburg</v>
      </c>
      <c r="R106" s="247">
        <f t="shared" si="7"/>
        <v>1</v>
      </c>
      <c r="S106" s="278" t="str">
        <f>IF(AND(R106&gt;0,Planning!$I109=0),I106&amp;Language!$E$90&amp;H106,"")</f>
        <v>1 - 3</v>
      </c>
    </row>
    <row r="107" spans="2:19" x14ac:dyDescent="0.2">
      <c r="B107" s="5"/>
      <c r="C107" s="5"/>
      <c r="D107" s="5"/>
      <c r="E107" s="214">
        <v>104</v>
      </c>
      <c r="F107" s="137" t="str">
        <f>Planning!$Q110</f>
        <v>AEK Athen</v>
      </c>
      <c r="G107" s="138" t="str">
        <f>Planning!$S110</f>
        <v>Universitatea Craiova</v>
      </c>
      <c r="H107" s="110">
        <f>IF(AND(Results!$Q$6&gt;0,$E107-1&gt;=Results!$Q$6*Calc!$F$42),"",IF(AND(Results!$I112&lt;&gt;"",Results!$K112&lt;&gt;"",Results!$F112&lt;&gt;Results!$H112,$F107&lt;&gt;"",$G107&lt;&gt;""),Results!$I112,""))</f>
        <v>3</v>
      </c>
      <c r="I107" s="17">
        <f>IF(AND(Results!$Q$6&gt;0,$E107-1&gt;=Results!$Q$6*Calc!$F$42),"",IF(AND(Results!$I112&lt;&gt;"",Results!$K112&lt;&gt;"",Results!$F112&lt;&gt;Results!$H112,$F107&lt;&gt;"",$G107&lt;&gt;""),Results!$K112,""))</f>
        <v>2</v>
      </c>
      <c r="J107" s="16" t="str">
        <f>IF(Planning!$I110=0,F107&amp;G107,"")</f>
        <v>AEK AthenUniversitatea Craiova</v>
      </c>
      <c r="K107" s="110">
        <f t="shared" si="6"/>
        <v>1</v>
      </c>
      <c r="L107" s="110" t="str">
        <f>IF(AND(K107&gt;0,Planning!$I110=0),H107&amp;Language!$E$90&amp;I107,"")</f>
        <v>3 - 2</v>
      </c>
      <c r="M107" s="226">
        <f>IF($H107="",0,Results!$L112)</f>
        <v>0</v>
      </c>
      <c r="N107" s="227">
        <f>IF($I107="",0,Results!$M112)</f>
        <v>0</v>
      </c>
      <c r="P107" s="234">
        <v>104</v>
      </c>
      <c r="Q107" s="235" t="str">
        <f>IF(Planning!$I110=0,G107&amp;F107,"")</f>
        <v>Universitatea CraiovaAEK Athen</v>
      </c>
      <c r="R107" s="247">
        <f t="shared" si="7"/>
        <v>1</v>
      </c>
      <c r="S107" s="278" t="str">
        <f>IF(AND(R107&gt;0,Planning!$I110=0),I107&amp;Language!$E$90&amp;H107,"")</f>
        <v>2 - 3</v>
      </c>
    </row>
    <row r="108" spans="2:19" x14ac:dyDescent="0.2">
      <c r="B108" s="5"/>
      <c r="C108" s="5"/>
      <c r="D108" s="5"/>
      <c r="E108" s="214">
        <v>105</v>
      </c>
      <c r="F108" s="137" t="str">
        <f>Planning!$Q111</f>
        <v>Omonia Nikosia</v>
      </c>
      <c r="G108" s="138" t="str">
        <f>Planning!$S111</f>
        <v>Rakow Tschenstochau</v>
      </c>
      <c r="H108" s="110">
        <f>IF(AND(Results!$Q$6&gt;0,$E108-1&gt;=Results!$Q$6*Calc!$F$42),"",IF(AND(Results!$I113&lt;&gt;"",Results!$K113&lt;&gt;"",Results!$F113&lt;&gt;Results!$H113,$F108&lt;&gt;"",$G108&lt;&gt;""),Results!$I113,""))</f>
        <v>0</v>
      </c>
      <c r="I108" s="17">
        <f>IF(AND(Results!$Q$6&gt;0,$E108-1&gt;=Results!$Q$6*Calc!$F$42),"",IF(AND(Results!$I113&lt;&gt;"",Results!$K113&lt;&gt;"",Results!$F113&lt;&gt;Results!$H113,$F108&lt;&gt;"",$G108&lt;&gt;""),Results!$K113,""))</f>
        <v>1</v>
      </c>
      <c r="J108" s="16" t="str">
        <f>IF(Planning!$I111=0,F108&amp;G108,"")</f>
        <v>Omonia NikosiaRakow Tschenstochau</v>
      </c>
      <c r="K108" s="110">
        <f t="shared" si="6"/>
        <v>1</v>
      </c>
      <c r="L108" s="110" t="str">
        <f>IF(AND(K108&gt;0,Planning!$I111=0),H108&amp;Language!$E$90&amp;I108,"")</f>
        <v>0 - 1</v>
      </c>
      <c r="M108" s="226">
        <f>IF($H108="",0,Results!$L113)</f>
        <v>0</v>
      </c>
      <c r="N108" s="227">
        <f>IF($I108="",0,Results!$M113)</f>
        <v>0</v>
      </c>
      <c r="P108" s="234">
        <v>105</v>
      </c>
      <c r="Q108" s="235" t="str">
        <f>IF(Planning!$I111=0,G108&amp;F108,"")</f>
        <v>Rakow TschenstochauOmonia Nikosia</v>
      </c>
      <c r="R108" s="247">
        <f t="shared" si="7"/>
        <v>1</v>
      </c>
      <c r="S108" s="278" t="str">
        <f>IF(AND(R108&gt;0,Planning!$I111=0),I108&amp;Language!$E$90&amp;H108,"")</f>
        <v>1 - 0</v>
      </c>
    </row>
    <row r="109" spans="2:19" x14ac:dyDescent="0.2">
      <c r="B109" s="5"/>
      <c r="C109" s="5"/>
      <c r="D109" s="5"/>
      <c r="E109" s="214">
        <v>106</v>
      </c>
      <c r="F109" s="137" t="str">
        <f>Planning!$Q112</f>
        <v>Sigma Olmütz</v>
      </c>
      <c r="G109" s="138" t="str">
        <f>Planning!$S112</f>
        <v>Lech Posen</v>
      </c>
      <c r="H109" s="110">
        <f>IF(AND(Results!$Q$6&gt;0,$E109-1&gt;=Results!$Q$6*Calc!$F$42),"",IF(AND(Results!$I114&lt;&gt;"",Results!$K114&lt;&gt;"",Results!$F114&lt;&gt;Results!$H114,$F109&lt;&gt;"",$G109&lt;&gt;""),Results!$I114,""))</f>
        <v>1</v>
      </c>
      <c r="I109" s="17">
        <f>IF(AND(Results!$Q$6&gt;0,$E109-1&gt;=Results!$Q$6*Calc!$F$42),"",IF(AND(Results!$I114&lt;&gt;"",Results!$K114&lt;&gt;"",Results!$F114&lt;&gt;Results!$H114,$F109&lt;&gt;"",$G109&lt;&gt;""),Results!$K114,""))</f>
        <v>2</v>
      </c>
      <c r="J109" s="16" t="str">
        <f>IF(Planning!$I112=0,F109&amp;G109,"")</f>
        <v>Sigma OlmützLech Posen</v>
      </c>
      <c r="K109" s="110">
        <f t="shared" si="6"/>
        <v>1</v>
      </c>
      <c r="L109" s="110" t="str">
        <f>IF(AND(K109&gt;0,Planning!$I112=0),H109&amp;Language!$E$90&amp;I109,"")</f>
        <v>1 - 2</v>
      </c>
      <c r="M109" s="226">
        <f>IF($H109="",0,Results!$L114)</f>
        <v>0</v>
      </c>
      <c r="N109" s="227">
        <f>IF($I109="",0,Results!$M114)</f>
        <v>0</v>
      </c>
      <c r="P109" s="234">
        <v>106</v>
      </c>
      <c r="Q109" s="235" t="str">
        <f>IF(Planning!$I112=0,G109&amp;F109,"")</f>
        <v>Lech PosenSigma Olmütz</v>
      </c>
      <c r="R109" s="247">
        <f t="shared" si="7"/>
        <v>1</v>
      </c>
      <c r="S109" s="278" t="str">
        <f>IF(AND(R109&gt;0,Planning!$I112=0),I109&amp;Language!$E$90&amp;H109,"")</f>
        <v>2 - 1</v>
      </c>
    </row>
    <row r="110" spans="2:19" x14ac:dyDescent="0.2">
      <c r="B110" s="5"/>
      <c r="C110" s="5"/>
      <c r="D110" s="5"/>
      <c r="E110" s="214">
        <v>107</v>
      </c>
      <c r="F110" s="137" t="str">
        <f>Planning!$Q113</f>
        <v>AEK Larnaka</v>
      </c>
      <c r="G110" s="138" t="str">
        <f>Planning!$S113</f>
        <v>Shkendija Tetovo</v>
      </c>
      <c r="H110" s="110">
        <f>IF(AND(Results!$Q$6&gt;0,$E110-1&gt;=Results!$Q$6*Calc!$F$42),"",IF(AND(Results!$I115&lt;&gt;"",Results!$K115&lt;&gt;"",Results!$F115&lt;&gt;Results!$H115,$F110&lt;&gt;"",$G110&lt;&gt;""),Results!$I115,""))</f>
        <v>1</v>
      </c>
      <c r="I110" s="17">
        <f>IF(AND(Results!$Q$6&gt;0,$E110-1&gt;=Results!$Q$6*Calc!$F$42),"",IF(AND(Results!$I115&lt;&gt;"",Results!$K115&lt;&gt;"",Results!$F115&lt;&gt;Results!$H115,$F110&lt;&gt;"",$G110&lt;&gt;""),Results!$K115,""))</f>
        <v>0</v>
      </c>
      <c r="J110" s="16" t="str">
        <f>IF(Planning!$I113=0,F110&amp;G110,"")</f>
        <v>AEK LarnakaShkendija Tetovo</v>
      </c>
      <c r="K110" s="110">
        <f t="shared" si="6"/>
        <v>1</v>
      </c>
      <c r="L110" s="110" t="str">
        <f>IF(AND(K110&gt;0,Planning!$I113=0),H110&amp;Language!$E$90&amp;I110,"")</f>
        <v>1 - 0</v>
      </c>
      <c r="M110" s="226">
        <f>IF($H110="",0,Results!$L115)</f>
        <v>0</v>
      </c>
      <c r="N110" s="227">
        <f>IF($I110="",0,Results!$M115)</f>
        <v>0</v>
      </c>
      <c r="P110" s="234">
        <v>107</v>
      </c>
      <c r="Q110" s="235" t="str">
        <f>IF(Planning!$I113=0,G110&amp;F110,"")</f>
        <v>Shkendija TetovoAEK Larnaka</v>
      </c>
      <c r="R110" s="247">
        <f t="shared" si="7"/>
        <v>1</v>
      </c>
      <c r="S110" s="278" t="str">
        <f>IF(AND(R110&gt;0,Planning!$I113=0),I110&amp;Language!$E$90&amp;H110,"")</f>
        <v>0 - 1</v>
      </c>
    </row>
    <row r="111" spans="2:19" x14ac:dyDescent="0.2">
      <c r="B111" s="5"/>
      <c r="C111" s="5"/>
      <c r="D111" s="5"/>
      <c r="E111" s="498">
        <v>108</v>
      </c>
      <c r="F111" s="499" t="str">
        <f>Planning!$Q114</f>
        <v>FC Lausanne-Sport</v>
      </c>
      <c r="G111" s="500" t="str">
        <f>Planning!$S114</f>
        <v>AC Florenz</v>
      </c>
      <c r="H111" s="501">
        <f>IF(AND(Results!$Q$6&gt;0,$E111-1&gt;=Results!$Q$6*Calc!$F$42),"",IF(AND(Results!$I116&lt;&gt;"",Results!$K116&lt;&gt;"",Results!$F116&lt;&gt;Results!$H116,$F111&lt;&gt;"",$G111&lt;&gt;""),Results!$I116,""))</f>
        <v>1</v>
      </c>
      <c r="I111" s="502">
        <f>IF(AND(Results!$Q$6&gt;0,$E111-1&gt;=Results!$Q$6*Calc!$F$42),"",IF(AND(Results!$I116&lt;&gt;"",Results!$K116&lt;&gt;"",Results!$F116&lt;&gt;Results!$H116,$F111&lt;&gt;"",$G111&lt;&gt;""),Results!$K116,""))</f>
        <v>0</v>
      </c>
      <c r="J111" s="503" t="str">
        <f>IF(Planning!$I114=0,F111&amp;G111,"")</f>
        <v>FC Lausanne-SportAC Florenz</v>
      </c>
      <c r="K111" s="501">
        <f t="shared" si="6"/>
        <v>1</v>
      </c>
      <c r="L111" s="501" t="str">
        <f>IF(AND(K111&gt;0,Planning!$I114=0),H111&amp;Language!$E$90&amp;I111,"")</f>
        <v>1 - 0</v>
      </c>
      <c r="M111" s="504">
        <f>IF($H111="",0,Results!$L116)</f>
        <v>0</v>
      </c>
      <c r="N111" s="505">
        <f>IF($I111="",0,Results!$M116)</f>
        <v>0</v>
      </c>
      <c r="P111" s="490">
        <v>108</v>
      </c>
      <c r="Q111" s="491" t="str">
        <f>IF(Planning!$I114=0,G111&amp;F111,"")</f>
        <v>AC FlorenzFC Lausanne-Sport</v>
      </c>
      <c r="R111" s="492">
        <f t="shared" si="7"/>
        <v>1</v>
      </c>
      <c r="S111" s="493" t="str">
        <f>IF(AND(R111&gt;0,Planning!$I114=0),I111&amp;Language!$E$90&amp;H111,"")</f>
        <v>0 - 1</v>
      </c>
    </row>
    <row r="112" spans="2:19" x14ac:dyDescent="0.2">
      <c r="B112" s="5"/>
      <c r="C112" s="5"/>
      <c r="D112" s="5"/>
      <c r="E112" s="488"/>
      <c r="F112" s="138"/>
      <c r="G112" s="138"/>
      <c r="H112" s="449"/>
      <c r="I112" s="449"/>
      <c r="J112" s="4"/>
      <c r="K112" s="449"/>
      <c r="L112" s="449"/>
      <c r="M112" s="247"/>
      <c r="N112" s="247"/>
    </row>
    <row r="113" spans="2:14" hidden="1" x14ac:dyDescent="0.2">
      <c r="B113" s="5"/>
      <c r="C113" s="5"/>
      <c r="D113" s="5"/>
      <c r="E113" s="488"/>
      <c r="F113" s="138"/>
      <c r="G113" s="138"/>
      <c r="H113" s="449"/>
      <c r="I113" s="449"/>
      <c r="J113" s="4"/>
      <c r="K113" s="449"/>
      <c r="L113" s="449"/>
      <c r="M113" s="247"/>
      <c r="N113" s="247"/>
    </row>
    <row r="114" spans="2:14" hidden="1" x14ac:dyDescent="0.2">
      <c r="B114" s="5"/>
      <c r="C114" s="5"/>
      <c r="D114" s="5"/>
      <c r="E114" s="488"/>
      <c r="F114" s="138"/>
      <c r="G114" s="138"/>
      <c r="H114" s="449"/>
      <c r="I114" s="449"/>
      <c r="J114" s="4"/>
      <c r="K114" s="449"/>
      <c r="L114" s="449"/>
      <c r="M114" s="247"/>
      <c r="N114" s="247"/>
    </row>
    <row r="115" spans="2:14" hidden="1" x14ac:dyDescent="0.2">
      <c r="B115" s="5"/>
      <c r="C115" s="5"/>
      <c r="D115" s="5"/>
      <c r="E115" s="488"/>
      <c r="F115" s="138"/>
      <c r="G115" s="138"/>
      <c r="H115" s="449"/>
      <c r="I115" s="449"/>
      <c r="J115" s="4"/>
      <c r="K115" s="449"/>
      <c r="L115" s="449"/>
      <c r="M115" s="247"/>
      <c r="N115" s="247"/>
    </row>
    <row r="116" spans="2:14" hidden="1" x14ac:dyDescent="0.2">
      <c r="B116" s="5"/>
      <c r="C116" s="5"/>
      <c r="D116" s="5"/>
      <c r="E116" s="488"/>
      <c r="F116" s="138"/>
      <c r="G116" s="138"/>
      <c r="H116" s="449"/>
      <c r="I116" s="449"/>
      <c r="J116" s="4"/>
      <c r="K116" s="449"/>
      <c r="L116" s="449"/>
      <c r="M116" s="247"/>
      <c r="N116" s="247"/>
    </row>
    <row r="117" spans="2:14" hidden="1" x14ac:dyDescent="0.2">
      <c r="B117" s="5"/>
      <c r="C117" s="5"/>
      <c r="D117" s="5"/>
      <c r="E117" s="488"/>
      <c r="F117" s="138"/>
      <c r="G117" s="138"/>
      <c r="H117" s="449"/>
      <c r="I117" s="449"/>
      <c r="J117" s="4"/>
      <c r="K117" s="449"/>
      <c r="L117" s="449"/>
      <c r="M117" s="247"/>
      <c r="N117" s="247"/>
    </row>
    <row r="118" spans="2:14" hidden="1" x14ac:dyDescent="0.2">
      <c r="B118" s="5"/>
      <c r="C118" s="5"/>
      <c r="D118" s="5"/>
      <c r="E118" s="488"/>
      <c r="F118" s="138"/>
      <c r="G118" s="138"/>
      <c r="H118" s="449"/>
      <c r="I118" s="449"/>
      <c r="J118" s="4"/>
      <c r="K118" s="449"/>
      <c r="L118" s="449"/>
      <c r="M118" s="247"/>
      <c r="N118" s="247"/>
    </row>
    <row r="119" spans="2:14" hidden="1" x14ac:dyDescent="0.2">
      <c r="B119" s="5"/>
      <c r="C119" s="5"/>
      <c r="D119" s="5"/>
      <c r="E119" s="488"/>
      <c r="F119" s="138"/>
      <c r="G119" s="138"/>
      <c r="H119" s="449"/>
      <c r="I119" s="449"/>
      <c r="J119" s="4"/>
      <c r="K119" s="449"/>
      <c r="L119" s="449"/>
      <c r="M119" s="247"/>
      <c r="N119" s="247"/>
    </row>
    <row r="120" spans="2:14" hidden="1" x14ac:dyDescent="0.2">
      <c r="B120" s="5"/>
      <c r="C120" s="5"/>
      <c r="D120" s="5"/>
      <c r="E120" s="488"/>
      <c r="F120" s="138"/>
      <c r="G120" s="138"/>
      <c r="H120" s="449"/>
      <c r="I120" s="449"/>
      <c r="J120" s="4"/>
      <c r="K120" s="449"/>
      <c r="L120" s="449"/>
      <c r="M120" s="247"/>
      <c r="N120" s="247"/>
    </row>
    <row r="121" spans="2:14" hidden="1" x14ac:dyDescent="0.2">
      <c r="B121" s="5"/>
      <c r="C121" s="5"/>
      <c r="D121" s="5"/>
      <c r="E121" s="488"/>
      <c r="F121" s="138"/>
      <c r="G121" s="138"/>
      <c r="H121" s="449"/>
      <c r="I121" s="449"/>
      <c r="J121" s="4"/>
      <c r="K121" s="449"/>
      <c r="L121" s="449"/>
      <c r="M121" s="247"/>
      <c r="N121" s="247"/>
    </row>
    <row r="122" spans="2:14" hidden="1" x14ac:dyDescent="0.2">
      <c r="B122" s="5"/>
      <c r="C122" s="5"/>
      <c r="D122" s="5"/>
      <c r="E122" s="488"/>
      <c r="F122" s="138"/>
      <c r="G122" s="138"/>
      <c r="H122" s="449"/>
      <c r="I122" s="449"/>
      <c r="J122" s="4"/>
      <c r="K122" s="449"/>
      <c r="L122" s="449"/>
      <c r="M122" s="247"/>
      <c r="N122" s="247"/>
    </row>
    <row r="123" spans="2:14" hidden="1" x14ac:dyDescent="0.2">
      <c r="B123" s="5"/>
      <c r="C123" s="5"/>
      <c r="D123" s="5"/>
      <c r="E123" s="488"/>
      <c r="F123" s="138"/>
      <c r="G123" s="138"/>
      <c r="H123" s="449"/>
      <c r="I123" s="449"/>
      <c r="J123" s="4"/>
      <c r="K123" s="449"/>
      <c r="L123" s="449"/>
      <c r="M123" s="247"/>
      <c r="N123" s="247"/>
    </row>
    <row r="124" spans="2:14" hidden="1" x14ac:dyDescent="0.2">
      <c r="B124" s="5"/>
      <c r="C124" s="5"/>
      <c r="D124" s="5"/>
      <c r="E124" s="488"/>
      <c r="F124" s="138"/>
      <c r="G124" s="138"/>
      <c r="H124" s="449"/>
      <c r="I124" s="449"/>
      <c r="J124" s="4"/>
      <c r="K124" s="449"/>
      <c r="L124" s="449"/>
      <c r="M124" s="247"/>
      <c r="N124" s="247"/>
    </row>
    <row r="125" spans="2:14" hidden="1" x14ac:dyDescent="0.2">
      <c r="B125" s="5"/>
      <c r="C125" s="5"/>
      <c r="D125" s="5"/>
      <c r="E125" s="488"/>
      <c r="F125" s="138"/>
      <c r="G125" s="138"/>
      <c r="H125" s="449"/>
      <c r="I125" s="449"/>
      <c r="J125" s="4"/>
      <c r="K125" s="449"/>
      <c r="L125" s="449"/>
      <c r="M125" s="247"/>
      <c r="N125" s="247"/>
    </row>
    <row r="126" spans="2:14" hidden="1" x14ac:dyDescent="0.2">
      <c r="B126" s="5"/>
      <c r="C126" s="5"/>
      <c r="D126" s="5"/>
      <c r="E126" s="488"/>
      <c r="F126" s="138"/>
      <c r="G126" s="138"/>
      <c r="H126" s="449"/>
      <c r="I126" s="449"/>
      <c r="J126" s="4"/>
      <c r="K126" s="449"/>
      <c r="L126" s="449"/>
      <c r="M126" s="247"/>
      <c r="N126" s="247"/>
    </row>
    <row r="127" spans="2:14" hidden="1" x14ac:dyDescent="0.2">
      <c r="B127" s="5"/>
      <c r="C127" s="5"/>
      <c r="D127" s="5"/>
      <c r="E127" s="488"/>
      <c r="F127" s="138"/>
      <c r="G127" s="138"/>
      <c r="H127" s="449"/>
      <c r="I127" s="449"/>
      <c r="J127" s="4"/>
      <c r="K127" s="449"/>
      <c r="L127" s="449"/>
      <c r="M127" s="247"/>
      <c r="N127" s="247"/>
    </row>
    <row r="128" spans="2:14" hidden="1" x14ac:dyDescent="0.2">
      <c r="B128" s="5"/>
      <c r="C128" s="5"/>
      <c r="D128" s="5"/>
      <c r="E128" s="488"/>
      <c r="F128" s="138"/>
      <c r="G128" s="138"/>
      <c r="H128" s="449"/>
      <c r="I128" s="449"/>
      <c r="J128" s="4"/>
      <c r="K128" s="449"/>
      <c r="L128" s="449"/>
      <c r="M128" s="247"/>
      <c r="N128" s="247"/>
    </row>
    <row r="129" spans="2:14" hidden="1" x14ac:dyDescent="0.2">
      <c r="B129" s="5"/>
      <c r="C129" s="5"/>
      <c r="D129" s="5"/>
      <c r="E129" s="488"/>
      <c r="F129" s="138"/>
      <c r="G129" s="138"/>
      <c r="H129" s="449"/>
      <c r="I129" s="449"/>
      <c r="J129" s="4"/>
      <c r="K129" s="449"/>
      <c r="L129" s="449"/>
      <c r="M129" s="247"/>
      <c r="N129" s="247"/>
    </row>
    <row r="130" spans="2:14" hidden="1" x14ac:dyDescent="0.2">
      <c r="B130" s="5"/>
      <c r="C130" s="5"/>
      <c r="D130" s="5"/>
      <c r="E130" s="488"/>
      <c r="F130" s="138"/>
      <c r="G130" s="138"/>
      <c r="H130" s="449"/>
      <c r="I130" s="449"/>
      <c r="J130" s="4"/>
      <c r="K130" s="449"/>
      <c r="L130" s="449"/>
      <c r="M130" s="247"/>
      <c r="N130" s="247"/>
    </row>
    <row r="131" spans="2:14" hidden="1" x14ac:dyDescent="0.2">
      <c r="B131" s="5"/>
      <c r="C131" s="5"/>
      <c r="D131" s="5"/>
      <c r="E131" s="488"/>
      <c r="F131" s="138"/>
      <c r="G131" s="138"/>
      <c r="H131" s="449"/>
      <c r="I131" s="449"/>
      <c r="J131" s="4"/>
      <c r="K131" s="449"/>
      <c r="L131" s="449"/>
      <c r="M131" s="247"/>
      <c r="N131" s="247"/>
    </row>
    <row r="132" spans="2:14" hidden="1" x14ac:dyDescent="0.2">
      <c r="B132" s="5"/>
      <c r="C132" s="5"/>
      <c r="D132" s="5"/>
      <c r="E132" s="488"/>
      <c r="F132" s="138"/>
      <c r="G132" s="138"/>
      <c r="H132" s="449"/>
      <c r="I132" s="449"/>
      <c r="J132" s="4"/>
      <c r="K132" s="449"/>
      <c r="L132" s="449"/>
      <c r="M132" s="247"/>
      <c r="N132" s="247"/>
    </row>
    <row r="133" spans="2:14" hidden="1" x14ac:dyDescent="0.2">
      <c r="B133" s="5"/>
      <c r="C133" s="5"/>
      <c r="D133" s="5"/>
      <c r="E133" s="488"/>
      <c r="F133" s="138"/>
      <c r="G133" s="138"/>
      <c r="H133" s="449"/>
      <c r="I133" s="449"/>
      <c r="J133" s="4"/>
      <c r="K133" s="449"/>
      <c r="L133" s="449"/>
      <c r="M133" s="247"/>
      <c r="N133" s="247"/>
    </row>
    <row r="134" spans="2:14" hidden="1" x14ac:dyDescent="0.2">
      <c r="B134" s="5"/>
      <c r="C134" s="5"/>
      <c r="D134" s="5"/>
      <c r="E134" s="488"/>
      <c r="F134" s="138"/>
      <c r="G134" s="138"/>
      <c r="H134" s="449"/>
      <c r="I134" s="449"/>
      <c r="J134" s="4"/>
      <c r="K134" s="449"/>
      <c r="L134" s="449"/>
      <c r="M134" s="247"/>
      <c r="N134" s="247"/>
    </row>
    <row r="135" spans="2:14" hidden="1" x14ac:dyDescent="0.2">
      <c r="B135" s="5"/>
      <c r="C135" s="5"/>
      <c r="D135" s="5"/>
      <c r="E135" s="488"/>
      <c r="F135" s="138"/>
      <c r="G135" s="138"/>
      <c r="H135" s="449"/>
      <c r="I135" s="449"/>
      <c r="J135" s="4"/>
      <c r="K135" s="449"/>
      <c r="L135" s="449"/>
      <c r="M135" s="247"/>
      <c r="N135" s="247"/>
    </row>
    <row r="136" spans="2:14" hidden="1" x14ac:dyDescent="0.2">
      <c r="B136" s="5"/>
      <c r="C136" s="5"/>
      <c r="D136" s="5"/>
      <c r="E136" s="488"/>
      <c r="F136" s="138"/>
      <c r="G136" s="138"/>
      <c r="H136" s="449"/>
      <c r="I136" s="449"/>
      <c r="J136" s="4"/>
      <c r="K136" s="449"/>
      <c r="L136" s="449"/>
      <c r="M136" s="247"/>
      <c r="N136" s="247"/>
    </row>
    <row r="137" spans="2:14" hidden="1" x14ac:dyDescent="0.2">
      <c r="B137" s="5"/>
      <c r="C137" s="5"/>
      <c r="D137" s="5"/>
      <c r="E137" s="488"/>
      <c r="F137" s="138"/>
      <c r="G137" s="138"/>
      <c r="H137" s="449"/>
      <c r="I137" s="449"/>
      <c r="J137" s="4"/>
      <c r="K137" s="449"/>
      <c r="L137" s="449"/>
      <c r="M137" s="247"/>
      <c r="N137" s="247"/>
    </row>
    <row r="138" spans="2:14" hidden="1" x14ac:dyDescent="0.2">
      <c r="B138" s="5"/>
      <c r="C138" s="5"/>
      <c r="D138" s="5"/>
      <c r="E138" s="488"/>
      <c r="F138" s="138"/>
      <c r="G138" s="138"/>
      <c r="H138" s="449"/>
      <c r="I138" s="449"/>
      <c r="J138" s="4"/>
      <c r="K138" s="449"/>
      <c r="L138" s="449"/>
      <c r="M138" s="247"/>
      <c r="N138" s="247"/>
    </row>
    <row r="139" spans="2:14" hidden="1" x14ac:dyDescent="0.2">
      <c r="B139" s="5"/>
      <c r="C139" s="5"/>
      <c r="D139" s="5"/>
      <c r="E139" s="488"/>
      <c r="F139" s="138"/>
      <c r="G139" s="138"/>
      <c r="H139" s="449"/>
      <c r="I139" s="449"/>
      <c r="J139" s="4"/>
      <c r="K139" s="449"/>
      <c r="L139" s="449"/>
      <c r="M139" s="247"/>
      <c r="N139" s="247"/>
    </row>
    <row r="140" spans="2:14" hidden="1" x14ac:dyDescent="0.2">
      <c r="B140" s="5"/>
      <c r="C140" s="5"/>
      <c r="D140" s="5"/>
      <c r="E140" s="488"/>
      <c r="F140" s="138"/>
      <c r="G140" s="138"/>
      <c r="H140" s="449"/>
      <c r="I140" s="449"/>
      <c r="J140" s="4"/>
      <c r="K140" s="449"/>
      <c r="L140" s="449"/>
      <c r="M140" s="247"/>
      <c r="N140" s="247"/>
    </row>
    <row r="141" spans="2:14" hidden="1" x14ac:dyDescent="0.2">
      <c r="B141" s="5"/>
      <c r="C141" s="5"/>
      <c r="D141" s="5"/>
      <c r="E141" s="488"/>
      <c r="F141" s="138"/>
      <c r="G141" s="138"/>
      <c r="H141" s="449"/>
      <c r="I141" s="449"/>
      <c r="J141" s="4"/>
      <c r="K141" s="449"/>
      <c r="L141" s="449"/>
      <c r="M141" s="247"/>
      <c r="N141" s="247"/>
    </row>
    <row r="142" spans="2:14" hidden="1" x14ac:dyDescent="0.2">
      <c r="B142" s="5"/>
      <c r="C142" s="5"/>
      <c r="D142" s="5"/>
      <c r="E142" s="488"/>
      <c r="F142" s="138"/>
      <c r="G142" s="138"/>
      <c r="H142" s="449"/>
      <c r="I142" s="449"/>
      <c r="J142" s="4"/>
      <c r="K142" s="449"/>
      <c r="L142" s="449"/>
      <c r="M142" s="247"/>
      <c r="N142" s="247"/>
    </row>
    <row r="143" spans="2:14" hidden="1" x14ac:dyDescent="0.2">
      <c r="B143" s="5"/>
      <c r="C143" s="5"/>
      <c r="D143" s="5"/>
      <c r="E143" s="488"/>
      <c r="F143" s="138"/>
      <c r="G143" s="138"/>
      <c r="H143" s="449"/>
      <c r="I143" s="449"/>
      <c r="J143" s="4"/>
      <c r="K143" s="449"/>
      <c r="L143" s="449"/>
      <c r="M143" s="247"/>
      <c r="N143" s="247"/>
    </row>
    <row r="144" spans="2:14" hidden="1" x14ac:dyDescent="0.2">
      <c r="B144" s="5"/>
      <c r="C144" s="5"/>
      <c r="D144" s="5"/>
      <c r="E144" s="488"/>
      <c r="F144" s="138"/>
      <c r="G144" s="138"/>
      <c r="H144" s="449"/>
      <c r="I144" s="449"/>
      <c r="J144" s="4"/>
      <c r="K144" s="449"/>
      <c r="L144" s="449"/>
      <c r="M144" s="247"/>
      <c r="N144" s="247"/>
    </row>
    <row r="145" spans="2:14" hidden="1" x14ac:dyDescent="0.2">
      <c r="B145" s="5"/>
      <c r="C145" s="5"/>
      <c r="D145" s="5"/>
      <c r="E145" s="488"/>
      <c r="F145" s="138"/>
      <c r="G145" s="138"/>
      <c r="H145" s="449"/>
      <c r="I145" s="449"/>
      <c r="J145" s="4"/>
      <c r="K145" s="449"/>
      <c r="L145" s="449"/>
      <c r="M145" s="247"/>
      <c r="N145" s="247"/>
    </row>
    <row r="146" spans="2:14" hidden="1" x14ac:dyDescent="0.2">
      <c r="B146" s="5"/>
      <c r="C146" s="5"/>
      <c r="D146" s="5"/>
      <c r="E146" s="488"/>
      <c r="F146" s="138"/>
      <c r="G146" s="138"/>
      <c r="H146" s="449"/>
      <c r="I146" s="449"/>
      <c r="J146" s="4"/>
      <c r="K146" s="449"/>
      <c r="L146" s="449"/>
      <c r="M146" s="247"/>
      <c r="N146" s="247"/>
    </row>
    <row r="147" spans="2:14" hidden="1" x14ac:dyDescent="0.2">
      <c r="B147" s="5"/>
      <c r="C147" s="5"/>
      <c r="D147" s="5"/>
      <c r="E147" s="488"/>
      <c r="F147" s="138"/>
      <c r="G147" s="138"/>
      <c r="H147" s="449"/>
      <c r="I147" s="449"/>
      <c r="J147" s="4"/>
      <c r="K147" s="449"/>
      <c r="L147" s="449"/>
      <c r="M147" s="247"/>
      <c r="N147" s="247"/>
    </row>
    <row r="148" spans="2:14" hidden="1" x14ac:dyDescent="0.2">
      <c r="E148" s="235"/>
      <c r="F148" s="487"/>
      <c r="G148" s="487"/>
      <c r="H148" s="235"/>
      <c r="M148" s="235"/>
      <c r="N148" s="235"/>
    </row>
    <row r="149" spans="2:14" hidden="1" x14ac:dyDescent="0.2"/>
    <row r="150" spans="2:14" hidden="1" x14ac:dyDescent="0.2"/>
    <row r="151" spans="2:14" hidden="1" x14ac:dyDescent="0.2"/>
    <row r="152" spans="2:14" hidden="1" x14ac:dyDescent="0.2"/>
    <row r="153" spans="2:14" hidden="1" x14ac:dyDescent="0.2"/>
    <row r="154" spans="2:14" hidden="1" x14ac:dyDescent="0.2"/>
    <row r="155" spans="2:14" hidden="1" x14ac:dyDescent="0.2"/>
    <row r="156" spans="2:14" hidden="1" x14ac:dyDescent="0.2"/>
    <row r="157" spans="2:14" hidden="1" x14ac:dyDescent="0.2"/>
    <row r="158" spans="2:14" hidden="1" x14ac:dyDescent="0.2"/>
    <row r="159" spans="2:14" hidden="1" x14ac:dyDescent="0.2"/>
    <row r="160" spans="2:14" hidden="1" x14ac:dyDescent="0.2"/>
    <row r="161" hidden="1" x14ac:dyDescent="0.2"/>
    <row r="162" hidden="1" x14ac:dyDescent="0.2"/>
    <row r="163" hidden="1" x14ac:dyDescent="0.2"/>
    <row r="164" hidden="1" x14ac:dyDescent="0.2"/>
    <row r="165" hidden="1" x14ac:dyDescent="0.2"/>
    <row r="166" hidden="1" x14ac:dyDescent="0.2"/>
    <row r="167" hidden="1" x14ac:dyDescent="0.2"/>
    <row r="168" hidden="1" x14ac:dyDescent="0.2"/>
    <row r="169" hidden="1" x14ac:dyDescent="0.2"/>
    <row r="170" hidden="1" x14ac:dyDescent="0.2"/>
    <row r="171" hidden="1" x14ac:dyDescent="0.2"/>
    <row r="172" hidden="1" x14ac:dyDescent="0.2"/>
    <row r="173" hidden="1" x14ac:dyDescent="0.2"/>
    <row r="174" hidden="1" x14ac:dyDescent="0.2"/>
    <row r="175" hidden="1" x14ac:dyDescent="0.2"/>
    <row r="176" hidden="1" x14ac:dyDescent="0.2"/>
    <row r="177" hidden="1" x14ac:dyDescent="0.2"/>
    <row r="178" hidden="1" x14ac:dyDescent="0.2"/>
    <row r="179" hidden="1" x14ac:dyDescent="0.2"/>
    <row r="180" hidden="1" x14ac:dyDescent="0.2"/>
    <row r="181" hidden="1" x14ac:dyDescent="0.2"/>
    <row r="182" hidden="1" x14ac:dyDescent="0.2"/>
    <row r="183" hidden="1" x14ac:dyDescent="0.2"/>
    <row r="184" hidden="1" x14ac:dyDescent="0.2"/>
    <row r="185" hidden="1" x14ac:dyDescent="0.2"/>
    <row r="186" hidden="1" x14ac:dyDescent="0.2"/>
    <row r="187" hidden="1" x14ac:dyDescent="0.2"/>
    <row r="188" hidden="1" x14ac:dyDescent="0.2"/>
    <row r="189" hidden="1" x14ac:dyDescent="0.2"/>
    <row r="190" hidden="1" x14ac:dyDescent="0.2"/>
    <row r="191" hidden="1" x14ac:dyDescent="0.2"/>
    <row r="192" hidden="1" x14ac:dyDescent="0.2"/>
    <row r="193" hidden="1" x14ac:dyDescent="0.2"/>
    <row r="194" hidden="1" x14ac:dyDescent="0.2"/>
    <row r="195" hidden="1" x14ac:dyDescent="0.2"/>
    <row r="196" hidden="1" x14ac:dyDescent="0.2"/>
    <row r="197" hidden="1" x14ac:dyDescent="0.2"/>
    <row r="198" hidden="1" x14ac:dyDescent="0.2"/>
    <row r="199" hidden="1" x14ac:dyDescent="0.2"/>
    <row r="200" hidden="1" x14ac:dyDescent="0.2"/>
    <row r="201" hidden="1" x14ac:dyDescent="0.2"/>
    <row r="202" hidden="1" x14ac:dyDescent="0.2"/>
    <row r="203" hidden="1" x14ac:dyDescent="0.2"/>
    <row r="204" hidden="1" x14ac:dyDescent="0.2"/>
    <row r="205" hidden="1" x14ac:dyDescent="0.2"/>
    <row r="206" hidden="1" x14ac:dyDescent="0.2"/>
    <row r="207" hidden="1" x14ac:dyDescent="0.2"/>
    <row r="208" hidden="1" x14ac:dyDescent="0.2"/>
    <row r="209" hidden="1" x14ac:dyDescent="0.2"/>
    <row r="210" hidden="1" x14ac:dyDescent="0.2"/>
    <row r="211" hidden="1" x14ac:dyDescent="0.2"/>
    <row r="212" hidden="1" x14ac:dyDescent="0.2"/>
    <row r="213" hidden="1" x14ac:dyDescent="0.2"/>
    <row r="214" hidden="1" x14ac:dyDescent="0.2"/>
    <row r="215" hidden="1" x14ac:dyDescent="0.2"/>
    <row r="216" hidden="1" x14ac:dyDescent="0.2"/>
    <row r="217" hidden="1" x14ac:dyDescent="0.2"/>
    <row r="218" hidden="1" x14ac:dyDescent="0.2"/>
    <row r="219" hidden="1" x14ac:dyDescent="0.2"/>
    <row r="220" hidden="1" x14ac:dyDescent="0.2"/>
    <row r="221" hidden="1" x14ac:dyDescent="0.2"/>
    <row r="222" hidden="1" x14ac:dyDescent="0.2"/>
    <row r="223" hidden="1" x14ac:dyDescent="0.2"/>
    <row r="224" hidden="1" x14ac:dyDescent="0.2"/>
    <row r="225" hidden="1" x14ac:dyDescent="0.2"/>
    <row r="226" hidden="1" x14ac:dyDescent="0.2"/>
    <row r="227" hidden="1" x14ac:dyDescent="0.2"/>
    <row r="228" hidden="1" x14ac:dyDescent="0.2"/>
    <row r="229" hidden="1" x14ac:dyDescent="0.2"/>
    <row r="230" hidden="1" x14ac:dyDescent="0.2"/>
    <row r="231" hidden="1" x14ac:dyDescent="0.2"/>
    <row r="232" hidden="1" x14ac:dyDescent="0.2"/>
    <row r="233" hidden="1" x14ac:dyDescent="0.2"/>
    <row r="234" hidden="1" x14ac:dyDescent="0.2"/>
    <row r="235" hidden="1" x14ac:dyDescent="0.2"/>
    <row r="236" hidden="1" x14ac:dyDescent="0.2"/>
    <row r="237" hidden="1" x14ac:dyDescent="0.2"/>
    <row r="238" hidden="1" x14ac:dyDescent="0.2"/>
    <row r="239" hidden="1" x14ac:dyDescent="0.2"/>
    <row r="240" hidden="1" x14ac:dyDescent="0.2"/>
    <row r="241" spans="9:12" hidden="1" x14ac:dyDescent="0.2"/>
    <row r="242" spans="9:12" hidden="1" x14ac:dyDescent="0.2"/>
    <row r="243" spans="9:12" hidden="1" x14ac:dyDescent="0.2"/>
    <row r="244" spans="9:12" hidden="1" x14ac:dyDescent="0.2"/>
    <row r="245" spans="9:12" hidden="1" x14ac:dyDescent="0.2"/>
    <row r="246" spans="9:12" hidden="1" x14ac:dyDescent="0.2"/>
    <row r="247" spans="9:12" hidden="1" x14ac:dyDescent="0.2"/>
    <row r="248" spans="9:12" hidden="1" x14ac:dyDescent="0.2"/>
    <row r="249" spans="9:12" hidden="1" x14ac:dyDescent="0.2"/>
    <row r="250" spans="9:12" hidden="1" x14ac:dyDescent="0.2"/>
    <row r="251" spans="9:12" hidden="1" x14ac:dyDescent="0.2"/>
    <row r="252" spans="9:12" hidden="1" x14ac:dyDescent="0.2"/>
    <row r="253" spans="9:12" hidden="1" x14ac:dyDescent="0.2"/>
    <row r="254" spans="9:12" hidden="1" x14ac:dyDescent="0.2"/>
    <row r="255" spans="9:12" hidden="1" x14ac:dyDescent="0.2"/>
    <row r="256" spans="9:12" hidden="1" x14ac:dyDescent="0.2">
      <c r="I256" s="489"/>
      <c r="J256" s="235"/>
      <c r="K256" s="247"/>
      <c r="L256" s="247"/>
    </row>
    <row r="257" spans="9:12" hidden="1" x14ac:dyDescent="0.2">
      <c r="I257" s="489"/>
      <c r="J257" s="235"/>
      <c r="K257" s="247"/>
      <c r="L257" s="247"/>
    </row>
    <row r="258" spans="9:12" hidden="1" x14ac:dyDescent="0.2">
      <c r="I258" s="489"/>
      <c r="J258" s="235"/>
      <c r="K258" s="247"/>
      <c r="L258" s="247"/>
    </row>
    <row r="259" spans="9:12" hidden="1" x14ac:dyDescent="0.2">
      <c r="I259" s="489"/>
      <c r="J259" s="235"/>
      <c r="K259" s="247"/>
      <c r="L259" s="247"/>
    </row>
    <row r="260" spans="9:12" hidden="1" x14ac:dyDescent="0.2">
      <c r="I260" s="489"/>
      <c r="J260" s="235"/>
      <c r="K260" s="247"/>
      <c r="L260" s="247"/>
    </row>
    <row r="261" spans="9:12" hidden="1" x14ac:dyDescent="0.2">
      <c r="I261" s="489"/>
      <c r="J261" s="235"/>
      <c r="K261" s="247"/>
      <c r="L261" s="247"/>
    </row>
    <row r="262" spans="9:12" hidden="1" x14ac:dyDescent="0.2">
      <c r="I262" s="489"/>
      <c r="J262" s="235"/>
      <c r="K262" s="247"/>
      <c r="L262" s="247"/>
    </row>
    <row r="263" spans="9:12" hidden="1" x14ac:dyDescent="0.2">
      <c r="I263" s="489"/>
      <c r="J263" s="235"/>
      <c r="K263" s="247"/>
      <c r="L263" s="247"/>
    </row>
    <row r="264" spans="9:12" hidden="1" x14ac:dyDescent="0.2">
      <c r="I264" s="489"/>
      <c r="J264" s="235"/>
      <c r="K264" s="247"/>
      <c r="L264" s="247"/>
    </row>
    <row r="265" spans="9:12" hidden="1" x14ac:dyDescent="0.2">
      <c r="I265" s="489"/>
      <c r="J265" s="235"/>
      <c r="K265" s="247"/>
      <c r="L265" s="247"/>
    </row>
    <row r="266" spans="9:12" hidden="1" x14ac:dyDescent="0.2">
      <c r="I266" s="489"/>
      <c r="J266" s="235"/>
      <c r="K266" s="247"/>
      <c r="L266" s="247"/>
    </row>
    <row r="267" spans="9:12" hidden="1" x14ac:dyDescent="0.2">
      <c r="I267" s="489"/>
      <c r="J267" s="235"/>
      <c r="K267" s="247"/>
      <c r="L267" s="247"/>
    </row>
    <row r="268" spans="9:12" hidden="1" x14ac:dyDescent="0.2">
      <c r="I268" s="489"/>
      <c r="J268" s="235"/>
      <c r="K268" s="247"/>
      <c r="L268" s="247"/>
    </row>
    <row r="269" spans="9:12" hidden="1" x14ac:dyDescent="0.2">
      <c r="I269" s="489"/>
      <c r="J269" s="235"/>
      <c r="K269" s="247"/>
      <c r="L269" s="247"/>
    </row>
    <row r="270" spans="9:12" hidden="1" x14ac:dyDescent="0.2">
      <c r="I270" s="489"/>
      <c r="J270" s="235"/>
      <c r="K270" s="247"/>
      <c r="L270" s="247"/>
    </row>
    <row r="271" spans="9:12" hidden="1" x14ac:dyDescent="0.2">
      <c r="I271" s="489"/>
      <c r="J271" s="235"/>
      <c r="K271" s="247"/>
      <c r="L271" s="247"/>
    </row>
    <row r="272" spans="9:12" hidden="1" x14ac:dyDescent="0.2">
      <c r="I272" s="489"/>
      <c r="J272" s="235"/>
      <c r="K272" s="247"/>
      <c r="L272" s="247"/>
    </row>
    <row r="273" spans="9:12" hidden="1" x14ac:dyDescent="0.2">
      <c r="I273" s="489"/>
      <c r="J273" s="235"/>
      <c r="K273" s="247"/>
      <c r="L273" s="247"/>
    </row>
    <row r="274" spans="9:12" hidden="1" x14ac:dyDescent="0.2">
      <c r="I274" s="489"/>
      <c r="J274" s="235"/>
      <c r="K274" s="247"/>
      <c r="L274" s="247"/>
    </row>
    <row r="275" spans="9:12" hidden="1" x14ac:dyDescent="0.2">
      <c r="I275" s="489"/>
      <c r="J275" s="235"/>
      <c r="K275" s="247"/>
      <c r="L275" s="247"/>
    </row>
    <row r="276" spans="9:12" hidden="1" x14ac:dyDescent="0.2">
      <c r="I276" s="489"/>
      <c r="J276" s="235"/>
      <c r="K276" s="247"/>
      <c r="L276" s="247"/>
    </row>
    <row r="277" spans="9:12" hidden="1" x14ac:dyDescent="0.2">
      <c r="I277" s="489"/>
      <c r="J277" s="235"/>
      <c r="K277" s="247"/>
      <c r="L277" s="247"/>
    </row>
    <row r="278" spans="9:12" hidden="1" x14ac:dyDescent="0.2">
      <c r="I278" s="489"/>
      <c r="J278" s="235"/>
      <c r="K278" s="247"/>
      <c r="L278" s="247"/>
    </row>
    <row r="279" spans="9:12" hidden="1" x14ac:dyDescent="0.2">
      <c r="I279" s="489"/>
      <c r="J279" s="235"/>
      <c r="K279" s="247"/>
      <c r="L279" s="247"/>
    </row>
    <row r="280" spans="9:12" hidden="1" x14ac:dyDescent="0.2">
      <c r="I280" s="489"/>
      <c r="J280" s="235"/>
      <c r="K280" s="247"/>
      <c r="L280" s="247"/>
    </row>
    <row r="281" spans="9:12" hidden="1" x14ac:dyDescent="0.2">
      <c r="I281" s="489"/>
      <c r="J281" s="235"/>
      <c r="K281" s="247"/>
      <c r="L281" s="247"/>
    </row>
    <row r="282" spans="9:12" hidden="1" x14ac:dyDescent="0.2">
      <c r="I282" s="489"/>
      <c r="J282" s="235"/>
      <c r="K282" s="247"/>
      <c r="L282" s="247"/>
    </row>
    <row r="283" spans="9:12" hidden="1" x14ac:dyDescent="0.2">
      <c r="I283" s="489"/>
      <c r="J283" s="235"/>
      <c r="K283" s="247"/>
      <c r="L283" s="247"/>
    </row>
    <row r="284" spans="9:12" hidden="1" x14ac:dyDescent="0.2">
      <c r="I284" s="489"/>
      <c r="J284" s="235"/>
      <c r="K284" s="247"/>
      <c r="L284" s="247"/>
    </row>
    <row r="285" spans="9:12" hidden="1" x14ac:dyDescent="0.2">
      <c r="I285" s="489"/>
      <c r="J285" s="235"/>
      <c r="K285" s="247"/>
      <c r="L285" s="247"/>
    </row>
    <row r="286" spans="9:12" hidden="1" x14ac:dyDescent="0.2">
      <c r="I286" s="489"/>
      <c r="J286" s="235"/>
      <c r="K286" s="247"/>
      <c r="L286" s="247"/>
    </row>
    <row r="287" spans="9:12" hidden="1" x14ac:dyDescent="0.2">
      <c r="I287" s="489"/>
      <c r="J287" s="235"/>
      <c r="K287" s="247"/>
      <c r="L287" s="247"/>
    </row>
    <row r="288" spans="9:12" hidden="1" x14ac:dyDescent="0.2">
      <c r="I288" s="489"/>
      <c r="J288" s="235"/>
      <c r="K288" s="247"/>
      <c r="L288" s="247"/>
    </row>
    <row r="289" spans="9:12" hidden="1" x14ac:dyDescent="0.2">
      <c r="I289" s="489"/>
      <c r="J289" s="235"/>
      <c r="K289" s="247"/>
      <c r="L289" s="247"/>
    </row>
    <row r="290" spans="9:12" hidden="1" x14ac:dyDescent="0.2">
      <c r="I290" s="489"/>
      <c r="J290" s="235"/>
      <c r="K290" s="247"/>
      <c r="L290" s="247"/>
    </row>
    <row r="291" spans="9:12" hidden="1" x14ac:dyDescent="0.2">
      <c r="I291" s="489"/>
      <c r="J291" s="235"/>
      <c r="K291" s="247"/>
      <c r="L291" s="247"/>
    </row>
  </sheetData>
  <sheetProtection sheet="1" objects="1" scenarios="1" selectLockedCells="1"/>
  <mergeCells count="1">
    <mergeCell ref="M3:N3"/>
  </mergeCells>
  <phoneticPr fontId="3" type="noConversion"/>
  <pageMargins left="0.7" right="0.7" top="0.78740157499999996" bottom="0.78740157499999996" header="0.3" footer="0.3"/>
  <pageSetup paperSize="9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Tabelle6"/>
  <dimension ref="A1:F13"/>
  <sheetViews>
    <sheetView showGridLines="0" showRowColHeaders="0" workbookViewId="0">
      <selection activeCell="G1" sqref="G1:XFD1048576"/>
    </sheetView>
  </sheetViews>
  <sheetFormatPr baseColWidth="10" defaultColWidth="0" defaultRowHeight="12.75" zeroHeight="1" x14ac:dyDescent="0.2"/>
  <cols>
    <col min="1" max="6" width="11.5703125" customWidth="1"/>
    <col min="7" max="16384" width="11.5703125" hidden="1"/>
  </cols>
  <sheetData>
    <row r="1" spans="2:5" x14ac:dyDescent="0.2"/>
    <row r="2" spans="2:5" x14ac:dyDescent="0.2"/>
    <row r="3" spans="2:5" ht="13.5" thickBot="1" x14ac:dyDescent="0.25">
      <c r="B3" s="99" t="s">
        <v>98</v>
      </c>
      <c r="C3" s="2"/>
      <c r="D3" s="2"/>
      <c r="E3" s="2"/>
    </row>
    <row r="4" spans="2:5" ht="13.5" thickBot="1" x14ac:dyDescent="0.25">
      <c r="B4" s="100">
        <v>1000000</v>
      </c>
      <c r="C4" s="101" t="s">
        <v>56</v>
      </c>
      <c r="D4" s="2"/>
      <c r="E4" s="2"/>
    </row>
    <row r="5" spans="2:5" ht="13.5" thickBot="1" x14ac:dyDescent="0.25">
      <c r="B5" s="102">
        <v>1000</v>
      </c>
      <c r="C5" s="103" t="s">
        <v>55</v>
      </c>
      <c r="D5" s="293">
        <v>500</v>
      </c>
      <c r="E5" s="104" t="s">
        <v>99</v>
      </c>
    </row>
    <row r="6" spans="2:5" x14ac:dyDescent="0.2">
      <c r="B6" s="102">
        <v>10</v>
      </c>
      <c r="C6" s="103" t="s">
        <v>53</v>
      </c>
      <c r="D6" s="2"/>
      <c r="E6" s="2"/>
    </row>
    <row r="7" spans="2:5" x14ac:dyDescent="0.2">
      <c r="B7" s="294">
        <v>0.1</v>
      </c>
      <c r="C7" s="295" t="s">
        <v>162</v>
      </c>
    </row>
    <row r="8" spans="2:5" x14ac:dyDescent="0.2">
      <c r="B8" s="294">
        <v>0.01</v>
      </c>
      <c r="C8" s="295" t="s">
        <v>160</v>
      </c>
    </row>
    <row r="9" spans="2:5" ht="13.5" thickBot="1" x14ac:dyDescent="0.25">
      <c r="B9" s="294">
        <v>1E-3</v>
      </c>
      <c r="C9" s="295" t="s">
        <v>161</v>
      </c>
    </row>
    <row r="10" spans="2:5" x14ac:dyDescent="0.2">
      <c r="B10" s="296"/>
      <c r="C10" s="297"/>
    </row>
    <row r="11" spans="2:5" ht="13.5" thickBot="1" x14ac:dyDescent="0.25"/>
    <row r="12" spans="2:5" ht="13.5" thickBot="1" x14ac:dyDescent="0.25">
      <c r="B12" s="568" t="str">
        <f>Language!$E$57</f>
        <v>Length of abbreviations:</v>
      </c>
      <c r="C12" s="568"/>
      <c r="D12" s="105">
        <v>7</v>
      </c>
      <c r="E12" s="169"/>
    </row>
    <row r="13" spans="2:5" x14ac:dyDescent="0.2"/>
  </sheetData>
  <sheetProtection sheet="1" objects="1" scenarios="1" selectLockedCells="1"/>
  <mergeCells count="1">
    <mergeCell ref="B12:C12"/>
  </mergeCells>
  <dataValidations count="1">
    <dataValidation type="whole" allowBlank="1" showErrorMessage="1" errorTitle="Unzulässige Anzahl" error="Es können Zahlen von 1 bis 20 eingetragen werden!" sqref="D12" xr:uid="{00000000-0002-0000-0500-000000000000}">
      <formula1>1</formula1>
      <formula2>20</formula2>
    </dataValidation>
  </dataValidations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Tabelle7"/>
  <dimension ref="A1:T44"/>
  <sheetViews>
    <sheetView showGridLines="0" showRowColHeaders="0" workbookViewId="0">
      <selection activeCell="D6" sqref="D6"/>
    </sheetView>
  </sheetViews>
  <sheetFormatPr baseColWidth="10" defaultColWidth="0" defaultRowHeight="12.75" zeroHeight="1" x14ac:dyDescent="0.2"/>
  <cols>
    <col min="1" max="2" width="11.42578125" style="22" customWidth="1"/>
    <col min="3" max="3" width="34.7109375" style="22" customWidth="1"/>
    <col min="4" max="5" width="11.42578125" style="22" customWidth="1"/>
    <col min="6" max="20" width="0" style="22" hidden="1" customWidth="1"/>
    <col min="21" max="16384" width="11.42578125" style="22" hidden="1"/>
  </cols>
  <sheetData>
    <row r="1" spans="2:4" x14ac:dyDescent="0.2"/>
    <row r="2" spans="2:4" ht="33.75" x14ac:dyDescent="0.2">
      <c r="B2" s="569" t="str">
        <f>Language!$E$6</f>
        <v>Tie break</v>
      </c>
      <c r="C2" s="569"/>
      <c r="D2" s="569"/>
    </row>
    <row r="3" spans="2:4" ht="15.75" x14ac:dyDescent="0.25">
      <c r="C3" s="392" t="str">
        <f>Language!$E$40</f>
        <v>in the league phase</v>
      </c>
    </row>
    <row r="4" spans="2:4" ht="13.5" thickBot="1" x14ac:dyDescent="0.25"/>
    <row r="5" spans="2:4" ht="27.95" customHeight="1" thickTop="1" x14ac:dyDescent="0.2">
      <c r="B5" s="27" t="str">
        <f>Language!$E$9</f>
        <v>No.</v>
      </c>
      <c r="C5" s="33" t="str">
        <f>Language!$E$10</f>
        <v>Participant or Team</v>
      </c>
      <c r="D5" s="28" t="str">
        <f>Language!$E$63</f>
        <v>Bonus</v>
      </c>
    </row>
    <row r="6" spans="2:4" ht="24" customHeight="1" x14ac:dyDescent="0.2">
      <c r="B6" s="29" t="s">
        <v>5</v>
      </c>
      <c r="C6" s="34" t="str">
        <f>IF(Planning!$D7="","",Planning!$D7)</f>
        <v>Dynamo Kiew</v>
      </c>
      <c r="D6" s="30"/>
    </row>
    <row r="7" spans="2:4" ht="24" customHeight="1" x14ac:dyDescent="0.2">
      <c r="B7" s="26" t="s">
        <v>6</v>
      </c>
      <c r="C7" s="34" t="str">
        <f>IF(Planning!$D8="","",Planning!$D8)</f>
        <v>Crystal Palace</v>
      </c>
      <c r="D7" s="31"/>
    </row>
    <row r="8" spans="2:4" ht="24" customHeight="1" x14ac:dyDescent="0.2">
      <c r="B8" s="26" t="s">
        <v>7</v>
      </c>
      <c r="C8" s="34" t="str">
        <f>IF(Planning!$D9="","",Planning!$D9)</f>
        <v>Lech Posen</v>
      </c>
      <c r="D8" s="31"/>
    </row>
    <row r="9" spans="2:4" ht="24" customHeight="1" x14ac:dyDescent="0.2">
      <c r="B9" s="26" t="s">
        <v>8</v>
      </c>
      <c r="C9" s="34" t="str">
        <f>IF(Planning!$D10="","",Planning!$D10)</f>
        <v>Rapid Wien</v>
      </c>
      <c r="D9" s="31"/>
    </row>
    <row r="10" spans="2:4" ht="24" customHeight="1" x14ac:dyDescent="0.2">
      <c r="B10" s="26" t="s">
        <v>9</v>
      </c>
      <c r="C10" s="34" t="str">
        <f>IF(Planning!$D11="","",Planning!$D11)</f>
        <v>Rayo Vallecano</v>
      </c>
      <c r="D10" s="31"/>
    </row>
    <row r="11" spans="2:4" ht="24" customHeight="1" x14ac:dyDescent="0.2">
      <c r="B11" s="26" t="s">
        <v>10</v>
      </c>
      <c r="C11" s="34" t="str">
        <f>IF(Planning!$D12="","",Planning!$D12)</f>
        <v>Shkendija Tetovo</v>
      </c>
      <c r="D11" s="31"/>
    </row>
    <row r="12" spans="2:4" ht="24" customHeight="1" x14ac:dyDescent="0.2">
      <c r="B12" s="26" t="s">
        <v>13</v>
      </c>
      <c r="C12" s="34" t="str">
        <f>IF(Planning!$D13="","",Planning!$D13)</f>
        <v>Zrinjski Mostar</v>
      </c>
      <c r="D12" s="31"/>
    </row>
    <row r="13" spans="2:4" ht="24" customHeight="1" x14ac:dyDescent="0.2">
      <c r="B13" s="26" t="s">
        <v>14</v>
      </c>
      <c r="C13" s="34" t="str">
        <f>IF(Planning!$D14="","",Planning!$D14)</f>
        <v>Lincoln Red Imps Fc</v>
      </c>
      <c r="D13" s="31"/>
    </row>
    <row r="14" spans="2:4" ht="24" customHeight="1" x14ac:dyDescent="0.2">
      <c r="B14" s="26" t="s">
        <v>15</v>
      </c>
      <c r="C14" s="34" t="str">
        <f>IF(Planning!$D15="","",Planning!$D15)</f>
        <v>Jagiellonia Bialystok</v>
      </c>
      <c r="D14" s="31"/>
    </row>
    <row r="15" spans="2:4" ht="24" customHeight="1" x14ac:dyDescent="0.2">
      <c r="B15" s="26" t="s">
        <v>21</v>
      </c>
      <c r="C15" s="34" t="str">
        <f>IF(Planning!$D16="","",Planning!$D16)</f>
        <v>Hamrun Spartans</v>
      </c>
      <c r="D15" s="31"/>
    </row>
    <row r="16" spans="2:4" ht="24" customHeight="1" x14ac:dyDescent="0.2">
      <c r="B16" s="26" t="s">
        <v>22</v>
      </c>
      <c r="C16" s="34" t="str">
        <f>IF(Planning!$D17="","",Planning!$D17)</f>
        <v>Omonia Nikosia</v>
      </c>
      <c r="D16" s="31"/>
    </row>
    <row r="17" spans="2:4" ht="24" customHeight="1" x14ac:dyDescent="0.2">
      <c r="B17" s="26" t="s">
        <v>23</v>
      </c>
      <c r="C17" s="34" t="str">
        <f>IF(Planning!$D18="","",Planning!$D18)</f>
        <v>1. FSV Mainz 05</v>
      </c>
      <c r="D17" s="31"/>
    </row>
    <row r="18" spans="2:4" ht="24" customHeight="1" x14ac:dyDescent="0.2">
      <c r="B18" s="26" t="s">
        <v>24</v>
      </c>
      <c r="C18" s="34" t="str">
        <f>IF(Planning!$D19="","",Planning!$D19)</f>
        <v>Kuopion PS</v>
      </c>
      <c r="D18" s="31"/>
    </row>
    <row r="19" spans="2:4" ht="24" customHeight="1" x14ac:dyDescent="0.2">
      <c r="B19" s="26" t="s">
        <v>25</v>
      </c>
      <c r="C19" s="34" t="str">
        <f>IF(Planning!$D20="","",Planning!$D20)</f>
        <v>KF Drita Gjilan</v>
      </c>
      <c r="D19" s="31"/>
    </row>
    <row r="20" spans="2:4" ht="24" customHeight="1" x14ac:dyDescent="0.2">
      <c r="B20" s="26" t="s">
        <v>26</v>
      </c>
      <c r="C20" s="34" t="str">
        <f>IF(Planning!$D21="","",Planning!$D21)</f>
        <v>FC Noah</v>
      </c>
      <c r="D20" s="31"/>
    </row>
    <row r="21" spans="2:4" ht="24" customHeight="1" x14ac:dyDescent="0.2">
      <c r="B21" s="26" t="s">
        <v>27</v>
      </c>
      <c r="C21" s="34" t="str">
        <f>IF(Planning!$D22="","",Planning!$D22)</f>
        <v>HNK Rijeka</v>
      </c>
      <c r="D21" s="31"/>
    </row>
    <row r="22" spans="2:4" ht="24" customHeight="1" x14ac:dyDescent="0.2">
      <c r="B22" s="26" t="s">
        <v>28</v>
      </c>
      <c r="C22" s="34" t="str">
        <f>IF(Planning!$D23="","",Planning!$D23)</f>
        <v>FC Lausanne-Sport</v>
      </c>
      <c r="D22" s="31"/>
    </row>
    <row r="23" spans="2:4" ht="24" customHeight="1" x14ac:dyDescent="0.2">
      <c r="B23" s="26" t="s">
        <v>29</v>
      </c>
      <c r="C23" s="170" t="str">
        <f>IF(Planning!$D24="","",Planning!$D24)</f>
        <v>UMF Breidablik</v>
      </c>
      <c r="D23" s="31"/>
    </row>
    <row r="24" spans="2:4" ht="24" customHeight="1" x14ac:dyDescent="0.2">
      <c r="B24" s="26" t="s">
        <v>30</v>
      </c>
      <c r="C24" s="34" t="str">
        <f>IF(Planning!$D25="","",Planning!$D25)</f>
        <v>Slovan Bratislava</v>
      </c>
      <c r="D24" s="31"/>
    </row>
    <row r="25" spans="2:4" ht="24" customHeight="1" x14ac:dyDescent="0.2">
      <c r="B25" s="26" t="s">
        <v>31</v>
      </c>
      <c r="C25" s="34" t="str">
        <f>IF(Planning!$D26="","",Planning!$D26)</f>
        <v>Racing Straßburg</v>
      </c>
      <c r="D25" s="233"/>
    </row>
    <row r="26" spans="2:4" ht="24" customHeight="1" x14ac:dyDescent="0.2">
      <c r="B26" s="26" t="s">
        <v>32</v>
      </c>
      <c r="C26" s="34" t="str">
        <f>IF(Planning!$D27="","",Planning!$D27)</f>
        <v>AC Florenz</v>
      </c>
      <c r="D26" s="233"/>
    </row>
    <row r="27" spans="2:4" ht="24" customHeight="1" x14ac:dyDescent="0.2">
      <c r="B27" s="26" t="s">
        <v>33</v>
      </c>
      <c r="C27" s="34" t="str">
        <f>IF(Planning!$D28="","",Planning!$D28)</f>
        <v>Sigma Olmütz</v>
      </c>
      <c r="D27" s="233"/>
    </row>
    <row r="28" spans="2:4" ht="24" customHeight="1" x14ac:dyDescent="0.2">
      <c r="B28" s="26" t="s">
        <v>34</v>
      </c>
      <c r="C28" s="34" t="str">
        <f>IF(Planning!$D29="","",Planning!$D29)</f>
        <v>Legia Warschau</v>
      </c>
      <c r="D28" s="233"/>
    </row>
    <row r="29" spans="2:4" ht="24" customHeight="1" x14ac:dyDescent="0.2">
      <c r="B29" s="26" t="s">
        <v>35</v>
      </c>
      <c r="C29" s="34" t="str">
        <f>IF(Planning!$D30="","",Planning!$D30)</f>
        <v>Samsunspor</v>
      </c>
      <c r="D29" s="233"/>
    </row>
    <row r="30" spans="2:4" ht="24" customHeight="1" x14ac:dyDescent="0.2">
      <c r="B30" s="26" t="s">
        <v>36</v>
      </c>
      <c r="C30" s="34" t="str">
        <f>IF(Planning!$D31="","",Planning!$D31)</f>
        <v>Sparta Prag</v>
      </c>
      <c r="D30" s="233"/>
    </row>
    <row r="31" spans="2:4" ht="24" customHeight="1" x14ac:dyDescent="0.2">
      <c r="B31" s="26" t="s">
        <v>37</v>
      </c>
      <c r="C31" s="34" t="str">
        <f>IF(Planning!$D32="","",Planning!$D32)</f>
        <v>Shamrock Rovers</v>
      </c>
      <c r="D31" s="233"/>
    </row>
    <row r="32" spans="2:4" ht="24" customHeight="1" x14ac:dyDescent="0.2">
      <c r="B32" s="26" t="s">
        <v>38</v>
      </c>
      <c r="C32" s="34" t="str">
        <f>IF(Planning!$D33="","",Planning!$D33)</f>
        <v>NK Celje</v>
      </c>
      <c r="D32" s="233"/>
    </row>
    <row r="33" spans="2:4" ht="24" customHeight="1" x14ac:dyDescent="0.2">
      <c r="B33" s="26" t="s">
        <v>39</v>
      </c>
      <c r="C33" s="34" t="str">
        <f>IF(Planning!$D34="","",Planning!$D34)</f>
        <v>AEK Athen</v>
      </c>
      <c r="D33" s="233"/>
    </row>
    <row r="34" spans="2:4" ht="24" customHeight="1" x14ac:dyDescent="0.2">
      <c r="B34" s="26" t="s">
        <v>40</v>
      </c>
      <c r="C34" s="34" t="str">
        <f>IF(Planning!$D35="","",Planning!$D35)</f>
        <v>FC Aberdeen</v>
      </c>
      <c r="D34" s="233"/>
    </row>
    <row r="35" spans="2:4" ht="24" customHeight="1" x14ac:dyDescent="0.2">
      <c r="B35" s="26" t="s">
        <v>41</v>
      </c>
      <c r="C35" s="34" t="str">
        <f>IF(Planning!$D36="","",Planning!$D36)</f>
        <v>Schachtar Donezk</v>
      </c>
      <c r="D35" s="233"/>
    </row>
    <row r="36" spans="2:4" ht="24" customHeight="1" x14ac:dyDescent="0.2">
      <c r="B36" s="26" t="s">
        <v>42</v>
      </c>
      <c r="C36" s="34" t="str">
        <f>IF(Planning!$D37="","",Planning!$D37)</f>
        <v>Rakow Tschenstochau</v>
      </c>
      <c r="D36" s="233"/>
    </row>
    <row r="37" spans="2:4" ht="24" customHeight="1" x14ac:dyDescent="0.2">
      <c r="B37" s="26" t="s">
        <v>43</v>
      </c>
      <c r="C37" s="34" t="str">
        <f>IF(Planning!$D38="","",Planning!$D38)</f>
        <v>Universitatea Craiova</v>
      </c>
      <c r="D37" s="233"/>
    </row>
    <row r="38" spans="2:4" ht="24" customHeight="1" x14ac:dyDescent="0.2">
      <c r="B38" s="26" t="s">
        <v>153</v>
      </c>
      <c r="C38" s="34" t="str">
        <f>IF(Planning!$D39="","",Planning!$D39)</f>
        <v>AEK Larnaka</v>
      </c>
      <c r="D38" s="233"/>
    </row>
    <row r="39" spans="2:4" ht="24" customHeight="1" x14ac:dyDescent="0.2">
      <c r="B39" s="26" t="s">
        <v>154</v>
      </c>
      <c r="C39" s="34" t="str">
        <f>IF(Planning!$D40="","",Planning!$D40)</f>
        <v>AZ Alkmaar</v>
      </c>
      <c r="D39" s="233"/>
    </row>
    <row r="40" spans="2:4" ht="24" customHeight="1" x14ac:dyDescent="0.2">
      <c r="B40" s="26" t="s">
        <v>155</v>
      </c>
      <c r="C40" s="34" t="str">
        <f>IF(Planning!$D41="","",Planning!$D41)</f>
        <v>FC Shelbourne</v>
      </c>
      <c r="D40" s="233"/>
    </row>
    <row r="41" spans="2:4" ht="24" customHeight="1" thickBot="1" x14ac:dyDescent="0.25">
      <c r="B41" s="171" t="s">
        <v>156</v>
      </c>
      <c r="C41" s="172" t="str">
        <f>IF(Planning!$D42="","",Planning!$D42)</f>
        <v>BK Häcken</v>
      </c>
      <c r="D41" s="173"/>
    </row>
    <row r="42" spans="2:4" ht="13.5" thickTop="1" x14ac:dyDescent="0.2"/>
    <row r="43" spans="2:4" x14ac:dyDescent="0.2"/>
    <row r="44" spans="2:4" x14ac:dyDescent="0.2"/>
  </sheetData>
  <sheetProtection sheet="1" selectLockedCells="1"/>
  <mergeCells count="1">
    <mergeCell ref="B2:D2"/>
  </mergeCells>
  <phoneticPr fontId="3" type="noConversion"/>
  <dataValidations count="1">
    <dataValidation type="whole" allowBlank="1" showInputMessage="1" showErrorMessage="1" errorTitle="Unzulässiger Wert für den Bonus" error="Es können Zahlen von 0 bis 9 eingetragen werden!" sqref="D6:D41" xr:uid="{00000000-0002-0000-0600-000000000000}">
      <formula1>0</formula1>
      <formula2>9</formula2>
    </dataValidation>
  </dataValidations>
  <pageMargins left="0.7" right="0.7" top="0.78740157499999996" bottom="0.78740157499999996" header="0.3" footer="0.3"/>
  <pageSetup paperSize="9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Tabelle8"/>
  <dimension ref="A1:M95"/>
  <sheetViews>
    <sheetView showGridLines="0" showRowColHeaders="0" workbookViewId="0">
      <selection activeCell="J1" sqref="J1"/>
    </sheetView>
  </sheetViews>
  <sheetFormatPr baseColWidth="10" defaultColWidth="0" defaultRowHeight="12.75" zeroHeight="1" x14ac:dyDescent="0.2"/>
  <cols>
    <col min="1" max="1" width="11.42578125" customWidth="1"/>
    <col min="2" max="2" width="15.140625" hidden="1" customWidth="1"/>
    <col min="3" max="3" width="11.42578125" hidden="1" customWidth="1"/>
    <col min="4" max="4" width="7" style="37" hidden="1" customWidth="1"/>
    <col min="5" max="5" width="44.7109375" hidden="1" customWidth="1"/>
    <col min="6" max="8" width="44.7109375" customWidth="1"/>
    <col min="9" max="9" width="3.42578125" customWidth="1"/>
    <col min="10" max="10" width="17.7109375" customWidth="1"/>
    <col min="11" max="11" width="9.140625" customWidth="1"/>
    <col min="12" max="12" width="19.7109375" customWidth="1"/>
    <col min="13" max="16384" width="11.42578125" hidden="1"/>
  </cols>
  <sheetData>
    <row r="1" spans="2:12" ht="34.5" thickBot="1" x14ac:dyDescent="0.55000000000000004">
      <c r="B1" s="57"/>
      <c r="F1" s="570" t="str">
        <f>$E$49</f>
        <v>Choose language</v>
      </c>
      <c r="G1" s="570"/>
      <c r="H1" s="570"/>
      <c r="I1" s="76"/>
      <c r="J1" s="78" t="s">
        <v>60</v>
      </c>
      <c r="K1" s="94" t="str">
        <f>_xlfn.UNICHAR(8592)</f>
        <v>←</v>
      </c>
      <c r="L1" s="93" t="str">
        <f>$E$86</f>
        <v>Click here and choose language</v>
      </c>
    </row>
    <row r="2" spans="2:12" ht="11.25" customHeight="1" thickBot="1" x14ac:dyDescent="0.25">
      <c r="F2" s="573"/>
      <c r="G2" s="573"/>
      <c r="I2" s="38"/>
      <c r="J2" s="39"/>
    </row>
    <row r="3" spans="2:12" ht="13.5" thickTop="1" x14ac:dyDescent="0.2">
      <c r="B3" s="40" t="s">
        <v>60</v>
      </c>
      <c r="C3" s="41">
        <f>IF(AND($J$1&lt;&gt;B4,$J$1&lt;&gt;B5),1,0)</f>
        <v>1</v>
      </c>
      <c r="D3" s="574"/>
      <c r="E3" s="576"/>
      <c r="F3" s="577" t="s">
        <v>60</v>
      </c>
      <c r="G3" s="579" t="s">
        <v>84</v>
      </c>
      <c r="H3" s="571" t="s">
        <v>59</v>
      </c>
      <c r="I3" s="42"/>
    </row>
    <row r="4" spans="2:12" ht="13.5" thickBot="1" x14ac:dyDescent="0.25">
      <c r="B4" s="40" t="s">
        <v>84</v>
      </c>
      <c r="C4" s="41">
        <f>IF($J$1=B4,1,0)</f>
        <v>0</v>
      </c>
      <c r="D4" s="575"/>
      <c r="E4" s="576"/>
      <c r="F4" s="578"/>
      <c r="G4" s="580"/>
      <c r="H4" s="572"/>
      <c r="I4" s="43"/>
      <c r="J4" s="44"/>
    </row>
    <row r="5" spans="2:12" ht="29.25" thickTop="1" x14ac:dyDescent="0.45">
      <c r="B5" s="40" t="s">
        <v>59</v>
      </c>
      <c r="C5" s="41">
        <f>IF($J$1=B5,1,0)</f>
        <v>0</v>
      </c>
      <c r="E5" s="40"/>
      <c r="F5" s="48" t="str">
        <f>$E$50</f>
        <v>Captions</v>
      </c>
      <c r="G5" s="49"/>
      <c r="H5" s="50"/>
      <c r="I5" s="43"/>
      <c r="J5" s="44"/>
    </row>
    <row r="6" spans="2:12" x14ac:dyDescent="0.2">
      <c r="E6" s="40" t="str">
        <f>IF($C$3,F6,IF($C$4,G6,IF($H6&lt;&gt;"",$H6,$F6)))</f>
        <v>Tie break</v>
      </c>
      <c r="F6" s="47" t="s">
        <v>125</v>
      </c>
      <c r="G6" s="45" t="s">
        <v>126</v>
      </c>
      <c r="H6" s="72"/>
    </row>
    <row r="7" spans="2:12" x14ac:dyDescent="0.2">
      <c r="E7" s="40" t="str">
        <f t="shared" ref="E7:E90" si="0">IF($C$3,F7,IF($C$4,G7,IF($H7&lt;&gt;"",$H7,$F7)))</f>
        <v>Settings</v>
      </c>
      <c r="F7" s="47" t="s">
        <v>131</v>
      </c>
      <c r="G7" s="45" t="s">
        <v>132</v>
      </c>
      <c r="H7" s="46"/>
    </row>
    <row r="8" spans="2:12" x14ac:dyDescent="0.2">
      <c r="E8" s="40" t="str">
        <f t="shared" si="0"/>
        <v>Your date</v>
      </c>
      <c r="F8" s="70" t="s">
        <v>81</v>
      </c>
      <c r="G8" s="69" t="s">
        <v>80</v>
      </c>
      <c r="H8" s="46"/>
    </row>
    <row r="9" spans="2:12" ht="15" customHeight="1" x14ac:dyDescent="0.45">
      <c r="E9" s="40" t="str">
        <f t="shared" si="0"/>
        <v>No.</v>
      </c>
      <c r="F9" s="67" t="s">
        <v>64</v>
      </c>
      <c r="G9" s="66" t="s">
        <v>0</v>
      </c>
      <c r="H9" s="46"/>
      <c r="I9" s="54"/>
    </row>
    <row r="10" spans="2:12" ht="15" customHeight="1" x14ac:dyDescent="0.45">
      <c r="E10" s="40" t="str">
        <f t="shared" si="0"/>
        <v>Participant or Team</v>
      </c>
      <c r="F10" s="67" t="s">
        <v>111</v>
      </c>
      <c r="G10" s="66" t="s">
        <v>18</v>
      </c>
      <c r="H10" s="46"/>
      <c r="I10" s="54"/>
    </row>
    <row r="11" spans="2:12" ht="15" customHeight="1" x14ac:dyDescent="0.45">
      <c r="E11" s="40" t="str">
        <f t="shared" si="0"/>
        <v>Results</v>
      </c>
      <c r="F11" s="67" t="s">
        <v>65</v>
      </c>
      <c r="G11" s="66" t="s">
        <v>19</v>
      </c>
      <c r="H11" s="46"/>
      <c r="I11" s="54"/>
    </row>
    <row r="12" spans="2:12" ht="15" customHeight="1" x14ac:dyDescent="0.45">
      <c r="E12" s="40" t="str">
        <f t="shared" si="0"/>
        <v>Table</v>
      </c>
      <c r="F12" s="67" t="s">
        <v>110</v>
      </c>
      <c r="G12" s="66" t="s">
        <v>11</v>
      </c>
      <c r="H12" s="46"/>
      <c r="I12" s="54"/>
    </row>
    <row r="13" spans="2:12" ht="15" customHeight="1" x14ac:dyDescent="0.45">
      <c r="E13" s="40" t="str">
        <f t="shared" si="0"/>
        <v>Matchups</v>
      </c>
      <c r="F13" s="67" t="s">
        <v>129</v>
      </c>
      <c r="G13" s="66" t="s">
        <v>130</v>
      </c>
      <c r="H13" s="46"/>
      <c r="I13" s="54"/>
    </row>
    <row r="14" spans="2:12" ht="15" customHeight="1" x14ac:dyDescent="0.45">
      <c r="E14" s="40" t="str">
        <f t="shared" si="0"/>
        <v>Matchup</v>
      </c>
      <c r="F14" s="67" t="s">
        <v>146</v>
      </c>
      <c r="G14" s="66" t="s">
        <v>1</v>
      </c>
      <c r="H14" s="46"/>
      <c r="I14" s="54"/>
    </row>
    <row r="15" spans="2:12" ht="15" customHeight="1" x14ac:dyDescent="0.45">
      <c r="E15" s="40" t="str">
        <f t="shared" si="0"/>
        <v>Result</v>
      </c>
      <c r="F15" s="67" t="s">
        <v>66</v>
      </c>
      <c r="G15" s="66" t="s">
        <v>2</v>
      </c>
      <c r="H15" s="46"/>
      <c r="I15" s="54"/>
    </row>
    <row r="16" spans="2:12" ht="15" customHeight="1" x14ac:dyDescent="0.45">
      <c r="E16" s="40" t="str">
        <f t="shared" si="0"/>
        <v>Matchweeks</v>
      </c>
      <c r="F16" s="67" t="s">
        <v>143</v>
      </c>
      <c r="G16" s="66" t="s">
        <v>135</v>
      </c>
      <c r="H16" s="46"/>
      <c r="I16" s="54"/>
    </row>
    <row r="17" spans="5:13" ht="15" customHeight="1" x14ac:dyDescent="0.45">
      <c r="E17" s="40" t="str">
        <f t="shared" si="0"/>
        <v>Matchweek</v>
      </c>
      <c r="F17" s="67" t="s">
        <v>124</v>
      </c>
      <c r="G17" s="66" t="s">
        <v>121</v>
      </c>
      <c r="H17" s="46"/>
      <c r="I17" s="54"/>
    </row>
    <row r="18" spans="5:13" ht="15" customHeight="1" x14ac:dyDescent="0.45">
      <c r="E18" s="40" t="str">
        <f t="shared" si="0"/>
        <v>Away games</v>
      </c>
      <c r="F18" s="67" t="s">
        <v>163</v>
      </c>
      <c r="G18" s="66" t="s">
        <v>157</v>
      </c>
      <c r="H18" s="46"/>
      <c r="I18" s="54"/>
    </row>
    <row r="19" spans="5:13" ht="15" customHeight="1" x14ac:dyDescent="0.45">
      <c r="E19" s="40" t="str">
        <f t="shared" si="0"/>
        <v>Second legs</v>
      </c>
      <c r="F19" s="67" t="s">
        <v>91</v>
      </c>
      <c r="G19" s="66" t="s">
        <v>90</v>
      </c>
      <c r="H19" s="46"/>
      <c r="I19" s="54"/>
    </row>
    <row r="20" spans="5:13" ht="15" x14ac:dyDescent="0.25">
      <c r="E20" s="40" t="str">
        <f t="shared" si="0"/>
        <v>Name</v>
      </c>
      <c r="F20" s="70" t="s">
        <v>136</v>
      </c>
      <c r="G20" s="69" t="s">
        <v>136</v>
      </c>
      <c r="H20" s="46"/>
      <c r="I20" s="55"/>
      <c r="J20" s="55"/>
      <c r="K20" s="55"/>
      <c r="L20" s="55"/>
      <c r="M20" s="55"/>
    </row>
    <row r="21" spans="5:13" ht="15" x14ac:dyDescent="0.25">
      <c r="E21" s="40" t="str">
        <f t="shared" si="0"/>
        <v>Pl</v>
      </c>
      <c r="F21" s="70" t="s">
        <v>114</v>
      </c>
      <c r="G21" s="69" t="s">
        <v>117</v>
      </c>
      <c r="H21" s="46"/>
      <c r="I21" s="55"/>
      <c r="J21" s="55"/>
      <c r="K21" s="55"/>
      <c r="L21" s="55"/>
      <c r="M21" s="55"/>
    </row>
    <row r="22" spans="5:13" ht="15" x14ac:dyDescent="0.25">
      <c r="E22" s="40" t="str">
        <f t="shared" si="0"/>
        <v>W</v>
      </c>
      <c r="F22" s="70" t="s">
        <v>50</v>
      </c>
      <c r="G22" s="69" t="s">
        <v>139</v>
      </c>
      <c r="H22" s="46"/>
      <c r="I22" s="55"/>
      <c r="J22" s="55"/>
      <c r="K22" s="55"/>
      <c r="L22" s="55"/>
      <c r="M22" s="55"/>
    </row>
    <row r="23" spans="5:13" ht="15" x14ac:dyDescent="0.25">
      <c r="E23" s="40" t="str">
        <f t="shared" si="0"/>
        <v>D</v>
      </c>
      <c r="F23" s="70" t="s">
        <v>51</v>
      </c>
      <c r="G23" s="69" t="s">
        <v>67</v>
      </c>
      <c r="H23" s="46"/>
      <c r="I23" s="55"/>
      <c r="J23" s="55"/>
      <c r="K23" s="55"/>
      <c r="L23" s="55"/>
      <c r="M23" s="55"/>
    </row>
    <row r="24" spans="5:13" ht="15" x14ac:dyDescent="0.25">
      <c r="E24" s="40" t="str">
        <f t="shared" si="0"/>
        <v>L</v>
      </c>
      <c r="F24" s="70" t="s">
        <v>52</v>
      </c>
      <c r="G24" s="69" t="s">
        <v>140</v>
      </c>
      <c r="H24" s="46"/>
      <c r="I24" s="55"/>
      <c r="J24" s="55"/>
      <c r="K24" s="55"/>
      <c r="L24" s="55"/>
      <c r="M24" s="55"/>
    </row>
    <row r="25" spans="5:13" ht="15" x14ac:dyDescent="0.25">
      <c r="E25" s="40" t="str">
        <f t="shared" si="0"/>
        <v>GF  -  GA</v>
      </c>
      <c r="F25" s="70" t="s">
        <v>115</v>
      </c>
      <c r="G25" s="69" t="s">
        <v>3</v>
      </c>
      <c r="H25" s="46"/>
      <c r="I25" s="55"/>
      <c r="J25" s="55"/>
      <c r="K25" s="55"/>
      <c r="L25" s="55"/>
      <c r="M25" s="55"/>
    </row>
    <row r="26" spans="5:13" ht="15" x14ac:dyDescent="0.25">
      <c r="E26" s="40" t="str">
        <f t="shared" si="0"/>
        <v>GD</v>
      </c>
      <c r="F26" s="70" t="s">
        <v>55</v>
      </c>
      <c r="G26" s="69" t="s">
        <v>116</v>
      </c>
      <c r="H26" s="46"/>
      <c r="I26" s="55"/>
      <c r="J26" s="55"/>
      <c r="K26" s="55"/>
      <c r="L26" s="55"/>
      <c r="M26" s="55"/>
    </row>
    <row r="27" spans="5:13" ht="15" x14ac:dyDescent="0.25">
      <c r="E27" s="40" t="str">
        <f t="shared" si="0"/>
        <v>Pts</v>
      </c>
      <c r="F27" s="70" t="s">
        <v>56</v>
      </c>
      <c r="G27" s="69" t="s">
        <v>68</v>
      </c>
      <c r="H27" s="46"/>
      <c r="I27" s="55"/>
      <c r="J27" s="55"/>
      <c r="K27" s="55"/>
      <c r="L27" s="55"/>
      <c r="M27" s="55"/>
    </row>
    <row r="28" spans="5:13" ht="15" x14ac:dyDescent="0.25">
      <c r="E28" s="40" t="str">
        <f t="shared" si="0"/>
        <v>GF</v>
      </c>
      <c r="F28" s="70" t="s">
        <v>53</v>
      </c>
      <c r="G28" s="69" t="s">
        <v>87</v>
      </c>
      <c r="H28" s="46"/>
      <c r="I28" s="55"/>
      <c r="J28" s="55"/>
      <c r="K28" s="55"/>
      <c r="L28" s="55"/>
      <c r="M28" s="55"/>
    </row>
    <row r="29" spans="5:13" ht="15" x14ac:dyDescent="0.25">
      <c r="E29" s="40" t="str">
        <f t="shared" si="0"/>
        <v>AGls</v>
      </c>
      <c r="F29" s="70" t="s">
        <v>191</v>
      </c>
      <c r="G29" s="69" t="s">
        <v>159</v>
      </c>
      <c r="H29" s="46"/>
      <c r="I29" s="55"/>
      <c r="J29" s="55"/>
      <c r="K29" s="55"/>
      <c r="L29" s="55"/>
      <c r="M29" s="55"/>
    </row>
    <row r="30" spans="5:13" ht="15" x14ac:dyDescent="0.25">
      <c r="E30" s="40" t="str">
        <f t="shared" si="0"/>
        <v>AWin</v>
      </c>
      <c r="F30" s="70" t="s">
        <v>192</v>
      </c>
      <c r="G30" s="69" t="s">
        <v>158</v>
      </c>
      <c r="H30" s="46"/>
      <c r="I30" s="55"/>
      <c r="J30" s="55"/>
      <c r="K30" s="55"/>
      <c r="L30" s="55"/>
      <c r="M30" s="55"/>
    </row>
    <row r="31" spans="5:13" ht="15" x14ac:dyDescent="0.25">
      <c r="E31" s="40" t="str">
        <f t="shared" si="0"/>
        <v>First leg</v>
      </c>
      <c r="F31" s="70" t="s">
        <v>199</v>
      </c>
      <c r="G31" s="69" t="s">
        <v>197</v>
      </c>
      <c r="H31" s="46"/>
      <c r="I31" s="55"/>
      <c r="J31" s="55"/>
      <c r="K31" s="55"/>
      <c r="L31" s="55"/>
      <c r="M31" s="55"/>
    </row>
    <row r="32" spans="5:13" ht="15" x14ac:dyDescent="0.25">
      <c r="E32" s="40" t="str">
        <f t="shared" si="0"/>
        <v>Second leg</v>
      </c>
      <c r="F32" s="70" t="s">
        <v>200</v>
      </c>
      <c r="G32" s="69" t="s">
        <v>198</v>
      </c>
      <c r="H32" s="46"/>
      <c r="I32" s="55"/>
      <c r="J32" s="55"/>
      <c r="K32" s="55"/>
      <c r="L32" s="55"/>
      <c r="M32" s="55"/>
    </row>
    <row r="33" spans="5:13" ht="15" x14ac:dyDescent="0.25">
      <c r="E33" s="40" t="str">
        <f t="shared" si="0"/>
        <v>Penalty shootout</v>
      </c>
      <c r="F33" s="70" t="s">
        <v>274</v>
      </c>
      <c r="G33" s="69" t="s">
        <v>273</v>
      </c>
      <c r="H33" s="46"/>
      <c r="I33" s="55"/>
      <c r="J33" s="55"/>
      <c r="K33" s="55"/>
      <c r="L33" s="55"/>
      <c r="M33" s="55"/>
    </row>
    <row r="34" spans="5:13" ht="15" x14ac:dyDescent="0.25">
      <c r="E34" s="40" t="str">
        <f t="shared" si="0"/>
        <v>Round of 16</v>
      </c>
      <c r="F34" s="70" t="s">
        <v>263</v>
      </c>
      <c r="G34" s="69" t="s">
        <v>207</v>
      </c>
      <c r="H34" s="46"/>
      <c r="I34" s="55"/>
      <c r="J34" s="55"/>
      <c r="K34" s="55"/>
      <c r="L34" s="55"/>
      <c r="M34" s="55"/>
    </row>
    <row r="35" spans="5:13" ht="15" x14ac:dyDescent="0.25">
      <c r="E35" s="40" t="str">
        <f t="shared" si="0"/>
        <v>Quarterfinals</v>
      </c>
      <c r="F35" s="70" t="s">
        <v>264</v>
      </c>
      <c r="G35" s="69" t="s">
        <v>242</v>
      </c>
      <c r="H35" s="46"/>
      <c r="I35" s="55"/>
      <c r="J35" s="55"/>
      <c r="K35" s="55"/>
      <c r="L35" s="55"/>
      <c r="M35" s="55"/>
    </row>
    <row r="36" spans="5:13" ht="15" x14ac:dyDescent="0.25">
      <c r="E36" s="40" t="str">
        <f t="shared" si="0"/>
        <v>Semi-final</v>
      </c>
      <c r="F36" s="70" t="s">
        <v>265</v>
      </c>
      <c r="G36" s="69" t="s">
        <v>255</v>
      </c>
      <c r="H36" s="46"/>
      <c r="I36" s="55"/>
      <c r="J36" s="55"/>
      <c r="K36" s="55"/>
      <c r="L36" s="55"/>
      <c r="M36" s="55"/>
    </row>
    <row r="37" spans="5:13" ht="15" x14ac:dyDescent="0.25">
      <c r="E37" s="40" t="str">
        <f t="shared" si="0"/>
        <v>Final</v>
      </c>
      <c r="F37" s="70" t="s">
        <v>266</v>
      </c>
      <c r="G37" s="69" t="s">
        <v>262</v>
      </c>
      <c r="H37" s="46"/>
      <c r="I37" s="55"/>
      <c r="J37" s="55"/>
      <c r="K37" s="55"/>
      <c r="L37" s="55"/>
      <c r="M37" s="55"/>
    </row>
    <row r="38" spans="5:13" ht="15" x14ac:dyDescent="0.25">
      <c r="E38" s="40" t="str">
        <f t="shared" si="0"/>
        <v>Playoffs</v>
      </c>
      <c r="F38" s="70" t="s">
        <v>267</v>
      </c>
      <c r="G38" s="69" t="s">
        <v>196</v>
      </c>
      <c r="H38" s="46"/>
      <c r="I38" s="55"/>
      <c r="J38" s="55"/>
      <c r="K38" s="55"/>
      <c r="L38" s="55"/>
      <c r="M38" s="55"/>
    </row>
    <row r="39" spans="5:13" ht="15" x14ac:dyDescent="0.25">
      <c r="E39" s="40" t="str">
        <f t="shared" si="0"/>
        <v>League rank</v>
      </c>
      <c r="F39" s="70" t="s">
        <v>278</v>
      </c>
      <c r="G39" s="69" t="s">
        <v>277</v>
      </c>
      <c r="H39" s="46"/>
      <c r="I39" s="55"/>
      <c r="J39" s="55"/>
      <c r="K39" s="55"/>
      <c r="L39" s="55"/>
      <c r="M39" s="55"/>
    </row>
    <row r="40" spans="5:13" ht="15" x14ac:dyDescent="0.25">
      <c r="E40" s="40" t="str">
        <f t="shared" si="0"/>
        <v>in the league phase</v>
      </c>
      <c r="F40" s="70" t="s">
        <v>280</v>
      </c>
      <c r="G40" s="69" t="s">
        <v>279</v>
      </c>
      <c r="H40" s="46"/>
      <c r="I40" s="55"/>
      <c r="J40" s="55"/>
      <c r="K40" s="55"/>
      <c r="L40" s="55"/>
      <c r="M40" s="55"/>
    </row>
    <row r="41" spans="5:13" ht="15" x14ac:dyDescent="0.25">
      <c r="E41" s="40">
        <f t="shared" si="0"/>
        <v>0</v>
      </c>
      <c r="F41" s="70"/>
      <c r="G41" s="69"/>
      <c r="H41" s="46"/>
      <c r="I41" s="55"/>
      <c r="J41" s="55"/>
      <c r="K41" s="55"/>
      <c r="L41" s="55"/>
      <c r="M41" s="55"/>
    </row>
    <row r="42" spans="5:13" ht="15" x14ac:dyDescent="0.25">
      <c r="E42" s="40" t="str">
        <f t="shared" si="0"/>
        <v>League table</v>
      </c>
      <c r="F42" s="70" t="s">
        <v>276</v>
      </c>
      <c r="G42" s="69" t="s">
        <v>275</v>
      </c>
      <c r="H42" s="46"/>
      <c r="I42" s="55"/>
      <c r="J42" s="55"/>
      <c r="K42" s="55"/>
      <c r="L42" s="55"/>
      <c r="M42" s="55"/>
    </row>
    <row r="43" spans="5:13" x14ac:dyDescent="0.2">
      <c r="E43" s="40" t="str">
        <f t="shared" si="0"/>
        <v>INVALID TABLE</v>
      </c>
      <c r="F43" s="70" t="s">
        <v>70</v>
      </c>
      <c r="G43" s="69" t="s">
        <v>69</v>
      </c>
      <c r="H43" s="46"/>
    </row>
    <row r="44" spans="5:13" x14ac:dyDescent="0.2">
      <c r="E44" s="40" t="str">
        <f t="shared" si="0"/>
        <v>Participants and schedule</v>
      </c>
      <c r="F44" s="70" t="s">
        <v>71</v>
      </c>
      <c r="G44" s="69" t="s">
        <v>16</v>
      </c>
      <c r="H44" s="46"/>
    </row>
    <row r="45" spans="5:13" x14ac:dyDescent="0.2">
      <c r="E45" s="40" t="str">
        <f t="shared" si="0"/>
        <v>Participants</v>
      </c>
      <c r="F45" s="71" t="s">
        <v>72</v>
      </c>
      <c r="G45" s="69" t="s">
        <v>17</v>
      </c>
      <c r="H45" s="46"/>
    </row>
    <row r="46" spans="5:13" x14ac:dyDescent="0.2">
      <c r="E46" s="40" t="str">
        <f t="shared" si="0"/>
        <v>Schedule</v>
      </c>
      <c r="F46" s="71" t="s">
        <v>73</v>
      </c>
      <c r="G46" s="69" t="s">
        <v>20</v>
      </c>
      <c r="H46" s="46"/>
    </row>
    <row r="47" spans="5:13" x14ac:dyDescent="0.2">
      <c r="E47" s="40" t="str">
        <f t="shared" si="0"/>
        <v>Game no.</v>
      </c>
      <c r="F47" s="71" t="s">
        <v>74</v>
      </c>
      <c r="G47" s="69" t="s">
        <v>44</v>
      </c>
      <c r="H47" s="46"/>
    </row>
    <row r="48" spans="5:13" x14ac:dyDescent="0.2">
      <c r="E48" s="40" t="str">
        <f t="shared" si="0"/>
        <v>Pairings</v>
      </c>
      <c r="F48" s="71" t="s">
        <v>75</v>
      </c>
      <c r="G48" s="69" t="s">
        <v>45</v>
      </c>
      <c r="H48" s="46"/>
    </row>
    <row r="49" spans="5:8" x14ac:dyDescent="0.2">
      <c r="E49" s="40" t="str">
        <f t="shared" si="0"/>
        <v>Choose language</v>
      </c>
      <c r="F49" s="70" t="s">
        <v>58</v>
      </c>
      <c r="G49" s="69" t="s">
        <v>79</v>
      </c>
      <c r="H49" s="46"/>
    </row>
    <row r="50" spans="5:8" x14ac:dyDescent="0.2">
      <c r="E50" s="40" t="str">
        <f t="shared" si="0"/>
        <v>Captions</v>
      </c>
      <c r="F50" s="70" t="s">
        <v>61</v>
      </c>
      <c r="G50" s="69" t="s">
        <v>76</v>
      </c>
      <c r="H50" s="46"/>
    </row>
    <row r="51" spans="5:8" x14ac:dyDescent="0.2">
      <c r="E51" s="40" t="str">
        <f t="shared" si="0"/>
        <v>Messages</v>
      </c>
      <c r="F51" s="70" t="s">
        <v>77</v>
      </c>
      <c r="G51" s="69" t="s">
        <v>78</v>
      </c>
      <c r="H51" s="46"/>
    </row>
    <row r="52" spans="5:8" x14ac:dyDescent="0.2">
      <c r="E52" s="40" t="str">
        <f t="shared" si="0"/>
        <v>Your captions</v>
      </c>
      <c r="F52" s="70" t="s">
        <v>83</v>
      </c>
      <c r="G52" s="69" t="s">
        <v>82</v>
      </c>
      <c r="H52" s="46"/>
    </row>
    <row r="53" spans="5:8" x14ac:dyDescent="0.2">
      <c r="E53" s="40" t="str">
        <f t="shared" si="0"/>
        <v>Number of points for a win:</v>
      </c>
      <c r="F53" s="70" t="s">
        <v>134</v>
      </c>
      <c r="G53" s="69" t="s">
        <v>133</v>
      </c>
      <c r="H53" s="46"/>
    </row>
    <row r="54" spans="5:8" ht="27" customHeight="1" x14ac:dyDescent="0.2">
      <c r="E54" s="217" t="str">
        <f t="shared" si="0"/>
        <v>Individual teams compared for a specific time period</v>
      </c>
      <c r="F54" s="68" t="s">
        <v>142</v>
      </c>
      <c r="G54" s="84" t="s">
        <v>141</v>
      </c>
      <c r="H54" s="46"/>
    </row>
    <row r="55" spans="5:8" x14ac:dyDescent="0.2">
      <c r="E55" s="40" t="str">
        <f t="shared" si="0"/>
        <v>from</v>
      </c>
      <c r="F55" s="70" t="s">
        <v>144</v>
      </c>
      <c r="G55" s="69" t="s">
        <v>137</v>
      </c>
      <c r="H55" s="46"/>
    </row>
    <row r="56" spans="5:8" x14ac:dyDescent="0.2">
      <c r="E56" s="40" t="str">
        <f t="shared" si="0"/>
        <v>Abbreviation</v>
      </c>
      <c r="F56" s="70" t="s">
        <v>119</v>
      </c>
      <c r="G56" s="69" t="s">
        <v>118</v>
      </c>
      <c r="H56" s="46"/>
    </row>
    <row r="57" spans="5:8" x14ac:dyDescent="0.2">
      <c r="E57" s="40" t="str">
        <f t="shared" si="0"/>
        <v>Length of abbreviations:</v>
      </c>
      <c r="F57" s="70" t="s">
        <v>106</v>
      </c>
      <c r="G57" s="69" t="s">
        <v>105</v>
      </c>
      <c r="H57" s="46"/>
    </row>
    <row r="58" spans="5:8" x14ac:dyDescent="0.2">
      <c r="E58" s="40" t="str">
        <f t="shared" si="0"/>
        <v>to</v>
      </c>
      <c r="F58" s="70" t="s">
        <v>145</v>
      </c>
      <c r="G58" s="69" t="s">
        <v>138</v>
      </c>
      <c r="H58" s="46"/>
    </row>
    <row r="59" spans="5:8" x14ac:dyDescent="0.2">
      <c r="E59" s="40" t="str">
        <f t="shared" si="0"/>
        <v>Date</v>
      </c>
      <c r="F59" s="70" t="s">
        <v>104</v>
      </c>
      <c r="G59" s="69" t="s">
        <v>103</v>
      </c>
      <c r="H59" s="46"/>
    </row>
    <row r="60" spans="5:8" x14ac:dyDescent="0.2">
      <c r="E60" s="40" t="str">
        <f t="shared" si="0"/>
        <v>Match against</v>
      </c>
      <c r="F60" s="70" t="s">
        <v>94</v>
      </c>
      <c r="G60" s="69" t="s">
        <v>93</v>
      </c>
      <c r="H60" s="46"/>
    </row>
    <row r="61" spans="5:8" x14ac:dyDescent="0.2">
      <c r="E61" s="40" t="str">
        <f t="shared" si="0"/>
        <v>Note</v>
      </c>
      <c r="F61" s="70" t="s">
        <v>95</v>
      </c>
      <c r="G61" s="69" t="s">
        <v>96</v>
      </c>
      <c r="H61" s="46"/>
    </row>
    <row r="62" spans="5:8" x14ac:dyDescent="0.2">
      <c r="E62" s="40" t="str">
        <f t="shared" si="0"/>
        <v>Time</v>
      </c>
      <c r="F62" s="70" t="s">
        <v>102</v>
      </c>
      <c r="G62" s="69" t="s">
        <v>101</v>
      </c>
      <c r="H62" s="46"/>
    </row>
    <row r="63" spans="5:8" x14ac:dyDescent="0.2">
      <c r="E63" s="40" t="str">
        <f t="shared" si="0"/>
        <v>Bonus</v>
      </c>
      <c r="F63" s="47" t="s">
        <v>47</v>
      </c>
      <c r="G63" s="45" t="s">
        <v>47</v>
      </c>
      <c r="H63" s="46"/>
    </row>
    <row r="64" spans="5:8" x14ac:dyDescent="0.2">
      <c r="E64" s="40" t="str">
        <f t="shared" si="0"/>
        <v>Team</v>
      </c>
      <c r="F64" s="70" t="s">
        <v>48</v>
      </c>
      <c r="G64" s="69" t="s">
        <v>48</v>
      </c>
      <c r="H64" s="218"/>
    </row>
    <row r="65" spans="5:8" x14ac:dyDescent="0.2">
      <c r="E65" s="40" t="str">
        <f t="shared" si="0"/>
        <v>Penalty points</v>
      </c>
      <c r="F65" s="70" t="s">
        <v>148</v>
      </c>
      <c r="G65" s="69" t="s">
        <v>147</v>
      </c>
      <c r="H65" s="218"/>
    </row>
    <row r="66" spans="5:8" x14ac:dyDescent="0.2">
      <c r="E66" s="40" t="str">
        <f t="shared" si="0"/>
        <v>PenPts</v>
      </c>
      <c r="F66" s="70" t="s">
        <v>151</v>
      </c>
      <c r="G66" s="69" t="s">
        <v>152</v>
      </c>
      <c r="H66" s="218"/>
    </row>
    <row r="67" spans="5:8" ht="28.5" x14ac:dyDescent="0.45">
      <c r="E67" s="40"/>
      <c r="F67" s="51" t="str">
        <f>$E$51</f>
        <v>Messages</v>
      </c>
      <c r="G67" s="52"/>
      <c r="H67" s="53"/>
    </row>
    <row r="68" spans="5:8" ht="15" customHeight="1" x14ac:dyDescent="0.2">
      <c r="E68" s="40">
        <f t="shared" si="0"/>
        <v>0</v>
      </c>
      <c r="F68" s="58"/>
      <c r="G68" s="59"/>
      <c r="H68" s="60"/>
    </row>
    <row r="69" spans="5:8" ht="51.75" customHeight="1" x14ac:dyDescent="0.2">
      <c r="E69" s="40" t="str">
        <f t="shared" si="0"/>
        <v>Double match pairings and matches against oneself
lead to incorrect values in the overall table!</v>
      </c>
      <c r="F69" s="68" t="s">
        <v>88</v>
      </c>
      <c r="G69" s="84" t="s">
        <v>46</v>
      </c>
      <c r="H69" s="60"/>
    </row>
    <row r="70" spans="5:8" ht="15.75" customHeight="1" x14ac:dyDescent="0.2">
      <c r="E70" s="40" t="str">
        <f t="shared" si="0"/>
        <v>In case of a tie, the following criteria apply:</v>
      </c>
      <c r="F70" s="68" t="s">
        <v>178</v>
      </c>
      <c r="G70" s="59" t="s">
        <v>164</v>
      </c>
      <c r="H70" s="60"/>
    </row>
    <row r="71" spans="5:8" ht="15.75" customHeight="1" x14ac:dyDescent="0.2">
      <c r="E71" s="40" t="str">
        <f t="shared" si="0"/>
        <v>Better goal difference</v>
      </c>
      <c r="F71" s="68" t="s">
        <v>179</v>
      </c>
      <c r="G71" s="380" t="s">
        <v>165</v>
      </c>
      <c r="H71" s="56"/>
    </row>
    <row r="72" spans="5:8" ht="15.75" customHeight="1" x14ac:dyDescent="0.2">
      <c r="E72" s="40" t="str">
        <f t="shared" si="0"/>
        <v>Higher number of goals scored</v>
      </c>
      <c r="F72" s="68" t="s">
        <v>180</v>
      </c>
      <c r="G72" s="380" t="s">
        <v>166</v>
      </c>
      <c r="H72" s="56"/>
    </row>
    <row r="73" spans="5:8" ht="15.75" customHeight="1" x14ac:dyDescent="0.2">
      <c r="E73" s="40" t="str">
        <f t="shared" si="0"/>
        <v>Higher number of away goals scored</v>
      </c>
      <c r="F73" s="68" t="s">
        <v>181</v>
      </c>
      <c r="G73" s="380" t="s">
        <v>167</v>
      </c>
      <c r="H73" s="56"/>
    </row>
    <row r="74" spans="5:8" ht="15.75" customHeight="1" x14ac:dyDescent="0.2">
      <c r="E74" s="40" t="str">
        <f t="shared" si="0"/>
        <v>Higher number of wins</v>
      </c>
      <c r="F74" s="68" t="s">
        <v>182</v>
      </c>
      <c r="G74" s="380" t="s">
        <v>168</v>
      </c>
      <c r="H74" s="56"/>
    </row>
    <row r="75" spans="5:8" ht="15.75" customHeight="1" x14ac:dyDescent="0.2">
      <c r="E75" s="40" t="str">
        <f t="shared" si="0"/>
        <v>Higher number of away wins</v>
      </c>
      <c r="F75" s="68" t="s">
        <v>183</v>
      </c>
      <c r="G75" s="380" t="s">
        <v>169</v>
      </c>
      <c r="H75" s="56"/>
    </row>
    <row r="76" spans="5:8" ht="31.5" customHeight="1" x14ac:dyDescent="0.2">
      <c r="E76" s="40" t="str">
        <f t="shared" si="0"/>
        <v>These five criteria are taken into account in the table above.</v>
      </c>
      <c r="F76" s="68" t="s">
        <v>184</v>
      </c>
      <c r="G76" s="380" t="s">
        <v>176</v>
      </c>
      <c r="H76" s="56"/>
    </row>
    <row r="77" spans="5:8" ht="29.25" customHeight="1" x14ac:dyDescent="0.2">
      <c r="E77" s="40" t="str">
        <f t="shared" si="0"/>
        <v>At the end of the league phase, in the event of a tie, the following criteria will also be used:</v>
      </c>
      <c r="F77" s="68" t="s">
        <v>185</v>
      </c>
      <c r="G77" s="380" t="s">
        <v>175</v>
      </c>
      <c r="H77" s="56"/>
    </row>
    <row r="78" spans="5:8" ht="15.75" customHeight="1" x14ac:dyDescent="0.2">
      <c r="E78" s="40" t="str">
        <f t="shared" si="0"/>
        <v>Higher number of points earned by the eight opponents of the club in question</v>
      </c>
      <c r="F78" s="68" t="s">
        <v>186</v>
      </c>
      <c r="G78" s="380" t="s">
        <v>170</v>
      </c>
      <c r="H78" s="56"/>
    </row>
    <row r="79" spans="5:8" ht="15.75" customHeight="1" x14ac:dyDescent="0.2">
      <c r="E79" s="40" t="str">
        <f t="shared" si="0"/>
        <v>Better combined goal difference of the eight opponents</v>
      </c>
      <c r="F79" s="68" t="s">
        <v>187</v>
      </c>
      <c r="G79" s="380" t="s">
        <v>171</v>
      </c>
      <c r="H79" s="56"/>
    </row>
    <row r="80" spans="5:8" ht="15.75" customHeight="1" x14ac:dyDescent="0.2">
      <c r="E80" s="40" t="str">
        <f t="shared" si="0"/>
        <v>Higher number of goals scored by the eight opponents</v>
      </c>
      <c r="F80" s="68" t="s">
        <v>188</v>
      </c>
      <c r="G80" s="380" t="s">
        <v>172</v>
      </c>
      <c r="H80" s="56"/>
    </row>
    <row r="81" spans="5:9" ht="15.75" customHeight="1" x14ac:dyDescent="0.2">
      <c r="E81" s="40" t="str">
        <f t="shared" si="0"/>
        <v>Fair play rating</v>
      </c>
      <c r="F81" s="68" t="s">
        <v>189</v>
      </c>
      <c r="G81" s="380" t="s">
        <v>173</v>
      </c>
      <c r="H81" s="56"/>
    </row>
    <row r="82" spans="5:9" ht="15.75" customHeight="1" x14ac:dyDescent="0.2">
      <c r="E82" s="40" t="str">
        <f t="shared" si="0"/>
        <v>UEFA coefficient</v>
      </c>
      <c r="F82" s="68" t="s">
        <v>190</v>
      </c>
      <c r="G82" s="380" t="s">
        <v>174</v>
      </c>
      <c r="H82" s="56"/>
    </row>
    <row r="83" spans="5:9" ht="42" customHeight="1" x14ac:dyDescent="0.2">
      <c r="E83" s="40" t="str">
        <f t="shared" si="0"/>
        <v>Should this happen, a bonus point can be entered for the better team on the 'Tie_Break' sheet.</v>
      </c>
      <c r="F83" s="68" t="s">
        <v>193</v>
      </c>
      <c r="G83" s="380" t="s">
        <v>177</v>
      </c>
      <c r="H83" s="56"/>
    </row>
    <row r="84" spans="5:9" ht="15.75" customHeight="1" x14ac:dyDescent="0.2">
      <c r="E84" s="40" t="str">
        <f t="shared" si="0"/>
        <v>For comparison:</v>
      </c>
      <c r="F84" s="68" t="s">
        <v>195</v>
      </c>
      <c r="G84" s="380" t="s">
        <v>194</v>
      </c>
      <c r="H84" s="56"/>
    </row>
    <row r="85" spans="5:9" ht="16.5" customHeight="1" x14ac:dyDescent="0.2">
      <c r="E85" s="40" t="str">
        <f t="shared" si="0"/>
        <v>double</v>
      </c>
      <c r="F85" s="74" t="s">
        <v>122</v>
      </c>
      <c r="G85" s="73" t="s">
        <v>123</v>
      </c>
      <c r="H85" s="61"/>
    </row>
    <row r="86" spans="5:9" ht="20.25" customHeight="1" x14ac:dyDescent="0.2">
      <c r="E86" s="40" t="str">
        <f t="shared" si="0"/>
        <v>Click here and choose language</v>
      </c>
      <c r="F86" s="79" t="s">
        <v>86</v>
      </c>
      <c r="G86" s="77" t="s">
        <v>85</v>
      </c>
      <c r="H86" s="62"/>
    </row>
    <row r="87" spans="5:9" ht="32.25" customHeight="1" x14ac:dyDescent="0.2">
      <c r="E87" s="40" t="str">
        <f t="shared" si="0"/>
        <v>Duplicate names</v>
      </c>
      <c r="F87" s="90" t="s">
        <v>113</v>
      </c>
      <c r="G87" s="89" t="s">
        <v>112</v>
      </c>
      <c r="H87" s="62"/>
    </row>
    <row r="88" spans="5:9" ht="30.75" customHeight="1" x14ac:dyDescent="0.2">
      <c r="E88" s="40" t="str">
        <f t="shared" si="0"/>
        <v>These teams have home advantage in the return match.</v>
      </c>
      <c r="F88" s="81" t="s">
        <v>271</v>
      </c>
      <c r="G88" s="80" t="s">
        <v>270</v>
      </c>
      <c r="H88" s="56"/>
    </row>
    <row r="89" spans="5:9" ht="17.25" customHeight="1" x14ac:dyDescent="0.2">
      <c r="E89" s="40" t="str">
        <f t="shared" si="0"/>
        <v>Explanation</v>
      </c>
      <c r="F89" s="81" t="s">
        <v>128</v>
      </c>
      <c r="G89" s="92" t="s">
        <v>127</v>
      </c>
      <c r="H89" s="56"/>
    </row>
    <row r="90" spans="5:9" ht="16.5" customHeight="1" thickBot="1" x14ac:dyDescent="0.25">
      <c r="E90" s="40" t="str">
        <f t="shared" si="0"/>
        <v xml:space="preserve"> - </v>
      </c>
      <c r="F90" s="63" t="s">
        <v>62</v>
      </c>
      <c r="G90" s="64" t="s">
        <v>63</v>
      </c>
      <c r="H90" s="65"/>
    </row>
    <row r="91" spans="5:9" ht="13.5" thickTop="1" x14ac:dyDescent="0.2"/>
    <row r="92" spans="5:9" x14ac:dyDescent="0.2"/>
    <row r="93" spans="5:9" x14ac:dyDescent="0.2"/>
    <row r="94" spans="5:9" x14ac:dyDescent="0.2"/>
    <row r="95" spans="5:9" hidden="1" x14ac:dyDescent="0.2">
      <c r="I95" s="75"/>
    </row>
  </sheetData>
  <sheetProtection sheet="1" selectLockedCells="1"/>
  <mergeCells count="7">
    <mergeCell ref="F1:H1"/>
    <mergeCell ref="H3:H4"/>
    <mergeCell ref="F2:G2"/>
    <mergeCell ref="D3:D4"/>
    <mergeCell ref="E3:E4"/>
    <mergeCell ref="F3:F4"/>
    <mergeCell ref="G3:G4"/>
  </mergeCells>
  <conditionalFormatting sqref="F3:F4">
    <cfRule type="expression" dxfId="3" priority="7">
      <formula>C3</formula>
    </cfRule>
  </conditionalFormatting>
  <conditionalFormatting sqref="G3:G4">
    <cfRule type="expression" dxfId="2" priority="3">
      <formula>C4</formula>
    </cfRule>
  </conditionalFormatting>
  <conditionalFormatting sqref="D3:D4">
    <cfRule type="expression" dxfId="1" priority="84">
      <formula>#REF!</formula>
    </cfRule>
  </conditionalFormatting>
  <conditionalFormatting sqref="H3:H4">
    <cfRule type="expression" dxfId="0" priority="85">
      <formula>C5</formula>
    </cfRule>
  </conditionalFormatting>
  <dataValidations count="3">
    <dataValidation allowBlank="1" showErrorMessage="1" errorTitle="Language" error="Invalid language" promptTitle="Language" prompt="Please choose a language for the country names" sqref="I3" xr:uid="{00000000-0002-0000-0700-000000000000}"/>
    <dataValidation type="whole" allowBlank="1" showInputMessage="1" showErrorMessage="1" sqref="J2" xr:uid="{00000000-0002-0000-0700-000001000000}">
      <formula1>1</formula1>
      <formula2>5</formula2>
    </dataValidation>
    <dataValidation type="list" allowBlank="1" showErrorMessage="1" errorTitle="Language" error="Invalid language" sqref="J1" xr:uid="{00000000-0002-0000-0700-000002000000}">
      <formula1>$B$3:$B$5</formula1>
    </dataValidation>
  </dataValidations>
  <pageMargins left="0.7" right="0.7" top="0.78740157499999996" bottom="0.78740157499999996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8</vt:i4>
      </vt:variant>
      <vt:variant>
        <vt:lpstr>Benannte Bereiche</vt:lpstr>
      </vt:variant>
      <vt:variant>
        <vt:i4>4</vt:i4>
      </vt:variant>
    </vt:vector>
  </HeadingPairs>
  <TitlesOfParts>
    <vt:vector size="12" baseType="lpstr">
      <vt:lpstr>Results</vt:lpstr>
      <vt:lpstr>KO Round</vt:lpstr>
      <vt:lpstr>Planning</vt:lpstr>
      <vt:lpstr>Calc</vt:lpstr>
      <vt:lpstr>Calc2</vt:lpstr>
      <vt:lpstr>Factors</vt:lpstr>
      <vt:lpstr>Tie_Break</vt:lpstr>
      <vt:lpstr>Language</vt:lpstr>
      <vt:lpstr>FactorGD</vt:lpstr>
      <vt:lpstr>FactorGF</vt:lpstr>
      <vt:lpstr>FactorPts</vt:lpstr>
      <vt:lpstr>GDzero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Hermann Baum</cp:lastModifiedBy>
  <cp:lastPrinted>2021-09-13T17:03:54Z</cp:lastPrinted>
  <dcterms:created xsi:type="dcterms:W3CDTF">2010-02-21T20:03:25Z</dcterms:created>
  <dcterms:modified xsi:type="dcterms:W3CDTF">2026-04-17T09:01:49Z</dcterms:modified>
</cp:coreProperties>
</file>