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xampp\htdocs\hb\_hermann-baum.de strato\excel\Liga\download\women\"/>
    </mc:Choice>
  </mc:AlternateContent>
  <xr:revisionPtr revIDLastSave="0" documentId="13_ncr:1_{C63A7C17-B4EF-4330-80B6-9B824297B316}" xr6:coauthVersionLast="36" xr6:coauthVersionMax="36" xr10:uidLastSave="{00000000-0000-0000-0000-000000000000}"/>
  <bookViews>
    <workbookView xWindow="0" yWindow="0" windowWidth="28800" windowHeight="13455" activeTab="1" xr2:uid="{00000000-000D-0000-FFFF-FFFF00000000}"/>
  </bookViews>
  <sheets>
    <sheet name="Results" sheetId="1" r:id="rId1"/>
    <sheet name="KO-Runde" sheetId="2" r:id="rId2"/>
    <sheet name="Plan" sheetId="3" r:id="rId3"/>
    <sheet name="Calc" sheetId="10" state="hidden" r:id="rId4"/>
    <sheet name="Calc2" sheetId="9" state="hidden" r:id="rId5"/>
    <sheet name="Factors" sheetId="6" state="hidden" r:id="rId6"/>
    <sheet name="Tie-Break" sheetId="7" r:id="rId7"/>
    <sheet name="Language" sheetId="8" r:id="rId8"/>
  </sheets>
  <definedNames>
    <definedName name="Sverweis">#REF!</definedName>
  </definedNames>
  <calcPr calcId="191029"/>
</workbook>
</file>

<file path=xl/calcChain.xml><?xml version="1.0" encoding="utf-8"?>
<calcChain xmlns="http://schemas.openxmlformats.org/spreadsheetml/2006/main">
  <c r="AH21" i="2" l="1"/>
  <c r="AH20" i="2"/>
  <c r="AH19" i="2"/>
  <c r="AH18" i="2"/>
  <c r="AH26" i="2"/>
  <c r="AH25" i="2"/>
  <c r="H60" i="3" l="1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AP13" i="2" l="1"/>
  <c r="AP14" i="2"/>
  <c r="AP15" i="2"/>
  <c r="AP12" i="2"/>
  <c r="AN13" i="2"/>
  <c r="AN14" i="2"/>
  <c r="AN15" i="2"/>
  <c r="AN12" i="2"/>
  <c r="AM13" i="2"/>
  <c r="AM14" i="2"/>
  <c r="AM15" i="2"/>
  <c r="AM12" i="2"/>
  <c r="AK13" i="2"/>
  <c r="AK14" i="2"/>
  <c r="AK15" i="2"/>
  <c r="AK12" i="2"/>
  <c r="AJ13" i="2"/>
  <c r="AJ14" i="2"/>
  <c r="AJ15" i="2"/>
  <c r="AJ12" i="2"/>
  <c r="AH13" i="2"/>
  <c r="AH14" i="2"/>
  <c r="AH15" i="2"/>
  <c r="AH12" i="2"/>
  <c r="U5" i="10" l="1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4" i="10"/>
  <c r="C5" i="9"/>
  <c r="C6" i="9"/>
  <c r="S6" i="10" s="1"/>
  <c r="C7" i="9"/>
  <c r="S7" i="10" s="1"/>
  <c r="C8" i="9"/>
  <c r="S8" i="10" s="1"/>
  <c r="C9" i="9"/>
  <c r="S9" i="10" s="1"/>
  <c r="C10" i="9"/>
  <c r="S10" i="10" s="1"/>
  <c r="C11" i="9"/>
  <c r="S11" i="10" s="1"/>
  <c r="C12" i="9"/>
  <c r="S12" i="10" s="1"/>
  <c r="C13" i="9"/>
  <c r="C14" i="9"/>
  <c r="S14" i="10" s="1"/>
  <c r="C15" i="9"/>
  <c r="S15" i="10" s="1"/>
  <c r="C16" i="9"/>
  <c r="S16" i="10" s="1"/>
  <c r="C17" i="9"/>
  <c r="S17" i="10" s="1"/>
  <c r="C18" i="9"/>
  <c r="S18" i="10" s="1"/>
  <c r="C19" i="9"/>
  <c r="S19" i="10" s="1"/>
  <c r="C20" i="9"/>
  <c r="S20" i="10" s="1"/>
  <c r="C21" i="9"/>
  <c r="C4" i="9"/>
  <c r="S4" i="10" s="1"/>
  <c r="F15" i="10" l="1"/>
  <c r="F18" i="10"/>
  <c r="F7" i="10"/>
  <c r="F10" i="10"/>
  <c r="S21" i="10"/>
  <c r="F21" i="10"/>
  <c r="S5" i="10"/>
  <c r="F5" i="10"/>
  <c r="S13" i="10"/>
  <c r="F13" i="10"/>
  <c r="F17" i="10"/>
  <c r="F9" i="10"/>
  <c r="F16" i="10"/>
  <c r="F8" i="10"/>
  <c r="F4" i="10"/>
  <c r="F14" i="10"/>
  <c r="F6" i="10"/>
  <c r="F20" i="10"/>
  <c r="F12" i="10"/>
  <c r="F19" i="10"/>
  <c r="F11" i="10"/>
  <c r="F22" i="10" l="1"/>
  <c r="F24" i="10" s="1"/>
  <c r="E56" i="1" l="1"/>
  <c r="E57" i="1"/>
  <c r="E58" i="1"/>
  <c r="E59" i="1"/>
  <c r="E60" i="1"/>
  <c r="E61" i="1"/>
  <c r="E62" i="1"/>
  <c r="E55" i="1"/>
  <c r="E54" i="1"/>
  <c r="E47" i="1"/>
  <c r="E48" i="1"/>
  <c r="E49" i="1"/>
  <c r="E50" i="1"/>
  <c r="E51" i="1"/>
  <c r="E52" i="1"/>
  <c r="E53" i="1"/>
  <c r="E46" i="1"/>
  <c r="E45" i="1"/>
  <c r="E38" i="1"/>
  <c r="E39" i="1"/>
  <c r="E40" i="1"/>
  <c r="E41" i="1"/>
  <c r="E42" i="1"/>
  <c r="E43" i="1"/>
  <c r="E44" i="1"/>
  <c r="E37" i="1"/>
  <c r="E36" i="1"/>
  <c r="D56" i="1"/>
  <c r="D57" i="1"/>
  <c r="D58" i="1"/>
  <c r="D59" i="1"/>
  <c r="D60" i="1"/>
  <c r="D61" i="1"/>
  <c r="D62" i="1"/>
  <c r="D55" i="1"/>
  <c r="D54" i="1"/>
  <c r="D47" i="1"/>
  <c r="D48" i="1"/>
  <c r="D49" i="1"/>
  <c r="D50" i="1"/>
  <c r="D51" i="1"/>
  <c r="D52" i="1"/>
  <c r="D53" i="1"/>
  <c r="D46" i="1"/>
  <c r="D45" i="1"/>
  <c r="D38" i="1"/>
  <c r="D39" i="1"/>
  <c r="D40" i="1"/>
  <c r="D41" i="1"/>
  <c r="D42" i="1"/>
  <c r="D43" i="1"/>
  <c r="D44" i="1"/>
  <c r="D37" i="1"/>
  <c r="D36" i="1"/>
  <c r="D29" i="1"/>
  <c r="D30" i="1"/>
  <c r="D31" i="1"/>
  <c r="D32" i="1"/>
  <c r="D33" i="1"/>
  <c r="D34" i="1"/>
  <c r="D35" i="1"/>
  <c r="D28" i="1"/>
  <c r="D27" i="1"/>
  <c r="D20" i="1"/>
  <c r="D21" i="1"/>
  <c r="D22" i="1"/>
  <c r="D23" i="1"/>
  <c r="D24" i="1"/>
  <c r="D25" i="1"/>
  <c r="D26" i="1"/>
  <c r="D19" i="1"/>
  <c r="D18" i="1"/>
  <c r="S8" i="3" l="1"/>
  <c r="G5" i="9" s="1"/>
  <c r="S9" i="3"/>
  <c r="G6" i="9" s="1"/>
  <c r="S10" i="3"/>
  <c r="G7" i="9" s="1"/>
  <c r="S11" i="3"/>
  <c r="G8" i="9" s="1"/>
  <c r="S12" i="3"/>
  <c r="G9" i="9" s="1"/>
  <c r="S13" i="3"/>
  <c r="G10" i="9" s="1"/>
  <c r="S14" i="3"/>
  <c r="G11" i="9" s="1"/>
  <c r="S15" i="3"/>
  <c r="G12" i="9" s="1"/>
  <c r="S16" i="3"/>
  <c r="S17" i="3"/>
  <c r="S18" i="3"/>
  <c r="S19" i="3"/>
  <c r="Q8" i="3"/>
  <c r="F5" i="9" s="1"/>
  <c r="Q9" i="3"/>
  <c r="F6" i="9" s="1"/>
  <c r="Q10" i="3"/>
  <c r="F7" i="9" s="1"/>
  <c r="Q11" i="3"/>
  <c r="F8" i="9" s="1"/>
  <c r="Q12" i="3"/>
  <c r="F9" i="9" s="1"/>
  <c r="Q13" i="3"/>
  <c r="F10" i="9" s="1"/>
  <c r="Q14" i="3"/>
  <c r="F11" i="9" s="1"/>
  <c r="Q15" i="3"/>
  <c r="F12" i="9" s="1"/>
  <c r="S7" i="3"/>
  <c r="G4" i="9" s="1"/>
  <c r="Q7" i="3"/>
  <c r="F4" i="9" s="1"/>
  <c r="S54" i="3"/>
  <c r="S55" i="3"/>
  <c r="S56" i="3"/>
  <c r="S57" i="3"/>
  <c r="S58" i="3"/>
  <c r="S59" i="3"/>
  <c r="S60" i="3"/>
  <c r="E29" i="1"/>
  <c r="E30" i="1"/>
  <c r="E31" i="1"/>
  <c r="E32" i="1"/>
  <c r="E33" i="1"/>
  <c r="E34" i="1"/>
  <c r="E35" i="1"/>
  <c r="E28" i="1"/>
  <c r="E27" i="1"/>
  <c r="E20" i="1"/>
  <c r="E21" i="1"/>
  <c r="E22" i="1"/>
  <c r="E23" i="1"/>
  <c r="E24" i="1"/>
  <c r="E25" i="1"/>
  <c r="E26" i="1"/>
  <c r="E19" i="1"/>
  <c r="E18" i="1"/>
  <c r="H58" i="1" l="1"/>
  <c r="G53" i="9"/>
  <c r="H56" i="1"/>
  <c r="G51" i="9"/>
  <c r="H62" i="1"/>
  <c r="G57" i="9"/>
  <c r="H61" i="1"/>
  <c r="G56" i="9"/>
  <c r="H60" i="1"/>
  <c r="G55" i="9"/>
  <c r="H21" i="1"/>
  <c r="G16" i="9"/>
  <c r="H59" i="1"/>
  <c r="G54" i="9"/>
  <c r="H20" i="1"/>
  <c r="G15" i="9"/>
  <c r="H19" i="1"/>
  <c r="G14" i="9"/>
  <c r="H57" i="1"/>
  <c r="G52" i="9"/>
  <c r="H18" i="1"/>
  <c r="G13" i="9"/>
  <c r="B8" i="3" l="1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7" i="3"/>
  <c r="Q60" i="3"/>
  <c r="F57" i="9" s="1"/>
  <c r="Q59" i="3"/>
  <c r="F56" i="9" s="1"/>
  <c r="Q58" i="3"/>
  <c r="F55" i="9" s="1"/>
  <c r="Q57" i="3"/>
  <c r="F54" i="9" s="1"/>
  <c r="Q56" i="3"/>
  <c r="F53" i="9" s="1"/>
  <c r="Q55" i="3"/>
  <c r="F52" i="9" s="1"/>
  <c r="Q54" i="3"/>
  <c r="F51" i="9" s="1"/>
  <c r="S53" i="3"/>
  <c r="G50" i="9" s="1"/>
  <c r="Q53" i="3"/>
  <c r="F50" i="9" s="1"/>
  <c r="S52" i="3"/>
  <c r="G49" i="9" s="1"/>
  <c r="Q52" i="3"/>
  <c r="F49" i="9" s="1"/>
  <c r="S51" i="3"/>
  <c r="G48" i="9" s="1"/>
  <c r="Q51" i="3"/>
  <c r="F48" i="9" s="1"/>
  <c r="S50" i="3"/>
  <c r="G47" i="9" s="1"/>
  <c r="Q50" i="3"/>
  <c r="F47" i="9" s="1"/>
  <c r="S49" i="3"/>
  <c r="G46" i="9" s="1"/>
  <c r="Q49" i="3"/>
  <c r="F46" i="9" s="1"/>
  <c r="S48" i="3"/>
  <c r="G45" i="9" s="1"/>
  <c r="Q48" i="3"/>
  <c r="F45" i="9" s="1"/>
  <c r="S47" i="3"/>
  <c r="G44" i="9" s="1"/>
  <c r="Q47" i="3"/>
  <c r="F44" i="9" s="1"/>
  <c r="S46" i="3"/>
  <c r="G43" i="9" s="1"/>
  <c r="Q46" i="3"/>
  <c r="F43" i="9" s="1"/>
  <c r="S45" i="3"/>
  <c r="G42" i="9" s="1"/>
  <c r="Q45" i="3"/>
  <c r="F42" i="9" s="1"/>
  <c r="S44" i="3"/>
  <c r="G41" i="9" s="1"/>
  <c r="Q44" i="3"/>
  <c r="F41" i="9" s="1"/>
  <c r="S43" i="3"/>
  <c r="G40" i="9" s="1"/>
  <c r="Q43" i="3"/>
  <c r="F40" i="9" s="1"/>
  <c r="S42" i="3"/>
  <c r="G39" i="9" s="1"/>
  <c r="Q42" i="3"/>
  <c r="F39" i="9" s="1"/>
  <c r="S41" i="3"/>
  <c r="G38" i="9" s="1"/>
  <c r="Q41" i="3"/>
  <c r="F38" i="9" s="1"/>
  <c r="S40" i="3"/>
  <c r="G37" i="9" s="1"/>
  <c r="Q40" i="3"/>
  <c r="F37" i="9" s="1"/>
  <c r="S39" i="3"/>
  <c r="G36" i="9" s="1"/>
  <c r="Q39" i="3"/>
  <c r="F36" i="9" s="1"/>
  <c r="S38" i="3"/>
  <c r="G35" i="9" s="1"/>
  <c r="Q38" i="3"/>
  <c r="F35" i="9" s="1"/>
  <c r="S37" i="3"/>
  <c r="G34" i="9" s="1"/>
  <c r="Q37" i="3"/>
  <c r="F34" i="9" s="1"/>
  <c r="S36" i="3"/>
  <c r="G33" i="9" s="1"/>
  <c r="Q36" i="3"/>
  <c r="F33" i="9" s="1"/>
  <c r="S35" i="3"/>
  <c r="G32" i="9" s="1"/>
  <c r="Q35" i="3"/>
  <c r="S34" i="3"/>
  <c r="G31" i="9" s="1"/>
  <c r="Q34" i="3"/>
  <c r="F31" i="9" s="1"/>
  <c r="S33" i="3"/>
  <c r="G30" i="9" s="1"/>
  <c r="Q33" i="3"/>
  <c r="S32" i="3"/>
  <c r="G29" i="9" s="1"/>
  <c r="Q32" i="3"/>
  <c r="S31" i="3"/>
  <c r="G28" i="9" s="1"/>
  <c r="Q31" i="3"/>
  <c r="S30" i="3"/>
  <c r="Q30" i="3"/>
  <c r="F27" i="9" s="1"/>
  <c r="S29" i="3"/>
  <c r="Q29" i="3"/>
  <c r="S28" i="3"/>
  <c r="Q28" i="3"/>
  <c r="F25" i="9" s="1"/>
  <c r="S27" i="3"/>
  <c r="Q27" i="3"/>
  <c r="S26" i="3"/>
  <c r="Q26" i="3"/>
  <c r="S25" i="3"/>
  <c r="G22" i="9" s="1"/>
  <c r="Q25" i="3"/>
  <c r="F22" i="9" s="1"/>
  <c r="S24" i="3"/>
  <c r="G21" i="9" s="1"/>
  <c r="Q24" i="3"/>
  <c r="F21" i="9" s="1"/>
  <c r="S23" i="3"/>
  <c r="Q23" i="3"/>
  <c r="S22" i="3"/>
  <c r="Q22" i="3"/>
  <c r="S21" i="3"/>
  <c r="Q21" i="3"/>
  <c r="F18" i="9" s="1"/>
  <c r="S20" i="3"/>
  <c r="Q20" i="3"/>
  <c r="F17" i="9" s="1"/>
  <c r="Q19" i="3"/>
  <c r="F16" i="9" s="1"/>
  <c r="Q18" i="3"/>
  <c r="Q17" i="3"/>
  <c r="Q16" i="3"/>
  <c r="F13" i="9" s="1"/>
  <c r="H9" i="1"/>
  <c r="F9" i="1"/>
  <c r="H7" i="3"/>
  <c r="G7" i="3"/>
  <c r="H13" i="1"/>
  <c r="E10" i="1"/>
  <c r="E11" i="1"/>
  <c r="E12" i="1"/>
  <c r="E13" i="1"/>
  <c r="E14" i="1"/>
  <c r="E15" i="1"/>
  <c r="E16" i="1"/>
  <c r="E17" i="1"/>
  <c r="E9" i="1"/>
  <c r="D10" i="1"/>
  <c r="D11" i="1"/>
  <c r="D12" i="1"/>
  <c r="D13" i="1"/>
  <c r="D14" i="1"/>
  <c r="D15" i="1"/>
  <c r="D16" i="1"/>
  <c r="D17" i="1"/>
  <c r="D9" i="1"/>
  <c r="I8" i="3" l="1"/>
  <c r="I49" i="3"/>
  <c r="I50" i="3"/>
  <c r="I23" i="3"/>
  <c r="I59" i="3"/>
  <c r="I36" i="3"/>
  <c r="I51" i="3"/>
  <c r="J102" i="9" s="1"/>
  <c r="F15" i="3"/>
  <c r="F31" i="3"/>
  <c r="F47" i="3"/>
  <c r="F10" i="3"/>
  <c r="F26" i="3"/>
  <c r="F42" i="3"/>
  <c r="F58" i="3"/>
  <c r="F33" i="3"/>
  <c r="F49" i="3"/>
  <c r="F28" i="3"/>
  <c r="I9" i="3"/>
  <c r="I53" i="3"/>
  <c r="I54" i="3"/>
  <c r="I27" i="3"/>
  <c r="I26" i="3"/>
  <c r="I40" i="3"/>
  <c r="J37" i="9" s="1"/>
  <c r="I42" i="3"/>
  <c r="J93" i="9" s="1"/>
  <c r="F17" i="3"/>
  <c r="F12" i="3"/>
  <c r="F60" i="3"/>
  <c r="I17" i="3"/>
  <c r="I57" i="3"/>
  <c r="I10" i="3"/>
  <c r="I31" i="3"/>
  <c r="I38" i="3"/>
  <c r="J89" i="9" s="1"/>
  <c r="I44" i="3"/>
  <c r="I34" i="3"/>
  <c r="F19" i="3"/>
  <c r="F35" i="3"/>
  <c r="F51" i="3"/>
  <c r="F14" i="3"/>
  <c r="F30" i="3"/>
  <c r="F46" i="3"/>
  <c r="F39" i="3"/>
  <c r="F18" i="3"/>
  <c r="F50" i="3"/>
  <c r="F27" i="3"/>
  <c r="F38" i="3"/>
  <c r="I25" i="3"/>
  <c r="I22" i="3"/>
  <c r="I30" i="3"/>
  <c r="I35" i="3"/>
  <c r="I14" i="3"/>
  <c r="I48" i="3"/>
  <c r="I33" i="3"/>
  <c r="F21" i="3"/>
  <c r="F37" i="3"/>
  <c r="F53" i="3"/>
  <c r="F16" i="3"/>
  <c r="F32" i="3"/>
  <c r="F48" i="3"/>
  <c r="F55" i="3"/>
  <c r="F34" i="3"/>
  <c r="I15" i="3"/>
  <c r="F11" i="3"/>
  <c r="F22" i="3"/>
  <c r="I29" i="3"/>
  <c r="I13" i="3"/>
  <c r="I46" i="3"/>
  <c r="I39" i="3"/>
  <c r="J36" i="9" s="1"/>
  <c r="I16" i="3"/>
  <c r="I52" i="3"/>
  <c r="I12" i="3"/>
  <c r="F23" i="3"/>
  <c r="I28" i="3"/>
  <c r="F59" i="3"/>
  <c r="I37" i="3"/>
  <c r="I21" i="3"/>
  <c r="I11" i="3"/>
  <c r="I43" i="3"/>
  <c r="I24" i="3"/>
  <c r="I56" i="3"/>
  <c r="J107" i="9" s="1"/>
  <c r="F9" i="3"/>
  <c r="F25" i="3"/>
  <c r="F41" i="3"/>
  <c r="F57" i="3"/>
  <c r="F20" i="3"/>
  <c r="F36" i="3"/>
  <c r="F52" i="3"/>
  <c r="I41" i="3"/>
  <c r="J92" i="9" s="1"/>
  <c r="I58" i="3"/>
  <c r="J109" i="9" s="1"/>
  <c r="I47" i="3"/>
  <c r="J44" i="9" s="1"/>
  <c r="I60" i="3"/>
  <c r="J111" i="9" s="1"/>
  <c r="F43" i="3"/>
  <c r="F54" i="3"/>
  <c r="I45" i="3"/>
  <c r="I18" i="3"/>
  <c r="I19" i="3"/>
  <c r="I55" i="3"/>
  <c r="J52" i="9" s="1"/>
  <c r="I32" i="3"/>
  <c r="I20" i="3"/>
  <c r="F13" i="3"/>
  <c r="F29" i="3"/>
  <c r="F45" i="3"/>
  <c r="F8" i="3"/>
  <c r="F24" i="3"/>
  <c r="F40" i="3"/>
  <c r="F56" i="3"/>
  <c r="F44" i="3"/>
  <c r="J110" i="9"/>
  <c r="J95" i="9"/>
  <c r="J99" i="9"/>
  <c r="J103" i="9"/>
  <c r="H4" i="9"/>
  <c r="I4" i="9"/>
  <c r="J85" i="9"/>
  <c r="J101" i="9"/>
  <c r="J90" i="9"/>
  <c r="J94" i="9"/>
  <c r="J98" i="9"/>
  <c r="J76" i="9"/>
  <c r="J88" i="9"/>
  <c r="J104" i="9"/>
  <c r="F24" i="1"/>
  <c r="F19" i="9"/>
  <c r="J42" i="9"/>
  <c r="J57" i="9"/>
  <c r="H24" i="1"/>
  <c r="G19" i="9"/>
  <c r="H29" i="1"/>
  <c r="G24" i="9"/>
  <c r="F37" i="1"/>
  <c r="F32" i="9"/>
  <c r="J86" i="9" s="1"/>
  <c r="J96" i="9"/>
  <c r="J45" i="9"/>
  <c r="J50" i="9"/>
  <c r="F29" i="1"/>
  <c r="F24" i="9"/>
  <c r="J22" i="9"/>
  <c r="H32" i="1"/>
  <c r="G27" i="9"/>
  <c r="F35" i="1"/>
  <c r="F30" i="9"/>
  <c r="J84" i="9" s="1"/>
  <c r="J40" i="9"/>
  <c r="J48" i="9"/>
  <c r="J54" i="9"/>
  <c r="H22" i="1"/>
  <c r="G17" i="9"/>
  <c r="F25" i="1"/>
  <c r="F20" i="9"/>
  <c r="J43" i="9"/>
  <c r="F19" i="1"/>
  <c r="F14" i="9"/>
  <c r="H25" i="1"/>
  <c r="G20" i="9"/>
  <c r="H30" i="1"/>
  <c r="G25" i="9"/>
  <c r="F33" i="1"/>
  <c r="F28" i="9"/>
  <c r="J33" i="9"/>
  <c r="J97" i="9"/>
  <c r="J46" i="9"/>
  <c r="J51" i="9"/>
  <c r="F28" i="1"/>
  <c r="F23" i="9"/>
  <c r="J87" i="9"/>
  <c r="J41" i="9"/>
  <c r="J100" i="9"/>
  <c r="F20" i="1"/>
  <c r="F15" i="9"/>
  <c r="H23" i="1"/>
  <c r="G18" i="9"/>
  <c r="H28" i="1"/>
  <c r="G23" i="9"/>
  <c r="F31" i="1"/>
  <c r="F26" i="9"/>
  <c r="J31" i="9"/>
  <c r="J49" i="9"/>
  <c r="J56" i="9"/>
  <c r="J108" i="9"/>
  <c r="H31" i="1"/>
  <c r="G26" i="9"/>
  <c r="F34" i="1"/>
  <c r="F29" i="9"/>
  <c r="J34" i="9"/>
  <c r="J47" i="9"/>
  <c r="J105" i="9"/>
  <c r="F32" i="1"/>
  <c r="F27" i="1"/>
  <c r="F40" i="1"/>
  <c r="F45" i="1"/>
  <c r="F53" i="1"/>
  <c r="H55" i="1"/>
  <c r="F58" i="1"/>
  <c r="H27" i="1"/>
  <c r="F30" i="1"/>
  <c r="H35" i="1"/>
  <c r="H40" i="1"/>
  <c r="F43" i="1"/>
  <c r="H45" i="1"/>
  <c r="F48" i="1"/>
  <c r="H53" i="1"/>
  <c r="F61" i="1"/>
  <c r="H43" i="1"/>
  <c r="F51" i="1"/>
  <c r="F56" i="1"/>
  <c r="H33" i="1"/>
  <c r="H38" i="1"/>
  <c r="F41" i="1"/>
  <c r="F46" i="1"/>
  <c r="H51" i="1"/>
  <c r="F59" i="1"/>
  <c r="F38" i="1"/>
  <c r="F23" i="1"/>
  <c r="F26" i="1"/>
  <c r="H41" i="1"/>
  <c r="H48" i="1"/>
  <c r="F36" i="1"/>
  <c r="F44" i="1"/>
  <c r="H46" i="1"/>
  <c r="F49" i="1"/>
  <c r="F54" i="1"/>
  <c r="F62" i="1"/>
  <c r="H26" i="1"/>
  <c r="H36" i="1"/>
  <c r="F39" i="1"/>
  <c r="H44" i="1"/>
  <c r="H49" i="1"/>
  <c r="F52" i="1"/>
  <c r="H54" i="1"/>
  <c r="F57" i="1"/>
  <c r="H34" i="1"/>
  <c r="H39" i="1"/>
  <c r="F42" i="1"/>
  <c r="F47" i="1"/>
  <c r="H52" i="1"/>
  <c r="F60" i="1"/>
  <c r="H42" i="1"/>
  <c r="H47" i="1"/>
  <c r="F50" i="1"/>
  <c r="F55" i="1"/>
  <c r="F21" i="1"/>
  <c r="F18" i="1"/>
  <c r="F22" i="1"/>
  <c r="H37" i="1"/>
  <c r="H50" i="1"/>
  <c r="H11" i="1"/>
  <c r="H16" i="1"/>
  <c r="H10" i="1"/>
  <c r="H15" i="1"/>
  <c r="H12" i="1"/>
  <c r="H17" i="1"/>
  <c r="H14" i="1"/>
  <c r="F13" i="1"/>
  <c r="F14" i="1"/>
  <c r="F16" i="1"/>
  <c r="F10" i="1"/>
  <c r="F15" i="1"/>
  <c r="F12" i="1"/>
  <c r="F17" i="1"/>
  <c r="F11" i="1"/>
  <c r="F7" i="3"/>
  <c r="B6" i="3"/>
  <c r="I7" i="3"/>
  <c r="J82" i="9" l="1"/>
  <c r="J91" i="9"/>
  <c r="J53" i="9"/>
  <c r="J39" i="9"/>
  <c r="J38" i="9"/>
  <c r="J35" i="9"/>
  <c r="F6" i="3"/>
  <c r="J55" i="9"/>
  <c r="J79" i="9"/>
  <c r="J106" i="9"/>
  <c r="J81" i="9"/>
  <c r="H11" i="9"/>
  <c r="I11" i="9"/>
  <c r="H45" i="9"/>
  <c r="I45" i="9"/>
  <c r="N45" i="9" s="1"/>
  <c r="I48" i="9"/>
  <c r="N48" i="9" s="1"/>
  <c r="H48" i="9"/>
  <c r="I14" i="9"/>
  <c r="N14" i="9" s="1"/>
  <c r="H14" i="9"/>
  <c r="M14" i="9" s="1"/>
  <c r="H32" i="9"/>
  <c r="M32" i="9" s="1"/>
  <c r="I32" i="9"/>
  <c r="N32" i="9" s="1"/>
  <c r="I9" i="9"/>
  <c r="H9" i="9"/>
  <c r="I52" i="9"/>
  <c r="N52" i="9" s="1"/>
  <c r="H52" i="9"/>
  <c r="H57" i="9"/>
  <c r="I57" i="9"/>
  <c r="N57" i="9" s="1"/>
  <c r="H21" i="9"/>
  <c r="I21" i="9"/>
  <c r="N21" i="9" s="1"/>
  <c r="H38" i="9"/>
  <c r="I38" i="9"/>
  <c r="N38" i="9" s="1"/>
  <c r="H40" i="9"/>
  <c r="I40" i="9"/>
  <c r="N40" i="9" s="1"/>
  <c r="H29" i="9"/>
  <c r="M29" i="9" s="1"/>
  <c r="I29" i="9"/>
  <c r="N29" i="9" s="1"/>
  <c r="I24" i="9"/>
  <c r="N24" i="9" s="1"/>
  <c r="H24" i="9"/>
  <c r="M24" i="9" s="1"/>
  <c r="H8" i="9"/>
  <c r="I8" i="9"/>
  <c r="H49" i="9"/>
  <c r="I49" i="9"/>
  <c r="N49" i="9" s="1"/>
  <c r="H18" i="9"/>
  <c r="M18" i="9" s="1"/>
  <c r="I18" i="9"/>
  <c r="N18" i="9" s="1"/>
  <c r="H51" i="9"/>
  <c r="I51" i="9"/>
  <c r="N51" i="9" s="1"/>
  <c r="I35" i="9"/>
  <c r="N35" i="9" s="1"/>
  <c r="H35" i="9"/>
  <c r="H15" i="9"/>
  <c r="M15" i="9" s="1"/>
  <c r="I15" i="9"/>
  <c r="N15" i="9" s="1"/>
  <c r="H23" i="9"/>
  <c r="M23" i="9" s="1"/>
  <c r="I23" i="9"/>
  <c r="N23" i="9" s="1"/>
  <c r="H28" i="9"/>
  <c r="M28" i="9" s="1"/>
  <c r="I28" i="9"/>
  <c r="N28" i="9" s="1"/>
  <c r="I19" i="9"/>
  <c r="N19" i="9" s="1"/>
  <c r="H19" i="9"/>
  <c r="M19" i="9" s="1"/>
  <c r="H6" i="9"/>
  <c r="I6" i="9"/>
  <c r="H55" i="9"/>
  <c r="I55" i="9"/>
  <c r="N55" i="9" s="1"/>
  <c r="I47" i="9"/>
  <c r="N47" i="9" s="1"/>
  <c r="H47" i="9"/>
  <c r="H44" i="9"/>
  <c r="I44" i="9"/>
  <c r="N44" i="9" s="1"/>
  <c r="H33" i="9"/>
  <c r="I33" i="9"/>
  <c r="N33" i="9" s="1"/>
  <c r="I46" i="9"/>
  <c r="N46" i="9" s="1"/>
  <c r="H46" i="9"/>
  <c r="H22" i="9"/>
  <c r="I22" i="9"/>
  <c r="N22" i="9" s="1"/>
  <c r="I12" i="9"/>
  <c r="H12" i="9"/>
  <c r="H17" i="9"/>
  <c r="M17" i="9" s="1"/>
  <c r="I17" i="9"/>
  <c r="N17" i="9" s="1"/>
  <c r="H54" i="9"/>
  <c r="I54" i="9"/>
  <c r="N54" i="9" s="1"/>
  <c r="H25" i="9"/>
  <c r="M25" i="9" s="1"/>
  <c r="I25" i="9"/>
  <c r="N25" i="9" s="1"/>
  <c r="I27" i="9"/>
  <c r="N27" i="9" s="1"/>
  <c r="H27" i="9"/>
  <c r="M27" i="9" s="1"/>
  <c r="H26" i="9"/>
  <c r="M26" i="9" s="1"/>
  <c r="I26" i="9"/>
  <c r="N26" i="9" s="1"/>
  <c r="H20" i="9"/>
  <c r="M20" i="9" s="1"/>
  <c r="I20" i="9"/>
  <c r="N20" i="9" s="1"/>
  <c r="H30" i="9"/>
  <c r="M30" i="9" s="1"/>
  <c r="I30" i="9"/>
  <c r="N30" i="9" s="1"/>
  <c r="H7" i="9"/>
  <c r="I7" i="9"/>
  <c r="H13" i="9"/>
  <c r="I13" i="9"/>
  <c r="N13" i="9" s="1"/>
  <c r="H42" i="9"/>
  <c r="I42" i="9"/>
  <c r="N42" i="9" s="1"/>
  <c r="I39" i="9"/>
  <c r="N39" i="9" s="1"/>
  <c r="H39" i="9"/>
  <c r="I56" i="9"/>
  <c r="N56" i="9" s="1"/>
  <c r="H56" i="9"/>
  <c r="I10" i="9"/>
  <c r="H10" i="9"/>
  <c r="I16" i="9"/>
  <c r="N16" i="9" s="1"/>
  <c r="H16" i="9"/>
  <c r="H37" i="9"/>
  <c r="I37" i="9"/>
  <c r="N37" i="9" s="1"/>
  <c r="H34" i="9"/>
  <c r="I34" i="9"/>
  <c r="N34" i="9" s="1"/>
  <c r="H31" i="9"/>
  <c r="I31" i="9"/>
  <c r="N31" i="9" s="1"/>
  <c r="H41" i="9"/>
  <c r="I41" i="9"/>
  <c r="N41" i="9" s="1"/>
  <c r="H53" i="9"/>
  <c r="I53" i="9"/>
  <c r="N53" i="9" s="1"/>
  <c r="H5" i="9"/>
  <c r="I5" i="9"/>
  <c r="N5" i="9" s="1"/>
  <c r="H50" i="9"/>
  <c r="I50" i="9"/>
  <c r="N50" i="9" s="1"/>
  <c r="H36" i="9"/>
  <c r="I36" i="9"/>
  <c r="N36" i="9" s="1"/>
  <c r="H43" i="9"/>
  <c r="I43" i="9"/>
  <c r="N43" i="9" s="1"/>
  <c r="J25" i="9"/>
  <c r="J77" i="9"/>
  <c r="N4" i="9"/>
  <c r="J28" i="9"/>
  <c r="J27" i="9"/>
  <c r="J78" i="9"/>
  <c r="J23" i="9"/>
  <c r="J24" i="9"/>
  <c r="J30" i="9"/>
  <c r="J29" i="9"/>
  <c r="J32" i="9"/>
  <c r="J83" i="9"/>
  <c r="J26" i="9"/>
  <c r="J80" i="9"/>
  <c r="M4" i="9"/>
  <c r="K4" i="9"/>
  <c r="K58" i="9" s="1"/>
  <c r="J17" i="9"/>
  <c r="J71" i="9"/>
  <c r="J68" i="9"/>
  <c r="J14" i="9"/>
  <c r="J60" i="9"/>
  <c r="J6" i="9"/>
  <c r="J21" i="9"/>
  <c r="J75" i="9"/>
  <c r="J67" i="9"/>
  <c r="J13" i="9"/>
  <c r="J5" i="9"/>
  <c r="J59" i="9"/>
  <c r="J8" i="9"/>
  <c r="J62" i="9"/>
  <c r="J9" i="9"/>
  <c r="J63" i="9"/>
  <c r="J16" i="9"/>
  <c r="J70" i="9"/>
  <c r="J15" i="9"/>
  <c r="J69" i="9"/>
  <c r="J61" i="9"/>
  <c r="J7" i="9"/>
  <c r="J74" i="9"/>
  <c r="J20" i="9"/>
  <c r="J12" i="9"/>
  <c r="J66" i="9"/>
  <c r="J4" i="9"/>
  <c r="J58" i="9"/>
  <c r="J19" i="9"/>
  <c r="J73" i="9"/>
  <c r="J11" i="9"/>
  <c r="J65" i="9"/>
  <c r="J18" i="9"/>
  <c r="J72" i="9"/>
  <c r="J10" i="9"/>
  <c r="J64" i="9"/>
  <c r="K14" i="9" l="1"/>
  <c r="K68" i="9" s="1"/>
  <c r="O16" i="10"/>
  <c r="K5" i="9"/>
  <c r="K59" i="9" s="1"/>
  <c r="O5" i="10"/>
  <c r="O12" i="10"/>
  <c r="G5" i="10"/>
  <c r="O20" i="10"/>
  <c r="G6" i="10"/>
  <c r="G4" i="10"/>
  <c r="O7" i="10"/>
  <c r="O8" i="10"/>
  <c r="M5" i="9"/>
  <c r="G7" i="10"/>
  <c r="O4" i="10"/>
  <c r="H5" i="10"/>
  <c r="H7" i="10"/>
  <c r="O14" i="10"/>
  <c r="H6" i="10"/>
  <c r="O6" i="10"/>
  <c r="K27" i="9"/>
  <c r="K81" i="9" s="1"/>
  <c r="H4" i="10"/>
  <c r="P17" i="10" a="1"/>
  <c r="O18" i="10"/>
  <c r="H11" i="10"/>
  <c r="G9" i="10"/>
  <c r="O10" i="10"/>
  <c r="K20" i="9"/>
  <c r="K74" i="9" s="1"/>
  <c r="K17" i="9"/>
  <c r="K71" i="9" s="1"/>
  <c r="L12" i="10" a="1"/>
  <c r="N11" i="10" a="1"/>
  <c r="M12" i="10" a="1"/>
  <c r="K32" i="9"/>
  <c r="P16" i="10" a="1"/>
  <c r="K21" i="10" a="1"/>
  <c r="K21" i="10" s="1"/>
  <c r="H9" i="10"/>
  <c r="L19" i="10" a="1"/>
  <c r="P7" i="10" a="1"/>
  <c r="P11" i="10" a="1"/>
  <c r="P11" i="10" s="1"/>
  <c r="M6" i="10" a="1"/>
  <c r="M8" i="10" a="1"/>
  <c r="M8" i="10" s="1"/>
  <c r="N6" i="10" a="1"/>
  <c r="M13" i="10" a="1"/>
  <c r="M15" i="10" a="1"/>
  <c r="K8" i="10" a="1"/>
  <c r="P15" i="10" a="1"/>
  <c r="N17" i="10" a="1"/>
  <c r="N17" i="10" s="1"/>
  <c r="K19" i="9"/>
  <c r="M34" i="9"/>
  <c r="K34" i="9"/>
  <c r="N7" i="9"/>
  <c r="O11" i="10"/>
  <c r="H10" i="10"/>
  <c r="M50" i="9"/>
  <c r="K50" i="9"/>
  <c r="M46" i="9"/>
  <c r="K46" i="9"/>
  <c r="M44" i="9"/>
  <c r="K44" i="9"/>
  <c r="M54" i="9"/>
  <c r="K54" i="9"/>
  <c r="M38" i="9"/>
  <c r="K38" i="9"/>
  <c r="K28" i="9"/>
  <c r="M40" i="9"/>
  <c r="K40" i="9"/>
  <c r="L14" i="10" a="1"/>
  <c r="K14" i="10" a="1"/>
  <c r="K14" i="10" s="1"/>
  <c r="N14" i="10" a="1"/>
  <c r="M4" i="10" a="1"/>
  <c r="N20" i="10" a="1"/>
  <c r="N20" i="10" s="1"/>
  <c r="M20" i="10" a="1"/>
  <c r="M20" i="10" s="1"/>
  <c r="L11" i="10" a="1"/>
  <c r="L11" i="10" s="1"/>
  <c r="L13" i="10" a="1"/>
  <c r="L13" i="10" s="1"/>
  <c r="N13" i="10" a="1"/>
  <c r="N13" i="10" s="1"/>
  <c r="P13" i="10" a="1"/>
  <c r="P13" i="10" s="1"/>
  <c r="K10" i="10" a="1"/>
  <c r="L8" i="10" a="1"/>
  <c r="P12" i="10" a="1"/>
  <c r="P12" i="10" s="1"/>
  <c r="M33" i="9"/>
  <c r="K33" i="9"/>
  <c r="M45" i="9"/>
  <c r="K45" i="9"/>
  <c r="K29" i="9"/>
  <c r="M41" i="9"/>
  <c r="K41" i="9"/>
  <c r="K24" i="9"/>
  <c r="L18" i="10" a="1"/>
  <c r="L18" i="10" s="1"/>
  <c r="P6" i="10" a="1"/>
  <c r="N9" i="10" a="1"/>
  <c r="N9" i="10" s="1"/>
  <c r="P21" i="10" a="1"/>
  <c r="P21" i="10" s="1"/>
  <c r="K16" i="10" a="1"/>
  <c r="K9" i="10" a="1"/>
  <c r="L6" i="10" a="1"/>
  <c r="M11" i="10" a="1"/>
  <c r="M11" i="10" s="1"/>
  <c r="P14" i="10" a="1"/>
  <c r="P14" i="10" s="1"/>
  <c r="N19" i="10" a="1"/>
  <c r="N19" i="10" s="1"/>
  <c r="K6" i="10" a="1"/>
  <c r="K6" i="10" s="1"/>
  <c r="P5" i="10" a="1"/>
  <c r="P5" i="10" s="1"/>
  <c r="K5" i="10" a="1"/>
  <c r="K5" i="10" s="1"/>
  <c r="K12" i="10" a="1"/>
  <c r="P9" i="10" a="1"/>
  <c r="K17" i="10" a="1"/>
  <c r="K17" i="10" s="1"/>
  <c r="M36" i="9"/>
  <c r="K36" i="9"/>
  <c r="M37" i="9"/>
  <c r="K37" i="9"/>
  <c r="M42" i="9"/>
  <c r="K42" i="9"/>
  <c r="M43" i="9"/>
  <c r="K43" i="9"/>
  <c r="L9" i="10" a="1"/>
  <c r="K11" i="10" a="1"/>
  <c r="K11" i="10" s="1"/>
  <c r="K4" i="10" a="1"/>
  <c r="P18" i="10" a="1"/>
  <c r="P18" i="10" s="1"/>
  <c r="N16" i="10" a="1"/>
  <c r="N16" i="10" s="1"/>
  <c r="M9" i="10" a="1"/>
  <c r="K15" i="10" a="1"/>
  <c r="M5" i="10" a="1"/>
  <c r="M5" i="10" s="1"/>
  <c r="L15" i="10" a="1"/>
  <c r="L15" i="10" s="1"/>
  <c r="L17" i="10" a="1"/>
  <c r="L17" i="10" s="1"/>
  <c r="N7" i="10" a="1"/>
  <c r="M48" i="9"/>
  <c r="K48" i="9"/>
  <c r="M39" i="9"/>
  <c r="K39" i="9"/>
  <c r="N12" i="10" a="1"/>
  <c r="N12" i="10" s="1"/>
  <c r="N4" i="10" a="1"/>
  <c r="N4" i="10" s="1"/>
  <c r="M21" i="10" a="1"/>
  <c r="M21" i="10" s="1"/>
  <c r="N18" i="10" a="1"/>
  <c r="N18" i="10" s="1"/>
  <c r="N5" i="10" a="1"/>
  <c r="N5" i="10" s="1"/>
  <c r="P8" i="10" a="1"/>
  <c r="M7" i="10" a="1"/>
  <c r="M7" i="10" s="1"/>
  <c r="L10" i="10" a="1"/>
  <c r="M55" i="9"/>
  <c r="K55" i="9"/>
  <c r="M31" i="9"/>
  <c r="K31" i="9"/>
  <c r="M52" i="9"/>
  <c r="K52" i="9"/>
  <c r="K23" i="9"/>
  <c r="M51" i="9"/>
  <c r="K51" i="9"/>
  <c r="M10" i="10" a="1"/>
  <c r="M10" i="10" s="1"/>
  <c r="P19" i="10" a="1"/>
  <c r="P19" i="10" s="1"/>
  <c r="M14" i="10" a="1"/>
  <c r="M14" i="10" s="1"/>
  <c r="M16" i="10" a="1"/>
  <c r="N21" i="10" a="1"/>
  <c r="L5" i="10" a="1"/>
  <c r="L16" i="10" a="1"/>
  <c r="L16" i="10" s="1"/>
  <c r="P20" i="10" a="1"/>
  <c r="L20" i="10" a="1"/>
  <c r="L20" i="10" s="1"/>
  <c r="M18" i="10" a="1"/>
  <c r="M18" i="10" s="1"/>
  <c r="M16" i="9"/>
  <c r="K16" i="9"/>
  <c r="M47" i="9"/>
  <c r="K47" i="9"/>
  <c r="M56" i="9"/>
  <c r="K56" i="9"/>
  <c r="K30" i="9"/>
  <c r="M22" i="9"/>
  <c r="K22" i="9"/>
  <c r="M17" i="10" a="1"/>
  <c r="M17" i="10" s="1"/>
  <c r="L4" i="10" a="1"/>
  <c r="L4" i="10" s="1"/>
  <c r="K25" i="9"/>
  <c r="M49" i="9"/>
  <c r="K49" i="9"/>
  <c r="M6" i="9"/>
  <c r="K6" i="9"/>
  <c r="G8" i="10"/>
  <c r="M35" i="9"/>
  <c r="K35" i="9"/>
  <c r="M21" i="9"/>
  <c r="K21" i="9"/>
  <c r="M57" i="9"/>
  <c r="K57" i="9"/>
  <c r="K18" i="9"/>
  <c r="L21" i="10" a="1"/>
  <c r="L21" i="10" s="1"/>
  <c r="K18" i="10" a="1"/>
  <c r="K18" i="10" s="1"/>
  <c r="K20" i="10" a="1"/>
  <c r="K20" i="10" s="1"/>
  <c r="K19" i="10" a="1"/>
  <c r="K19" i="10" s="1"/>
  <c r="M19" i="10" a="1"/>
  <c r="M19" i="10" s="1"/>
  <c r="P4" i="10" a="1"/>
  <c r="P4" i="10" s="1"/>
  <c r="L7" i="10" a="1"/>
  <c r="L7" i="10" s="1"/>
  <c r="K13" i="10" a="1"/>
  <c r="K13" i="10" s="1"/>
  <c r="P10" i="10" a="1"/>
  <c r="P10" i="10" s="1"/>
  <c r="N8" i="10" a="1"/>
  <c r="N8" i="10" s="1"/>
  <c r="N10" i="10" a="1"/>
  <c r="N10" i="10" s="1"/>
  <c r="K7" i="10" a="1"/>
  <c r="K7" i="10" s="1"/>
  <c r="N15" i="10" a="1"/>
  <c r="N15" i="10" s="1"/>
  <c r="K26" i="9"/>
  <c r="M7" i="9"/>
  <c r="G10" i="10"/>
  <c r="K7" i="9"/>
  <c r="K15" i="9"/>
  <c r="M53" i="9"/>
  <c r="K53" i="9"/>
  <c r="N6" i="9"/>
  <c r="H8" i="10"/>
  <c r="O9" i="10"/>
  <c r="G11" i="10"/>
  <c r="N9" i="9"/>
  <c r="H14" i="10"/>
  <c r="G15" i="10"/>
  <c r="O15" i="10"/>
  <c r="G16" i="10"/>
  <c r="H17" i="10"/>
  <c r="N10" i="9"/>
  <c r="G17" i="10"/>
  <c r="O17" i="10"/>
  <c r="H16" i="10"/>
  <c r="H13" i="10"/>
  <c r="G12" i="10"/>
  <c r="N11" i="9"/>
  <c r="O19" i="10"/>
  <c r="G19" i="10"/>
  <c r="H18" i="10"/>
  <c r="G18" i="10"/>
  <c r="H19" i="10"/>
  <c r="H21" i="10"/>
  <c r="G20" i="10"/>
  <c r="N8" i="9"/>
  <c r="O13" i="10"/>
  <c r="G13" i="10"/>
  <c r="H12" i="10"/>
  <c r="N12" i="9"/>
  <c r="O21" i="10"/>
  <c r="G21" i="10"/>
  <c r="H20" i="10"/>
  <c r="H15" i="10"/>
  <c r="G14" i="10"/>
  <c r="K13" i="9"/>
  <c r="M13" i="9"/>
  <c r="K12" i="9"/>
  <c r="M12" i="9"/>
  <c r="K11" i="9"/>
  <c r="M11" i="9"/>
  <c r="M10" i="9"/>
  <c r="K10" i="9"/>
  <c r="M9" i="9"/>
  <c r="K9" i="9"/>
  <c r="M8" i="9"/>
  <c r="P16" i="10"/>
  <c r="P6" i="10"/>
  <c r="P8" i="10"/>
  <c r="P20" i="10"/>
  <c r="P15" i="10"/>
  <c r="P7" i="10"/>
  <c r="K8" i="9"/>
  <c r="P9" i="10"/>
  <c r="P17" i="10"/>
  <c r="N6" i="10"/>
  <c r="N21" i="10"/>
  <c r="N7" i="10"/>
  <c r="K12" i="10"/>
  <c r="K10" i="10"/>
  <c r="N11" i="10"/>
  <c r="L8" i="10"/>
  <c r="M9" i="10"/>
  <c r="K15" i="10"/>
  <c r="K16" i="10"/>
  <c r="M16" i="10"/>
  <c r="M12" i="10"/>
  <c r="K4" i="10"/>
  <c r="L5" i="10"/>
  <c r="M4" i="10"/>
  <c r="K8" i="10"/>
  <c r="M6" i="10"/>
  <c r="K9" i="10"/>
  <c r="N14" i="10"/>
  <c r="L12" i="10"/>
  <c r="L9" i="10"/>
  <c r="M13" i="10"/>
  <c r="L6" i="10"/>
  <c r="L19" i="10"/>
  <c r="L14" i="10"/>
  <c r="M15" i="10"/>
  <c r="L10" i="10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6" i="7"/>
  <c r="C5" i="8"/>
  <c r="C4" i="8"/>
  <c r="C3" i="8"/>
  <c r="K22" i="10" l="1"/>
  <c r="I7" i="10"/>
  <c r="I5" i="10"/>
  <c r="K86" i="9"/>
  <c r="I4" i="10"/>
  <c r="I6" i="10"/>
  <c r="I11" i="10"/>
  <c r="I9" i="10"/>
  <c r="I21" i="10"/>
  <c r="I10" i="10"/>
  <c r="K111" i="9"/>
  <c r="K84" i="9"/>
  <c r="K107" i="9"/>
  <c r="K79" i="9"/>
  <c r="K101" i="9"/>
  <c r="K77" i="9"/>
  <c r="K90" i="9"/>
  <c r="K99" i="9"/>
  <c r="K98" i="9"/>
  <c r="K94" i="9"/>
  <c r="K88" i="9"/>
  <c r="K69" i="9"/>
  <c r="K70" i="9"/>
  <c r="K106" i="9"/>
  <c r="K97" i="9"/>
  <c r="K87" i="9"/>
  <c r="K100" i="9"/>
  <c r="E11" i="8"/>
  <c r="B6" i="1" s="1"/>
  <c r="K61" i="9"/>
  <c r="I8" i="10"/>
  <c r="K76" i="9"/>
  <c r="K102" i="9"/>
  <c r="K82" i="9"/>
  <c r="K73" i="9"/>
  <c r="K93" i="9"/>
  <c r="K72" i="9"/>
  <c r="K60" i="9"/>
  <c r="K85" i="9"/>
  <c r="K96" i="9"/>
  <c r="K78" i="9"/>
  <c r="K92" i="9"/>
  <c r="K104" i="9"/>
  <c r="K95" i="9"/>
  <c r="K89" i="9"/>
  <c r="K80" i="9"/>
  <c r="K103" i="9"/>
  <c r="K110" i="9"/>
  <c r="K105" i="9"/>
  <c r="K109" i="9"/>
  <c r="K91" i="9"/>
  <c r="K108" i="9"/>
  <c r="K75" i="9"/>
  <c r="K83" i="9"/>
  <c r="I14" i="10"/>
  <c r="I13" i="10"/>
  <c r="I18" i="10"/>
  <c r="I17" i="10"/>
  <c r="I19" i="10"/>
  <c r="I16" i="10"/>
  <c r="I20" i="10"/>
  <c r="I12" i="10"/>
  <c r="I15" i="10"/>
  <c r="K67" i="9"/>
  <c r="K66" i="9"/>
  <c r="K65" i="9"/>
  <c r="K64" i="9"/>
  <c r="K63" i="9"/>
  <c r="K62" i="9"/>
  <c r="Q15" i="10"/>
  <c r="J15" i="10" s="1"/>
  <c r="Q20" i="10"/>
  <c r="J20" i="10" s="1"/>
  <c r="Q17" i="10"/>
  <c r="J17" i="10" s="1"/>
  <c r="Q8" i="10"/>
  <c r="J8" i="10" s="1"/>
  <c r="Q19" i="10"/>
  <c r="J19" i="10" s="1"/>
  <c r="Q9" i="10"/>
  <c r="J9" i="10" s="1"/>
  <c r="Q4" i="10"/>
  <c r="J4" i="10" s="1"/>
  <c r="Q13" i="10"/>
  <c r="J13" i="10" s="1"/>
  <c r="Q18" i="10"/>
  <c r="J18" i="10" s="1"/>
  <c r="Q21" i="10"/>
  <c r="J21" i="10" s="1"/>
  <c r="Q11" i="10"/>
  <c r="J11" i="10" s="1"/>
  <c r="Q5" i="10"/>
  <c r="J5" i="10" s="1"/>
  <c r="Q10" i="10"/>
  <c r="J10" i="10" s="1"/>
  <c r="Q14" i="10"/>
  <c r="J14" i="10" s="1"/>
  <c r="Q16" i="10"/>
  <c r="J16" i="10" s="1"/>
  <c r="Q7" i="10"/>
  <c r="J7" i="10" s="1"/>
  <c r="T7" i="10" s="1"/>
  <c r="Q12" i="10"/>
  <c r="J12" i="10" s="1"/>
  <c r="Q6" i="10"/>
  <c r="J6" i="10" s="1"/>
  <c r="E12" i="8"/>
  <c r="E71" i="8"/>
  <c r="P31" i="1" s="1"/>
  <c r="E28" i="8"/>
  <c r="E79" i="8"/>
  <c r="P43" i="1" s="1"/>
  <c r="E45" i="8"/>
  <c r="E72" i="8"/>
  <c r="P32" i="1" s="1"/>
  <c r="E37" i="8"/>
  <c r="E21" i="8"/>
  <c r="Q8" i="1" s="1"/>
  <c r="E36" i="8"/>
  <c r="B18" i="2" s="1"/>
  <c r="E20" i="8"/>
  <c r="E62" i="8"/>
  <c r="E29" i="8"/>
  <c r="Y8" i="1" s="1"/>
  <c r="E61" i="8"/>
  <c r="E88" i="8"/>
  <c r="G2" i="2" s="1"/>
  <c r="E54" i="8"/>
  <c r="E87" i="8"/>
  <c r="E53" i="8"/>
  <c r="E80" i="8"/>
  <c r="P44" i="1" s="1"/>
  <c r="E46" i="8"/>
  <c r="M4" i="3" s="1"/>
  <c r="E13" i="8"/>
  <c r="E85" i="8"/>
  <c r="E77" i="8"/>
  <c r="O40" i="1" s="1"/>
  <c r="E69" i="8"/>
  <c r="E59" i="8"/>
  <c r="E51" i="8"/>
  <c r="F67" i="8" s="1"/>
  <c r="E43" i="8"/>
  <c r="R6" i="1" s="1"/>
  <c r="E34" i="8"/>
  <c r="E26" i="8"/>
  <c r="X8" i="1" s="1"/>
  <c r="E18" i="8"/>
  <c r="Y7" i="1" s="1"/>
  <c r="E10" i="8"/>
  <c r="E84" i="8"/>
  <c r="O50" i="1" s="1"/>
  <c r="E76" i="8"/>
  <c r="O37" i="1" s="1"/>
  <c r="E66" i="8"/>
  <c r="AB8" i="1" s="1"/>
  <c r="E58" i="8"/>
  <c r="E50" i="8"/>
  <c r="F5" i="8" s="1"/>
  <c r="E42" i="8"/>
  <c r="T2" i="2" s="1"/>
  <c r="E33" i="8"/>
  <c r="E25" i="8"/>
  <c r="U8" i="1" s="1"/>
  <c r="E17" i="8"/>
  <c r="E9" i="8"/>
  <c r="E6" i="8"/>
  <c r="B2" i="7" s="1"/>
  <c r="E83" i="8"/>
  <c r="O48" i="1" s="1"/>
  <c r="E75" i="8"/>
  <c r="P35" i="1" s="1"/>
  <c r="E65" i="8"/>
  <c r="L8" i="1" s="1"/>
  <c r="E57" i="8"/>
  <c r="E49" i="8"/>
  <c r="F1" i="8" s="1"/>
  <c r="E40" i="8"/>
  <c r="C3" i="7" s="1"/>
  <c r="E32" i="8"/>
  <c r="E24" i="8"/>
  <c r="T8" i="1" s="1"/>
  <c r="E16" i="8"/>
  <c r="E8" i="8"/>
  <c r="E90" i="8"/>
  <c r="E82" i="8"/>
  <c r="P46" i="1" s="1"/>
  <c r="E74" i="8"/>
  <c r="P34" i="1" s="1"/>
  <c r="E64" i="8"/>
  <c r="E56" i="8"/>
  <c r="E6" i="3" s="1"/>
  <c r="E48" i="8"/>
  <c r="N6" i="3" s="1"/>
  <c r="E39" i="8"/>
  <c r="S3" i="2" s="1"/>
  <c r="E31" i="8"/>
  <c r="E23" i="8"/>
  <c r="S8" i="1" s="1"/>
  <c r="E15" i="8"/>
  <c r="E7" i="8"/>
  <c r="E89" i="8"/>
  <c r="E81" i="8"/>
  <c r="P45" i="1" s="1"/>
  <c r="E73" i="8"/>
  <c r="P33" i="1" s="1"/>
  <c r="E63" i="8"/>
  <c r="D5" i="7" s="1"/>
  <c r="E55" i="8"/>
  <c r="E47" i="8"/>
  <c r="M6" i="3" s="1"/>
  <c r="E38" i="8"/>
  <c r="B2" i="2" s="1"/>
  <c r="E30" i="8"/>
  <c r="Z8" i="1" s="1"/>
  <c r="E22" i="8"/>
  <c r="R8" i="1" s="1"/>
  <c r="E14" i="8"/>
  <c r="F8" i="1" s="1"/>
  <c r="E86" i="8"/>
  <c r="L1" i="8" s="1"/>
  <c r="E78" i="8"/>
  <c r="P42" i="1" s="1"/>
  <c r="E70" i="8"/>
  <c r="O29" i="1" s="1"/>
  <c r="E60" i="8"/>
  <c r="E52" i="8"/>
  <c r="E44" i="8"/>
  <c r="C2" i="3" s="1"/>
  <c r="E35" i="8"/>
  <c r="B10" i="2" s="1"/>
  <c r="E27" i="8"/>
  <c r="AA8" i="1" s="1"/>
  <c r="E19" i="8"/>
  <c r="L15" i="9" l="1"/>
  <c r="L7" i="2"/>
  <c r="O15" i="2"/>
  <c r="I15" i="2"/>
  <c r="I21" i="2"/>
  <c r="J58" i="1"/>
  <c r="J48" i="1"/>
  <c r="J38" i="1"/>
  <c r="J28" i="1"/>
  <c r="J26" i="1"/>
  <c r="J18" i="1"/>
  <c r="J16" i="1"/>
  <c r="L6" i="2"/>
  <c r="O14" i="2"/>
  <c r="I14" i="2"/>
  <c r="I20" i="2"/>
  <c r="J59" i="1"/>
  <c r="J49" i="1"/>
  <c r="J39" i="1"/>
  <c r="J29" i="1"/>
  <c r="J19" i="1"/>
  <c r="J17" i="1"/>
  <c r="J9" i="1"/>
  <c r="L5" i="2"/>
  <c r="O13" i="2"/>
  <c r="I13" i="2"/>
  <c r="L26" i="2"/>
  <c r="J60" i="1"/>
  <c r="J50" i="1"/>
  <c r="J40" i="1"/>
  <c r="J30" i="1"/>
  <c r="J20" i="1"/>
  <c r="J10" i="1"/>
  <c r="I4" i="2"/>
  <c r="L20" i="2"/>
  <c r="J46" i="1"/>
  <c r="J36" i="1"/>
  <c r="J24" i="1"/>
  <c r="I7" i="2"/>
  <c r="L21" i="2"/>
  <c r="J47" i="1"/>
  <c r="J35" i="1"/>
  <c r="J25" i="1"/>
  <c r="L4" i="2"/>
  <c r="O12" i="2"/>
  <c r="I12" i="2"/>
  <c r="I26" i="2"/>
  <c r="J61" i="1"/>
  <c r="J51" i="1"/>
  <c r="J41" i="1"/>
  <c r="J31" i="1"/>
  <c r="J21" i="1"/>
  <c r="J11" i="1"/>
  <c r="I6" i="2"/>
  <c r="O7" i="2"/>
  <c r="L15" i="2"/>
  <c r="O21" i="2"/>
  <c r="J62" i="1"/>
  <c r="J54" i="1"/>
  <c r="J52" i="1"/>
  <c r="J42" i="1"/>
  <c r="J32" i="1"/>
  <c r="J22" i="1"/>
  <c r="J12" i="1"/>
  <c r="I5" i="2"/>
  <c r="O6" i="2"/>
  <c r="L14" i="2"/>
  <c r="O20" i="2"/>
  <c r="J55" i="1"/>
  <c r="J53" i="1"/>
  <c r="J45" i="1"/>
  <c r="J43" i="1"/>
  <c r="J33" i="1"/>
  <c r="J23" i="1"/>
  <c r="J13" i="1"/>
  <c r="O5" i="2"/>
  <c r="L13" i="2"/>
  <c r="J56" i="1"/>
  <c r="J44" i="1"/>
  <c r="J34" i="1"/>
  <c r="J14" i="1"/>
  <c r="O4" i="2"/>
  <c r="L12" i="2"/>
  <c r="J57" i="1"/>
  <c r="J37" i="1"/>
  <c r="J27" i="1"/>
  <c r="J15" i="1"/>
  <c r="L97" i="9"/>
  <c r="L85" i="9"/>
  <c r="L91" i="9"/>
  <c r="L22" i="9"/>
  <c r="L50" i="9"/>
  <c r="L39" i="9"/>
  <c r="L110" i="9"/>
  <c r="L38" i="9"/>
  <c r="L26" i="9"/>
  <c r="L54" i="9"/>
  <c r="L49" i="9"/>
  <c r="L92" i="9"/>
  <c r="L76" i="9"/>
  <c r="L87" i="9"/>
  <c r="L98" i="9"/>
  <c r="L45" i="9"/>
  <c r="L107" i="9"/>
  <c r="Y3" i="2"/>
  <c r="T80" i="1"/>
  <c r="T59" i="1"/>
  <c r="AB59" i="1"/>
  <c r="AB80" i="1"/>
  <c r="L37" i="9"/>
  <c r="L80" i="9"/>
  <c r="L24" i="9"/>
  <c r="L106" i="9"/>
  <c r="L53" i="9"/>
  <c r="AF3" i="2"/>
  <c r="AA59" i="1"/>
  <c r="AA80" i="1"/>
  <c r="L109" i="9"/>
  <c r="L35" i="9"/>
  <c r="L36" i="9"/>
  <c r="L86" i="9"/>
  <c r="B24" i="2"/>
  <c r="B26" i="2"/>
  <c r="L29" i="9"/>
  <c r="L55" i="9"/>
  <c r="L96" i="9"/>
  <c r="L28" i="9"/>
  <c r="L90" i="9"/>
  <c r="L111" i="9"/>
  <c r="AE3" i="2"/>
  <c r="Z59" i="1"/>
  <c r="Z80" i="1"/>
  <c r="Z3" i="2"/>
  <c r="U59" i="1"/>
  <c r="U80" i="1"/>
  <c r="L83" i="9"/>
  <c r="L105" i="9"/>
  <c r="L95" i="9"/>
  <c r="L31" i="9"/>
  <c r="L82" i="9"/>
  <c r="L46" i="9"/>
  <c r="L34" i="9"/>
  <c r="L88" i="9"/>
  <c r="L101" i="9"/>
  <c r="X3" i="2"/>
  <c r="S59" i="1"/>
  <c r="S80" i="1"/>
  <c r="AC3" i="2"/>
  <c r="X80" i="1"/>
  <c r="X59" i="1"/>
  <c r="AD3" i="2"/>
  <c r="Y59" i="1"/>
  <c r="Y80" i="1"/>
  <c r="L103" i="9"/>
  <c r="L104" i="9"/>
  <c r="L48" i="9"/>
  <c r="L33" i="9"/>
  <c r="L94" i="9"/>
  <c r="L25" i="9"/>
  <c r="L81" i="9"/>
  <c r="L51" i="9"/>
  <c r="L89" i="9"/>
  <c r="L78" i="9"/>
  <c r="L93" i="9"/>
  <c r="L43" i="9"/>
  <c r="L40" i="9"/>
  <c r="L77" i="9"/>
  <c r="L84" i="9"/>
  <c r="L108" i="9"/>
  <c r="L56" i="9"/>
  <c r="L41" i="9"/>
  <c r="L42" i="9"/>
  <c r="L52" i="9"/>
  <c r="L44" i="9"/>
  <c r="L47" i="9"/>
  <c r="L57" i="9"/>
  <c r="L102" i="9"/>
  <c r="L100" i="9"/>
  <c r="L99" i="9"/>
  <c r="L79" i="9"/>
  <c r="L23" i="9"/>
  <c r="L30" i="9"/>
  <c r="L27" i="9"/>
  <c r="L32" i="9"/>
  <c r="T5" i="10"/>
  <c r="T6" i="10"/>
  <c r="T11" i="10"/>
  <c r="T4" i="10"/>
  <c r="L12" i="9"/>
  <c r="L8" i="9"/>
  <c r="L16" i="9"/>
  <c r="L63" i="9"/>
  <c r="L60" i="9"/>
  <c r="L70" i="9"/>
  <c r="L64" i="9"/>
  <c r="L18" i="9"/>
  <c r="L68" i="9"/>
  <c r="L59" i="9"/>
  <c r="L11" i="9"/>
  <c r="L21" i="9"/>
  <c r="L72" i="9"/>
  <c r="L69" i="9"/>
  <c r="L65" i="9"/>
  <c r="L75" i="9"/>
  <c r="L66" i="9"/>
  <c r="L73" i="9"/>
  <c r="L61" i="9"/>
  <c r="L74" i="9"/>
  <c r="L62" i="9"/>
  <c r="L67" i="9"/>
  <c r="L71" i="9"/>
  <c r="T21" i="10"/>
  <c r="T9" i="10"/>
  <c r="L20" i="9"/>
  <c r="L14" i="9"/>
  <c r="L9" i="9"/>
  <c r="L13" i="9"/>
  <c r="L19" i="9"/>
  <c r="L17" i="9"/>
  <c r="L7" i="9"/>
  <c r="L10" i="9"/>
  <c r="T10" i="10"/>
  <c r="T12" i="10"/>
  <c r="T14" i="10"/>
  <c r="T20" i="10"/>
  <c r="T18" i="10"/>
  <c r="T8" i="10"/>
  <c r="T13" i="10"/>
  <c r="H25" i="2"/>
  <c r="I8" i="1"/>
  <c r="V10" i="1"/>
  <c r="V18" i="1"/>
  <c r="V26" i="1"/>
  <c r="V11" i="1"/>
  <c r="V19" i="1"/>
  <c r="V9" i="1"/>
  <c r="V12" i="1"/>
  <c r="V20" i="1"/>
  <c r="V22" i="1"/>
  <c r="V13" i="1"/>
  <c r="V21" i="1"/>
  <c r="V14" i="1"/>
  <c r="V15" i="1"/>
  <c r="V23" i="1"/>
  <c r="V25" i="1"/>
  <c r="V16" i="1"/>
  <c r="V24" i="1"/>
  <c r="V17" i="1"/>
  <c r="L5" i="9"/>
  <c r="L4" i="9"/>
  <c r="L58" i="9"/>
  <c r="H19" i="2"/>
  <c r="H11" i="2"/>
  <c r="H3" i="2"/>
  <c r="U6" i="3"/>
  <c r="E8" i="1"/>
  <c r="V3" i="2"/>
  <c r="Q80" i="1"/>
  <c r="Q59" i="1"/>
  <c r="T6" i="3"/>
  <c r="D8" i="1"/>
  <c r="L6" i="9"/>
  <c r="K3" i="2"/>
  <c r="K19" i="2"/>
  <c r="K11" i="2"/>
  <c r="O6" i="1"/>
  <c r="L6" i="3"/>
  <c r="B8" i="1"/>
  <c r="C5" i="7"/>
  <c r="D6" i="3"/>
  <c r="B5" i="7"/>
  <c r="C6" i="3"/>
  <c r="C8" i="1"/>
  <c r="W3" i="2"/>
  <c r="R80" i="1"/>
  <c r="R59" i="1"/>
  <c r="N10" i="2"/>
  <c r="N18" i="2"/>
  <c r="N2" i="2"/>
  <c r="K24" i="2"/>
  <c r="C4" i="3"/>
  <c r="Q6" i="3"/>
  <c r="T19" i="10"/>
  <c r="T16" i="10"/>
  <c r="T15" i="10"/>
  <c r="T17" i="10"/>
  <c r="O9" i="1"/>
  <c r="V4" i="10" l="1"/>
  <c r="V20" i="10"/>
  <c r="V14" i="10"/>
  <c r="V5" i="10"/>
  <c r="V12" i="10"/>
  <c r="V11" i="10"/>
  <c r="V10" i="10"/>
  <c r="V16" i="10"/>
  <c r="V21" i="10"/>
  <c r="V13" i="10"/>
  <c r="V6" i="10"/>
  <c r="V7" i="10"/>
  <c r="V8" i="10"/>
  <c r="V17" i="10"/>
  <c r="V15" i="10"/>
  <c r="V19" i="10"/>
  <c r="V9" i="10"/>
  <c r="V18" i="10"/>
  <c r="AE9" i="1"/>
  <c r="E7" i="10" l="1"/>
  <c r="D7" i="10" s="1"/>
  <c r="E11" i="10"/>
  <c r="D11" i="10" s="1"/>
  <c r="E18" i="10"/>
  <c r="D18" i="10" s="1"/>
  <c r="E6" i="10"/>
  <c r="D6" i="10" s="1"/>
  <c r="E14" i="10"/>
  <c r="D14" i="10" s="1"/>
  <c r="E13" i="10"/>
  <c r="D13" i="10" s="1"/>
  <c r="E19" i="10"/>
  <c r="D19" i="10" s="1"/>
  <c r="E21" i="10"/>
  <c r="D21" i="10" s="1"/>
  <c r="E5" i="10"/>
  <c r="D5" i="10" s="1"/>
  <c r="E20" i="10"/>
  <c r="D20" i="10" s="1"/>
  <c r="E15" i="10"/>
  <c r="D15" i="10" s="1"/>
  <c r="E16" i="10"/>
  <c r="D16" i="10" s="1"/>
  <c r="E9" i="10"/>
  <c r="D9" i="10" s="1"/>
  <c r="E12" i="10"/>
  <c r="D12" i="10" s="1"/>
  <c r="E17" i="10"/>
  <c r="D17" i="10" s="1"/>
  <c r="E4" i="10"/>
  <c r="D4" i="10" s="1"/>
  <c r="E10" i="10"/>
  <c r="D10" i="10" s="1"/>
  <c r="E8" i="10"/>
  <c r="D8" i="10" s="1"/>
  <c r="C20" i="10" l="1"/>
  <c r="C21" i="10"/>
  <c r="C15" i="10"/>
  <c r="C8" i="10"/>
  <c r="C17" i="10"/>
  <c r="C10" i="10"/>
  <c r="C12" i="10"/>
  <c r="C9" i="10"/>
  <c r="C14" i="10"/>
  <c r="C13" i="10"/>
  <c r="C16" i="10"/>
  <c r="C19" i="10"/>
  <c r="C7" i="10"/>
  <c r="C5" i="10"/>
  <c r="C6" i="10"/>
  <c r="C18" i="10"/>
  <c r="C11" i="10"/>
  <c r="C4" i="10"/>
  <c r="Q15" i="1" l="1"/>
  <c r="R15" i="1" s="1"/>
  <c r="Q18" i="1"/>
  <c r="R18" i="1" s="1"/>
  <c r="Q13" i="1"/>
  <c r="R13" i="1" s="1"/>
  <c r="Q22" i="1"/>
  <c r="R22" i="1" s="1"/>
  <c r="Q16" i="1"/>
  <c r="R16" i="1" s="1"/>
  <c r="Q20" i="1"/>
  <c r="R20" i="1" s="1"/>
  <c r="Q19" i="1"/>
  <c r="R19" i="1" s="1"/>
  <c r="O10" i="1"/>
  <c r="AE10" i="1" s="1"/>
  <c r="Q17" i="1"/>
  <c r="R17" i="1" s="1"/>
  <c r="Q26" i="1"/>
  <c r="R26" i="1" s="1"/>
  <c r="Q11" i="1"/>
  <c r="R11" i="1" s="1"/>
  <c r="Q12" i="1"/>
  <c r="R12" i="1" s="1"/>
  <c r="Q23" i="1"/>
  <c r="R23" i="1" s="1"/>
  <c r="P13" i="1"/>
  <c r="P17" i="1"/>
  <c r="P11" i="1"/>
  <c r="P12" i="1"/>
  <c r="P23" i="1"/>
  <c r="AU8" i="1" s="1"/>
  <c r="P21" i="1"/>
  <c r="AS8" i="1" s="1"/>
  <c r="P10" i="1"/>
  <c r="P26" i="1"/>
  <c r="AF26" i="1" s="1"/>
  <c r="P9" i="1"/>
  <c r="P20" i="1"/>
  <c r="P14" i="1"/>
  <c r="P18" i="1"/>
  <c r="P25" i="1"/>
  <c r="AC25" i="1" s="1"/>
  <c r="AW7" i="1" s="1"/>
  <c r="P22" i="1"/>
  <c r="AC22" i="1" s="1"/>
  <c r="AT7" i="1" s="1"/>
  <c r="P15" i="1"/>
  <c r="P19" i="1"/>
  <c r="AF19" i="1" s="1"/>
  <c r="P16" i="1"/>
  <c r="P24" i="1"/>
  <c r="AC24" i="1" s="1"/>
  <c r="AV7" i="1" s="1"/>
  <c r="Q14" i="1"/>
  <c r="R14" i="1" s="1"/>
  <c r="Q9" i="1"/>
  <c r="T9" i="1" s="1"/>
  <c r="Q25" i="1"/>
  <c r="R25" i="1" s="1"/>
  <c r="Q10" i="1"/>
  <c r="R10" i="1" s="1"/>
  <c r="Q24" i="1"/>
  <c r="R24" i="1" s="1"/>
  <c r="Q21" i="1"/>
  <c r="R21" i="1" s="1"/>
  <c r="AB19" i="1"/>
  <c r="AB10" i="1"/>
  <c r="AB11" i="1"/>
  <c r="AB14" i="1"/>
  <c r="AB9" i="1"/>
  <c r="AB15" i="1"/>
  <c r="AB12" i="1"/>
  <c r="AB16" i="1"/>
  <c r="AB18" i="1"/>
  <c r="AB26" i="1"/>
  <c r="AB13" i="1"/>
  <c r="AB23" i="1"/>
  <c r="AB21" i="1"/>
  <c r="AB24" i="1"/>
  <c r="AB20" i="1"/>
  <c r="AB17" i="1"/>
  <c r="AB22" i="1"/>
  <c r="AB25" i="1"/>
  <c r="G12" i="2" l="1"/>
  <c r="AI18" i="2" s="1"/>
  <c r="U18" i="1"/>
  <c r="T16" i="1"/>
  <c r="Y16" i="1"/>
  <c r="S15" i="1"/>
  <c r="Y15" i="1"/>
  <c r="W15" i="1"/>
  <c r="T15" i="1"/>
  <c r="Z15" i="1"/>
  <c r="S17" i="1"/>
  <c r="AA22" i="1"/>
  <c r="W22" i="1"/>
  <c r="AC20" i="1"/>
  <c r="AR7" i="1" s="1"/>
  <c r="E7" i="2"/>
  <c r="AC19" i="1"/>
  <c r="AQ7" i="1" s="1"/>
  <c r="E6" i="2"/>
  <c r="AC11" i="1"/>
  <c r="AI7" i="1" s="1"/>
  <c r="G14" i="2"/>
  <c r="AI20" i="2" s="1"/>
  <c r="AF17" i="1"/>
  <c r="E4" i="2"/>
  <c r="AF10" i="1"/>
  <c r="G13" i="2"/>
  <c r="AF18" i="1"/>
  <c r="E5" i="2"/>
  <c r="AC12" i="1"/>
  <c r="AJ7" i="1" s="1"/>
  <c r="G15" i="2"/>
  <c r="U13" i="1"/>
  <c r="W11" i="1"/>
  <c r="Z18" i="1"/>
  <c r="U15" i="1"/>
  <c r="S18" i="1"/>
  <c r="X15" i="1"/>
  <c r="AA18" i="1"/>
  <c r="T18" i="1"/>
  <c r="AA15" i="1"/>
  <c r="U19" i="1"/>
  <c r="AO8" i="1"/>
  <c r="AO16" i="1" s="1"/>
  <c r="S13" i="1"/>
  <c r="Z11" i="1"/>
  <c r="AC16" i="1"/>
  <c r="AN7" i="1" s="1"/>
  <c r="G7" i="2"/>
  <c r="AF9" i="1"/>
  <c r="AC13" i="1"/>
  <c r="AK7" i="1" s="1"/>
  <c r="G4" i="2"/>
  <c r="U9" i="1"/>
  <c r="AF15" i="1"/>
  <c r="G6" i="2"/>
  <c r="AF14" i="1"/>
  <c r="G5" i="2"/>
  <c r="T24" i="1"/>
  <c r="AP8" i="1"/>
  <c r="AP22" i="1" s="1"/>
  <c r="U17" i="1"/>
  <c r="AA17" i="1"/>
  <c r="AF12" i="1"/>
  <c r="T17" i="1"/>
  <c r="AC18" i="1"/>
  <c r="AP7" i="1" s="1"/>
  <c r="AJ8" i="1"/>
  <c r="AJ15" i="1" s="1"/>
  <c r="W9" i="1"/>
  <c r="Y17" i="1"/>
  <c r="Z17" i="1"/>
  <c r="Z9" i="1"/>
  <c r="AA9" i="1"/>
  <c r="W17" i="1"/>
  <c r="X17" i="1"/>
  <c r="Y9" i="1"/>
  <c r="W18" i="1"/>
  <c r="AA19" i="1"/>
  <c r="X18" i="1"/>
  <c r="T20" i="1"/>
  <c r="Y18" i="1"/>
  <c r="X9" i="1"/>
  <c r="AA20" i="1"/>
  <c r="AC17" i="1"/>
  <c r="AO7" i="1" s="1"/>
  <c r="AF24" i="1"/>
  <c r="AS10" i="1"/>
  <c r="R9" i="1"/>
  <c r="W10" i="1"/>
  <c r="AT8" i="1"/>
  <c r="AT25" i="1" s="1"/>
  <c r="AF11" i="1"/>
  <c r="U14" i="1"/>
  <c r="X14" i="1"/>
  <c r="AC14" i="1"/>
  <c r="AL7" i="1" s="1"/>
  <c r="AI8" i="1"/>
  <c r="AI20" i="1" s="1"/>
  <c r="W14" i="1"/>
  <c r="Y14" i="1"/>
  <c r="S14" i="1"/>
  <c r="O11" i="1"/>
  <c r="AE11" i="1" s="1"/>
  <c r="AG8" i="1"/>
  <c r="AG18" i="1" s="1"/>
  <c r="T14" i="1"/>
  <c r="AA14" i="1"/>
  <c r="AL8" i="1"/>
  <c r="AL24" i="1" s="1"/>
  <c r="Z14" i="1"/>
  <c r="S10" i="1"/>
  <c r="AF22" i="1"/>
  <c r="AF21" i="1"/>
  <c r="AA13" i="1"/>
  <c r="T10" i="1"/>
  <c r="S11" i="1"/>
  <c r="Z22" i="1"/>
  <c r="U22" i="1"/>
  <c r="Y12" i="1"/>
  <c r="AC21" i="1"/>
  <c r="AS7" i="1" s="1"/>
  <c r="T13" i="1"/>
  <c r="AA10" i="1"/>
  <c r="AA11" i="1"/>
  <c r="AC15" i="1"/>
  <c r="AM7" i="1" s="1"/>
  <c r="U24" i="1"/>
  <c r="S22" i="1"/>
  <c r="W13" i="1"/>
  <c r="Y10" i="1"/>
  <c r="X11" i="1"/>
  <c r="X22" i="1"/>
  <c r="W12" i="1"/>
  <c r="AH8" i="1"/>
  <c r="AH16" i="1" s="1"/>
  <c r="Y13" i="1"/>
  <c r="U10" i="1"/>
  <c r="U11" i="1"/>
  <c r="AC10" i="1"/>
  <c r="AH7" i="1" s="1"/>
  <c r="Z13" i="1"/>
  <c r="Z10" i="1"/>
  <c r="T11" i="1"/>
  <c r="T22" i="1"/>
  <c r="Z12" i="1"/>
  <c r="Y22" i="1"/>
  <c r="S24" i="1"/>
  <c r="X13" i="1"/>
  <c r="X10" i="1"/>
  <c r="Y11" i="1"/>
  <c r="S9" i="1"/>
  <c r="T26" i="1"/>
  <c r="Z26" i="1"/>
  <c r="AF13" i="1"/>
  <c r="S20" i="1"/>
  <c r="AK8" i="1"/>
  <c r="AK16" i="1" s="1"/>
  <c r="AF16" i="1"/>
  <c r="U20" i="1"/>
  <c r="AN8" i="1"/>
  <c r="AN20" i="1" s="1"/>
  <c r="X20" i="1"/>
  <c r="AC26" i="1"/>
  <c r="AX7" i="1" s="1"/>
  <c r="Y20" i="1"/>
  <c r="AC9" i="1"/>
  <c r="AG7" i="1" s="1"/>
  <c r="W20" i="1"/>
  <c r="Z16" i="1"/>
  <c r="Z20" i="1"/>
  <c r="Z25" i="1"/>
  <c r="Z19" i="1"/>
  <c r="U25" i="1"/>
  <c r="W19" i="1"/>
  <c r="AA25" i="1"/>
  <c r="Y26" i="1"/>
  <c r="U26" i="1"/>
  <c r="Y19" i="1"/>
  <c r="AF23" i="1"/>
  <c r="AA26" i="1"/>
  <c r="S19" i="1"/>
  <c r="AC23" i="1"/>
  <c r="AU7" i="1" s="1"/>
  <c r="AV8" i="1"/>
  <c r="AV22" i="1" s="1"/>
  <c r="AF20" i="1"/>
  <c r="T19" i="1"/>
  <c r="AR8" i="1"/>
  <c r="AR18" i="1" s="1"/>
  <c r="S26" i="1"/>
  <c r="X26" i="1"/>
  <c r="X19" i="1"/>
  <c r="AU18" i="1"/>
  <c r="X12" i="1"/>
  <c r="X24" i="1"/>
  <c r="Y21" i="1"/>
  <c r="S25" i="1"/>
  <c r="S16" i="1"/>
  <c r="T12" i="1"/>
  <c r="Z24" i="1"/>
  <c r="AF25" i="1"/>
  <c r="Y25" i="1"/>
  <c r="X16" i="1"/>
  <c r="S12" i="1"/>
  <c r="AA24" i="1"/>
  <c r="AW8" i="1"/>
  <c r="AW15" i="1" s="1"/>
  <c r="W25" i="1"/>
  <c r="W23" i="1"/>
  <c r="W16" i="1"/>
  <c r="Y24" i="1"/>
  <c r="X25" i="1"/>
  <c r="AM8" i="1"/>
  <c r="AM18" i="1" s="1"/>
  <c r="AA16" i="1"/>
  <c r="U12" i="1"/>
  <c r="AA12" i="1"/>
  <c r="W24" i="1"/>
  <c r="W26" i="1"/>
  <c r="T25" i="1"/>
  <c r="U16" i="1"/>
  <c r="AQ8" i="1"/>
  <c r="AQ22" i="1" s="1"/>
  <c r="AX8" i="1"/>
  <c r="AX13" i="1" s="1"/>
  <c r="U21" i="1"/>
  <c r="T23" i="1"/>
  <c r="W21" i="1"/>
  <c r="Z23" i="1"/>
  <c r="T21" i="1"/>
  <c r="X23" i="1"/>
  <c r="Z21" i="1"/>
  <c r="Y23" i="1"/>
  <c r="X21" i="1"/>
  <c r="U23" i="1"/>
  <c r="S21" i="1"/>
  <c r="S23" i="1"/>
  <c r="AA21" i="1"/>
  <c r="AA23" i="1"/>
  <c r="AU26" i="1"/>
  <c r="AU17" i="1"/>
  <c r="AU11" i="1"/>
  <c r="AU19" i="1"/>
  <c r="AU10" i="1"/>
  <c r="AU25" i="1"/>
  <c r="AS19" i="1"/>
  <c r="AU21" i="1"/>
  <c r="AU14" i="1"/>
  <c r="AU12" i="1"/>
  <c r="AS11" i="1"/>
  <c r="AS26" i="1"/>
  <c r="AU22" i="1"/>
  <c r="AS12" i="1"/>
  <c r="AU13" i="1"/>
  <c r="AU20" i="1"/>
  <c r="AS15" i="1"/>
  <c r="AU24" i="1"/>
  <c r="AS13" i="1"/>
  <c r="AU9" i="1"/>
  <c r="AS24" i="1"/>
  <c r="AS17" i="1"/>
  <c r="AS23" i="1"/>
  <c r="AU15" i="1"/>
  <c r="AU16" i="1"/>
  <c r="AS20" i="1"/>
  <c r="AS14" i="1"/>
  <c r="AS16" i="1"/>
  <c r="AS18" i="1"/>
  <c r="AS25" i="1"/>
  <c r="AS22" i="1"/>
  <c r="AS9" i="1"/>
  <c r="AO13" i="1" l="1"/>
  <c r="AO14" i="1"/>
  <c r="AO15" i="1"/>
  <c r="AQ14" i="2"/>
  <c r="AR14" i="2"/>
  <c r="AO11" i="1"/>
  <c r="AO21" i="1"/>
  <c r="AO18" i="1"/>
  <c r="AO24" i="1"/>
  <c r="AO20" i="1"/>
  <c r="AO22" i="1"/>
  <c r="AO19" i="1"/>
  <c r="AO26" i="1"/>
  <c r="AO9" i="1"/>
  <c r="AO23" i="1"/>
  <c r="AO12" i="1"/>
  <c r="AO25" i="1"/>
  <c r="AO10" i="1"/>
  <c r="AV16" i="1"/>
  <c r="AT20" i="1"/>
  <c r="AT21" i="1"/>
  <c r="AT10" i="1"/>
  <c r="AT11" i="1"/>
  <c r="AT12" i="1"/>
  <c r="AT17" i="1"/>
  <c r="AT24" i="1"/>
  <c r="AT19" i="1"/>
  <c r="AT26" i="1"/>
  <c r="AT18" i="1"/>
  <c r="AT16" i="1"/>
  <c r="AT9" i="1"/>
  <c r="AT15" i="1"/>
  <c r="AG25" i="1"/>
  <c r="AG24" i="1"/>
  <c r="AT13" i="1"/>
  <c r="AT23" i="1"/>
  <c r="AT14" i="1"/>
  <c r="AJ21" i="1"/>
  <c r="AG10" i="1"/>
  <c r="AG23" i="1"/>
  <c r="AJ19" i="1"/>
  <c r="AJ9" i="1"/>
  <c r="AJ14" i="1"/>
  <c r="AJ25" i="1"/>
  <c r="AQ15" i="2"/>
  <c r="AJ23" i="1"/>
  <c r="AN14" i="1"/>
  <c r="AR15" i="2"/>
  <c r="E15" i="2" s="1"/>
  <c r="AI21" i="2" s="1"/>
  <c r="G21" i="2" s="1"/>
  <c r="AJ13" i="1"/>
  <c r="AJ22" i="1"/>
  <c r="AJ20" i="1"/>
  <c r="AJ18" i="1"/>
  <c r="AJ16" i="1"/>
  <c r="AJ24" i="1"/>
  <c r="AJ17" i="1"/>
  <c r="AG13" i="1"/>
  <c r="AJ10" i="1"/>
  <c r="AJ11" i="1"/>
  <c r="AQ16" i="1"/>
  <c r="AR19" i="1"/>
  <c r="AJ26" i="1"/>
  <c r="AQ13" i="2"/>
  <c r="AQ12" i="2"/>
  <c r="AR12" i="2"/>
  <c r="AR13" i="2"/>
  <c r="AR23" i="1"/>
  <c r="AN24" i="1"/>
  <c r="AH22" i="1"/>
  <c r="AH11" i="1"/>
  <c r="AH20" i="1"/>
  <c r="AH24" i="1"/>
  <c r="AH19" i="1"/>
  <c r="AN18" i="1"/>
  <c r="AH18" i="1"/>
  <c r="AP10" i="1"/>
  <c r="AR24" i="1"/>
  <c r="AR15" i="1"/>
  <c r="AR13" i="1"/>
  <c r="AL23" i="1"/>
  <c r="AP14" i="1"/>
  <c r="AX24" i="1"/>
  <c r="AP15" i="1"/>
  <c r="AP25" i="1"/>
  <c r="AM20" i="1"/>
  <c r="AL25" i="1"/>
  <c r="AL19" i="1"/>
  <c r="AP23" i="1"/>
  <c r="AL17" i="1"/>
  <c r="AR21" i="1"/>
  <c r="AV20" i="1"/>
  <c r="AR10" i="1"/>
  <c r="AV9" i="1"/>
  <c r="AV26" i="1"/>
  <c r="AR22" i="1"/>
  <c r="AH15" i="1"/>
  <c r="AH25" i="1"/>
  <c r="AL15" i="1"/>
  <c r="AL10" i="1"/>
  <c r="AL12" i="1"/>
  <c r="AH17" i="1"/>
  <c r="AN22" i="1"/>
  <c r="AN11" i="1"/>
  <c r="AN19" i="1"/>
  <c r="AP13" i="1"/>
  <c r="AP17" i="1"/>
  <c r="AI10" i="1"/>
  <c r="AL9" i="1"/>
  <c r="AL18" i="1"/>
  <c r="AH26" i="1"/>
  <c r="AN15" i="1"/>
  <c r="AN9" i="1"/>
  <c r="AN12" i="1"/>
  <c r="AP26" i="1"/>
  <c r="AX16" i="1"/>
  <c r="AI14" i="1"/>
  <c r="AP9" i="1"/>
  <c r="AP19" i="1"/>
  <c r="AL13" i="1"/>
  <c r="AL22" i="1"/>
  <c r="AH14" i="1"/>
  <c r="AL16" i="1"/>
  <c r="O12" i="1"/>
  <c r="O13" i="1" s="1"/>
  <c r="AH12" i="1"/>
  <c r="AN23" i="1"/>
  <c r="AN21" i="1"/>
  <c r="AP12" i="1"/>
  <c r="AP24" i="1"/>
  <c r="AP16" i="1"/>
  <c r="AN10" i="1"/>
  <c r="AI26" i="1"/>
  <c r="AL20" i="1"/>
  <c r="AH21" i="1"/>
  <c r="AL21" i="1"/>
  <c r="AR14" i="1"/>
  <c r="AP20" i="1"/>
  <c r="AP21" i="1"/>
  <c r="AR26" i="1"/>
  <c r="AP11" i="1"/>
  <c r="AH9" i="1"/>
  <c r="AI19" i="1"/>
  <c r="AH13" i="1"/>
  <c r="AH23" i="1"/>
  <c r="AL26" i="1"/>
  <c r="AL11" i="1"/>
  <c r="AQ11" i="1"/>
  <c r="AV14" i="1"/>
  <c r="AQ24" i="1"/>
  <c r="AQ10" i="1"/>
  <c r="AV10" i="1"/>
  <c r="AV18" i="1"/>
  <c r="AV13" i="1"/>
  <c r="AQ18" i="1"/>
  <c r="AQ9" i="1"/>
  <c r="AQ17" i="1"/>
  <c r="AQ15" i="1"/>
  <c r="AV12" i="1"/>
  <c r="AQ13" i="1"/>
  <c r="AQ26" i="1"/>
  <c r="AV23" i="1"/>
  <c r="AQ20" i="1"/>
  <c r="AV25" i="1"/>
  <c r="AQ21" i="1"/>
  <c r="AV17" i="1"/>
  <c r="AQ12" i="1"/>
  <c r="AQ14" i="1"/>
  <c r="AV15" i="1"/>
  <c r="AQ25" i="1"/>
  <c r="AV21" i="1"/>
  <c r="AG20" i="1"/>
  <c r="AG12" i="1"/>
  <c r="AG17" i="1"/>
  <c r="AV19" i="1"/>
  <c r="AG16" i="1"/>
  <c r="AG22" i="1"/>
  <c r="AG26" i="1"/>
  <c r="AG14" i="1"/>
  <c r="AG21" i="1"/>
  <c r="AG11" i="1"/>
  <c r="AG19" i="1"/>
  <c r="AG15" i="1"/>
  <c r="AM24" i="1"/>
  <c r="AM23" i="1"/>
  <c r="AM16" i="1"/>
  <c r="AI12" i="1"/>
  <c r="AI16" i="1"/>
  <c r="AW18" i="1"/>
  <c r="AW26" i="1"/>
  <c r="AI22" i="1"/>
  <c r="AI17" i="1"/>
  <c r="AI24" i="1"/>
  <c r="AW23" i="1"/>
  <c r="AI23" i="1"/>
  <c r="AI21" i="1"/>
  <c r="AI15" i="1"/>
  <c r="AI25" i="1"/>
  <c r="AI13" i="1"/>
  <c r="AQ23" i="1"/>
  <c r="AM10" i="1"/>
  <c r="AM14" i="1"/>
  <c r="AV11" i="1"/>
  <c r="AN13" i="1"/>
  <c r="AN25" i="1"/>
  <c r="AI18" i="1"/>
  <c r="AW14" i="1"/>
  <c r="AK14" i="1"/>
  <c r="AI9" i="1"/>
  <c r="AW9" i="1"/>
  <c r="AN17" i="1"/>
  <c r="AN26" i="1"/>
  <c r="AM22" i="1"/>
  <c r="AM26" i="1"/>
  <c r="AM21" i="1"/>
  <c r="AM25" i="1"/>
  <c r="AM19" i="1"/>
  <c r="AM12" i="1"/>
  <c r="AM17" i="1"/>
  <c r="AM9" i="1"/>
  <c r="AM13" i="1"/>
  <c r="AM11" i="1"/>
  <c r="AK25" i="1"/>
  <c r="AX12" i="1"/>
  <c r="AX22" i="1"/>
  <c r="AX20" i="1"/>
  <c r="AX21" i="1"/>
  <c r="AX25" i="1"/>
  <c r="AX19" i="1"/>
  <c r="AX14" i="1"/>
  <c r="AX17" i="1"/>
  <c r="AX18" i="1"/>
  <c r="AX9" i="1"/>
  <c r="AX15" i="1"/>
  <c r="AX23" i="1"/>
  <c r="AX10" i="1"/>
  <c r="AX11" i="1"/>
  <c r="AK26" i="1"/>
  <c r="AK10" i="1"/>
  <c r="AK22" i="1"/>
  <c r="AK9" i="1"/>
  <c r="AK12" i="1"/>
  <c r="AK19" i="1"/>
  <c r="AK21" i="1"/>
  <c r="AK17" i="1"/>
  <c r="AK23" i="1"/>
  <c r="AK20" i="1"/>
  <c r="AK11" i="1"/>
  <c r="AR25" i="1"/>
  <c r="AR9" i="1"/>
  <c r="AR16" i="1"/>
  <c r="AR17" i="1"/>
  <c r="AK24" i="1"/>
  <c r="AK18" i="1"/>
  <c r="AK15" i="1"/>
  <c r="AR11" i="1"/>
  <c r="AR12" i="1"/>
  <c r="AW10" i="1"/>
  <c r="AW21" i="1"/>
  <c r="AW17" i="1"/>
  <c r="AW11" i="1"/>
  <c r="AW16" i="1"/>
  <c r="AW13" i="1"/>
  <c r="AW19" i="1"/>
  <c r="AW20" i="1"/>
  <c r="AW24" i="1"/>
  <c r="AW22" i="1"/>
  <c r="AW12" i="1"/>
  <c r="AE12" i="1"/>
  <c r="E14" i="2" l="1"/>
  <c r="E20" i="2"/>
  <c r="AI25" i="2" s="1"/>
  <c r="E26" i="2" s="1"/>
  <c r="E30" i="2" s="1"/>
  <c r="E12" i="2"/>
  <c r="E13" i="2"/>
  <c r="AI19" i="2" s="1"/>
  <c r="AE13" i="1"/>
  <c r="O14" i="1"/>
  <c r="AE14" i="1" s="1"/>
  <c r="G20" i="2" l="1"/>
  <c r="E21" i="2"/>
  <c r="AI26" i="2" s="1"/>
  <c r="G26" i="2" s="1"/>
  <c r="O15" i="1"/>
  <c r="AE15" i="1" l="1"/>
  <c r="O16" i="1"/>
  <c r="AE16" i="1" l="1"/>
  <c r="O17" i="1"/>
  <c r="AE17" i="1" l="1"/>
  <c r="O18" i="1"/>
  <c r="AE18" i="1" s="1"/>
  <c r="O19" i="1" l="1"/>
  <c r="AE19" i="1" s="1"/>
  <c r="O20" i="1" l="1"/>
  <c r="AE20" i="1" s="1"/>
  <c r="O21" i="1" l="1"/>
  <c r="AE21" i="1" l="1"/>
  <c r="O22" i="1"/>
  <c r="AE22" i="1" s="1"/>
  <c r="O23" i="1" l="1"/>
  <c r="AE23" i="1" s="1"/>
  <c r="O24" i="1" l="1"/>
  <c r="O25" i="1" l="1"/>
  <c r="AE25" i="1" s="1"/>
  <c r="AE24" i="1"/>
  <c r="O26" i="1" l="1"/>
  <c r="AE26" i="1" l="1"/>
  <c r="O60" i="1" a="1"/>
  <c r="T4" i="2" a="1"/>
  <c r="O81" i="1" a="1"/>
  <c r="P81" i="1" l="1"/>
  <c r="P82" i="1"/>
  <c r="T84" i="1"/>
  <c r="X86" i="1"/>
  <c r="AB88" i="1"/>
  <c r="R91" i="1"/>
  <c r="V93" i="1"/>
  <c r="Z95" i="1"/>
  <c r="P98" i="1"/>
  <c r="AB84" i="1"/>
  <c r="R87" i="1"/>
  <c r="Z91" i="1"/>
  <c r="T96" i="1"/>
  <c r="O85" i="1"/>
  <c r="AA91" i="1"/>
  <c r="U96" i="1"/>
  <c r="Q82" i="1"/>
  <c r="U84" i="1"/>
  <c r="Y86" i="1"/>
  <c r="O89" i="1"/>
  <c r="S91" i="1"/>
  <c r="W93" i="1"/>
  <c r="AA95" i="1"/>
  <c r="Q98" i="1"/>
  <c r="X82" i="1"/>
  <c r="V89" i="1"/>
  <c r="P94" i="1"/>
  <c r="X98" i="1"/>
  <c r="Y82" i="1"/>
  <c r="S87" i="1"/>
  <c r="W89" i="1"/>
  <c r="Q94" i="1"/>
  <c r="Y98" i="1"/>
  <c r="R83" i="1"/>
  <c r="V85" i="1"/>
  <c r="Z87" i="1"/>
  <c r="P90" i="1"/>
  <c r="T92" i="1"/>
  <c r="X94" i="1"/>
  <c r="AB96" i="1"/>
  <c r="O81" i="1"/>
  <c r="S83" i="1"/>
  <c r="W85" i="1"/>
  <c r="AA87" i="1"/>
  <c r="Q90" i="1"/>
  <c r="U92" i="1"/>
  <c r="Y94" i="1"/>
  <c r="O97" i="1"/>
  <c r="V81" i="1"/>
  <c r="Z83" i="1"/>
  <c r="P86" i="1"/>
  <c r="T88" i="1"/>
  <c r="X90" i="1"/>
  <c r="AB92" i="1"/>
  <c r="R95" i="1"/>
  <c r="V97" i="1"/>
  <c r="W81" i="1"/>
  <c r="AA83" i="1"/>
  <c r="Q86" i="1"/>
  <c r="U88" i="1"/>
  <c r="Y90" i="1"/>
  <c r="O93" i="1"/>
  <c r="S95" i="1"/>
  <c r="W97" i="1"/>
  <c r="W94" i="1"/>
  <c r="O90" i="1"/>
  <c r="U85" i="1"/>
  <c r="AB97" i="1"/>
  <c r="AB89" i="1"/>
  <c r="V82" i="1"/>
  <c r="Q92" i="1"/>
  <c r="W83" i="1"/>
  <c r="Z93" i="1"/>
  <c r="X84" i="1"/>
  <c r="Q97" i="1"/>
  <c r="W92" i="1"/>
  <c r="O88" i="1"/>
  <c r="U83" i="1"/>
  <c r="V94" i="1"/>
  <c r="X83" i="1"/>
  <c r="U90" i="1"/>
  <c r="Z97" i="1"/>
  <c r="X88" i="1"/>
  <c r="X97" i="1"/>
  <c r="P93" i="1"/>
  <c r="V88" i="1"/>
  <c r="AB83" i="1"/>
  <c r="U97" i="1"/>
  <c r="AA92" i="1"/>
  <c r="S88" i="1"/>
  <c r="Y83" i="1"/>
  <c r="P95" i="1"/>
  <c r="P87" i="1"/>
  <c r="S97" i="1"/>
  <c r="Y88" i="1"/>
  <c r="S81" i="1"/>
  <c r="T90" i="1"/>
  <c r="T82" i="1"/>
  <c r="U95" i="1"/>
  <c r="AA90" i="1"/>
  <c r="S86" i="1"/>
  <c r="Y81" i="1"/>
  <c r="V90" i="1"/>
  <c r="Y96" i="1"/>
  <c r="O87" i="1"/>
  <c r="T94" i="1"/>
  <c r="R85" i="1"/>
  <c r="AB95" i="1"/>
  <c r="T91" i="1"/>
  <c r="Z86" i="1"/>
  <c r="R82" i="1"/>
  <c r="S96" i="1"/>
  <c r="Y91" i="1"/>
  <c r="Q87" i="1"/>
  <c r="W82" i="1"/>
  <c r="Z92" i="1"/>
  <c r="T85" i="1"/>
  <c r="W95" i="1"/>
  <c r="U86" i="1"/>
  <c r="R97" i="1"/>
  <c r="P88" i="1"/>
  <c r="AA98" i="1"/>
  <c r="S94" i="1"/>
  <c r="Y89" i="1"/>
  <c r="Q85" i="1"/>
  <c r="V98" i="1"/>
  <c r="X87" i="1"/>
  <c r="AA93" i="1"/>
  <c r="Q84" i="1"/>
  <c r="P92" i="1"/>
  <c r="Z81" i="1"/>
  <c r="Z94" i="1"/>
  <c r="R90" i="1"/>
  <c r="X85" i="1"/>
  <c r="Y95" i="1"/>
  <c r="Q91" i="1"/>
  <c r="W86" i="1"/>
  <c r="O82" i="1"/>
  <c r="R92" i="1"/>
  <c r="R84" i="1"/>
  <c r="U94" i="1"/>
  <c r="S85" i="1"/>
  <c r="P96" i="1"/>
  <c r="AB86" i="1"/>
  <c r="S98" i="1"/>
  <c r="Y93" i="1"/>
  <c r="Q89" i="1"/>
  <c r="W84" i="1"/>
  <c r="T97" i="1"/>
  <c r="V86" i="1"/>
  <c r="Y92" i="1"/>
  <c r="AA81" i="1"/>
  <c r="AB90" i="1"/>
  <c r="Z98" i="1"/>
  <c r="R94" i="1"/>
  <c r="X89" i="1"/>
  <c r="P85" i="1"/>
  <c r="Q95" i="1"/>
  <c r="O86" i="1"/>
  <c r="P91" i="1"/>
  <c r="S93" i="1"/>
  <c r="AB94" i="1"/>
  <c r="Y97" i="1"/>
  <c r="W88" i="1"/>
  <c r="R96" i="1"/>
  <c r="W91" i="1"/>
  <c r="Z89" i="1"/>
  <c r="X93" i="1"/>
  <c r="V84" i="1"/>
  <c r="O94" i="1"/>
  <c r="AA84" i="1"/>
  <c r="Z88" i="1"/>
  <c r="O91" i="1"/>
  <c r="X92" i="1"/>
  <c r="W96" i="1"/>
  <c r="U87" i="1"/>
  <c r="T93" i="1"/>
  <c r="S89" i="1"/>
  <c r="V87" i="1"/>
  <c r="V92" i="1"/>
  <c r="T83" i="1"/>
  <c r="W98" i="1"/>
  <c r="Y87" i="1"/>
  <c r="AB85" i="1"/>
  <c r="O83" i="1"/>
  <c r="R81" i="1"/>
  <c r="Y85" i="1"/>
  <c r="AB81" i="1"/>
  <c r="R93" i="1"/>
  <c r="Z90" i="1"/>
  <c r="Q88" i="1"/>
  <c r="O98" i="1"/>
  <c r="S84" i="1"/>
  <c r="P83" i="1"/>
  <c r="U82" i="1"/>
  <c r="O96" i="1"/>
  <c r="O84" i="1"/>
  <c r="AA97" i="1"/>
  <c r="T86" i="1"/>
  <c r="P89" i="1"/>
  <c r="AA96" i="1"/>
  <c r="Q83" i="1"/>
  <c r="T81" i="1"/>
  <c r="T98" i="1"/>
  <c r="AA94" i="1"/>
  <c r="AA82" i="1"/>
  <c r="O95" i="1"/>
  <c r="P84" i="1"/>
  <c r="AB87" i="1"/>
  <c r="U93" i="1"/>
  <c r="U81" i="1"/>
  <c r="U98" i="1"/>
  <c r="V91" i="1"/>
  <c r="Q93" i="1"/>
  <c r="S82" i="1"/>
  <c r="R98" i="1"/>
  <c r="T87" i="1"/>
  <c r="S92" i="1"/>
  <c r="Z96" i="1"/>
  <c r="Q96" i="1"/>
  <c r="R89" i="1"/>
  <c r="O92" i="1"/>
  <c r="Q81" i="1"/>
  <c r="AA85" i="1"/>
  <c r="P97" i="1"/>
  <c r="R86" i="1"/>
  <c r="R88" i="1"/>
  <c r="AA86" i="1"/>
  <c r="V95" i="1"/>
  <c r="AB91" i="1"/>
  <c r="W90" i="1"/>
  <c r="X95" i="1"/>
  <c r="AA89" i="1"/>
  <c r="Z85" i="1"/>
  <c r="U91" i="1"/>
  <c r="X91" i="1"/>
  <c r="AB98" i="1"/>
  <c r="V96" i="1"/>
  <c r="Z82" i="1"/>
  <c r="U89" i="1"/>
  <c r="AB93" i="1"/>
  <c r="W87" i="1"/>
  <c r="V83" i="1"/>
  <c r="S90" i="1"/>
  <c r="T89" i="1"/>
  <c r="X96" i="1"/>
  <c r="T95" i="1"/>
  <c r="X81" i="1"/>
  <c r="AA88" i="1"/>
  <c r="Y84" i="1"/>
  <c r="AB82" i="1"/>
  <c r="Z84" i="1"/>
  <c r="U4" i="2"/>
  <c r="V10" i="2"/>
  <c r="U15" i="2"/>
  <c r="T20" i="2"/>
  <c r="X16" i="2"/>
  <c r="W21" i="2"/>
  <c r="T12" i="2"/>
  <c r="AB12" i="2"/>
  <c r="AA17" i="2"/>
  <c r="AD10" i="2"/>
  <c r="AC15" i="2"/>
  <c r="AB20" i="2"/>
  <c r="Y11" i="2"/>
  <c r="AF16" i="2"/>
  <c r="AE21" i="2"/>
  <c r="X8" i="2"/>
  <c r="W13" i="2"/>
  <c r="V18" i="2"/>
  <c r="AF8" i="2"/>
  <c r="AE13" i="2"/>
  <c r="AD18" i="2"/>
  <c r="AA9" i="2"/>
  <c r="Z14" i="2"/>
  <c r="Y19" i="2"/>
  <c r="AC21" i="2"/>
  <c r="AD16" i="2"/>
  <c r="AE11" i="2"/>
  <c r="AF6" i="2"/>
  <c r="AD19" i="2"/>
  <c r="AE14" i="2"/>
  <c r="AF9" i="2"/>
  <c r="T5" i="2"/>
  <c r="U18" i="2"/>
  <c r="V5" i="2"/>
  <c r="U11" i="2"/>
  <c r="T19" i="2"/>
  <c r="Y21" i="2"/>
  <c r="Z16" i="2"/>
  <c r="AA11" i="2"/>
  <c r="AB6" i="2"/>
  <c r="AA20" i="2"/>
  <c r="AF11" i="2"/>
  <c r="AA4" i="2"/>
  <c r="AA13" i="2"/>
  <c r="X4" i="2"/>
  <c r="Z13" i="2"/>
  <c r="AC6" i="2"/>
  <c r="Z19" i="2"/>
  <c r="AA14" i="2"/>
  <c r="AB9" i="2"/>
  <c r="AC4" i="2"/>
  <c r="U21" i="2"/>
  <c r="V16" i="2"/>
  <c r="W11" i="2"/>
  <c r="X6" i="2"/>
  <c r="AE19" i="2"/>
  <c r="AF14" i="2"/>
  <c r="T10" i="2"/>
  <c r="U5" i="2"/>
  <c r="AF17" i="2"/>
  <c r="T13" i="2"/>
  <c r="U8" i="2"/>
  <c r="Z6" i="2"/>
  <c r="AD13" i="2"/>
  <c r="AE17" i="2"/>
  <c r="Y7" i="2"/>
  <c r="U14" i="2"/>
  <c r="AA19" i="2"/>
  <c r="AB14" i="2"/>
  <c r="AC9" i="2"/>
  <c r="AD4" i="2"/>
  <c r="Z17" i="2"/>
  <c r="AE8" i="2"/>
  <c r="AC19" i="2"/>
  <c r="Z10" i="2"/>
  <c r="Y18" i="2"/>
  <c r="Y10" i="2"/>
  <c r="W4" i="2"/>
  <c r="AB17" i="2"/>
  <c r="AC12" i="2"/>
  <c r="AD7" i="2"/>
  <c r="AB18" i="2"/>
  <c r="AC13" i="2"/>
  <c r="AD8" i="2"/>
  <c r="AB21" i="2"/>
  <c r="AC16" i="2"/>
  <c r="AD11" i="2"/>
  <c r="AE6" i="2"/>
  <c r="T4" i="2"/>
  <c r="X11" i="2"/>
  <c r="Y15" i="2"/>
  <c r="AF4" i="2"/>
  <c r="T11" i="2"/>
  <c r="X18" i="2"/>
  <c r="Y13" i="2"/>
  <c r="Z8" i="2"/>
  <c r="U7" i="2"/>
  <c r="AB15" i="2"/>
  <c r="T7" i="2"/>
  <c r="W17" i="2"/>
  <c r="T8" i="2"/>
  <c r="V17" i="2"/>
  <c r="V9" i="2"/>
  <c r="X21" i="2"/>
  <c r="Y16" i="2"/>
  <c r="Z11" i="2"/>
  <c r="AA6" i="2"/>
  <c r="T18" i="2"/>
  <c r="U13" i="2"/>
  <c r="V8" i="2"/>
  <c r="T21" i="2"/>
  <c r="U16" i="2"/>
  <c r="V11" i="2"/>
  <c r="W6" i="2"/>
  <c r="V21" i="2"/>
  <c r="U10" i="2"/>
  <c r="V14" i="2"/>
  <c r="Z21" i="2"/>
  <c r="AA8" i="2"/>
  <c r="AC17" i="2"/>
  <c r="AD12" i="2"/>
  <c r="AE7" i="2"/>
  <c r="W5" i="2"/>
  <c r="Y14" i="2"/>
  <c r="Y6" i="2"/>
  <c r="T16" i="2"/>
  <c r="AD6" i="2"/>
  <c r="AF15" i="2"/>
  <c r="AF7" i="2"/>
  <c r="AC20" i="2"/>
  <c r="AD15" i="2"/>
  <c r="AE10" i="2"/>
  <c r="AF5" i="2"/>
  <c r="AB4" i="2"/>
  <c r="Y9" i="2"/>
  <c r="Z15" i="2"/>
  <c r="AB5" i="2"/>
  <c r="W8" i="2"/>
  <c r="W20" i="2"/>
  <c r="U17" i="2"/>
  <c r="W7" i="2"/>
  <c r="V13" i="2"/>
  <c r="AD14" i="2"/>
  <c r="AC14" i="2"/>
  <c r="U20" i="2"/>
  <c r="W10" i="2"/>
  <c r="Z20" i="2"/>
  <c r="AA7" i="2"/>
  <c r="W14" i="2"/>
  <c r="Y4" i="2"/>
  <c r="X20" i="2"/>
  <c r="AA16" i="2"/>
  <c r="AE15" i="2"/>
  <c r="T6" i="2"/>
  <c r="AC10" i="2"/>
  <c r="X12" i="2"/>
  <c r="W12" i="2"/>
  <c r="AE18" i="2"/>
  <c r="T9" i="2"/>
  <c r="W19" i="2"/>
  <c r="X14" i="2"/>
  <c r="X17" i="2"/>
  <c r="AE5" i="2"/>
  <c r="AE9" i="2"/>
  <c r="AF18" i="2"/>
  <c r="V4" i="2"/>
  <c r="AA21" i="2"/>
  <c r="AD17" i="2"/>
  <c r="T17" i="2"/>
  <c r="X7" i="2"/>
  <c r="Z12" i="2"/>
  <c r="AB13" i="2"/>
  <c r="X19" i="2"/>
  <c r="AB8" i="2"/>
  <c r="W15" i="2"/>
  <c r="AD21" i="2"/>
  <c r="AF20" i="2"/>
  <c r="AB11" i="2"/>
  <c r="V15" i="2"/>
  <c r="AB10" i="2"/>
  <c r="Y12" i="2"/>
  <c r="W16" i="2"/>
  <c r="V6" i="2"/>
  <c r="T14" i="2"/>
  <c r="AF19" i="2"/>
  <c r="Z18" i="2"/>
  <c r="AD9" i="2"/>
  <c r="AF13" i="2"/>
  <c r="AC5" i="2"/>
  <c r="AA10" i="2"/>
  <c r="T15" i="2"/>
  <c r="X15" i="2"/>
  <c r="V12" i="2"/>
  <c r="AC18" i="2"/>
  <c r="AC11" i="2"/>
  <c r="X13" i="2"/>
  <c r="Z4" i="2"/>
  <c r="X9" i="2"/>
  <c r="AA12" i="2"/>
  <c r="AE12" i="2"/>
  <c r="AF10" i="2"/>
  <c r="AE16" i="2"/>
  <c r="W9" i="2"/>
  <c r="U6" i="2"/>
  <c r="U12" i="2"/>
  <c r="AA18" i="2"/>
  <c r="V20" i="2"/>
  <c r="AD5" i="2"/>
  <c r="W18" i="2"/>
  <c r="Y20" i="2"/>
  <c r="AC8" i="2"/>
  <c r="U19" i="2"/>
  <c r="AE4" i="2"/>
  <c r="X10" i="2"/>
  <c r="Z9" i="2"/>
  <c r="AA5" i="2"/>
  <c r="Z5" i="2"/>
  <c r="Y8" i="2"/>
  <c r="Y17" i="2"/>
  <c r="V19" i="2"/>
  <c r="Z7" i="2"/>
  <c r="AB16" i="2"/>
  <c r="AD20" i="2"/>
  <c r="U9" i="2"/>
  <c r="AB7" i="2"/>
  <c r="AE20" i="2"/>
  <c r="AF21" i="2"/>
  <c r="V7" i="2"/>
  <c r="AA15" i="2"/>
  <c r="AC7" i="2"/>
  <c r="AF12" i="2"/>
  <c r="Y5" i="2"/>
  <c r="AB19" i="2"/>
  <c r="X5" i="2"/>
  <c r="Y61" i="1"/>
  <c r="W76" i="1"/>
  <c r="Q77" i="1"/>
  <c r="Y77" i="1"/>
  <c r="AA75" i="1"/>
  <c r="S71" i="1"/>
  <c r="Y66" i="1"/>
  <c r="Q62" i="1"/>
  <c r="AA70" i="1"/>
  <c r="S66" i="1"/>
  <c r="Q61" i="1"/>
  <c r="Z74" i="1"/>
  <c r="R70" i="1"/>
  <c r="X65" i="1"/>
  <c r="P61" i="1"/>
  <c r="P74" i="1"/>
  <c r="V69" i="1"/>
  <c r="AB64" i="1"/>
  <c r="T60" i="1"/>
  <c r="S72" i="1"/>
  <c r="Q63" i="1"/>
  <c r="R72" i="1"/>
  <c r="P63" i="1"/>
  <c r="O75" i="1"/>
  <c r="U70" i="1"/>
  <c r="AA65" i="1"/>
  <c r="S61" i="1"/>
  <c r="O74" i="1"/>
  <c r="Y63" i="1"/>
  <c r="Z72" i="1"/>
  <c r="X63" i="1"/>
  <c r="V75" i="1"/>
  <c r="AB70" i="1"/>
  <c r="T66" i="1"/>
  <c r="Z61" i="1"/>
  <c r="Q74" i="1"/>
  <c r="W69" i="1"/>
  <c r="O65" i="1"/>
  <c r="U60" i="1"/>
  <c r="Q69" i="1"/>
  <c r="W64" i="1"/>
  <c r="X77" i="1"/>
  <c r="P73" i="1"/>
  <c r="V68" i="1"/>
  <c r="AB63" i="1"/>
  <c r="AB76" i="1"/>
  <c r="T72" i="1"/>
  <c r="Z67" i="1"/>
  <c r="R63" i="1"/>
  <c r="Y73" i="1"/>
  <c r="U69" i="1"/>
  <c r="AB77" i="1"/>
  <c r="Z68" i="1"/>
  <c r="AA77" i="1"/>
  <c r="S73" i="1"/>
  <c r="Y68" i="1"/>
  <c r="Q64" i="1"/>
  <c r="U75" i="1"/>
  <c r="O70" i="1"/>
  <c r="AA60" i="1"/>
  <c r="T69" i="1"/>
  <c r="Z60" i="1"/>
  <c r="W77" i="1"/>
  <c r="O73" i="1"/>
  <c r="U68" i="1"/>
  <c r="AA63" i="1"/>
  <c r="S74" i="1"/>
  <c r="O68" i="1"/>
  <c r="U63" i="1"/>
  <c r="V76" i="1"/>
  <c r="AB71" i="1"/>
  <c r="T67" i="1"/>
  <c r="Z62" i="1"/>
  <c r="Z75" i="1"/>
  <c r="R71" i="1"/>
  <c r="X66" i="1"/>
  <c r="P62" i="1"/>
  <c r="Y75" i="1"/>
  <c r="Q67" i="1"/>
  <c r="X75" i="1"/>
  <c r="V66" i="1"/>
  <c r="Y76" i="1"/>
  <c r="Q72" i="1"/>
  <c r="W67" i="1"/>
  <c r="O63" i="1"/>
  <c r="U77" i="1"/>
  <c r="Y67" i="1"/>
  <c r="R76" i="1"/>
  <c r="P67" i="1"/>
  <c r="R77" i="1"/>
  <c r="X72" i="1"/>
  <c r="P68" i="1"/>
  <c r="V63" i="1"/>
  <c r="T65" i="1"/>
  <c r="U62" i="1"/>
  <c r="W66" i="1"/>
  <c r="O77" i="1"/>
  <c r="U72" i="1"/>
  <c r="AA67" i="1"/>
  <c r="S63" i="1"/>
  <c r="W72" i="1"/>
  <c r="U67" i="1"/>
  <c r="AA62" i="1"/>
  <c r="AB75" i="1"/>
  <c r="T71" i="1"/>
  <c r="Z66" i="1"/>
  <c r="R62" i="1"/>
  <c r="R75" i="1"/>
  <c r="X70" i="1"/>
  <c r="P66" i="1"/>
  <c r="V61" i="1"/>
  <c r="W74" i="1"/>
  <c r="U65" i="1"/>
  <c r="V74" i="1"/>
  <c r="Q76" i="1"/>
  <c r="W71" i="1"/>
  <c r="O67" i="1"/>
  <c r="S76" i="1"/>
  <c r="AA71" i="1"/>
  <c r="Y62" i="1"/>
  <c r="AA66" i="1"/>
  <c r="T75" i="1"/>
  <c r="R66" i="1"/>
  <c r="X74" i="1"/>
  <c r="V65" i="1"/>
  <c r="U73" i="1"/>
  <c r="T73" i="1"/>
  <c r="W75" i="1"/>
  <c r="U66" i="1"/>
  <c r="Q75" i="1"/>
  <c r="P75" i="1"/>
  <c r="T61" i="1"/>
  <c r="P72" i="1"/>
  <c r="Z65" i="1"/>
  <c r="P60" i="1"/>
  <c r="Y70" i="1"/>
  <c r="W61" i="1"/>
  <c r="Y65" i="1"/>
  <c r="R74" i="1"/>
  <c r="P65" i="1"/>
  <c r="V73" i="1"/>
  <c r="T64" i="1"/>
  <c r="Y71" i="1"/>
  <c r="P71" i="1"/>
  <c r="U74" i="1"/>
  <c r="S65" i="1"/>
  <c r="AA72" i="1"/>
  <c r="AB73" i="1"/>
  <c r="Z77" i="1"/>
  <c r="V71" i="1"/>
  <c r="R65" i="1"/>
  <c r="U71" i="1"/>
  <c r="S75" i="1"/>
  <c r="U64" i="1"/>
  <c r="O64" i="1"/>
  <c r="X69" i="1"/>
  <c r="T76" i="1"/>
  <c r="X62" i="1"/>
  <c r="O62" i="1"/>
  <c r="S77" i="1"/>
  <c r="W63" i="1"/>
  <c r="W62" i="1"/>
  <c r="V62" i="1"/>
  <c r="Z69" i="1"/>
  <c r="T62" i="1"/>
  <c r="Q70" i="1"/>
  <c r="O60" i="1"/>
  <c r="P70" i="1"/>
  <c r="AB69" i="1"/>
  <c r="Q60" i="1"/>
  <c r="AB74" i="1"/>
  <c r="T70" i="1"/>
  <c r="Y74" i="1"/>
  <c r="O61" i="1"/>
  <c r="S62" i="1"/>
  <c r="P69" i="1"/>
  <c r="AB72" i="1"/>
  <c r="AB60" i="1"/>
  <c r="S60" i="1"/>
  <c r="AA73" i="1"/>
  <c r="AA61" i="1"/>
  <c r="U61" i="1"/>
  <c r="X76" i="1"/>
  <c r="R69" i="1"/>
  <c r="R61" i="1"/>
  <c r="W73" i="1"/>
  <c r="AA74" i="1"/>
  <c r="W60" i="1"/>
  <c r="AB67" i="1"/>
  <c r="Z71" i="1"/>
  <c r="O66" i="1"/>
  <c r="Z76" i="1"/>
  <c r="Y72" i="1"/>
  <c r="Y60" i="1"/>
  <c r="T77" i="1"/>
  <c r="P76" i="1"/>
  <c r="X68" i="1"/>
  <c r="X60" i="1"/>
  <c r="O72" i="1"/>
  <c r="V64" i="1"/>
  <c r="O76" i="1"/>
  <c r="O71" i="1"/>
  <c r="X71" i="1"/>
  <c r="V67" i="1"/>
  <c r="O69" i="1"/>
  <c r="S70" i="1"/>
  <c r="P77" i="1"/>
  <c r="T63" i="1"/>
  <c r="AB68" i="1"/>
  <c r="AA76" i="1"/>
  <c r="X67" i="1"/>
  <c r="AA69" i="1"/>
  <c r="Q73" i="1"/>
  <c r="V70" i="1"/>
  <c r="T74" i="1"/>
  <c r="AB66" i="1"/>
  <c r="W65" i="1"/>
  <c r="Z70" i="1"/>
  <c r="Z63" i="1"/>
  <c r="R60" i="1"/>
  <c r="AA64" i="1"/>
  <c r="AB62" i="1"/>
  <c r="S67" i="1"/>
  <c r="Y69" i="1"/>
  <c r="X73" i="1"/>
  <c r="X61" i="1"/>
  <c r="T68" i="1"/>
  <c r="W70" i="1"/>
  <c r="R64" i="1"/>
  <c r="S69" i="1"/>
  <c r="Q71" i="1"/>
  <c r="R68" i="1"/>
  <c r="Z73" i="1"/>
  <c r="X64" i="1"/>
  <c r="Q66" i="1"/>
  <c r="W68" i="1"/>
  <c r="V72" i="1"/>
  <c r="V60" i="1"/>
  <c r="R67" i="1"/>
  <c r="S68" i="1"/>
  <c r="AB61" i="1"/>
  <c r="Q68" i="1"/>
  <c r="AA68" i="1"/>
  <c r="AB65" i="1"/>
  <c r="R73" i="1"/>
  <c r="P64" i="1"/>
  <c r="U76" i="1"/>
  <c r="Q65" i="1"/>
  <c r="V77" i="1"/>
  <c r="S64" i="1"/>
  <c r="Y64" i="1"/>
  <c r="Z64" i="1"/>
</calcChain>
</file>

<file path=xl/sharedStrings.xml><?xml version="1.0" encoding="utf-8"?>
<sst xmlns="http://schemas.openxmlformats.org/spreadsheetml/2006/main" count="597" uniqueCount="270">
  <si>
    <t>Sprache wählen</t>
  </si>
  <si>
    <t>deutsch</t>
  </si>
  <si>
    <t>←</t>
  </si>
  <si>
    <t>Hier klicken und Sprache wählen</t>
  </si>
  <si>
    <t>english</t>
  </si>
  <si>
    <t>my language</t>
  </si>
  <si>
    <t>Überschriften</t>
  </si>
  <si>
    <t>Tie-Break</t>
  </si>
  <si>
    <t>Tie break</t>
  </si>
  <si>
    <t>Einstellungen</t>
  </si>
  <si>
    <t>Settings</t>
  </si>
  <si>
    <t>Dein Datum</t>
  </si>
  <si>
    <t>Your date</t>
  </si>
  <si>
    <t>Nr.</t>
  </si>
  <si>
    <t>No.</t>
  </si>
  <si>
    <t>Teilnehmer bzw. Mannschaft</t>
  </si>
  <si>
    <t>Participant or Team</t>
  </si>
  <si>
    <t>Ergebnisse</t>
  </si>
  <si>
    <t>Results</t>
  </si>
  <si>
    <t>Tabelle</t>
  </si>
  <si>
    <t>Table</t>
  </si>
  <si>
    <t>Spielpaarungen</t>
  </si>
  <si>
    <t>Matchups</t>
  </si>
  <si>
    <t>Spielpaarung</t>
  </si>
  <si>
    <t>Matchup</t>
  </si>
  <si>
    <t>Ergebnis</t>
  </si>
  <si>
    <t>Result</t>
  </si>
  <si>
    <t>Spieltage</t>
  </si>
  <si>
    <t>Matchweeks</t>
  </si>
  <si>
    <t>Spieltag</t>
  </si>
  <si>
    <t>Matchweek</t>
  </si>
  <si>
    <t>Auswärtsspiele</t>
  </si>
  <si>
    <t>Away games</t>
  </si>
  <si>
    <t>Rückspiele</t>
  </si>
  <si>
    <t>Second legs</t>
  </si>
  <si>
    <t>Name</t>
  </si>
  <si>
    <t>Sp</t>
  </si>
  <si>
    <t>Pl</t>
  </si>
  <si>
    <t>G</t>
  </si>
  <si>
    <t>W</t>
  </si>
  <si>
    <t>U</t>
  </si>
  <si>
    <t>D</t>
  </si>
  <si>
    <t>V</t>
  </si>
  <si>
    <t>L</t>
  </si>
  <si>
    <t>Tore</t>
  </si>
  <si>
    <t>GF  -  GA</t>
  </si>
  <si>
    <t>TD</t>
  </si>
  <si>
    <t>GD</t>
  </si>
  <si>
    <t>Pkt</t>
  </si>
  <si>
    <t>Pts</t>
  </si>
  <si>
    <t>erz. Tore</t>
  </si>
  <si>
    <t>GF</t>
  </si>
  <si>
    <t>ATore</t>
  </si>
  <si>
    <t>AGls</t>
  </si>
  <si>
    <t>AGew</t>
  </si>
  <si>
    <t>AWin</t>
  </si>
  <si>
    <t>Hinspiel</t>
  </si>
  <si>
    <t>First leg</t>
  </si>
  <si>
    <t>Rückspiel</t>
  </si>
  <si>
    <t>Second leg</t>
  </si>
  <si>
    <t>Elfmeter-schießen</t>
  </si>
  <si>
    <t>Penalty shootout</t>
  </si>
  <si>
    <t>Achtelfinale</t>
  </si>
  <si>
    <t>Round of 16</t>
  </si>
  <si>
    <t>Viertelfinale</t>
  </si>
  <si>
    <t>Quarterfinals</t>
  </si>
  <si>
    <t>Halbfinale</t>
  </si>
  <si>
    <t>Semi-final</t>
  </si>
  <si>
    <t>Finale</t>
  </si>
  <si>
    <t>Final</t>
  </si>
  <si>
    <t>Play-Offs</t>
  </si>
  <si>
    <t>Playoffs</t>
  </si>
  <si>
    <t>Liga-Rang</t>
  </si>
  <si>
    <t>League rank</t>
  </si>
  <si>
    <t>in der Ligaphase</t>
  </si>
  <si>
    <t>in the league phase</t>
  </si>
  <si>
    <t>Liga-Tabelle</t>
  </si>
  <si>
    <t>League table</t>
  </si>
  <si>
    <t>TABELLE UNGÜLTIG</t>
  </si>
  <si>
    <t>INVALID TABLE</t>
  </si>
  <si>
    <t>Teilnehmer und Ablaufplan</t>
  </si>
  <si>
    <t>Participants and schedule</t>
  </si>
  <si>
    <t>Teilnehmer</t>
  </si>
  <si>
    <t>Participants</t>
  </si>
  <si>
    <t>Ablaufplan</t>
  </si>
  <si>
    <t>Schedule</t>
  </si>
  <si>
    <t>Spiel-Nr.</t>
  </si>
  <si>
    <t>Game no.</t>
  </si>
  <si>
    <t>Paarungen</t>
  </si>
  <si>
    <t>Pairings</t>
  </si>
  <si>
    <t>Choose language</t>
  </si>
  <si>
    <t>Captions</t>
  </si>
  <si>
    <t>Meldungen</t>
  </si>
  <si>
    <t>Messages</t>
  </si>
  <si>
    <t>Deine Überschriften</t>
  </si>
  <si>
    <t>Your captions</t>
  </si>
  <si>
    <t>Anzahl der Punkte für einen Sieg:</t>
  </si>
  <si>
    <t>Number of points for a win:</t>
  </si>
  <si>
    <t>Einzelne Teams im Vergleich für einen bestimmten Zeitraum</t>
  </si>
  <si>
    <t>Individual teams compared for a specific time period</t>
  </si>
  <si>
    <t>von</t>
  </si>
  <si>
    <t>from</t>
  </si>
  <si>
    <t>Abkürzung</t>
  </si>
  <si>
    <t>Abbreviation</t>
  </si>
  <si>
    <t>Länge der Abkürzungen:</t>
  </si>
  <si>
    <t>Length of abbreviations:</t>
  </si>
  <si>
    <t>bis</t>
  </si>
  <si>
    <t>to</t>
  </si>
  <si>
    <t>Datum</t>
  </si>
  <si>
    <t>Date</t>
  </si>
  <si>
    <t>Spiel gegen</t>
  </si>
  <si>
    <t>Match against</t>
  </si>
  <si>
    <t>Anmerkung</t>
  </si>
  <si>
    <t>Note</t>
  </si>
  <si>
    <t>Zeit</t>
  </si>
  <si>
    <t>Time</t>
  </si>
  <si>
    <t>Bonus</t>
  </si>
  <si>
    <t>Team</t>
  </si>
  <si>
    <t>Strafpunkte</t>
  </si>
  <si>
    <t>Penalty points</t>
  </si>
  <si>
    <t>Strafp.</t>
  </si>
  <si>
    <t>PenPts</t>
  </si>
  <si>
    <t>Doppelte Spielpaarungen und Spiele gegen sich selbst
führen in der Gesamttabelle zu falschen Werten!</t>
  </si>
  <si>
    <t>Double match pairings and matches against oneself
lead to incorrect values in the overall table!</t>
  </si>
  <si>
    <t>Bei Punktgleichheit entscheiden folgende Kriterien:</t>
  </si>
  <si>
    <t>In case of a tie, the following criteria apply:</t>
  </si>
  <si>
    <t>Bessere Tordifferenz</t>
  </si>
  <si>
    <t>Better goal difference</t>
  </si>
  <si>
    <t>Höhere Anzahl erzielter Tore</t>
  </si>
  <si>
    <t>Higher number of goals scored</t>
  </si>
  <si>
    <t>Höhere Anzahl erzielter Auswärtstore</t>
  </si>
  <si>
    <t>Higher number of away goals scored</t>
  </si>
  <si>
    <t>Höhere Anzahl von Siegen</t>
  </si>
  <si>
    <t>Higher number of wins</t>
  </si>
  <si>
    <t>Höhere Anzahl von Auswärtssiegen</t>
  </si>
  <si>
    <t>Higher number of away wins</t>
  </si>
  <si>
    <t>Diese fünf Kriterien werden in der Tabelle oben berücksichtigt.</t>
  </si>
  <si>
    <t>These five criteria are taken into account in the table above.</t>
  </si>
  <si>
    <t>Am Ende der Ligaphase werden bei Gleichstand zusätzlich folgende Kriterien herangezogen:</t>
  </si>
  <si>
    <t>At the end of the league phase, in the event of a tie, the following criteria will also be used:</t>
  </si>
  <si>
    <t>Höhere Anzahl von Punkten, die die acht Gegner des betreffenden Klubs erspielt haben</t>
  </si>
  <si>
    <t>Higher number of points earned by the eight opponents of the club in question</t>
  </si>
  <si>
    <t>Bessere gemeinsame Tordifferenz der acht Gegner</t>
  </si>
  <si>
    <t>Better combined goal difference of the eight opponents</t>
  </si>
  <si>
    <t>Höhere Anzahl erzielter Tore der acht Gegner</t>
  </si>
  <si>
    <t>Higher number of goals scored by the eight opponents</t>
  </si>
  <si>
    <t>Fairplay-Wertung</t>
  </si>
  <si>
    <t>Fair play rating</t>
  </si>
  <si>
    <t>UEFA-Koeffizient</t>
  </si>
  <si>
    <t>UEFA coefficient</t>
  </si>
  <si>
    <t>Sollte dieser Fall eintreten, kann auf dem Tabellenblatt 'Tie_Break' ein Bonuspunkt für das bessere Team eingetragen werden.</t>
  </si>
  <si>
    <t>Should this happen, a bonus point can be entered for the better team on the 'Tie_Break' sheet.</t>
  </si>
  <si>
    <t>Zum Vergleich:</t>
  </si>
  <si>
    <t>For comparison:</t>
  </si>
  <si>
    <t>doppelt</t>
  </si>
  <si>
    <t>double</t>
  </si>
  <si>
    <t>Click here and choose language</t>
  </si>
  <si>
    <t>Doppelte Namen</t>
  </si>
  <si>
    <t>Duplicate names</t>
  </si>
  <si>
    <t>Diese Teams haben beim Rückspiel Heimrecht.</t>
  </si>
  <si>
    <t>These teams have home advantage in the return match.</t>
  </si>
  <si>
    <t>Erläuterung</t>
  </si>
  <si>
    <t>Explanation</t>
  </si>
  <si>
    <t xml:space="preserve"> : </t>
  </si>
  <si>
    <t xml:space="preserve"> - </t>
  </si>
  <si>
    <t>Factors</t>
  </si>
  <si>
    <t>Gdzero</t>
  </si>
  <si>
    <t>GF_AW</t>
  </si>
  <si>
    <t>WIN</t>
  </si>
  <si>
    <t>WIN_AW</t>
  </si>
  <si>
    <t>-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</si>
  <si>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</si>
  <si>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</si>
  <si>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</si>
  <si>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</si>
  <si>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</si>
  <si>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</si>
  <si>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</si>
  <si>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</si>
  <si>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</si>
  <si>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</si>
  <si>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</si>
  <si>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</si>
  <si>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</si>
  <si>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</si>
  <si>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</si>
  <si>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</si>
  <si>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</si>
  <si>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</si>
  <si>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pairing first</t>
  </si>
  <si>
    <t>valid</t>
  </si>
  <si>
    <t>first leg</t>
  </si>
  <si>
    <t>penalty points</t>
  </si>
  <si>
    <t>Sorted</t>
  </si>
  <si>
    <t>GA</t>
  </si>
  <si>
    <t>Penalty</t>
  </si>
  <si>
    <t>Pts+ GD+ GF</t>
  </si>
  <si>
    <t>number of matches per match day</t>
  </si>
  <si>
    <t>return match</t>
  </si>
  <si>
    <t>ê</t>
  </si>
  <si>
    <t>PO 1</t>
  </si>
  <si>
    <t>LR 9</t>
  </si>
  <si>
    <t>LR 1</t>
  </si>
  <si>
    <t>PO 2</t>
  </si>
  <si>
    <t>LR 10</t>
  </si>
  <si>
    <t>LR 2</t>
  </si>
  <si>
    <t>PO 3</t>
  </si>
  <si>
    <t>LR 11</t>
  </si>
  <si>
    <t>LR 3</t>
  </si>
  <si>
    <t>PO 4</t>
  </si>
  <si>
    <t>LR 12</t>
  </si>
  <si>
    <t>LR 4</t>
  </si>
  <si>
    <t>LR 5</t>
  </si>
  <si>
    <t>LR 6</t>
  </si>
  <si>
    <t>LR 7</t>
  </si>
  <si>
    <t>LR 8</t>
  </si>
  <si>
    <t>VF 1</t>
  </si>
  <si>
    <t>VF 2</t>
  </si>
  <si>
    <t>VF 3</t>
  </si>
  <si>
    <t>VF 4</t>
  </si>
  <si>
    <t>HF 1</t>
  </si>
  <si>
    <t>WIN VF 1</t>
  </si>
  <si>
    <t>WIN VF 2</t>
  </si>
  <si>
    <t>HF 2</t>
  </si>
  <si>
    <t>WIN VF 3</t>
  </si>
  <si>
    <t>WIN VF 4</t>
  </si>
  <si>
    <t>WIN HF 1</t>
  </si>
  <si>
    <t>WIN HF 2</t>
  </si>
  <si>
    <t>Siehe §18 des UEFA Reglements:</t>
  </si>
  <si>
    <t>https://documents.uefa.com/r/Reglement-der-UEFA-Champions-League-2024/25/Artikel-18-Punktegleichheit-Ligaphase-Online</t>
  </si>
  <si>
    <t>oder:</t>
  </si>
  <si>
    <t>https://de.uefa.com/uefachampionsleague/news/0291-1bd8c79c85fa-31c2596c42f5-1000--tabelle-der-ligaphase-der-champions-league-vorgehen-bei-p/</t>
  </si>
  <si>
    <t>PTS</t>
  </si>
  <si>
    <t>PLD</t>
  </si>
  <si>
    <t>Number of Teams</t>
  </si>
  <si>
    <t>Champion 2026:</t>
  </si>
  <si>
    <t>Atletico Madrid</t>
  </si>
  <si>
    <t>FC Bayern München</t>
  </si>
  <si>
    <t>Manchester United</t>
  </si>
  <si>
    <t>OL Lyonnes</t>
  </si>
  <si>
    <t>Paris FC</t>
  </si>
  <si>
    <t>Real Madrid</t>
  </si>
  <si>
    <t>number of matches played</t>
  </si>
  <si>
    <t>SL Benfica</t>
  </si>
  <si>
    <t>Arsenal WFC</t>
  </si>
  <si>
    <t>FC Barcelona</t>
  </si>
  <si>
    <t>Oud-Heverlee Leuven</t>
  </si>
  <si>
    <t>FC Twente</t>
  </si>
  <si>
    <t>Chelsea FC</t>
  </si>
  <si>
    <t>AS Rom</t>
  </si>
  <si>
    <t>VfL Wolfsburg</t>
  </si>
  <si>
    <t>Paris St. Germain</t>
  </si>
  <si>
    <t>SKN St. Pölten</t>
  </si>
  <si>
    <t>Valerenga IF</t>
  </si>
  <si>
    <t>Juventus FC</t>
  </si>
  <si>
    <t>11./12.02.2026</t>
  </si>
  <si>
    <t>18./19.02.2026</t>
  </si>
  <si>
    <t>24./25.03 2026</t>
  </si>
  <si>
    <t>01./02.04.2026</t>
  </si>
  <si>
    <t>25./26.04.2026</t>
  </si>
  <si>
    <t>02./03.05.2026</t>
  </si>
  <si>
    <t>Hans Hocheder</t>
  </si>
  <si>
    <t>https://www.uefa.com/womenschampionsleague/standings/</t>
  </si>
  <si>
    <t>WIN PO 1</t>
  </si>
  <si>
    <t>WIN PO 3</t>
  </si>
  <si>
    <t>WIN PO 2</t>
  </si>
  <si>
    <t>WIN PO 4</t>
  </si>
  <si>
    <t>Version 1.5</t>
  </si>
  <si>
    <t>Champions League Frauen 2025/26</t>
  </si>
  <si>
    <t>Stand: 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</si>
</sst>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h:mm;@"/>
    <numFmt numFmtId="166" formatCode=";;;"/>
    <numFmt numFmtId="167" formatCode="\+0_ ;[Red]\-0\ "/>
    <numFmt numFmtId="168" formatCode="#,##0.000"/>
    <numFmt numFmtId="169" formatCode="ddd\,\ dd/mm/yyyy"/>
  </numFmts>
  <fonts count="63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9"/>
      <color indexed="8"/>
      <name val="Arial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2"/>
      <name val="Calibri"/>
      <family val="2"/>
      <scheme val="minor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Calibri"/>
      <family val="2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1"/>
      <color rgb="FFDA0000"/>
      <name val="Calibri"/>
      <family val="2"/>
      <scheme val="minor"/>
    </font>
    <font>
      <b/>
      <sz val="14"/>
      <color rgb="FF0070C0"/>
      <name val="Calibri"/>
      <family val="2"/>
    </font>
    <font>
      <sz val="20"/>
      <color rgb="FF00B050"/>
      <name val="Calibri"/>
      <family val="2"/>
      <scheme val="minor"/>
    </font>
    <font>
      <b/>
      <sz val="11"/>
      <color rgb="FFDA0000"/>
      <name val="Calibri"/>
      <family val="2"/>
      <scheme val="minor"/>
    </font>
    <font>
      <b/>
      <sz val="10"/>
      <color rgb="FFDA000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3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color theme="5" tint="-0.249977111117893"/>
      <name val="Wingdings"/>
      <charset val="2"/>
    </font>
    <font>
      <sz val="9"/>
      <name val="Calibri"/>
      <family val="2"/>
      <scheme val="minor"/>
    </font>
    <font>
      <b/>
      <sz val="16"/>
      <color rgb="FF517D21"/>
      <name val="Calibri"/>
      <family val="2"/>
      <scheme val="minor"/>
    </font>
    <font>
      <b/>
      <sz val="26"/>
      <color rgb="FFF04C0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4"/>
      <name val="Calibri"/>
      <family val="2"/>
    </font>
    <font>
      <sz val="11"/>
      <color theme="0" tint="-0.14999847407452621"/>
      <name val="Calibri"/>
      <family val="2"/>
    </font>
    <font>
      <sz val="20"/>
      <color theme="0" tint="-0.14999847407452621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0"/>
      <color rgb="FF1A313C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5FBD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rgb="FFFFE0B3"/>
        <bgColor indexed="64"/>
      </patternFill>
    </fill>
    <fill>
      <patternFill patternType="solid">
        <fgColor rgb="FFB8E08C"/>
        <bgColor indexed="64"/>
      </patternFill>
    </fill>
    <fill>
      <patternFill patternType="solid">
        <fgColor theme="2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n">
        <color rgb="FFA50021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A50021"/>
      </left>
      <right/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rgb="FFA50021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2" tint="-0.499984740745262"/>
      </right>
      <top/>
      <bottom style="thin">
        <color theme="2" tint="-0.499984740745262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thick">
        <color theme="4"/>
      </left>
      <right/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/>
      <diagonal/>
    </border>
    <border>
      <left style="thick">
        <color theme="4"/>
      </left>
      <right/>
      <top style="thin">
        <color theme="0" tint="-0.14996795556505021"/>
      </top>
      <bottom style="thick">
        <color theme="4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ck">
        <color theme="4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0" tint="-0.14993743705557422"/>
      </left>
      <right/>
      <top style="thin">
        <color theme="0" tint="-0.14996795556505021"/>
      </top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medium">
        <color theme="2" tint="-0.499984740745262"/>
      </left>
      <right style="thick">
        <color theme="2" tint="-0.499984740745262"/>
      </right>
      <top style="medium">
        <color theme="8"/>
      </top>
      <bottom/>
      <diagonal/>
    </border>
    <border>
      <left style="thick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8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8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ck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8"/>
      </top>
      <bottom style="thin">
        <color theme="2" tint="-0.24994659260841701"/>
      </bottom>
      <diagonal/>
    </border>
    <border>
      <left/>
      <right/>
      <top style="medium">
        <color theme="8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medium">
        <color theme="8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8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indexed="64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 style="thin">
        <color indexed="64"/>
      </bottom>
      <diagonal/>
    </border>
    <border>
      <left/>
      <right/>
      <top style="thin">
        <color theme="2" tint="-0.24994659260841701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thin">
        <color theme="2" tint="-0.24994659260841701"/>
      </left>
      <right/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499984740745262"/>
      </left>
      <right/>
      <top/>
      <bottom style="thick">
        <color theme="2" tint="-0.499984740745262"/>
      </bottom>
      <diagonal/>
    </border>
    <border>
      <left/>
      <right style="thin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ck">
        <color theme="2" tint="-0.499984740745262"/>
      </bottom>
      <diagonal/>
    </border>
    <border>
      <left/>
      <right/>
      <top style="thick">
        <color theme="2" tint="-0.499984740745262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ck">
        <color theme="2" tint="-0.499984740745262"/>
      </bottom>
      <diagonal/>
    </border>
    <border>
      <left style="thick">
        <color theme="7"/>
      </left>
      <right/>
      <top style="thick">
        <color theme="7"/>
      </top>
      <bottom/>
      <diagonal/>
    </border>
    <border>
      <left/>
      <right/>
      <top style="thick">
        <color theme="7"/>
      </top>
      <bottom/>
      <diagonal/>
    </border>
    <border>
      <left/>
      <right style="thick">
        <color theme="7"/>
      </right>
      <top style="thick">
        <color theme="7"/>
      </top>
      <bottom/>
      <diagonal/>
    </border>
    <border>
      <left style="thick">
        <color theme="7"/>
      </left>
      <right/>
      <top/>
      <bottom/>
      <diagonal/>
    </border>
    <border>
      <left/>
      <right style="thick">
        <color theme="7"/>
      </right>
      <top/>
      <bottom/>
      <diagonal/>
    </border>
    <border>
      <left style="thick">
        <color theme="7"/>
      </left>
      <right/>
      <top/>
      <bottom style="thick">
        <color theme="7"/>
      </bottom>
      <diagonal/>
    </border>
    <border>
      <left/>
      <right/>
      <top/>
      <bottom style="thick">
        <color theme="7"/>
      </bottom>
      <diagonal/>
    </border>
    <border>
      <left/>
      <right style="thick">
        <color theme="7"/>
      </right>
      <top/>
      <bottom style="thick">
        <color theme="7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/>
      <right/>
      <top style="thin">
        <color theme="2" tint="-0.499984740745262"/>
      </top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 style="thin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rgb="FF00B0F0"/>
      </bottom>
      <diagonal/>
    </border>
    <border>
      <left/>
      <right/>
      <top style="thin">
        <color theme="2" tint="-0.499984740745262"/>
      </top>
      <bottom style="medium">
        <color rgb="FF00B0F0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</borders>
  <cellStyleXfs count="5">
    <xf numFmtId="0" fontId="0" fillId="0" borderId="0"/>
    <xf numFmtId="0" fontId="4" fillId="0" borderId="0"/>
    <xf numFmtId="0" fontId="6" fillId="2" borderId="0"/>
    <xf numFmtId="0" fontId="6" fillId="0" borderId="0"/>
    <xf numFmtId="0" fontId="51" fillId="0" borderId="0" applyNumberFormat="0" applyFill="0" applyBorder="0" applyAlignment="0" applyProtection="0"/>
  </cellStyleXfs>
  <cellXfs count="573">
    <xf numFmtId="0" fontId="0" fillId="0" borderId="0" xfId="0"/>
    <xf numFmtId="0" fontId="5" fillId="0" borderId="0" xfId="1" applyFont="1" applyFill="1" applyBorder="1" applyAlignment="1" applyProtection="1">
      <alignment horizontal="center" vertical="center"/>
    </xf>
    <xf numFmtId="0" fontId="4" fillId="0" borderId="0" xfId="1" applyFill="1" applyBorder="1" applyAlignment="1" applyProtection="1">
      <alignment horizontal="center" vertical="center"/>
    </xf>
    <xf numFmtId="0" fontId="5" fillId="7" borderId="20" xfId="1" applyFont="1" applyFill="1" applyBorder="1" applyAlignment="1" applyProtection="1">
      <alignment horizontal="center" vertical="center"/>
      <protection locked="0"/>
    </xf>
    <xf numFmtId="0" fontId="4" fillId="0" borderId="0" xfId="1"/>
    <xf numFmtId="0" fontId="8" fillId="0" borderId="0" xfId="1" applyNumberFormat="1" applyFont="1" applyFill="1" applyAlignment="1" applyProtection="1">
      <alignment vertical="center"/>
      <protection hidden="1"/>
    </xf>
    <xf numFmtId="0" fontId="24" fillId="0" borderId="0" xfId="1" applyNumberFormat="1" applyFont="1" applyAlignment="1">
      <alignment horizontal="center" vertical="center"/>
    </xf>
    <xf numFmtId="0" fontId="4" fillId="0" borderId="47" xfId="1" applyBorder="1"/>
    <xf numFmtId="0" fontId="4" fillId="0" borderId="48" xfId="1" applyBorder="1" applyAlignment="1">
      <alignment horizontal="left" indent="1"/>
    </xf>
    <xf numFmtId="0" fontId="4" fillId="0" borderId="40" xfId="1" applyBorder="1"/>
    <xf numFmtId="0" fontId="4" fillId="0" borderId="41" xfId="1" applyBorder="1" applyAlignment="1">
      <alignment horizontal="left" indent="1"/>
    </xf>
    <xf numFmtId="0" fontId="8" fillId="0" borderId="50" xfId="1" applyNumberFormat="1" applyFont="1" applyFill="1" applyBorder="1" applyAlignment="1" applyProtection="1">
      <alignment vertical="center"/>
      <protection hidden="1"/>
    </xf>
    <xf numFmtId="0" fontId="8" fillId="0" borderId="49" xfId="1" applyNumberFormat="1" applyFont="1" applyFill="1" applyBorder="1" applyAlignment="1" applyProtection="1">
      <alignment horizontal="center" vertical="center"/>
      <protection hidden="1"/>
    </xf>
    <xf numFmtId="0" fontId="8" fillId="0" borderId="40" xfId="1" applyNumberFormat="1" applyFont="1" applyFill="1" applyBorder="1" applyAlignment="1" applyProtection="1">
      <alignment vertical="center"/>
      <protection hidden="1"/>
    </xf>
    <xf numFmtId="0" fontId="8" fillId="0" borderId="69" xfId="1" applyNumberFormat="1" applyFont="1" applyFill="1" applyBorder="1" applyAlignment="1" applyProtection="1">
      <alignment horizontal="center" vertical="center"/>
      <protection hidden="1"/>
    </xf>
    <xf numFmtId="0" fontId="4" fillId="0" borderId="40" xfId="1" applyFill="1" applyBorder="1"/>
    <xf numFmtId="0" fontId="4" fillId="0" borderId="41" xfId="1" applyFill="1" applyBorder="1" applyAlignment="1">
      <alignment horizontal="left" indent="1"/>
    </xf>
    <xf numFmtId="0" fontId="4" fillId="0" borderId="61" xfId="1" applyFill="1" applyBorder="1"/>
    <xf numFmtId="0" fontId="4" fillId="0" borderId="61" xfId="1" applyFill="1" applyBorder="1" applyAlignment="1">
      <alignment horizontal="left" indent="1"/>
    </xf>
    <xf numFmtId="165" fontId="25" fillId="0" borderId="46" xfId="1" applyNumberFormat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7" fillId="0" borderId="13" xfId="1" applyFont="1" applyBorder="1" applyAlignment="1">
      <alignment horizontal="center" vertical="center" shrinkToFit="1"/>
    </xf>
    <xf numFmtId="0" fontId="26" fillId="3" borderId="12" xfId="1" applyFont="1" applyFill="1" applyBorder="1" applyAlignment="1">
      <alignment horizontal="center" vertical="center"/>
    </xf>
    <xf numFmtId="0" fontId="9" fillId="0" borderId="57" xfId="1" applyFont="1" applyBorder="1" applyAlignment="1">
      <alignment horizontal="center" vertical="center"/>
    </xf>
    <xf numFmtId="0" fontId="26" fillId="3" borderId="14" xfId="1" applyFont="1" applyFill="1" applyBorder="1" applyAlignment="1">
      <alignment horizontal="center" vertical="center"/>
    </xf>
    <xf numFmtId="0" fontId="9" fillId="4" borderId="13" xfId="1" applyFont="1" applyFill="1" applyBorder="1" applyAlignment="1" applyProtection="1">
      <alignment horizontal="center" vertical="center" shrinkToFit="1"/>
      <protection locked="0"/>
    </xf>
    <xf numFmtId="0" fontId="9" fillId="4" borderId="58" xfId="1" applyFont="1" applyFill="1" applyBorder="1" applyAlignment="1" applyProtection="1">
      <alignment horizontal="center" vertical="center" shrinkToFit="1"/>
      <protection locked="0"/>
    </xf>
    <xf numFmtId="0" fontId="9" fillId="0" borderId="62" xfId="1" applyFont="1" applyBorder="1" applyAlignment="1">
      <alignment horizontal="center" vertical="center"/>
    </xf>
    <xf numFmtId="0" fontId="7" fillId="0" borderId="63" xfId="1" applyFont="1" applyBorder="1" applyAlignment="1">
      <alignment horizontal="center" vertical="center" shrinkToFit="1"/>
    </xf>
    <xf numFmtId="165" fontId="25" fillId="0" borderId="64" xfId="1" applyNumberFormat="1" applyFont="1" applyBorder="1" applyAlignment="1">
      <alignment horizontal="center" vertical="center" shrinkToFit="1"/>
    </xf>
    <xf numFmtId="0" fontId="9" fillId="0" borderId="65" xfId="1" applyFont="1" applyBorder="1" applyAlignment="1">
      <alignment horizontal="center" vertical="center" shrinkToFit="1"/>
    </xf>
    <xf numFmtId="0" fontId="9" fillId="4" borderId="63" xfId="1" applyFont="1" applyFill="1" applyBorder="1" applyAlignment="1" applyProtection="1">
      <alignment horizontal="center" vertical="center" shrinkToFit="1"/>
      <protection locked="0"/>
    </xf>
    <xf numFmtId="0" fontId="9" fillId="4" borderId="68" xfId="1" applyFont="1" applyFill="1" applyBorder="1" applyAlignment="1" applyProtection="1">
      <alignment horizontal="center" vertical="center" shrinkToFit="1"/>
      <protection locked="0"/>
    </xf>
    <xf numFmtId="0" fontId="10" fillId="3" borderId="56" xfId="1" applyFont="1" applyFill="1" applyBorder="1" applyAlignment="1">
      <alignment horizontal="center" vertical="center" shrinkToFit="1"/>
    </xf>
    <xf numFmtId="0" fontId="9" fillId="4" borderId="6" xfId="1" applyFont="1" applyFill="1" applyBorder="1" applyAlignment="1">
      <alignment horizontal="center" vertical="center"/>
    </xf>
    <xf numFmtId="0" fontId="6" fillId="0" borderId="0" xfId="3"/>
    <xf numFmtId="0" fontId="12" fillId="0" borderId="13" xfId="3" applyFont="1" applyBorder="1" applyAlignment="1">
      <alignment horizontal="center" vertical="center"/>
    </xf>
    <xf numFmtId="0" fontId="15" fillId="5" borderId="12" xfId="3" applyFont="1" applyFill="1" applyBorder="1" applyAlignment="1">
      <alignment horizontal="center" vertical="center"/>
    </xf>
    <xf numFmtId="0" fontId="15" fillId="5" borderId="15" xfId="3" applyFont="1" applyFill="1" applyBorder="1" applyAlignment="1">
      <alignment horizontal="center" vertical="center"/>
    </xf>
    <xf numFmtId="0" fontId="12" fillId="0" borderId="17" xfId="3" applyFont="1" applyBorder="1" applyAlignment="1">
      <alignment horizontal="center" vertical="center"/>
    </xf>
    <xf numFmtId="0" fontId="11" fillId="4" borderId="19" xfId="3" applyFont="1" applyFill="1" applyBorder="1" applyAlignment="1" applyProtection="1">
      <alignment horizontal="center" vertical="center"/>
      <protection locked="0"/>
    </xf>
    <xf numFmtId="0" fontId="11" fillId="4" borderId="16" xfId="3" applyFont="1" applyFill="1" applyBorder="1" applyAlignment="1" applyProtection="1">
      <alignment horizontal="center" vertical="center"/>
      <protection locked="0"/>
    </xf>
    <xf numFmtId="0" fontId="15" fillId="5" borderId="14" xfId="3" applyFont="1" applyFill="1" applyBorder="1" applyAlignment="1">
      <alignment horizontal="left" vertical="center" indent="1"/>
    </xf>
    <xf numFmtId="0" fontId="11" fillId="0" borderId="18" xfId="3" applyFont="1" applyBorder="1" applyAlignment="1">
      <alignment horizontal="left" vertical="center" indent="1"/>
    </xf>
    <xf numFmtId="0" fontId="12" fillId="0" borderId="0" xfId="3" applyFont="1" applyAlignment="1">
      <alignment horizontal="center"/>
    </xf>
    <xf numFmtId="0" fontId="9" fillId="0" borderId="6" xfId="1" applyFont="1" applyBorder="1" applyAlignment="1">
      <alignment horizontal="left" vertical="center" shrinkToFit="1"/>
    </xf>
    <xf numFmtId="0" fontId="9" fillId="0" borderId="65" xfId="1" applyFont="1" applyBorder="1" applyAlignment="1">
      <alignment horizontal="left" vertical="center" shrinkToFit="1"/>
    </xf>
    <xf numFmtId="0" fontId="9" fillId="4" borderId="10" xfId="1" applyFont="1" applyFill="1" applyBorder="1" applyAlignment="1" applyProtection="1">
      <alignment horizontal="center" vertical="center" shrinkToFit="1"/>
      <protection locked="0"/>
    </xf>
    <xf numFmtId="0" fontId="9" fillId="4" borderId="66" xfId="1" applyFont="1" applyFill="1" applyBorder="1" applyAlignment="1" applyProtection="1">
      <alignment horizontal="center" vertical="center" shrinkToFit="1"/>
      <protection locked="0"/>
    </xf>
    <xf numFmtId="0" fontId="9" fillId="4" borderId="7" xfId="1" applyFont="1" applyFill="1" applyBorder="1" applyAlignment="1" applyProtection="1">
      <alignment horizontal="center" vertical="center" shrinkToFit="1"/>
      <protection locked="0"/>
    </xf>
    <xf numFmtId="0" fontId="9" fillId="4" borderId="67" xfId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vertical="center" shrinkToFit="1"/>
    </xf>
    <xf numFmtId="0" fontId="26" fillId="3" borderId="76" xfId="0" applyFont="1" applyFill="1" applyBorder="1" applyAlignment="1">
      <alignment horizontal="center" vertical="center" shrinkToFit="1"/>
    </xf>
    <xf numFmtId="0" fontId="26" fillId="3" borderId="77" xfId="0" applyFont="1" applyFill="1" applyBorder="1" applyAlignment="1">
      <alignment horizontal="center" vertical="center" shrinkToFit="1"/>
    </xf>
    <xf numFmtId="0" fontId="26" fillId="3" borderId="78" xfId="0" applyFont="1" applyFill="1" applyBorder="1" applyAlignment="1">
      <alignment horizontal="center" vertical="center" shrinkToFit="1"/>
    </xf>
    <xf numFmtId="0" fontId="26" fillId="3" borderId="81" xfId="0" applyFont="1" applyFill="1" applyBorder="1" applyAlignment="1">
      <alignment horizontal="center" vertical="center" shrinkToFit="1"/>
    </xf>
    <xf numFmtId="0" fontId="26" fillId="3" borderId="82" xfId="0" applyFont="1" applyFill="1" applyBorder="1" applyAlignment="1">
      <alignment horizontal="center" vertical="center" shrinkToFit="1"/>
    </xf>
    <xf numFmtId="164" fontId="9" fillId="9" borderId="83" xfId="0" applyNumberFormat="1" applyFont="1" applyFill="1" applyBorder="1" applyAlignment="1">
      <alignment horizontal="right" vertical="center" indent="1" shrinkToFit="1"/>
    </xf>
    <xf numFmtId="0" fontId="9" fillId="9" borderId="84" xfId="0" applyFont="1" applyFill="1" applyBorder="1" applyAlignment="1">
      <alignment horizontal="left" vertical="center" shrinkToFit="1"/>
    </xf>
    <xf numFmtId="0" fontId="9" fillId="9" borderId="85" xfId="0" applyFont="1" applyFill="1" applyBorder="1" applyAlignment="1">
      <alignment horizontal="center" vertical="center" shrinkToFit="1"/>
    </xf>
    <xf numFmtId="0" fontId="9" fillId="9" borderId="86" xfId="0" applyFont="1" applyFill="1" applyBorder="1" applyAlignment="1">
      <alignment horizontal="center" vertical="center" shrinkToFit="1"/>
    </xf>
    <xf numFmtId="0" fontId="9" fillId="9" borderId="43" xfId="0" applyFont="1" applyFill="1" applyBorder="1" applyAlignment="1">
      <alignment horizontal="center" vertical="center" shrinkToFit="1"/>
    </xf>
    <xf numFmtId="0" fontId="9" fillId="9" borderId="43" xfId="0" applyFont="1" applyFill="1" applyBorder="1" applyAlignment="1">
      <alignment horizontal="right" vertical="center" shrinkToFit="1"/>
    </xf>
    <xf numFmtId="0" fontId="9" fillId="9" borderId="44" xfId="0" applyFont="1" applyFill="1" applyBorder="1" applyAlignment="1">
      <alignment horizontal="center" vertical="center" shrinkToFit="1"/>
    </xf>
    <xf numFmtId="0" fontId="9" fillId="9" borderId="45" xfId="0" applyFont="1" applyFill="1" applyBorder="1" applyAlignment="1">
      <alignment horizontal="left" vertical="center" shrinkToFit="1"/>
    </xf>
    <xf numFmtId="167" fontId="9" fillId="9" borderId="45" xfId="0" applyNumberFormat="1" applyFont="1" applyFill="1" applyBorder="1" applyAlignment="1">
      <alignment horizontal="center" vertical="center" shrinkToFit="1"/>
    </xf>
    <xf numFmtId="0" fontId="9" fillId="9" borderId="44" xfId="0" applyNumberFormat="1" applyFont="1" applyFill="1" applyBorder="1" applyAlignment="1">
      <alignment horizontal="center" vertical="center" shrinkToFit="1"/>
    </xf>
    <xf numFmtId="0" fontId="28" fillId="9" borderId="87" xfId="0" applyFont="1" applyFill="1" applyBorder="1" applyAlignment="1">
      <alignment horizontal="center" vertical="center" shrinkToFit="1"/>
    </xf>
    <xf numFmtId="0" fontId="9" fillId="0" borderId="88" xfId="0" applyFont="1" applyFill="1" applyBorder="1" applyAlignment="1">
      <alignment horizontal="center" vertical="center" shrinkToFit="1"/>
    </xf>
    <xf numFmtId="0" fontId="9" fillId="9" borderId="90" xfId="0" applyFont="1" applyFill="1" applyBorder="1" applyAlignment="1">
      <alignment horizontal="center" vertical="center" shrinkToFit="1"/>
    </xf>
    <xf numFmtId="0" fontId="9" fillId="9" borderId="91" xfId="0" applyFont="1" applyFill="1" applyBorder="1" applyAlignment="1">
      <alignment horizontal="center" vertical="center" shrinkToFit="1"/>
    </xf>
    <xf numFmtId="0" fontId="9" fillId="9" borderId="92" xfId="0" applyFont="1" applyFill="1" applyBorder="1" applyAlignment="1">
      <alignment horizontal="center" vertical="center" shrinkToFit="1"/>
    </xf>
    <xf numFmtId="0" fontId="9" fillId="9" borderId="92" xfId="0" applyFont="1" applyFill="1" applyBorder="1" applyAlignment="1">
      <alignment horizontal="right" vertical="center" shrinkToFit="1"/>
    </xf>
    <xf numFmtId="0" fontId="9" fillId="9" borderId="93" xfId="0" applyFont="1" applyFill="1" applyBorder="1" applyAlignment="1">
      <alignment horizontal="center" vertical="center" shrinkToFit="1"/>
    </xf>
    <xf numFmtId="0" fontId="9" fillId="9" borderId="94" xfId="0" applyFont="1" applyFill="1" applyBorder="1" applyAlignment="1">
      <alignment horizontal="left" vertical="center" shrinkToFit="1"/>
    </xf>
    <xf numFmtId="167" fontId="9" fillId="9" borderId="94" xfId="0" applyNumberFormat="1" applyFont="1" applyFill="1" applyBorder="1" applyAlignment="1">
      <alignment horizontal="center" vertical="center" shrinkToFit="1"/>
    </xf>
    <xf numFmtId="0" fontId="9" fillId="9" borderId="93" xfId="0" applyNumberFormat="1" applyFont="1" applyFill="1" applyBorder="1" applyAlignment="1">
      <alignment horizontal="center" vertical="center" shrinkToFit="1"/>
    </xf>
    <xf numFmtId="0" fontId="28" fillId="9" borderId="95" xfId="0" applyFont="1" applyFill="1" applyBorder="1" applyAlignment="1">
      <alignment horizontal="center" vertical="center" shrinkToFit="1"/>
    </xf>
    <xf numFmtId="0" fontId="9" fillId="10" borderId="90" xfId="0" applyFont="1" applyFill="1" applyBorder="1" applyAlignment="1">
      <alignment horizontal="center" vertical="center" shrinkToFit="1"/>
    </xf>
    <xf numFmtId="0" fontId="9" fillId="10" borderId="91" xfId="0" applyFont="1" applyFill="1" applyBorder="1" applyAlignment="1">
      <alignment horizontal="center" vertical="center" shrinkToFit="1"/>
    </xf>
    <xf numFmtId="0" fontId="9" fillId="10" borderId="92" xfId="0" applyFont="1" applyFill="1" applyBorder="1" applyAlignment="1">
      <alignment horizontal="center" vertical="center" shrinkToFit="1"/>
    </xf>
    <xf numFmtId="0" fontId="9" fillId="10" borderId="92" xfId="0" applyFont="1" applyFill="1" applyBorder="1" applyAlignment="1">
      <alignment horizontal="right" vertical="center" shrinkToFit="1"/>
    </xf>
    <xf numFmtId="0" fontId="9" fillId="10" borderId="93" xfId="0" applyFont="1" applyFill="1" applyBorder="1" applyAlignment="1">
      <alignment horizontal="center" vertical="center" shrinkToFit="1"/>
    </xf>
    <xf numFmtId="0" fontId="9" fillId="10" borderId="94" xfId="0" applyFont="1" applyFill="1" applyBorder="1" applyAlignment="1">
      <alignment horizontal="left" vertical="center" shrinkToFit="1"/>
    </xf>
    <xf numFmtId="167" fontId="9" fillId="10" borderId="94" xfId="0" applyNumberFormat="1" applyFont="1" applyFill="1" applyBorder="1" applyAlignment="1">
      <alignment horizontal="center" vertical="center" shrinkToFit="1"/>
    </xf>
    <xf numFmtId="0" fontId="9" fillId="10" borderId="93" xfId="0" applyNumberFormat="1" applyFont="1" applyFill="1" applyBorder="1" applyAlignment="1">
      <alignment horizontal="center" vertical="center" shrinkToFit="1"/>
    </xf>
    <xf numFmtId="0" fontId="28" fillId="10" borderId="95" xfId="0" applyFont="1" applyFill="1" applyBorder="1" applyAlignment="1">
      <alignment horizontal="center" vertical="center" shrinkToFit="1"/>
    </xf>
    <xf numFmtId="0" fontId="29" fillId="0" borderId="0" xfId="0" applyFont="1"/>
    <xf numFmtId="0" fontId="30" fillId="0" borderId="0" xfId="0" applyFont="1" applyAlignment="1">
      <alignment vertical="center"/>
    </xf>
    <xf numFmtId="0" fontId="29" fillId="0" borderId="0" xfId="0" applyNumberFormat="1" applyFont="1"/>
    <xf numFmtId="1" fontId="29" fillId="0" borderId="0" xfId="0" applyNumberFormat="1" applyFont="1"/>
    <xf numFmtId="14" fontId="30" fillId="0" borderId="0" xfId="0" applyNumberFormat="1" applyFont="1" applyAlignment="1">
      <alignment horizontal="left" vertical="top"/>
    </xf>
    <xf numFmtId="0" fontId="13" fillId="0" borderId="0" xfId="0" applyFont="1" applyAlignment="1"/>
    <xf numFmtId="0" fontId="13" fillId="0" borderId="0" xfId="0" applyNumberFormat="1" applyFont="1" applyAlignment="1"/>
    <xf numFmtId="1" fontId="13" fillId="0" borderId="0" xfId="0" applyNumberFormat="1" applyFont="1" applyAlignment="1"/>
    <xf numFmtId="166" fontId="31" fillId="0" borderId="0" xfId="0" applyNumberFormat="1" applyFont="1" applyBorder="1" applyAlignment="1">
      <alignment horizontal="left" vertical="center" wrapText="1"/>
    </xf>
    <xf numFmtId="0" fontId="32" fillId="0" borderId="0" xfId="0" applyFont="1"/>
    <xf numFmtId="166" fontId="33" fillId="0" borderId="0" xfId="0" applyNumberFormat="1" applyFont="1" applyAlignment="1"/>
    <xf numFmtId="166" fontId="34" fillId="0" borderId="0" xfId="0" applyNumberFormat="1" applyFont="1" applyBorder="1" applyAlignment="1">
      <alignment horizontal="center" vertical="center" wrapText="1"/>
    </xf>
    <xf numFmtId="0" fontId="29" fillId="0" borderId="0" xfId="0" applyNumberFormat="1" applyFont="1" applyAlignment="1">
      <alignment horizontal="center"/>
    </xf>
    <xf numFmtId="0" fontId="29" fillId="0" borderId="0" xfId="0" applyNumberFormat="1" applyFont="1" applyAlignment="1">
      <alignment horizontal="center" vertical="center"/>
    </xf>
    <xf numFmtId="0" fontId="10" fillId="3" borderId="76" xfId="0" applyFont="1" applyFill="1" applyBorder="1" applyAlignment="1">
      <alignment horizontal="right" vertical="center" indent="1"/>
    </xf>
    <xf numFmtId="0" fontId="10" fillId="3" borderId="78" xfId="0" applyFont="1" applyFill="1" applyBorder="1" applyAlignment="1">
      <alignment horizontal="left" vertical="center" indent="1"/>
    </xf>
    <xf numFmtId="0" fontId="10" fillId="3" borderId="81" xfId="0" applyFont="1" applyFill="1" applyBorder="1" applyAlignment="1">
      <alignment vertical="center"/>
    </xf>
    <xf numFmtId="0" fontId="15" fillId="6" borderId="0" xfId="0" applyNumberFormat="1" applyFont="1" applyFill="1" applyAlignment="1">
      <alignment horizontal="center"/>
    </xf>
    <xf numFmtId="0" fontId="10" fillId="3" borderId="56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center" vertical="center"/>
    </xf>
    <xf numFmtId="0" fontId="10" fillId="3" borderId="81" xfId="0" applyFont="1" applyFill="1" applyBorder="1" applyAlignment="1">
      <alignment horizontal="center" vertical="center"/>
    </xf>
    <xf numFmtId="164" fontId="12" fillId="0" borderId="97" xfId="0" applyNumberFormat="1" applyFont="1" applyFill="1" applyBorder="1" applyAlignment="1">
      <alignment horizontal="right" vertical="center" indent="1"/>
    </xf>
    <xf numFmtId="0" fontId="12" fillId="4" borderId="98" xfId="0" applyFont="1" applyFill="1" applyBorder="1" applyAlignment="1" applyProtection="1">
      <alignment horizontal="left" vertical="center" indent="1"/>
      <protection locked="0"/>
    </xf>
    <xf numFmtId="0" fontId="12" fillId="4" borderId="99" xfId="0" applyFont="1" applyFill="1" applyBorder="1" applyAlignment="1" applyProtection="1">
      <alignment vertical="center"/>
      <protection locked="0"/>
    </xf>
    <xf numFmtId="164" fontId="29" fillId="0" borderId="0" xfId="0" applyNumberFormat="1" applyFont="1" applyAlignment="1">
      <alignment horizontal="center" vertical="center"/>
    </xf>
    <xf numFmtId="166" fontId="35" fillId="0" borderId="0" xfId="0" applyNumberFormat="1" applyFont="1" applyAlignment="1">
      <alignment horizontal="right" vertical="center" indent="1"/>
    </xf>
    <xf numFmtId="1" fontId="29" fillId="0" borderId="100" xfId="0" applyNumberFormat="1" applyFont="1" applyBorder="1" applyAlignment="1">
      <alignment horizontal="center" vertical="center"/>
    </xf>
    <xf numFmtId="164" fontId="36" fillId="0" borderId="85" xfId="0" applyNumberFormat="1" applyFont="1" applyBorder="1" applyAlignment="1">
      <alignment horizontal="center" vertical="center"/>
    </xf>
    <xf numFmtId="0" fontId="0" fillId="4" borderId="98" xfId="0" applyFill="1" applyBorder="1" applyAlignment="1" applyProtection="1">
      <alignment horizontal="center"/>
      <protection locked="0"/>
    </xf>
    <xf numFmtId="0" fontId="37" fillId="4" borderId="101" xfId="0" applyFont="1" applyFill="1" applyBorder="1" applyAlignment="1">
      <alignment horizontal="center" vertical="center"/>
    </xf>
    <xf numFmtId="0" fontId="0" fillId="4" borderId="102" xfId="0" applyFill="1" applyBorder="1" applyAlignment="1" applyProtection="1">
      <alignment horizontal="center"/>
      <protection locked="0"/>
    </xf>
    <xf numFmtId="0" fontId="12" fillId="0" borderId="43" xfId="0" applyFont="1" applyBorder="1" applyAlignment="1">
      <alignment horizontal="right" vertical="center"/>
    </xf>
    <xf numFmtId="0" fontId="12" fillId="0" borderId="44" xfId="0" applyFont="1" applyBorder="1" applyAlignment="1">
      <alignment horizontal="center" vertical="center"/>
    </xf>
    <xf numFmtId="0" fontId="12" fillId="0" borderId="84" xfId="0" applyFont="1" applyBorder="1" applyAlignment="1">
      <alignment horizontal="left" vertical="center"/>
    </xf>
    <xf numFmtId="14" fontId="38" fillId="4" borderId="97" xfId="0" applyNumberFormat="1" applyFont="1" applyFill="1" applyBorder="1" applyAlignment="1" applyProtection="1">
      <alignment horizontal="center" vertical="center"/>
      <protection locked="0"/>
    </xf>
    <xf numFmtId="165" fontId="38" fillId="4" borderId="99" xfId="0" applyNumberFormat="1" applyFont="1" applyFill="1" applyBorder="1" applyAlignment="1" applyProtection="1">
      <alignment horizontal="center" vertical="center"/>
      <protection locked="0"/>
    </xf>
    <xf numFmtId="164" fontId="12" fillId="0" borderId="90" xfId="0" applyNumberFormat="1" applyFont="1" applyFill="1" applyBorder="1" applyAlignment="1">
      <alignment horizontal="right" vertical="center" indent="1"/>
    </xf>
    <xf numFmtId="0" fontId="12" fillId="4" borderId="92" xfId="0" applyFont="1" applyFill="1" applyBorder="1" applyAlignment="1" applyProtection="1">
      <alignment horizontal="left" vertical="center" indent="1"/>
      <protection locked="0"/>
    </xf>
    <xf numFmtId="0" fontId="12" fillId="4" borderId="95" xfId="0" applyFont="1" applyFill="1" applyBorder="1" applyAlignment="1" applyProtection="1">
      <alignment vertical="center"/>
      <protection locked="0"/>
    </xf>
    <xf numFmtId="1" fontId="29" fillId="0" borderId="57" xfId="0" applyNumberFormat="1" applyFont="1" applyBorder="1" applyAlignment="1">
      <alignment horizontal="center" vertical="center"/>
    </xf>
    <xf numFmtId="164" fontId="36" fillId="0" borderId="90" xfId="0" applyNumberFormat="1" applyFont="1" applyBorder="1" applyAlignment="1">
      <alignment horizontal="center" vertical="center"/>
    </xf>
    <xf numFmtId="0" fontId="0" fillId="4" borderId="92" xfId="0" applyFill="1" applyBorder="1" applyAlignment="1" applyProtection="1">
      <alignment horizontal="center"/>
      <protection locked="0"/>
    </xf>
    <xf numFmtId="0" fontId="37" fillId="4" borderId="93" xfId="0" applyFont="1" applyFill="1" applyBorder="1" applyAlignment="1">
      <alignment horizontal="center" vertical="center"/>
    </xf>
    <xf numFmtId="0" fontId="0" fillId="4" borderId="94" xfId="0" applyFill="1" applyBorder="1" applyAlignment="1" applyProtection="1">
      <alignment horizontal="center"/>
      <protection locked="0"/>
    </xf>
    <xf numFmtId="14" fontId="38" fillId="4" borderId="90" xfId="0" applyNumberFormat="1" applyFont="1" applyFill="1" applyBorder="1" applyAlignment="1" applyProtection="1">
      <alignment horizontal="center" vertical="center"/>
      <protection locked="0"/>
    </xf>
    <xf numFmtId="165" fontId="38" fillId="4" borderId="95" xfId="0" applyNumberFormat="1" applyFont="1" applyFill="1" applyBorder="1" applyAlignment="1" applyProtection="1">
      <alignment horizontal="center" vertical="center"/>
      <protection locked="0"/>
    </xf>
    <xf numFmtId="1" fontId="29" fillId="0" borderId="62" xfId="0" applyNumberFormat="1" applyFont="1" applyBorder="1" applyAlignment="1">
      <alignment horizontal="center" vertical="center"/>
    </xf>
    <xf numFmtId="164" fontId="36" fillId="0" borderId="103" xfId="0" applyNumberFormat="1" applyFont="1" applyBorder="1" applyAlignment="1">
      <alignment horizontal="center" vertical="center"/>
    </xf>
    <xf numFmtId="0" fontId="0" fillId="4" borderId="104" xfId="0" applyFill="1" applyBorder="1" applyAlignment="1" applyProtection="1">
      <alignment horizontal="center"/>
      <protection locked="0"/>
    </xf>
    <xf numFmtId="0" fontId="37" fillId="4" borderId="105" xfId="0" applyFont="1" applyFill="1" applyBorder="1" applyAlignment="1">
      <alignment horizontal="center" vertical="center"/>
    </xf>
    <xf numFmtId="0" fontId="0" fillId="4" borderId="106" xfId="0" applyFill="1" applyBorder="1" applyAlignment="1" applyProtection="1">
      <alignment horizontal="center"/>
      <protection locked="0"/>
    </xf>
    <xf numFmtId="0" fontId="12" fillId="0" borderId="104" xfId="0" applyFont="1" applyBorder="1" applyAlignment="1">
      <alignment horizontal="right" vertical="center"/>
    </xf>
    <xf numFmtId="0" fontId="12" fillId="0" borderId="105" xfId="0" applyFont="1" applyBorder="1" applyAlignment="1">
      <alignment horizontal="center" vertical="center"/>
    </xf>
    <xf numFmtId="0" fontId="12" fillId="0" borderId="107" xfId="0" applyFont="1" applyBorder="1" applyAlignment="1">
      <alignment horizontal="left" vertical="center"/>
    </xf>
    <xf numFmtId="14" fontId="38" fillId="4" borderId="103" xfId="0" applyNumberFormat="1" applyFont="1" applyFill="1" applyBorder="1" applyAlignment="1" applyProtection="1">
      <alignment horizontal="center" vertical="center"/>
      <protection locked="0"/>
    </xf>
    <xf numFmtId="165" fontId="38" fillId="4" borderId="108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Fill="1"/>
    <xf numFmtId="1" fontId="29" fillId="0" borderId="112" xfId="0" applyNumberFormat="1" applyFont="1" applyBorder="1" applyAlignment="1">
      <alignment horizontal="center" vertical="center"/>
    </xf>
    <xf numFmtId="164" fontId="36" fillId="0" borderId="109" xfId="0" applyNumberFormat="1" applyFont="1" applyBorder="1" applyAlignment="1">
      <alignment horizontal="center" vertical="center"/>
    </xf>
    <xf numFmtId="0" fontId="0" fillId="4" borderId="110" xfId="0" applyFill="1" applyBorder="1" applyAlignment="1" applyProtection="1">
      <alignment horizontal="center"/>
      <protection locked="0"/>
    </xf>
    <xf numFmtId="0" fontId="37" fillId="4" borderId="113" xfId="0" applyFont="1" applyFill="1" applyBorder="1" applyAlignment="1">
      <alignment horizontal="center" vertical="center"/>
    </xf>
    <xf numFmtId="0" fontId="0" fillId="4" borderId="114" xfId="0" applyFill="1" applyBorder="1" applyAlignment="1" applyProtection="1">
      <alignment horizontal="center"/>
      <protection locked="0"/>
    </xf>
    <xf numFmtId="0" fontId="12" fillId="0" borderId="115" xfId="0" applyFont="1" applyBorder="1" applyAlignment="1">
      <alignment horizontal="right" vertical="center"/>
    </xf>
    <xf numFmtId="0" fontId="12" fillId="0" borderId="71" xfId="0" applyFont="1" applyBorder="1" applyAlignment="1">
      <alignment horizontal="center" vertical="center"/>
    </xf>
    <xf numFmtId="14" fontId="38" fillId="4" borderId="109" xfId="0" applyNumberFormat="1" applyFont="1" applyFill="1" applyBorder="1" applyAlignment="1" applyProtection="1">
      <alignment horizontal="center" vertical="center"/>
      <protection locked="0"/>
    </xf>
    <xf numFmtId="165" fontId="38" fillId="4" borderId="111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2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40" fillId="0" borderId="0" xfId="0" applyFont="1" applyAlignment="1">
      <alignment vertical="center" wrapText="1"/>
    </xf>
    <xf numFmtId="0" fontId="42" fillId="0" borderId="96" xfId="0" applyFont="1" applyBorder="1" applyAlignment="1">
      <alignment horizontal="left" vertical="center" wrapText="1" indent="3"/>
    </xf>
    <xf numFmtId="0" fontId="25" fillId="3" borderId="74" xfId="0" applyFont="1" applyFill="1" applyBorder="1" applyAlignment="1">
      <alignment vertical="center" shrinkToFit="1"/>
    </xf>
    <xf numFmtId="0" fontId="25" fillId="3" borderId="75" xfId="0" applyFont="1" applyFill="1" applyBorder="1" applyAlignment="1">
      <alignment vertical="center" shrinkToFit="1"/>
    </xf>
    <xf numFmtId="0" fontId="43" fillId="0" borderId="123" xfId="0" applyFont="1" applyBorder="1" applyAlignment="1">
      <alignment horizontal="center"/>
    </xf>
    <xf numFmtId="0" fontId="12" fillId="11" borderId="124" xfId="0" applyFont="1" applyFill="1" applyBorder="1" applyAlignment="1" applyProtection="1">
      <alignment horizontal="center"/>
      <protection locked="0"/>
    </xf>
    <xf numFmtId="0" fontId="12" fillId="0" borderId="124" xfId="0" applyFont="1" applyFill="1" applyBorder="1" applyAlignment="1" applyProtection="1">
      <alignment horizontal="center"/>
    </xf>
    <xf numFmtId="0" fontId="12" fillId="0" borderId="125" xfId="0" applyFont="1" applyBorder="1" applyAlignment="1">
      <alignment horizontal="right"/>
    </xf>
    <xf numFmtId="0" fontId="12" fillId="0" borderId="126" xfId="0" applyFont="1" applyBorder="1" applyAlignment="1">
      <alignment horizontal="center"/>
    </xf>
    <xf numFmtId="0" fontId="12" fillId="0" borderId="127" xfId="0" applyFont="1" applyBorder="1"/>
    <xf numFmtId="0" fontId="12" fillId="4" borderId="125" xfId="0" applyFont="1" applyFill="1" applyBorder="1" applyAlignment="1" applyProtection="1">
      <alignment horizontal="right"/>
      <protection locked="0"/>
    </xf>
    <xf numFmtId="0" fontId="12" fillId="4" borderId="126" xfId="0" applyFont="1" applyFill="1" applyBorder="1" applyAlignment="1">
      <alignment horizontal="center"/>
    </xf>
    <xf numFmtId="0" fontId="12" fillId="4" borderId="127" xfId="0" applyFont="1" applyFill="1" applyBorder="1" applyAlignment="1" applyProtection="1">
      <alignment horizontal="left"/>
      <protection locked="0"/>
    </xf>
    <xf numFmtId="0" fontId="12" fillId="4" borderId="128" xfId="0" applyFont="1" applyFill="1" applyBorder="1" applyAlignment="1" applyProtection="1">
      <alignment horizontal="left"/>
      <protection locked="0"/>
    </xf>
    <xf numFmtId="0" fontId="43" fillId="0" borderId="90" xfId="0" applyFont="1" applyBorder="1" applyAlignment="1">
      <alignment horizontal="center"/>
    </xf>
    <xf numFmtId="0" fontId="12" fillId="11" borderId="91" xfId="0" applyFont="1" applyFill="1" applyBorder="1" applyAlignment="1" applyProtection="1">
      <alignment horizontal="center"/>
      <protection locked="0"/>
    </xf>
    <xf numFmtId="0" fontId="12" fillId="0" borderId="91" xfId="0" applyFont="1" applyFill="1" applyBorder="1" applyAlignment="1" applyProtection="1">
      <alignment horizontal="center"/>
    </xf>
    <xf numFmtId="0" fontId="12" fillId="0" borderId="92" xfId="0" applyFont="1" applyBorder="1" applyAlignment="1">
      <alignment horizontal="right"/>
    </xf>
    <xf numFmtId="0" fontId="12" fillId="0" borderId="93" xfId="0" applyFont="1" applyBorder="1" applyAlignment="1">
      <alignment horizontal="center"/>
    </xf>
    <xf numFmtId="0" fontId="12" fillId="0" borderId="94" xfId="0" applyFont="1" applyBorder="1"/>
    <xf numFmtId="0" fontId="12" fillId="4" borderId="92" xfId="0" applyFont="1" applyFill="1" applyBorder="1" applyAlignment="1" applyProtection="1">
      <alignment horizontal="right"/>
      <protection locked="0"/>
    </xf>
    <xf numFmtId="0" fontId="12" fillId="4" borderId="93" xfId="0" applyFont="1" applyFill="1" applyBorder="1" applyAlignment="1">
      <alignment horizontal="center"/>
    </xf>
    <xf numFmtId="0" fontId="12" fillId="4" borderId="94" xfId="0" applyFont="1" applyFill="1" applyBorder="1" applyAlignment="1" applyProtection="1">
      <alignment horizontal="left"/>
      <protection locked="0"/>
    </xf>
    <xf numFmtId="0" fontId="12" fillId="4" borderId="89" xfId="0" applyFont="1" applyFill="1" applyBorder="1" applyAlignment="1" applyProtection="1">
      <alignment horizontal="left"/>
      <protection locked="0"/>
    </xf>
    <xf numFmtId="0" fontId="43" fillId="0" borderId="130" xfId="0" applyFont="1" applyBorder="1" applyAlignment="1">
      <alignment horizontal="center"/>
    </xf>
    <xf numFmtId="0" fontId="12" fillId="0" borderId="132" xfId="0" applyFont="1" applyBorder="1" applyAlignment="1">
      <alignment horizontal="right"/>
    </xf>
    <xf numFmtId="0" fontId="12" fillId="0" borderId="133" xfId="0" applyFont="1" applyBorder="1" applyAlignment="1">
      <alignment horizontal="center"/>
    </xf>
    <xf numFmtId="0" fontId="12" fillId="0" borderId="134" xfId="0" applyFont="1" applyBorder="1"/>
    <xf numFmtId="0" fontId="12" fillId="4" borderId="132" xfId="0" applyFont="1" applyFill="1" applyBorder="1" applyAlignment="1" applyProtection="1">
      <alignment horizontal="right"/>
      <protection locked="0"/>
    </xf>
    <xf numFmtId="0" fontId="12" fillId="4" borderId="133" xfId="0" applyFont="1" applyFill="1" applyBorder="1" applyAlignment="1">
      <alignment horizontal="center"/>
    </xf>
    <xf numFmtId="0" fontId="12" fillId="4" borderId="134" xfId="0" applyFont="1" applyFill="1" applyBorder="1" applyAlignment="1" applyProtection="1">
      <alignment horizontal="left"/>
      <protection locked="0"/>
    </xf>
    <xf numFmtId="0" fontId="12" fillId="4" borderId="129" xfId="0" applyFont="1" applyFill="1" applyBorder="1" applyAlignment="1" applyProtection="1">
      <alignment horizontal="left"/>
      <protection locked="0"/>
    </xf>
    <xf numFmtId="0" fontId="12" fillId="0" borderId="124" xfId="0" applyFont="1" applyBorder="1" applyAlignment="1">
      <alignment horizontal="center"/>
    </xf>
    <xf numFmtId="0" fontId="12" fillId="0" borderId="91" xfId="0" applyFont="1" applyBorder="1" applyAlignment="1">
      <alignment horizontal="center"/>
    </xf>
    <xf numFmtId="0" fontId="12" fillId="0" borderId="131" xfId="0" applyFont="1" applyBorder="1" applyAlignment="1">
      <alignment horizontal="center"/>
    </xf>
    <xf numFmtId="0" fontId="10" fillId="0" borderId="0" xfId="0" applyFont="1" applyAlignment="1"/>
    <xf numFmtId="0" fontId="43" fillId="0" borderId="135" xfId="0" applyFont="1" applyBorder="1" applyAlignment="1">
      <alignment horizontal="center"/>
    </xf>
    <xf numFmtId="0" fontId="12" fillId="0" borderId="136" xfId="0" applyFont="1" applyBorder="1" applyAlignment="1">
      <alignment horizontal="center"/>
    </xf>
    <xf numFmtId="0" fontId="12" fillId="0" borderId="137" xfId="0" applyFont="1" applyBorder="1" applyAlignment="1">
      <alignment horizontal="right"/>
    </xf>
    <xf numFmtId="0" fontId="12" fillId="0" borderId="138" xfId="0" applyFont="1" applyBorder="1" applyAlignment="1">
      <alignment horizontal="center"/>
    </xf>
    <xf numFmtId="0" fontId="12" fillId="0" borderId="139" xfId="0" applyFont="1" applyBorder="1"/>
    <xf numFmtId="0" fontId="12" fillId="4" borderId="137" xfId="0" applyFont="1" applyFill="1" applyBorder="1" applyAlignment="1" applyProtection="1">
      <alignment horizontal="right"/>
      <protection locked="0"/>
    </xf>
    <xf numFmtId="0" fontId="12" fillId="4" borderId="138" xfId="0" applyFont="1" applyFill="1" applyBorder="1" applyAlignment="1">
      <alignment horizontal="center"/>
    </xf>
    <xf numFmtId="0" fontId="12" fillId="4" borderId="139" xfId="0" applyFont="1" applyFill="1" applyBorder="1" applyAlignment="1" applyProtection="1">
      <alignment horizontal="left"/>
      <protection locked="0"/>
    </xf>
    <xf numFmtId="0" fontId="12" fillId="4" borderId="140" xfId="0" applyFont="1" applyFill="1" applyBorder="1" applyAlignment="1" applyProtection="1">
      <alignment horizontal="left"/>
      <protection locked="0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151" xfId="0" applyFont="1" applyBorder="1" applyAlignment="1">
      <alignment horizontal="left" vertical="center"/>
    </xf>
    <xf numFmtId="0" fontId="26" fillId="3" borderId="78" xfId="0" applyFont="1" applyFill="1" applyBorder="1" applyAlignment="1">
      <alignment horizontal="center" vertical="center" shrinkToFit="1"/>
    </xf>
    <xf numFmtId="0" fontId="46" fillId="0" borderId="0" xfId="0" applyFont="1"/>
    <xf numFmtId="0" fontId="12" fillId="0" borderId="110" xfId="0" applyFont="1" applyBorder="1" applyAlignment="1">
      <alignment horizontal="right"/>
    </xf>
    <xf numFmtId="0" fontId="12" fillId="0" borderId="113" xfId="0" applyFont="1" applyBorder="1" applyAlignment="1">
      <alignment horizontal="center"/>
    </xf>
    <xf numFmtId="0" fontId="12" fillId="0" borderId="114" xfId="0" applyFont="1" applyBorder="1"/>
    <xf numFmtId="0" fontId="7" fillId="0" borderId="155" xfId="0" applyFont="1" applyBorder="1" applyAlignment="1">
      <alignment horizontal="center" vertical="center" shrinkToFit="1"/>
    </xf>
    <xf numFmtId="0" fontId="7" fillId="0" borderId="156" xfId="0" applyFont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166" fontId="28" fillId="3" borderId="157" xfId="0" applyNumberFormat="1" applyFont="1" applyFill="1" applyBorder="1" applyAlignment="1">
      <alignment vertical="center" shrinkToFit="1"/>
    </xf>
    <xf numFmtId="166" fontId="28" fillId="3" borderId="131" xfId="0" applyNumberFormat="1" applyFont="1" applyFill="1" applyBorder="1" applyAlignment="1">
      <alignment vertical="center" shrinkToFit="1"/>
    </xf>
    <xf numFmtId="164" fontId="9" fillId="0" borderId="158" xfId="0" applyNumberFormat="1" applyFont="1" applyBorder="1" applyAlignment="1">
      <alignment horizontal="center" vertical="center" shrinkToFit="1"/>
    </xf>
    <xf numFmtId="0" fontId="9" fillId="0" borderId="159" xfId="0" applyFont="1" applyBorder="1" applyAlignment="1">
      <alignment horizontal="left" vertical="center" shrinkToFit="1"/>
    </xf>
    <xf numFmtId="164" fontId="9" fillId="0" borderId="160" xfId="0" applyNumberFormat="1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left" vertical="center" shrinkToFit="1"/>
    </xf>
    <xf numFmtId="164" fontId="9" fillId="0" borderId="0" xfId="0" applyNumberFormat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0" fillId="0" borderId="0" xfId="0" applyBorder="1"/>
    <xf numFmtId="0" fontId="7" fillId="0" borderId="161" xfId="0" applyFont="1" applyBorder="1" applyAlignment="1">
      <alignment horizontal="center" vertical="center" shrinkToFit="1"/>
    </xf>
    <xf numFmtId="166" fontId="28" fillId="3" borderId="162" xfId="0" applyNumberFormat="1" applyFont="1" applyFill="1" applyBorder="1" applyAlignment="1">
      <alignment vertical="center" shrinkToFit="1"/>
    </xf>
    <xf numFmtId="0" fontId="26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 indent="1"/>
    </xf>
    <xf numFmtId="0" fontId="25" fillId="0" borderId="0" xfId="0" applyFont="1" applyFill="1" applyBorder="1" applyAlignment="1">
      <alignment horizontal="left" vertical="center"/>
    </xf>
    <xf numFmtId="166" fontId="9" fillId="0" borderId="0" xfId="0" applyNumberFormat="1" applyFont="1" applyFill="1" applyBorder="1" applyAlignment="1">
      <alignment vertical="center" shrinkToFit="1"/>
    </xf>
    <xf numFmtId="0" fontId="7" fillId="0" borderId="0" xfId="0" applyFont="1" applyFill="1" applyBorder="1" applyAlignment="1">
      <alignment shrinkToFit="1"/>
    </xf>
    <xf numFmtId="0" fontId="25" fillId="0" borderId="0" xfId="0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right" indent="1"/>
    </xf>
    <xf numFmtId="0" fontId="25" fillId="0" borderId="0" xfId="0" applyFont="1" applyFill="1" applyBorder="1" applyAlignment="1">
      <alignment vertical="center"/>
    </xf>
    <xf numFmtId="0" fontId="7" fillId="0" borderId="0" xfId="0" applyFont="1"/>
    <xf numFmtId="0" fontId="25" fillId="0" borderId="0" xfId="0" applyFont="1"/>
    <xf numFmtId="0" fontId="26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6" fillId="0" borderId="0" xfId="0" applyFont="1"/>
    <xf numFmtId="0" fontId="25" fillId="0" borderId="0" xfId="0" applyFont="1" applyFill="1" applyBorder="1" applyAlignment="1">
      <alignment horizontal="right" vertical="top" indent="1"/>
    </xf>
    <xf numFmtId="0" fontId="25" fillId="0" borderId="0" xfId="0" applyFont="1" applyFill="1" applyBorder="1" applyAlignment="1">
      <alignment horizontal="right" vertical="center" indent="1"/>
    </xf>
    <xf numFmtId="0" fontId="49" fillId="0" borderId="0" xfId="0" applyNumberFormat="1" applyFont="1" applyFill="1" applyBorder="1" applyAlignment="1">
      <alignment horizontal="left" vertical="top"/>
    </xf>
    <xf numFmtId="0" fontId="50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horizontal="center" vertical="center" shrinkToFit="1"/>
    </xf>
    <xf numFmtId="166" fontId="26" fillId="0" borderId="0" xfId="0" applyNumberFormat="1" applyFont="1" applyFill="1" applyBorder="1" applyAlignment="1">
      <alignment horizontal="left" vertical="center"/>
    </xf>
    <xf numFmtId="166" fontId="28" fillId="0" borderId="0" xfId="0" applyNumberFormat="1" applyFont="1" applyFill="1" applyBorder="1" applyAlignment="1">
      <alignment vertical="center" shrinkToFit="1"/>
    </xf>
    <xf numFmtId="0" fontId="52" fillId="0" borderId="0" xfId="4" applyFont="1" applyAlignment="1" applyProtection="1">
      <alignment horizontal="left"/>
      <protection locked="0"/>
    </xf>
    <xf numFmtId="164" fontId="9" fillId="4" borderId="83" xfId="0" applyNumberFormat="1" applyFont="1" applyFill="1" applyBorder="1" applyAlignment="1">
      <alignment horizontal="right" vertical="center" indent="1" shrinkToFit="1"/>
    </xf>
    <xf numFmtId="0" fontId="9" fillId="4" borderId="84" xfId="0" applyFont="1" applyFill="1" applyBorder="1" applyAlignment="1">
      <alignment horizontal="left" vertical="center" shrinkToFit="1"/>
    </xf>
    <xf numFmtId="0" fontId="9" fillId="4" borderId="85" xfId="0" applyFont="1" applyFill="1" applyBorder="1" applyAlignment="1">
      <alignment horizontal="center" vertical="center" shrinkToFit="1"/>
    </xf>
    <xf numFmtId="0" fontId="9" fillId="4" borderId="86" xfId="0" applyFont="1" applyFill="1" applyBorder="1" applyAlignment="1">
      <alignment horizontal="center" vertical="center" shrinkToFit="1"/>
    </xf>
    <xf numFmtId="0" fontId="9" fillId="4" borderId="43" xfId="0" applyFont="1" applyFill="1" applyBorder="1" applyAlignment="1">
      <alignment horizontal="center" vertical="center" shrinkToFit="1"/>
    </xf>
    <xf numFmtId="0" fontId="9" fillId="4" borderId="43" xfId="0" applyFont="1" applyFill="1" applyBorder="1" applyAlignment="1">
      <alignment horizontal="right" vertical="center" shrinkToFit="1"/>
    </xf>
    <xf numFmtId="0" fontId="9" fillId="4" borderId="44" xfId="0" applyFont="1" applyFill="1" applyBorder="1" applyAlignment="1">
      <alignment horizontal="center" vertical="center" shrinkToFit="1"/>
    </xf>
    <xf numFmtId="0" fontId="9" fillId="4" borderId="45" xfId="0" applyFont="1" applyFill="1" applyBorder="1" applyAlignment="1">
      <alignment horizontal="left" vertical="center" shrinkToFit="1"/>
    </xf>
    <xf numFmtId="167" fontId="9" fillId="4" borderId="45" xfId="0" applyNumberFormat="1" applyFont="1" applyFill="1" applyBorder="1" applyAlignment="1">
      <alignment horizontal="center" vertical="center" shrinkToFit="1"/>
    </xf>
    <xf numFmtId="0" fontId="9" fillId="4" borderId="44" xfId="0" applyNumberFormat="1" applyFont="1" applyFill="1" applyBorder="1" applyAlignment="1">
      <alignment horizontal="center" vertical="center" shrinkToFit="1"/>
    </xf>
    <xf numFmtId="0" fontId="28" fillId="4" borderId="87" xfId="0" applyFont="1" applyFill="1" applyBorder="1" applyAlignment="1">
      <alignment horizontal="center" vertical="center" shrinkToFit="1"/>
    </xf>
    <xf numFmtId="164" fontId="9" fillId="12" borderId="83" xfId="0" applyNumberFormat="1" applyFont="1" applyFill="1" applyBorder="1" applyAlignment="1">
      <alignment horizontal="right" vertical="center" indent="1" shrinkToFit="1"/>
    </xf>
    <xf numFmtId="0" fontId="9" fillId="12" borderId="84" xfId="0" applyFont="1" applyFill="1" applyBorder="1" applyAlignment="1">
      <alignment horizontal="left" vertical="center" shrinkToFit="1"/>
    </xf>
    <xf numFmtId="0" fontId="9" fillId="12" borderId="85" xfId="0" applyFont="1" applyFill="1" applyBorder="1" applyAlignment="1">
      <alignment horizontal="center" vertical="center" shrinkToFit="1"/>
    </xf>
    <xf numFmtId="0" fontId="9" fillId="12" borderId="86" xfId="0" applyFont="1" applyFill="1" applyBorder="1" applyAlignment="1">
      <alignment horizontal="center" vertical="center" shrinkToFit="1"/>
    </xf>
    <xf numFmtId="0" fontId="9" fillId="12" borderId="43" xfId="0" applyFont="1" applyFill="1" applyBorder="1" applyAlignment="1">
      <alignment horizontal="center" vertical="center" shrinkToFit="1"/>
    </xf>
    <xf numFmtId="0" fontId="9" fillId="12" borderId="43" xfId="0" applyFont="1" applyFill="1" applyBorder="1" applyAlignment="1">
      <alignment horizontal="right" vertical="center" shrinkToFit="1"/>
    </xf>
    <xf numFmtId="0" fontId="9" fillId="12" borderId="44" xfId="0" applyFont="1" applyFill="1" applyBorder="1" applyAlignment="1">
      <alignment horizontal="center" vertical="center" shrinkToFit="1"/>
    </xf>
    <xf numFmtId="0" fontId="9" fillId="12" borderId="45" xfId="0" applyFont="1" applyFill="1" applyBorder="1" applyAlignment="1">
      <alignment horizontal="left" vertical="center" shrinkToFit="1"/>
    </xf>
    <xf numFmtId="167" fontId="9" fillId="12" borderId="45" xfId="0" applyNumberFormat="1" applyFont="1" applyFill="1" applyBorder="1" applyAlignment="1">
      <alignment horizontal="center" vertical="center" shrinkToFit="1"/>
    </xf>
    <xf numFmtId="0" fontId="9" fillId="12" borderId="44" xfId="0" applyNumberFormat="1" applyFont="1" applyFill="1" applyBorder="1" applyAlignment="1">
      <alignment horizontal="center" vertical="center" shrinkToFit="1"/>
    </xf>
    <xf numFmtId="0" fontId="28" fillId="12" borderId="87" xfId="0" applyFont="1" applyFill="1" applyBorder="1" applyAlignment="1">
      <alignment horizontal="center" vertical="center" shrinkToFit="1"/>
    </xf>
    <xf numFmtId="164" fontId="9" fillId="10" borderId="83" xfId="0" applyNumberFormat="1" applyFont="1" applyFill="1" applyBorder="1" applyAlignment="1">
      <alignment horizontal="right" vertical="center" indent="1" shrinkToFit="1"/>
    </xf>
    <xf numFmtId="0" fontId="9" fillId="10" borderId="84" xfId="0" applyFont="1" applyFill="1" applyBorder="1" applyAlignment="1">
      <alignment horizontal="left" vertical="center" shrinkToFit="1"/>
    </xf>
    <xf numFmtId="0" fontId="9" fillId="10" borderId="85" xfId="0" applyFont="1" applyFill="1" applyBorder="1" applyAlignment="1">
      <alignment horizontal="center" vertical="center" shrinkToFit="1"/>
    </xf>
    <xf numFmtId="0" fontId="9" fillId="10" borderId="86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right" vertical="center" shrinkToFit="1"/>
    </xf>
    <xf numFmtId="0" fontId="9" fillId="10" borderId="44" xfId="0" applyFont="1" applyFill="1" applyBorder="1" applyAlignment="1">
      <alignment horizontal="center" vertical="center" shrinkToFit="1"/>
    </xf>
    <xf numFmtId="0" fontId="9" fillId="10" borderId="45" xfId="0" applyFont="1" applyFill="1" applyBorder="1" applyAlignment="1">
      <alignment horizontal="left" vertical="center" shrinkToFit="1"/>
    </xf>
    <xf numFmtId="167" fontId="9" fillId="10" borderId="45" xfId="0" applyNumberFormat="1" applyFont="1" applyFill="1" applyBorder="1" applyAlignment="1">
      <alignment horizontal="center" vertical="center" shrinkToFit="1"/>
    </xf>
    <xf numFmtId="0" fontId="9" fillId="10" borderId="44" xfId="0" applyNumberFormat="1" applyFont="1" applyFill="1" applyBorder="1" applyAlignment="1">
      <alignment horizontal="center" vertical="center" shrinkToFit="1"/>
    </xf>
    <xf numFmtId="0" fontId="28" fillId="10" borderId="87" xfId="0" applyFont="1" applyFill="1" applyBorder="1" applyAlignment="1">
      <alignment horizontal="center" vertical="center" shrinkToFit="1"/>
    </xf>
    <xf numFmtId="0" fontId="54" fillId="12" borderId="90" xfId="0" applyFont="1" applyFill="1" applyBorder="1" applyAlignment="1">
      <alignment horizontal="center" vertical="center" shrinkToFit="1"/>
    </xf>
    <xf numFmtId="0" fontId="54" fillId="12" borderId="91" xfId="0" applyFont="1" applyFill="1" applyBorder="1" applyAlignment="1">
      <alignment horizontal="center" vertical="center" shrinkToFit="1"/>
    </xf>
    <xf numFmtId="0" fontId="54" fillId="12" borderId="92" xfId="0" applyFont="1" applyFill="1" applyBorder="1" applyAlignment="1">
      <alignment horizontal="center" vertical="center" shrinkToFit="1"/>
    </xf>
    <xf numFmtId="0" fontId="54" fillId="12" borderId="92" xfId="0" applyFont="1" applyFill="1" applyBorder="1" applyAlignment="1">
      <alignment horizontal="right" vertical="center" shrinkToFit="1"/>
    </xf>
    <xf numFmtId="0" fontId="54" fillId="12" borderId="93" xfId="0" applyFont="1" applyFill="1" applyBorder="1" applyAlignment="1">
      <alignment horizontal="center" vertical="center" shrinkToFit="1"/>
    </xf>
    <xf numFmtId="0" fontId="54" fillId="12" borderId="94" xfId="0" applyFont="1" applyFill="1" applyBorder="1" applyAlignment="1">
      <alignment horizontal="left" vertical="center" shrinkToFit="1"/>
    </xf>
    <xf numFmtId="167" fontId="54" fillId="12" borderId="94" xfId="0" applyNumberFormat="1" applyFont="1" applyFill="1" applyBorder="1" applyAlignment="1">
      <alignment horizontal="center" vertical="center" shrinkToFit="1"/>
    </xf>
    <xf numFmtId="0" fontId="54" fillId="12" borderId="93" xfId="0" applyNumberFormat="1" applyFont="1" applyFill="1" applyBorder="1" applyAlignment="1">
      <alignment horizontal="center" vertical="center" shrinkToFit="1"/>
    </xf>
    <xf numFmtId="0" fontId="55" fillId="12" borderId="95" xfId="0" applyFont="1" applyFill="1" applyBorder="1" applyAlignment="1">
      <alignment horizontal="center" vertical="center" shrinkToFit="1"/>
    </xf>
    <xf numFmtId="0" fontId="9" fillId="4" borderId="90" xfId="0" applyFont="1" applyFill="1" applyBorder="1" applyAlignment="1">
      <alignment horizontal="center" vertical="center" shrinkToFit="1"/>
    </xf>
    <xf numFmtId="0" fontId="9" fillId="4" borderId="91" xfId="0" applyFont="1" applyFill="1" applyBorder="1" applyAlignment="1">
      <alignment horizontal="center" vertical="center" shrinkToFit="1"/>
    </xf>
    <xf numFmtId="0" fontId="9" fillId="4" borderId="92" xfId="0" applyFont="1" applyFill="1" applyBorder="1" applyAlignment="1">
      <alignment horizontal="center" vertical="center" shrinkToFit="1"/>
    </xf>
    <xf numFmtId="0" fontId="9" fillId="4" borderId="92" xfId="0" applyFont="1" applyFill="1" applyBorder="1" applyAlignment="1">
      <alignment horizontal="right" vertical="center" shrinkToFit="1"/>
    </xf>
    <xf numFmtId="0" fontId="9" fillId="4" borderId="93" xfId="0" applyFont="1" applyFill="1" applyBorder="1" applyAlignment="1">
      <alignment horizontal="center" vertical="center" shrinkToFit="1"/>
    </xf>
    <xf numFmtId="0" fontId="9" fillId="4" borderId="94" xfId="0" applyFont="1" applyFill="1" applyBorder="1" applyAlignment="1">
      <alignment horizontal="left" vertical="center" shrinkToFit="1"/>
    </xf>
    <xf numFmtId="167" fontId="9" fillId="4" borderId="94" xfId="0" applyNumberFormat="1" applyFont="1" applyFill="1" applyBorder="1" applyAlignment="1">
      <alignment horizontal="center" vertical="center" shrinkToFit="1"/>
    </xf>
    <xf numFmtId="0" fontId="9" fillId="4" borderId="93" xfId="0" applyNumberFormat="1" applyFont="1" applyFill="1" applyBorder="1" applyAlignment="1">
      <alignment horizontal="center" vertical="center" shrinkToFit="1"/>
    </xf>
    <xf numFmtId="0" fontId="28" fillId="4" borderId="95" xfId="0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43" fillId="0" borderId="109" xfId="0" applyFont="1" applyBorder="1" applyAlignment="1">
      <alignment horizontal="center"/>
    </xf>
    <xf numFmtId="0" fontId="12" fillId="11" borderId="154" xfId="0" applyFont="1" applyFill="1" applyBorder="1" applyAlignment="1" applyProtection="1">
      <alignment horizontal="center"/>
      <protection locked="0"/>
    </xf>
    <xf numFmtId="0" fontId="12" fillId="0" borderId="154" xfId="0" applyFont="1" applyFill="1" applyBorder="1" applyAlignment="1" applyProtection="1">
      <alignment horizontal="center"/>
    </xf>
    <xf numFmtId="0" fontId="12" fillId="4" borderId="110" xfId="0" applyFont="1" applyFill="1" applyBorder="1" applyAlignment="1" applyProtection="1">
      <alignment horizontal="right"/>
      <protection locked="0"/>
    </xf>
    <xf numFmtId="0" fontId="12" fillId="4" borderId="113" xfId="0" applyFont="1" applyFill="1" applyBorder="1" applyAlignment="1">
      <alignment horizontal="center"/>
    </xf>
    <xf numFmtId="0" fontId="12" fillId="4" borderId="114" xfId="0" applyFont="1" applyFill="1" applyBorder="1" applyAlignment="1" applyProtection="1">
      <alignment horizontal="left"/>
      <protection locked="0"/>
    </xf>
    <xf numFmtId="0" fontId="12" fillId="4" borderId="151" xfId="0" applyFont="1" applyFill="1" applyBorder="1" applyAlignment="1" applyProtection="1">
      <alignment horizontal="left"/>
      <protection locked="0"/>
    </xf>
    <xf numFmtId="0" fontId="0" fillId="0" borderId="164" xfId="0" applyBorder="1"/>
    <xf numFmtId="0" fontId="0" fillId="0" borderId="165" xfId="0" applyBorder="1"/>
    <xf numFmtId="0" fontId="0" fillId="0" borderId="166" xfId="0" applyBorder="1"/>
    <xf numFmtId="0" fontId="0" fillId="0" borderId="71" xfId="0" applyBorder="1"/>
    <xf numFmtId="0" fontId="0" fillId="0" borderId="167" xfId="0" applyBorder="1"/>
    <xf numFmtId="0" fontId="0" fillId="0" borderId="0" xfId="0" applyAlignment="1">
      <alignment horizontal="center"/>
    </xf>
    <xf numFmtId="0" fontId="0" fillId="0" borderId="163" xfId="0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5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153" xfId="0" applyBorder="1"/>
    <xf numFmtId="0" fontId="57" fillId="0" borderId="0" xfId="0" applyFont="1" applyAlignment="1">
      <alignment horizontal="center"/>
    </xf>
    <xf numFmtId="0" fontId="56" fillId="0" borderId="0" xfId="0" applyFont="1"/>
    <xf numFmtId="0" fontId="58" fillId="0" borderId="0" xfId="0" applyFont="1" applyAlignment="1">
      <alignment horizontal="center"/>
    </xf>
    <xf numFmtId="0" fontId="5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7" fillId="0" borderId="0" xfId="0" applyFont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53" xfId="0" applyBorder="1" applyAlignment="1">
      <alignment vertical="center"/>
    </xf>
    <xf numFmtId="164" fontId="0" fillId="0" borderId="163" xfId="0" applyNumberFormat="1" applyBorder="1" applyAlignment="1">
      <alignment horizontal="center"/>
    </xf>
    <xf numFmtId="164" fontId="0" fillId="0" borderId="149" xfId="0" applyNumberFormat="1" applyBorder="1" applyAlignment="1">
      <alignment horizontal="center"/>
    </xf>
    <xf numFmtId="164" fontId="0" fillId="0" borderId="169" xfId="0" applyNumberFormat="1" applyBorder="1" applyAlignment="1">
      <alignment horizontal="center"/>
    </xf>
    <xf numFmtId="164" fontId="0" fillId="0" borderId="149" xfId="0" applyNumberFormat="1" applyFill="1" applyBorder="1" applyAlignment="1">
      <alignment horizontal="center"/>
    </xf>
    <xf numFmtId="164" fontId="0" fillId="0" borderId="168" xfId="0" applyNumberFormat="1" applyFill="1" applyBorder="1" applyAlignment="1">
      <alignment horizontal="center"/>
    </xf>
    <xf numFmtId="164" fontId="0" fillId="0" borderId="170" xfId="0" applyNumberFormat="1" applyBorder="1" applyAlignment="1">
      <alignment horizontal="center"/>
    </xf>
    <xf numFmtId="164" fontId="0" fillId="0" borderId="168" xfId="0" applyNumberFormat="1" applyBorder="1" applyAlignment="1">
      <alignment horizontal="center"/>
    </xf>
    <xf numFmtId="0" fontId="0" fillId="0" borderId="16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163" xfId="0" applyBorder="1" applyAlignment="1">
      <alignment horizontal="left" vertical="center"/>
    </xf>
    <xf numFmtId="0" fontId="0" fillId="0" borderId="164" xfId="0" applyBorder="1" applyAlignment="1">
      <alignment horizontal="left" vertical="center"/>
    </xf>
    <xf numFmtId="0" fontId="0" fillId="0" borderId="14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0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26" fillId="3" borderId="78" xfId="0" applyFont="1" applyFill="1" applyBorder="1" applyAlignment="1">
      <alignment horizontal="center" vertical="center" shrinkToFit="1"/>
    </xf>
    <xf numFmtId="164" fontId="9" fillId="12" borderId="171" xfId="0" applyNumberFormat="1" applyFont="1" applyFill="1" applyBorder="1" applyAlignment="1">
      <alignment horizontal="right" vertical="center" indent="1" shrinkToFit="1"/>
    </xf>
    <xf numFmtId="0" fontId="9" fillId="12" borderId="172" xfId="0" applyFont="1" applyFill="1" applyBorder="1" applyAlignment="1">
      <alignment horizontal="left" vertical="center" shrinkToFit="1"/>
    </xf>
    <xf numFmtId="0" fontId="9" fillId="0" borderId="177" xfId="0" applyFont="1" applyFill="1" applyBorder="1" applyAlignment="1">
      <alignment horizontal="center" vertical="center" shrinkToFit="1"/>
    </xf>
    <xf numFmtId="0" fontId="9" fillId="0" borderId="178" xfId="1" applyFont="1" applyBorder="1" applyAlignment="1">
      <alignment horizontal="center" vertical="center"/>
    </xf>
    <xf numFmtId="0" fontId="7" fillId="0" borderId="179" xfId="1" applyFont="1" applyBorder="1" applyAlignment="1">
      <alignment horizontal="center" vertical="center" shrinkToFit="1"/>
    </xf>
    <xf numFmtId="165" fontId="25" fillId="0" borderId="180" xfId="1" applyNumberFormat="1" applyFont="1" applyBorder="1" applyAlignment="1">
      <alignment horizontal="center" vertical="center" shrinkToFit="1"/>
    </xf>
    <xf numFmtId="0" fontId="9" fillId="0" borderId="181" xfId="1" applyFont="1" applyBorder="1" applyAlignment="1">
      <alignment horizontal="left" vertical="center" shrinkToFit="1"/>
    </xf>
    <xf numFmtId="0" fontId="9" fillId="0" borderId="181" xfId="1" applyFont="1" applyBorder="1" applyAlignment="1">
      <alignment horizontal="center" vertical="center" shrinkToFit="1"/>
    </xf>
    <xf numFmtId="0" fontId="9" fillId="4" borderId="72" xfId="1" applyFont="1" applyFill="1" applyBorder="1" applyAlignment="1" applyProtection="1">
      <alignment horizontal="center" vertical="center" shrinkToFit="1"/>
      <protection locked="0"/>
    </xf>
    <xf numFmtId="0" fontId="9" fillId="4" borderId="181" xfId="1" applyFont="1" applyFill="1" applyBorder="1" applyAlignment="1">
      <alignment horizontal="center" vertical="center"/>
    </xf>
    <xf numFmtId="0" fontId="9" fillId="4" borderId="182" xfId="1" applyFont="1" applyFill="1" applyBorder="1" applyAlignment="1" applyProtection="1">
      <alignment horizontal="center" vertical="center" shrinkToFit="1"/>
      <protection locked="0"/>
    </xf>
    <xf numFmtId="0" fontId="9" fillId="4" borderId="179" xfId="1" applyFont="1" applyFill="1" applyBorder="1" applyAlignment="1" applyProtection="1">
      <alignment horizontal="center" vertical="center" shrinkToFit="1"/>
      <protection locked="0"/>
    </xf>
    <xf numFmtId="0" fontId="9" fillId="4" borderId="183" xfId="1" applyFont="1" applyFill="1" applyBorder="1" applyAlignment="1" applyProtection="1">
      <alignment horizontal="center" vertical="center" shrinkToFit="1"/>
      <protection locked="0"/>
    </xf>
    <xf numFmtId="0" fontId="9" fillId="12" borderId="173" xfId="0" applyFont="1" applyFill="1" applyBorder="1" applyAlignment="1">
      <alignment horizontal="center" vertical="center" shrinkToFit="1"/>
    </xf>
    <xf numFmtId="0" fontId="9" fillId="12" borderId="174" xfId="0" applyFont="1" applyFill="1" applyBorder="1" applyAlignment="1">
      <alignment horizontal="center" vertical="center" shrinkToFit="1"/>
    </xf>
    <xf numFmtId="0" fontId="9" fillId="12" borderId="174" xfId="0" applyFont="1" applyFill="1" applyBorder="1" applyAlignment="1">
      <alignment horizontal="right" vertical="center" shrinkToFit="1"/>
    </xf>
    <xf numFmtId="0" fontId="9" fillId="12" borderId="96" xfId="0" applyFont="1" applyFill="1" applyBorder="1" applyAlignment="1">
      <alignment horizontal="center" vertical="center" shrinkToFit="1"/>
    </xf>
    <xf numFmtId="0" fontId="9" fillId="12" borderId="175" xfId="0" applyFont="1" applyFill="1" applyBorder="1" applyAlignment="1">
      <alignment horizontal="left" vertical="center" shrinkToFit="1"/>
    </xf>
    <xf numFmtId="167" fontId="9" fillId="12" borderId="175" xfId="0" applyNumberFormat="1" applyFont="1" applyFill="1" applyBorder="1" applyAlignment="1">
      <alignment horizontal="center" vertical="center" shrinkToFit="1"/>
    </xf>
    <xf numFmtId="0" fontId="9" fillId="12" borderId="96" xfId="0" applyNumberFormat="1" applyFont="1" applyFill="1" applyBorder="1" applyAlignment="1">
      <alignment horizontal="center" vertical="center" shrinkToFit="1"/>
    </xf>
    <xf numFmtId="0" fontId="28" fillId="12" borderId="176" xfId="0" applyFont="1" applyFill="1" applyBorder="1" applyAlignment="1">
      <alignment horizontal="center" vertical="center" shrinkToFit="1"/>
    </xf>
    <xf numFmtId="0" fontId="9" fillId="12" borderId="184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>
      <alignment horizontal="right" vertical="center" indent="1"/>
    </xf>
    <xf numFmtId="0" fontId="43" fillId="0" borderId="185" xfId="0" applyFont="1" applyBorder="1" applyAlignment="1">
      <alignment horizontal="center"/>
    </xf>
    <xf numFmtId="0" fontId="43" fillId="9" borderId="186" xfId="0" applyFont="1" applyFill="1" applyBorder="1" applyAlignment="1">
      <alignment horizontal="center" vertical="center"/>
    </xf>
    <xf numFmtId="0" fontId="43" fillId="9" borderId="187" xfId="0" applyFont="1" applyFill="1" applyBorder="1" applyAlignment="1">
      <alignment horizontal="center" vertical="center"/>
    </xf>
    <xf numFmtId="0" fontId="43" fillId="4" borderId="187" xfId="0" applyFont="1" applyFill="1" applyBorder="1" applyAlignment="1">
      <alignment horizontal="center" vertical="center"/>
    </xf>
    <xf numFmtId="0" fontId="43" fillId="10" borderId="187" xfId="0" applyFont="1" applyFill="1" applyBorder="1" applyAlignment="1">
      <alignment horizontal="center" vertical="center"/>
    </xf>
    <xf numFmtId="0" fontId="54" fillId="12" borderId="130" xfId="0" applyFont="1" applyFill="1" applyBorder="1" applyAlignment="1">
      <alignment horizontal="center" vertical="center" shrinkToFit="1"/>
    </xf>
    <xf numFmtId="0" fontId="54" fillId="12" borderId="131" xfId="0" applyFont="1" applyFill="1" applyBorder="1" applyAlignment="1">
      <alignment horizontal="center" vertical="center" shrinkToFit="1"/>
    </xf>
    <xf numFmtId="0" fontId="54" fillId="12" borderId="132" xfId="0" applyFont="1" applyFill="1" applyBorder="1" applyAlignment="1">
      <alignment horizontal="center" vertical="center" shrinkToFit="1"/>
    </xf>
    <xf numFmtId="0" fontId="54" fillId="12" borderId="132" xfId="0" applyFont="1" applyFill="1" applyBorder="1" applyAlignment="1">
      <alignment horizontal="right" vertical="center" shrinkToFit="1"/>
    </xf>
    <xf numFmtId="0" fontId="54" fillId="12" borderId="133" xfId="0" applyFont="1" applyFill="1" applyBorder="1" applyAlignment="1">
      <alignment horizontal="center" vertical="center" shrinkToFit="1"/>
    </xf>
    <xf numFmtId="0" fontId="54" fillId="12" borderId="134" xfId="0" applyFont="1" applyFill="1" applyBorder="1" applyAlignment="1">
      <alignment horizontal="left" vertical="center" shrinkToFit="1"/>
    </xf>
    <xf numFmtId="167" fontId="54" fillId="12" borderId="134" xfId="0" applyNumberFormat="1" applyFont="1" applyFill="1" applyBorder="1" applyAlignment="1">
      <alignment horizontal="center" vertical="center" shrinkToFit="1"/>
    </xf>
    <xf numFmtId="0" fontId="54" fillId="12" borderId="133" xfId="0" applyNumberFormat="1" applyFont="1" applyFill="1" applyBorder="1" applyAlignment="1">
      <alignment horizontal="center" vertical="center" shrinkToFit="1"/>
    </xf>
    <xf numFmtId="0" fontId="55" fillId="12" borderId="189" xfId="0" applyFont="1" applyFill="1" applyBorder="1" applyAlignment="1">
      <alignment horizontal="center" vertical="center" shrinkToFit="1"/>
    </xf>
    <xf numFmtId="0" fontId="9" fillId="12" borderId="130" xfId="0" applyFont="1" applyFill="1" applyBorder="1" applyAlignment="1">
      <alignment horizontal="center" vertical="center" shrinkToFit="1"/>
    </xf>
    <xf numFmtId="0" fontId="9" fillId="12" borderId="131" xfId="0" applyFont="1" applyFill="1" applyBorder="1" applyAlignment="1">
      <alignment horizontal="center" vertical="center" shrinkToFit="1"/>
    </xf>
    <xf numFmtId="0" fontId="12" fillId="0" borderId="190" xfId="0" applyFont="1" applyBorder="1" applyAlignment="1">
      <alignment horizontal="right"/>
    </xf>
    <xf numFmtId="0" fontId="12" fillId="0" borderId="53" xfId="0" applyFont="1" applyBorder="1" applyAlignment="1">
      <alignment horizontal="right"/>
    </xf>
    <xf numFmtId="0" fontId="12" fillId="0" borderId="179" xfId="3" applyFont="1" applyBorder="1" applyAlignment="1">
      <alignment horizontal="center" vertical="center"/>
    </xf>
    <xf numFmtId="0" fontId="11" fillId="0" borderId="180" xfId="3" applyFont="1" applyBorder="1" applyAlignment="1">
      <alignment horizontal="left" vertical="center" indent="1"/>
    </xf>
    <xf numFmtId="0" fontId="11" fillId="4" borderId="191" xfId="3" applyFont="1" applyFill="1" applyBorder="1" applyAlignment="1" applyProtection="1">
      <alignment horizontal="center" vertical="center"/>
      <protection locked="0"/>
    </xf>
    <xf numFmtId="0" fontId="12" fillId="11" borderId="131" xfId="0" applyFont="1" applyFill="1" applyBorder="1" applyAlignment="1" applyProtection="1">
      <alignment horizontal="center"/>
      <protection locked="0"/>
    </xf>
    <xf numFmtId="168" fontId="0" fillId="0" borderId="0" xfId="0" applyNumberFormat="1"/>
    <xf numFmtId="0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  <xf numFmtId="0" fontId="9" fillId="15" borderId="192" xfId="0" applyFont="1" applyFill="1" applyBorder="1" applyAlignment="1">
      <alignment horizontal="center" vertical="center" shrinkToFit="1"/>
    </xf>
    <xf numFmtId="0" fontId="9" fillId="0" borderId="126" xfId="0" applyFont="1" applyBorder="1" applyAlignment="1">
      <alignment horizontal="center" vertical="center" shrinkToFit="1"/>
    </xf>
    <xf numFmtId="0" fontId="9" fillId="0" borderId="128" xfId="0" applyFont="1" applyBorder="1" applyAlignment="1">
      <alignment horizontal="center" vertical="center" shrinkToFit="1"/>
    </xf>
    <xf numFmtId="0" fontId="9" fillId="0" borderId="193" xfId="0" applyFont="1" applyBorder="1" applyAlignment="1">
      <alignment horizontal="center" vertical="center" shrinkToFit="1"/>
    </xf>
    <xf numFmtId="0" fontId="9" fillId="15" borderId="93" xfId="0" applyFont="1" applyFill="1" applyBorder="1" applyAlignment="1">
      <alignment horizontal="center" vertical="center" shrinkToFit="1"/>
    </xf>
    <xf numFmtId="0" fontId="9" fillId="0" borderId="93" xfId="0" applyFont="1" applyBorder="1" applyAlignment="1">
      <alignment horizontal="center" vertical="center" shrinkToFit="1"/>
    </xf>
    <xf numFmtId="0" fontId="9" fillId="0" borderId="89" xfId="0" applyFont="1" applyBorder="1" applyAlignment="1">
      <alignment horizontal="center" vertical="center" shrinkToFit="1"/>
    </xf>
    <xf numFmtId="0" fontId="9" fillId="0" borderId="194" xfId="0" applyFont="1" applyBorder="1" applyAlignment="1">
      <alignment horizontal="center" vertical="center" shrinkToFit="1"/>
    </xf>
    <xf numFmtId="0" fontId="9" fillId="0" borderId="133" xfId="0" applyFont="1" applyBorder="1" applyAlignment="1">
      <alignment horizontal="center" vertical="center" shrinkToFit="1"/>
    </xf>
    <xf numFmtId="0" fontId="9" fillId="15" borderId="129" xfId="0" applyFont="1" applyFill="1" applyBorder="1" applyAlignment="1">
      <alignment horizontal="center" vertical="center" shrinkToFit="1"/>
    </xf>
    <xf numFmtId="164" fontId="9" fillId="0" borderId="195" xfId="0" applyNumberFormat="1" applyFont="1" applyBorder="1" applyAlignment="1">
      <alignment horizontal="center" vertical="center" shrinkToFit="1"/>
    </xf>
    <xf numFmtId="0" fontId="9" fillId="0" borderId="19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4" fillId="0" borderId="0" xfId="1" applyFill="1" applyAlignment="1" applyProtection="1">
      <alignment vertical="center"/>
    </xf>
    <xf numFmtId="0" fontId="4" fillId="0" borderId="0" xfId="1" applyProtection="1"/>
    <xf numFmtId="0" fontId="16" fillId="0" borderId="0" xfId="1" applyFont="1" applyBorder="1" applyAlignment="1" applyProtection="1">
      <alignment horizontal="left" vertical="center" wrapText="1"/>
    </xf>
    <xf numFmtId="0" fontId="23" fillId="0" borderId="0" xfId="1" applyFont="1" applyAlignment="1" applyProtection="1">
      <alignment horizontal="right" indent="1"/>
    </xf>
    <xf numFmtId="0" fontId="22" fillId="0" borderId="0" xfId="1" applyFont="1" applyBorder="1" applyAlignment="1" applyProtection="1">
      <alignment horizontal="left" vertical="center" wrapText="1"/>
    </xf>
    <xf numFmtId="0" fontId="0" fillId="0" borderId="0" xfId="0" applyProtection="1"/>
    <xf numFmtId="0" fontId="18" fillId="0" borderId="0" xfId="1" applyFont="1" applyAlignment="1" applyProtection="1">
      <alignment horizontal="center" vertical="center" wrapText="1"/>
    </xf>
    <xf numFmtId="0" fontId="4" fillId="0" borderId="0" xfId="1" applyAlignment="1" applyProtection="1">
      <alignment horizontal="center"/>
    </xf>
    <xf numFmtId="0" fontId="4" fillId="0" borderId="0" xfId="1" applyAlignment="1" applyProtection="1">
      <alignment horizontal="right" vertical="center"/>
    </xf>
    <xf numFmtId="0" fontId="4" fillId="0" borderId="0" xfId="1" applyAlignment="1" applyProtection="1">
      <alignment horizontal="left" vertical="center" indent="1"/>
    </xf>
    <xf numFmtId="0" fontId="19" fillId="0" borderId="22" xfId="1" applyFont="1" applyFill="1" applyBorder="1" applyAlignment="1" applyProtection="1">
      <alignment horizontal="left" indent="1"/>
    </xf>
    <xf numFmtId="0" fontId="4" fillId="0" borderId="23" xfId="1" applyBorder="1" applyAlignment="1" applyProtection="1">
      <alignment horizontal="left" indent="1"/>
    </xf>
    <xf numFmtId="0" fontId="4" fillId="0" borderId="35" xfId="1" applyBorder="1" applyAlignment="1" applyProtection="1">
      <alignment horizontal="left" indent="1"/>
    </xf>
    <xf numFmtId="0" fontId="4" fillId="8" borderId="31" xfId="1" applyFill="1" applyBorder="1" applyAlignment="1" applyProtection="1">
      <alignment horizontal="left" indent="1"/>
    </xf>
    <xf numFmtId="0" fontId="4" fillId="6" borderId="29" xfId="1" applyFill="1" applyBorder="1" applyAlignment="1" applyProtection="1">
      <alignment horizontal="left" indent="1"/>
    </xf>
    <xf numFmtId="0" fontId="6" fillId="7" borderId="30" xfId="1" applyFont="1" applyFill="1" applyBorder="1" applyAlignment="1" applyProtection="1">
      <alignment horizontal="left" indent="1"/>
    </xf>
    <xf numFmtId="0" fontId="4" fillId="7" borderId="30" xfId="1" applyFill="1" applyBorder="1" applyAlignment="1" applyProtection="1">
      <alignment horizontal="left" indent="1"/>
    </xf>
    <xf numFmtId="0" fontId="6" fillId="8" borderId="31" xfId="1" applyFont="1" applyFill="1" applyBorder="1" applyAlignment="1" applyProtection="1">
      <alignment horizontal="left" indent="1"/>
    </xf>
    <xf numFmtId="0" fontId="6" fillId="6" borderId="29" xfId="1" applyFont="1" applyFill="1" applyBorder="1" applyAlignment="1" applyProtection="1">
      <alignment horizontal="left" indent="1"/>
    </xf>
    <xf numFmtId="0" fontId="6" fillId="8" borderId="31" xfId="1" applyFont="1" applyFill="1" applyBorder="1" applyAlignment="1" applyProtection="1">
      <alignment horizontal="left" vertical="center" indent="1"/>
    </xf>
    <xf numFmtId="0" fontId="6" fillId="6" borderId="29" xfId="1" applyFont="1" applyFill="1" applyBorder="1" applyAlignment="1" applyProtection="1">
      <alignment horizontal="left" vertical="center" indent="1"/>
    </xf>
    <xf numFmtId="0" fontId="17" fillId="0" borderId="0" xfId="1" applyFont="1" applyFill="1" applyBorder="1" applyProtection="1"/>
    <xf numFmtId="0" fontId="2" fillId="0" borderId="0" xfId="1" applyFont="1" applyFill="1" applyBorder="1" applyProtection="1"/>
    <xf numFmtId="0" fontId="6" fillId="8" borderId="31" xfId="1" applyFont="1" applyFill="1" applyBorder="1" applyAlignment="1" applyProtection="1">
      <alignment horizontal="left" vertical="top" wrapText="1" indent="1"/>
    </xf>
    <xf numFmtId="0" fontId="6" fillId="6" borderId="29" xfId="1" applyFont="1" applyFill="1" applyBorder="1" applyAlignment="1" applyProtection="1">
      <alignment horizontal="left" vertical="top" wrapText="1" indent="1"/>
    </xf>
    <xf numFmtId="0" fontId="4" fillId="7" borderId="21" xfId="1" applyFill="1" applyBorder="1" applyAlignment="1" applyProtection="1">
      <alignment horizontal="left" indent="1"/>
    </xf>
    <xf numFmtId="0" fontId="19" fillId="0" borderId="25" xfId="1" applyFont="1" applyFill="1" applyBorder="1" applyAlignment="1" applyProtection="1">
      <alignment horizontal="left" indent="1"/>
    </xf>
    <xf numFmtId="0" fontId="4" fillId="0" borderId="0" xfId="1" applyBorder="1" applyAlignment="1" applyProtection="1">
      <alignment horizontal="left" indent="1"/>
    </xf>
    <xf numFmtId="0" fontId="4" fillId="0" borderId="21" xfId="1" applyBorder="1" applyAlignment="1" applyProtection="1">
      <alignment horizontal="left" indent="1"/>
    </xf>
    <xf numFmtId="0" fontId="4" fillId="8" borderId="31" xfId="1" applyFill="1" applyBorder="1" applyAlignment="1" applyProtection="1">
      <alignment horizontal="left" vertical="top" wrapText="1" indent="1"/>
    </xf>
    <xf numFmtId="0" fontId="4" fillId="6" borderId="29" xfId="1" applyFill="1" applyBorder="1" applyAlignment="1" applyProtection="1">
      <alignment horizontal="left" vertical="top" wrapText="1" indent="1"/>
    </xf>
    <xf numFmtId="0" fontId="4" fillId="7" borderId="30" xfId="1" applyFill="1" applyBorder="1" applyAlignment="1" applyProtection="1">
      <alignment horizontal="left" vertical="top" wrapText="1" indent="1"/>
    </xf>
    <xf numFmtId="0" fontId="4" fillId="6" borderId="70" xfId="1" applyFill="1" applyBorder="1" applyAlignment="1" applyProtection="1">
      <alignment horizontal="left" vertical="top" wrapText="1" indent="1"/>
    </xf>
    <xf numFmtId="0" fontId="4" fillId="7" borderId="32" xfId="1" applyFill="1" applyBorder="1" applyAlignment="1" applyProtection="1">
      <alignment horizontal="left" vertical="top" wrapText="1" indent="1"/>
    </xf>
    <xf numFmtId="0" fontId="6" fillId="8" borderId="31" xfId="1" applyFont="1" applyFill="1" applyBorder="1" applyAlignment="1" applyProtection="1">
      <alignment horizontal="left" vertical="top" indent="1"/>
    </xf>
    <xf numFmtId="0" fontId="6" fillId="6" borderId="36" xfId="1" applyFont="1" applyFill="1" applyBorder="1" applyAlignment="1" applyProtection="1">
      <alignment horizontal="left" vertical="top" indent="1"/>
    </xf>
    <xf numFmtId="0" fontId="4" fillId="7" borderId="37" xfId="1" applyFill="1" applyBorder="1" applyAlignment="1" applyProtection="1">
      <alignment horizontal="left" vertical="top" wrapText="1" indent="1"/>
    </xf>
    <xf numFmtId="0" fontId="6" fillId="8" borderId="25" xfId="1" applyFont="1" applyFill="1" applyBorder="1" applyAlignment="1" applyProtection="1">
      <alignment horizontal="left" vertical="top" indent="1"/>
    </xf>
    <xf numFmtId="0" fontId="6" fillId="6" borderId="38" xfId="1" applyFont="1" applyFill="1" applyBorder="1" applyAlignment="1" applyProtection="1">
      <alignment horizontal="left" vertical="top" indent="1"/>
    </xf>
    <xf numFmtId="0" fontId="4" fillId="7" borderId="26" xfId="1" applyFill="1" applyBorder="1" applyAlignment="1" applyProtection="1">
      <alignment horizontal="left" vertical="top" indent="1"/>
    </xf>
    <xf numFmtId="0" fontId="6" fillId="8" borderId="25" xfId="1" applyFont="1" applyFill="1" applyBorder="1" applyAlignment="1" applyProtection="1">
      <alignment horizontal="left" vertical="top" wrapText="1" indent="1"/>
    </xf>
    <xf numFmtId="0" fontId="6" fillId="6" borderId="38" xfId="1" applyFont="1" applyFill="1" applyBorder="1" applyAlignment="1" applyProtection="1">
      <alignment horizontal="left" vertical="top" wrapText="1" indent="1"/>
    </xf>
    <xf numFmtId="0" fontId="6" fillId="8" borderId="27" xfId="1" applyFont="1" applyFill="1" applyBorder="1" applyAlignment="1" applyProtection="1">
      <alignment horizontal="left" vertical="top" wrapText="1" indent="1"/>
    </xf>
    <xf numFmtId="0" fontId="6" fillId="6" borderId="28" xfId="1" applyFont="1" applyFill="1" applyBorder="1" applyAlignment="1" applyProtection="1">
      <alignment horizontal="left" vertical="top" wrapText="1" indent="1"/>
    </xf>
    <xf numFmtId="0" fontId="6" fillId="6" borderId="42" xfId="1" applyFont="1" applyFill="1" applyBorder="1" applyAlignment="1" applyProtection="1">
      <alignment horizontal="left" vertical="top" wrapText="1" indent="1"/>
    </xf>
    <xf numFmtId="0" fontId="4" fillId="8" borderId="33" xfId="1" applyFill="1" applyBorder="1" applyAlignment="1" applyProtection="1">
      <alignment horizontal="left" vertical="top" indent="1"/>
    </xf>
    <xf numFmtId="0" fontId="4" fillId="6" borderId="39" xfId="1" applyFill="1" applyBorder="1" applyAlignment="1" applyProtection="1">
      <alignment horizontal="left" vertical="top" indent="1"/>
    </xf>
    <xf numFmtId="0" fontId="4" fillId="7" borderId="34" xfId="1" applyFill="1" applyBorder="1" applyAlignment="1" applyProtection="1">
      <alignment horizontal="left" vertical="top" wrapText="1" indent="1"/>
    </xf>
    <xf numFmtId="0" fontId="6" fillId="0" borderId="0" xfId="1" applyFont="1" applyProtection="1"/>
    <xf numFmtId="164" fontId="12" fillId="0" borderId="130" xfId="0" applyNumberFormat="1" applyFont="1" applyFill="1" applyBorder="1" applyAlignment="1">
      <alignment horizontal="right" vertical="center" indent="1"/>
    </xf>
    <xf numFmtId="0" fontId="12" fillId="4" borderId="132" xfId="0" applyFont="1" applyFill="1" applyBorder="1" applyAlignment="1" applyProtection="1">
      <alignment horizontal="left" vertical="center" indent="1"/>
      <protection locked="0"/>
    </xf>
    <xf numFmtId="0" fontId="12" fillId="4" borderId="189" xfId="0" applyFont="1" applyFill="1" applyBorder="1" applyAlignment="1" applyProtection="1">
      <alignment vertical="center"/>
      <protection locked="0"/>
    </xf>
    <xf numFmtId="0" fontId="61" fillId="4" borderId="152" xfId="0" applyFont="1" applyFill="1" applyBorder="1" applyAlignment="1" applyProtection="1">
      <alignment horizontal="center" vertical="center"/>
      <protection locked="0"/>
    </xf>
    <xf numFmtId="0" fontId="53" fillId="0" borderId="0" xfId="0" applyFont="1" applyFill="1" applyBorder="1" applyAlignment="1">
      <alignment horizontal="center" vertical="center"/>
    </xf>
    <xf numFmtId="164" fontId="9" fillId="12" borderId="193" xfId="0" applyNumberFormat="1" applyFont="1" applyFill="1" applyBorder="1" applyAlignment="1">
      <alignment horizontal="right" vertical="center" indent="1" shrinkToFit="1"/>
    </xf>
    <xf numFmtId="0" fontId="43" fillId="10" borderId="188" xfId="0" applyFont="1" applyFill="1" applyBorder="1" applyAlignment="1">
      <alignment horizontal="center" vertical="center"/>
    </xf>
    <xf numFmtId="0" fontId="9" fillId="4" borderId="197" xfId="1" applyFont="1" applyFill="1" applyBorder="1" applyAlignment="1" applyProtection="1">
      <alignment horizontal="center" vertical="center" shrinkToFit="1"/>
      <protection locked="0"/>
    </xf>
    <xf numFmtId="0" fontId="9" fillId="4" borderId="198" xfId="1" applyFont="1" applyFill="1" applyBorder="1" applyAlignment="1" applyProtection="1">
      <alignment horizontal="center" vertical="center" shrinkToFit="1"/>
      <protection locked="0"/>
    </xf>
    <xf numFmtId="0" fontId="9" fillId="4" borderId="200" xfId="1" applyFont="1" applyFill="1" applyBorder="1" applyAlignment="1">
      <alignment horizontal="center" vertical="center"/>
    </xf>
    <xf numFmtId="0" fontId="9" fillId="4" borderId="199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14" fontId="62" fillId="0" borderId="0" xfId="0" applyNumberFormat="1" applyFont="1" applyAlignment="1">
      <alignment horizontal="center" vertical="center"/>
    </xf>
    <xf numFmtId="0" fontId="62" fillId="0" borderId="0" xfId="0" applyFont="1"/>
    <xf numFmtId="169" fontId="25" fillId="0" borderId="46" xfId="1" applyNumberFormat="1" applyFont="1" applyBorder="1" applyAlignment="1">
      <alignment horizontal="center" vertical="center" shrinkToFit="1"/>
    </xf>
    <xf numFmtId="169" fontId="25" fillId="0" borderId="64" xfId="1" applyNumberFormat="1" applyFont="1" applyBorder="1" applyAlignment="1">
      <alignment horizontal="center" vertical="center" shrinkToFit="1"/>
    </xf>
    <xf numFmtId="169" fontId="25" fillId="0" borderId="180" xfId="1" applyNumberFormat="1" applyFont="1" applyBorder="1" applyAlignment="1">
      <alignment horizontal="center" vertical="center" shrinkToFit="1"/>
    </xf>
    <xf numFmtId="0" fontId="9" fillId="9" borderId="201" xfId="0" applyNumberFormat="1" applyFont="1" applyFill="1" applyBorder="1" applyAlignment="1">
      <alignment horizontal="center" vertical="center" shrinkToFit="1"/>
    </xf>
    <xf numFmtId="0" fontId="9" fillId="9" borderId="91" xfId="0" applyNumberFormat="1" applyFont="1" applyFill="1" applyBorder="1" applyAlignment="1">
      <alignment horizontal="center" vertical="center" shrinkToFit="1"/>
    </xf>
    <xf numFmtId="0" fontId="9" fillId="4" borderId="91" xfId="0" applyNumberFormat="1" applyFont="1" applyFill="1" applyBorder="1" applyAlignment="1">
      <alignment horizontal="center" vertical="center" shrinkToFit="1"/>
    </xf>
    <xf numFmtId="0" fontId="9" fillId="10" borderId="91" xfId="0" applyNumberFormat="1" applyFont="1" applyFill="1" applyBorder="1" applyAlignment="1">
      <alignment horizontal="center" vertical="center" shrinkToFit="1"/>
    </xf>
    <xf numFmtId="0" fontId="54" fillId="12" borderId="91" xfId="0" applyNumberFormat="1" applyFont="1" applyFill="1" applyBorder="1" applyAlignment="1">
      <alignment horizontal="center" vertical="center" shrinkToFit="1"/>
    </xf>
    <xf numFmtId="0" fontId="54" fillId="12" borderId="131" xfId="0" applyNumberFormat="1" applyFont="1" applyFill="1" applyBorder="1" applyAlignment="1">
      <alignment horizontal="center" vertical="center" shrinkToFit="1"/>
    </xf>
    <xf numFmtId="164" fontId="12" fillId="0" borderId="0" xfId="0" applyNumberFormat="1" applyFont="1" applyFill="1" applyBorder="1" applyAlignment="1" applyProtection="1">
      <alignment horizontal="right" vertical="center" indent="1"/>
    </xf>
    <xf numFmtId="0" fontId="12" fillId="0" borderId="0" xfId="0" applyFont="1" applyFill="1" applyBorder="1" applyAlignment="1" applyProtection="1">
      <alignment horizontal="left" vertical="center" indent="1"/>
    </xf>
    <xf numFmtId="0" fontId="12" fillId="0" borderId="0" xfId="0" applyFont="1" applyFill="1" applyBorder="1" applyAlignment="1" applyProtection="1">
      <alignment vertical="center"/>
    </xf>
    <xf numFmtId="0" fontId="51" fillId="0" borderId="0" xfId="4" applyAlignment="1" applyProtection="1">
      <alignment horizontal="left"/>
      <protection locked="0"/>
    </xf>
    <xf numFmtId="0" fontId="52" fillId="0" borderId="0" xfId="4" applyFont="1" applyAlignment="1" applyProtection="1">
      <alignment horizontal="left"/>
      <protection locked="0"/>
    </xf>
    <xf numFmtId="0" fontId="26" fillId="3" borderId="78" xfId="0" applyFont="1" applyFill="1" applyBorder="1" applyAlignment="1">
      <alignment horizontal="center" vertical="center" shrinkToFit="1"/>
    </xf>
    <xf numFmtId="0" fontId="26" fillId="3" borderId="79" xfId="0" applyFont="1" applyFill="1" applyBorder="1" applyAlignment="1">
      <alignment horizontal="center" vertical="center" shrinkToFit="1"/>
    </xf>
    <xf numFmtId="0" fontId="26" fillId="3" borderId="80" xfId="0" applyFont="1" applyFill="1" applyBorder="1" applyAlignment="1">
      <alignment horizontal="center" vertical="center" shrinkToFit="1"/>
    </xf>
    <xf numFmtId="0" fontId="25" fillId="3" borderId="74" xfId="0" applyFont="1" applyFill="1" applyBorder="1" applyAlignment="1">
      <alignment horizontal="center" vertical="center" shrinkToFit="1"/>
    </xf>
    <xf numFmtId="0" fontId="25" fillId="3" borderId="75" xfId="0" applyFont="1" applyFill="1" applyBorder="1" applyAlignment="1">
      <alignment horizontal="center" vertical="center" shrinkToFit="1"/>
    </xf>
    <xf numFmtId="0" fontId="27" fillId="0" borderId="72" xfId="0" applyFont="1" applyBorder="1" applyAlignment="1">
      <alignment horizontal="center" vertical="center" shrinkToFit="1"/>
    </xf>
    <xf numFmtId="0" fontId="27" fillId="0" borderId="73" xfId="0" applyFont="1" applyBorder="1" applyAlignment="1">
      <alignment horizontal="center" vertical="center" shrinkToFit="1"/>
    </xf>
    <xf numFmtId="0" fontId="21" fillId="4" borderId="53" xfId="1" applyFont="1" applyFill="1" applyBorder="1" applyAlignment="1" applyProtection="1">
      <alignment horizontal="center" vertical="top"/>
      <protection locked="0"/>
    </xf>
    <xf numFmtId="0" fontId="21" fillId="4" borderId="54" xfId="1" applyFont="1" applyFill="1" applyBorder="1" applyAlignment="1" applyProtection="1">
      <alignment horizontal="center" vertical="top"/>
      <protection locked="0"/>
    </xf>
    <xf numFmtId="0" fontId="21" fillId="4" borderId="55" xfId="1" applyFont="1" applyFill="1" applyBorder="1" applyAlignment="1" applyProtection="1">
      <alignment horizontal="center" vertical="top"/>
      <protection locked="0"/>
    </xf>
    <xf numFmtId="0" fontId="14" fillId="4" borderId="43" xfId="1" applyFont="1" applyFill="1" applyBorder="1" applyAlignment="1" applyProtection="1">
      <alignment horizontal="center" vertical="center"/>
      <protection locked="0"/>
    </xf>
    <xf numFmtId="0" fontId="14" fillId="4" borderId="44" xfId="1" applyFont="1" applyFill="1" applyBorder="1" applyAlignment="1" applyProtection="1">
      <alignment horizontal="center" vertical="center"/>
      <protection locked="0"/>
    </xf>
    <xf numFmtId="0" fontId="14" fillId="4" borderId="45" xfId="1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Alignment="1">
      <alignment horizontal="right"/>
    </xf>
    <xf numFmtId="0" fontId="26" fillId="3" borderId="11" xfId="1" applyFont="1" applyFill="1" applyBorder="1" applyAlignment="1">
      <alignment horizontal="center" vertical="center"/>
    </xf>
    <xf numFmtId="0" fontId="26" fillId="3" borderId="4" xfId="1" applyFont="1" applyFill="1" applyBorder="1" applyAlignment="1">
      <alignment horizontal="center" vertical="center"/>
    </xf>
    <xf numFmtId="0" fontId="26" fillId="3" borderId="8" xfId="1" applyFont="1" applyFill="1" applyBorder="1" applyAlignment="1">
      <alignment horizontal="center" vertical="center"/>
    </xf>
    <xf numFmtId="0" fontId="26" fillId="3" borderId="9" xfId="1" applyFont="1" applyFill="1" applyBorder="1" applyAlignment="1">
      <alignment horizontal="center" vertical="center"/>
    </xf>
    <xf numFmtId="0" fontId="26" fillId="3" borderId="5" xfId="1" applyFont="1" applyFill="1" applyBorder="1" applyAlignment="1">
      <alignment horizontal="center" vertical="center"/>
    </xf>
    <xf numFmtId="0" fontId="26" fillId="3" borderId="59" xfId="1" applyFont="1" applyFill="1" applyBorder="1" applyAlignment="1">
      <alignment horizontal="center" vertical="center" shrinkToFit="1"/>
    </xf>
    <xf numFmtId="0" fontId="26" fillId="3" borderId="60" xfId="1" applyFont="1" applyFill="1" applyBorder="1" applyAlignment="1">
      <alignment horizontal="center" vertical="center" shrinkToFit="1"/>
    </xf>
    <xf numFmtId="166" fontId="0" fillId="0" borderId="0" xfId="0" applyNumberFormat="1" applyAlignment="1">
      <alignment horizontal="center"/>
    </xf>
    <xf numFmtId="0" fontId="10" fillId="0" borderId="117" xfId="0" applyFont="1" applyBorder="1" applyAlignment="1">
      <alignment horizontal="center" wrapText="1"/>
    </xf>
    <xf numFmtId="0" fontId="10" fillId="0" borderId="118" xfId="0" applyFont="1" applyBorder="1" applyAlignment="1">
      <alignment horizontal="center" wrapText="1"/>
    </xf>
    <xf numFmtId="0" fontId="10" fillId="0" borderId="119" xfId="0" applyFont="1" applyBorder="1" applyAlignment="1">
      <alignment horizontal="center" wrapText="1"/>
    </xf>
    <xf numFmtId="0" fontId="10" fillId="0" borderId="121" xfId="0" applyFont="1" applyBorder="1" applyAlignment="1">
      <alignment horizontal="center" wrapText="1"/>
    </xf>
    <xf numFmtId="0" fontId="10" fillId="0" borderId="96" xfId="0" applyFont="1" applyBorder="1" applyAlignment="1">
      <alignment horizontal="center" wrapText="1"/>
    </xf>
    <xf numFmtId="0" fontId="10" fillId="0" borderId="122" xfId="0" applyFont="1" applyBorder="1" applyAlignment="1">
      <alignment horizontal="center" wrapText="1"/>
    </xf>
    <xf numFmtId="14" fontId="29" fillId="0" borderId="116" xfId="0" applyNumberFormat="1" applyFont="1" applyBorder="1" applyAlignment="1">
      <alignment horizontal="center"/>
    </xf>
    <xf numFmtId="0" fontId="29" fillId="0" borderId="116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0" fillId="0" borderId="120" xfId="0" applyFont="1" applyBorder="1" applyAlignment="1">
      <alignment horizontal="center"/>
    </xf>
    <xf numFmtId="0" fontId="44" fillId="13" borderId="141" xfId="0" applyFont="1" applyFill="1" applyBorder="1" applyAlignment="1">
      <alignment horizontal="center"/>
    </xf>
    <xf numFmtId="0" fontId="44" fillId="13" borderId="142" xfId="0" applyFont="1" applyFill="1" applyBorder="1" applyAlignment="1">
      <alignment horizontal="center"/>
    </xf>
    <xf numFmtId="0" fontId="44" fillId="13" borderId="143" xfId="0" applyFont="1" applyFill="1" applyBorder="1" applyAlignment="1">
      <alignment horizontal="center"/>
    </xf>
    <xf numFmtId="0" fontId="45" fillId="14" borderId="144" xfId="0" applyFont="1" applyFill="1" applyBorder="1" applyAlignment="1">
      <alignment horizontal="center" vertical="center"/>
    </xf>
    <xf numFmtId="0" fontId="45" fillId="14" borderId="0" xfId="0" applyFont="1" applyFill="1" applyBorder="1" applyAlignment="1">
      <alignment horizontal="center" vertical="center"/>
    </xf>
    <xf numFmtId="0" fontId="45" fillId="14" borderId="145" xfId="0" applyFont="1" applyFill="1" applyBorder="1" applyAlignment="1">
      <alignment horizontal="center" vertical="center"/>
    </xf>
    <xf numFmtId="0" fontId="45" fillId="14" borderId="146" xfId="0" applyFont="1" applyFill="1" applyBorder="1" applyAlignment="1">
      <alignment horizontal="center" vertical="center"/>
    </xf>
    <xf numFmtId="0" fontId="45" fillId="14" borderId="147" xfId="0" applyFont="1" applyFill="1" applyBorder="1" applyAlignment="1">
      <alignment horizontal="center" vertical="center"/>
    </xf>
    <xf numFmtId="0" fontId="45" fillId="14" borderId="148" xfId="0" applyFont="1" applyFill="1" applyBorder="1" applyAlignment="1">
      <alignment horizontal="center" vertical="center"/>
    </xf>
    <xf numFmtId="14" fontId="29" fillId="0" borderId="117" xfId="0" applyNumberFormat="1" applyFont="1" applyBorder="1" applyAlignment="1">
      <alignment horizontal="center"/>
    </xf>
    <xf numFmtId="0" fontId="29" fillId="0" borderId="118" xfId="0" applyFont="1" applyBorder="1" applyAlignment="1">
      <alignment horizontal="center"/>
    </xf>
    <xf numFmtId="0" fontId="29" fillId="0" borderId="119" xfId="0" applyFont="1" applyBorder="1" applyAlignment="1">
      <alignment horizontal="center"/>
    </xf>
    <xf numFmtId="0" fontId="29" fillId="0" borderId="117" xfId="0" applyFont="1" applyBorder="1" applyAlignment="1">
      <alignment horizontal="center"/>
    </xf>
    <xf numFmtId="14" fontId="60" fillId="0" borderId="117" xfId="0" applyNumberFormat="1" applyFont="1" applyBorder="1" applyAlignment="1">
      <alignment horizontal="center"/>
    </xf>
    <xf numFmtId="0" fontId="60" fillId="0" borderId="118" xfId="0" applyFont="1" applyBorder="1" applyAlignment="1">
      <alignment horizontal="center"/>
    </xf>
    <xf numFmtId="0" fontId="60" fillId="0" borderId="119" xfId="0" applyFont="1" applyBorder="1" applyAlignment="1">
      <alignment horizontal="center"/>
    </xf>
    <xf numFmtId="14" fontId="29" fillId="0" borderId="118" xfId="0" applyNumberFormat="1" applyFont="1" applyBorder="1" applyAlignment="1">
      <alignment horizontal="center"/>
    </xf>
    <xf numFmtId="14" fontId="29" fillId="0" borderId="119" xfId="0" applyNumberFormat="1" applyFont="1" applyBorder="1" applyAlignment="1">
      <alignment horizontal="center"/>
    </xf>
    <xf numFmtId="0" fontId="10" fillId="0" borderId="121" xfId="0" applyFont="1" applyBorder="1" applyAlignment="1">
      <alignment horizontal="center"/>
    </xf>
    <xf numFmtId="0" fontId="10" fillId="0" borderId="96" xfId="0" applyFont="1" applyBorder="1" applyAlignment="1">
      <alignment horizontal="center"/>
    </xf>
    <xf numFmtId="0" fontId="10" fillId="0" borderId="122" xfId="0" applyFont="1" applyBorder="1" applyAlignment="1">
      <alignment horizontal="center"/>
    </xf>
    <xf numFmtId="166" fontId="31" fillId="0" borderId="0" xfId="0" applyNumberFormat="1" applyFont="1" applyBorder="1" applyAlignment="1">
      <alignment horizontal="left" vertical="center" wrapText="1"/>
    </xf>
    <xf numFmtId="166" fontId="34" fillId="0" borderId="96" xfId="0" applyNumberFormat="1" applyFont="1" applyBorder="1" applyAlignment="1">
      <alignment horizontal="center" vertical="center" wrapText="1"/>
    </xf>
    <xf numFmtId="0" fontId="10" fillId="3" borderId="77" xfId="0" applyFont="1" applyFill="1" applyBorder="1" applyAlignment="1">
      <alignment horizontal="center" vertical="center"/>
    </xf>
    <xf numFmtId="0" fontId="10" fillId="3" borderId="81" xfId="0" applyFont="1" applyFill="1" applyBorder="1" applyAlignment="1">
      <alignment horizontal="center" vertical="center"/>
    </xf>
    <xf numFmtId="0" fontId="0" fillId="0" borderId="71" xfId="0" applyBorder="1" applyAlignment="1">
      <alignment horizontal="center"/>
    </xf>
    <xf numFmtId="0" fontId="4" fillId="0" borderId="0" xfId="1" applyAlignment="1">
      <alignment horizontal="right"/>
    </xf>
    <xf numFmtId="0" fontId="13" fillId="0" borderId="0" xfId="3" applyFont="1" applyAlignment="1">
      <alignment horizontal="center" vertical="center"/>
    </xf>
    <xf numFmtId="0" fontId="13" fillId="0" borderId="0" xfId="1" applyFont="1" applyAlignment="1" applyProtection="1">
      <alignment horizontal="center"/>
    </xf>
    <xf numFmtId="0" fontId="3" fillId="7" borderId="24" xfId="1" applyFont="1" applyFill="1" applyBorder="1" applyAlignment="1" applyProtection="1">
      <alignment horizontal="center" vertical="center" wrapText="1"/>
    </xf>
    <xf numFmtId="0" fontId="3" fillId="7" borderId="26" xfId="1" applyFont="1" applyFill="1" applyBorder="1" applyAlignment="1" applyProtection="1">
      <alignment horizontal="center" vertical="center"/>
    </xf>
    <xf numFmtId="0" fontId="18" fillId="0" borderId="1" xfId="1" applyFont="1" applyBorder="1" applyAlignment="1" applyProtection="1">
      <alignment horizontal="center" vertical="top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/>
    </xf>
    <xf numFmtId="0" fontId="4" fillId="0" borderId="21" xfId="1" applyBorder="1" applyAlignment="1" applyProtection="1">
      <alignment horizontal="center"/>
    </xf>
    <xf numFmtId="0" fontId="20" fillId="8" borderId="22" xfId="1" applyFont="1" applyFill="1" applyBorder="1" applyAlignment="1" applyProtection="1">
      <alignment horizontal="center" vertical="center" wrapText="1"/>
    </xf>
    <xf numFmtId="0" fontId="20" fillId="8" borderId="25" xfId="1" applyFont="1" applyFill="1" applyBorder="1" applyAlignment="1" applyProtection="1">
      <alignment horizontal="center" vertical="center"/>
    </xf>
    <xf numFmtId="0" fontId="20" fillId="6" borderId="51" xfId="1" applyFont="1" applyFill="1" applyBorder="1" applyAlignment="1" applyProtection="1">
      <alignment horizontal="center" vertical="center" wrapText="1"/>
    </xf>
    <xf numFmtId="0" fontId="20" fillId="6" borderId="52" xfId="1" applyFont="1" applyFill="1" applyBorder="1" applyAlignment="1" applyProtection="1">
      <alignment horizontal="center" vertical="center"/>
    </xf>
  </cellXfs>
  <cellStyles count="5">
    <cellStyle name="Link" xfId="4" builtinId="8"/>
    <cellStyle name="Standard" xfId="0" builtinId="0"/>
    <cellStyle name="Standard 2" xfId="2" xr:uid="{00000000-0005-0000-0000-000002000000}"/>
    <cellStyle name="Standard 3" xfId="1" xr:uid="{00000000-0005-0000-0000-000003000000}"/>
    <cellStyle name="Standard 4" xfId="3" xr:uid="{00000000-0005-0000-0000-000004000000}"/>
  </cellStyles>
  <dxfs count="55">
    <dxf>
      <numFmt numFmtId="30" formatCode="@"/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numFmt numFmtId="30" formatCode="@"/>
    </dxf>
    <dxf>
      <numFmt numFmtId="30" formatCode="@"/>
    </dxf>
    <dxf>
      <numFmt numFmtId="30" formatCode="@"/>
    </dxf>
    <dxf>
      <numFmt numFmtId="166" formatCode=";;;"/>
    </dxf>
    <dxf>
      <numFmt numFmtId="166" formatCode=";;;"/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C00000"/>
      </font>
    </dxf>
    <dxf>
      <numFmt numFmtId="166" formatCode=";;;"/>
    </dxf>
    <dxf>
      <font>
        <color rgb="FFDA0000"/>
      </font>
    </dxf>
    <dxf>
      <numFmt numFmtId="166" formatCode=";;;"/>
    </dxf>
    <dxf>
      <numFmt numFmtId="166" formatCode=";;;"/>
    </dxf>
    <dxf>
      <numFmt numFmtId="166" formatCode=";;;"/>
    </dxf>
  </dxfs>
  <tableStyles count="0" defaultTableStyle="TableStyleMedium2" defaultPivotStyle="PivotStyleLight16"/>
  <colors>
    <mruColors>
      <color rgb="FFFDECE3"/>
      <color rgb="FFF8F8F8"/>
      <color rgb="FFFFFFCC"/>
      <color rgb="FF9ACA02"/>
      <color rgb="FFFA7D00"/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</xdr:rowOff>
    </xdr:from>
    <xdr:to>
      <xdr:col>5</xdr:col>
      <xdr:colOff>1424940</xdr:colOff>
      <xdr:row>6</xdr:row>
      <xdr:rowOff>83663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365761"/>
          <a:ext cx="1874520" cy="13562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</xdr:rowOff>
    </xdr:from>
    <xdr:to>
      <xdr:col>4</xdr:col>
      <xdr:colOff>960120</xdr:colOff>
      <xdr:row>1</xdr:row>
      <xdr:rowOff>379096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198121"/>
          <a:ext cx="96012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.uefa.com/uefachampionsleague/news/0291-1bd8c79c85fa-31c2596c42f5-1000--tabelle-der-ligaphase-der-champions-league-vorgehen-bei-p/" TargetMode="External"/><Relationship Id="rId2" Type="http://schemas.openxmlformats.org/officeDocument/2006/relationships/hyperlink" Target="https://documents.uefa.com/r/Reglement-der-UEFA-Champions-League-2024/25/Artikel-18-Punktegleichheit-Ligaphase-Online" TargetMode="External"/><Relationship Id="rId1" Type="http://schemas.openxmlformats.org/officeDocument/2006/relationships/hyperlink" Target="https://www.uefa.com/womenschampionsleague/standings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99"/>
  <sheetViews>
    <sheetView showGridLines="0" showRowColHeaders="0" zoomScaleNormal="100" workbookViewId="0">
      <selection activeCell="Q6" sqref="Q6"/>
    </sheetView>
  </sheetViews>
  <sheetFormatPr baseColWidth="10" defaultColWidth="0" defaultRowHeight="15" zeroHeight="1" x14ac:dyDescent="0.25"/>
  <cols>
    <col min="1" max="1" width="3.42578125" customWidth="1"/>
    <col min="2" max="2" width="11.5703125" customWidth="1"/>
    <col min="3" max="3" width="6.7109375" customWidth="1"/>
    <col min="4" max="4" width="11.85546875" customWidth="1"/>
    <col min="5" max="5" width="6.5703125" customWidth="1"/>
    <col min="6" max="6" width="26.7109375" customWidth="1"/>
    <col min="7" max="7" width="3" customWidth="1"/>
    <col min="8" max="8" width="26.7109375" customWidth="1"/>
    <col min="9" max="9" width="6.7109375" customWidth="1"/>
    <col min="10" max="10" width="2" customWidth="1"/>
    <col min="11" max="13" width="6.7109375" customWidth="1"/>
    <col min="14" max="14" width="9.42578125" customWidth="1"/>
    <col min="15" max="15" width="7.42578125" customWidth="1"/>
    <col min="16" max="16" width="26.7109375" customWidth="1"/>
    <col min="17" max="21" width="6.7109375" customWidth="1"/>
    <col min="22" max="22" width="2.140625" customWidth="1"/>
    <col min="23" max="28" width="6.7109375" customWidth="1"/>
    <col min="29" max="29" width="11.42578125" hidden="1" customWidth="1"/>
    <col min="30" max="30" width="4.85546875" customWidth="1"/>
    <col min="31" max="31" width="6.85546875" customWidth="1"/>
    <col min="32" max="32" width="23.7109375" customWidth="1"/>
    <col min="33" max="50" width="7.85546875" customWidth="1"/>
    <col min="51" max="51" width="11.5703125" customWidth="1"/>
    <col min="52" max="68" width="0" hidden="1" customWidth="1"/>
    <col min="69" max="16384" width="11.5703125" hidden="1"/>
  </cols>
  <sheetData>
    <row r="1" spans="2:68" x14ac:dyDescent="0.25">
      <c r="B1" s="485" t="s">
        <v>267</v>
      </c>
    </row>
    <row r="2" spans="2:68" x14ac:dyDescent="0.25">
      <c r="B2" s="486">
        <v>46027</v>
      </c>
    </row>
    <row r="3" spans="2:68" ht="33.75" x14ac:dyDescent="0.25">
      <c r="G3" s="509" t="s">
        <v>268</v>
      </c>
      <c r="H3" s="510"/>
      <c r="I3" s="510"/>
      <c r="J3" s="510"/>
      <c r="K3" s="510"/>
      <c r="L3" s="510"/>
      <c r="M3" s="510"/>
      <c r="N3" s="510"/>
      <c r="O3" s="510"/>
      <c r="P3" s="510"/>
      <c r="Q3" s="511"/>
    </row>
    <row r="4" spans="2:68" ht="23.25" x14ac:dyDescent="0.25">
      <c r="G4" s="512" t="s">
        <v>269</v>
      </c>
      <c r="H4" s="513"/>
      <c r="I4" s="513"/>
      <c r="J4" s="513"/>
      <c r="K4" s="513"/>
      <c r="L4" s="513"/>
      <c r="M4" s="513"/>
      <c r="N4" s="513"/>
      <c r="O4" s="513"/>
      <c r="P4" s="513"/>
      <c r="Q4" s="514"/>
    </row>
    <row r="5" spans="2:68" ht="15.75" thickBot="1" x14ac:dyDescent="0.3"/>
    <row r="6" spans="2:68" ht="28.15" customHeight="1" thickBot="1" x14ac:dyDescent="0.35">
      <c r="B6" s="205" t="str">
        <f>Language!$E$11</f>
        <v>Ergebnisse</v>
      </c>
      <c r="O6" s="515" t="str">
        <f>Language!$E$17</f>
        <v>Spieltag</v>
      </c>
      <c r="P6" s="515"/>
      <c r="Q6" s="475"/>
      <c r="R6" s="523" t="str">
        <f>Language!$E$43</f>
        <v>TABELLE UNGÜLTIG</v>
      </c>
      <c r="S6" s="523"/>
      <c r="T6" s="523"/>
      <c r="U6" s="523"/>
      <c r="V6" s="523"/>
      <c r="W6" s="523"/>
      <c r="X6" s="523"/>
      <c r="Y6" s="523"/>
      <c r="Z6" s="523"/>
      <c r="AA6" s="523"/>
    </row>
    <row r="7" spans="2:68" ht="16.149999999999999" customHeight="1" thickBot="1" x14ac:dyDescent="0.3">
      <c r="O7" s="51"/>
      <c r="P7" s="51"/>
      <c r="Q7" s="51"/>
      <c r="R7" s="51"/>
      <c r="S7" s="51"/>
      <c r="T7" s="51"/>
      <c r="U7" s="51"/>
      <c r="V7" s="51"/>
      <c r="W7" s="51"/>
      <c r="X7" s="51"/>
      <c r="Y7" s="507" t="str">
        <f>Language!$E$18</f>
        <v>Auswärtsspiele</v>
      </c>
      <c r="Z7" s="508"/>
      <c r="AA7" s="51"/>
      <c r="AB7" s="51"/>
      <c r="AE7" s="51"/>
      <c r="AF7" s="51"/>
      <c r="AG7" s="209" t="str">
        <f>AC9</f>
        <v>FC Barc.</v>
      </c>
      <c r="AH7" s="210" t="str">
        <f>AC10</f>
        <v>OL Lyon.</v>
      </c>
      <c r="AI7" s="210" t="str">
        <f>AC11</f>
        <v>Chelsea.</v>
      </c>
      <c r="AJ7" s="210" t="str">
        <f>AC12</f>
        <v>FC Baye.</v>
      </c>
      <c r="AK7" s="210" t="str">
        <f>AC13</f>
        <v>Arsenal.</v>
      </c>
      <c r="AL7" s="210" t="str">
        <f>AC14</f>
        <v>Manches.</v>
      </c>
      <c r="AM7" s="210" t="str">
        <f>AC15</f>
        <v>Real Ma.</v>
      </c>
      <c r="AN7" s="210" t="str">
        <f>AC16</f>
        <v>Juventu.</v>
      </c>
      <c r="AO7" s="210" t="str">
        <f>AC17</f>
        <v>VfL Wol.</v>
      </c>
      <c r="AP7" s="210" t="str">
        <f>AC18</f>
        <v>Paris F.</v>
      </c>
      <c r="AQ7" s="210" t="str">
        <f>AC19</f>
        <v>Atletic.</v>
      </c>
      <c r="AR7" s="210" t="str">
        <f>AC20</f>
        <v>Oud-Hev.</v>
      </c>
      <c r="AS7" s="210" t="str">
        <f>AC21</f>
        <v>Valeren.</v>
      </c>
      <c r="AT7" s="210" t="str">
        <f>AC22</f>
        <v>AS Rom</v>
      </c>
      <c r="AU7" s="210" t="str">
        <f>AC23</f>
        <v>FC Twen.</v>
      </c>
      <c r="AV7" s="210" t="str">
        <f>AC24</f>
        <v>SL Benf.</v>
      </c>
      <c r="AW7" s="210" t="str">
        <f>AC25</f>
        <v>Paris S.</v>
      </c>
      <c r="AX7" s="224" t="str">
        <f>AC26</f>
        <v>SKN St..</v>
      </c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</row>
    <row r="8" spans="2:68" ht="17.25" thickTop="1" thickBot="1" x14ac:dyDescent="0.3">
      <c r="B8" s="33" t="str">
        <f>Language!$E$17</f>
        <v>Spieltag</v>
      </c>
      <c r="C8" s="22" t="str">
        <f>Language!$E$9</f>
        <v>Nr.</v>
      </c>
      <c r="D8" s="24" t="str">
        <f>Language!$E$59</f>
        <v>Datum</v>
      </c>
      <c r="E8" s="24" t="str">
        <f>Language!$E$62</f>
        <v>Zeit</v>
      </c>
      <c r="F8" s="516" t="str">
        <f>Language!$E$14</f>
        <v>Spielpaarung</v>
      </c>
      <c r="G8" s="517"/>
      <c r="H8" s="518"/>
      <c r="I8" s="519" t="str">
        <f>Language!$E$15</f>
        <v>Ergebnis</v>
      </c>
      <c r="J8" s="517"/>
      <c r="K8" s="520"/>
      <c r="L8" s="521" t="str">
        <f>Language!$E$65</f>
        <v>Strafpunkte</v>
      </c>
      <c r="M8" s="522"/>
      <c r="O8" s="505"/>
      <c r="P8" s="506"/>
      <c r="Q8" s="52" t="str">
        <f>Language!$E$21</f>
        <v>Sp</v>
      </c>
      <c r="R8" s="53" t="str">
        <f>Language!$E$22</f>
        <v>G</v>
      </c>
      <c r="S8" s="53" t="str">
        <f>Language!$E$23</f>
        <v>U</v>
      </c>
      <c r="T8" s="54" t="str">
        <f>Language!$E$24</f>
        <v>V</v>
      </c>
      <c r="U8" s="502" t="str">
        <f>Language!$E$25</f>
        <v>Tore</v>
      </c>
      <c r="V8" s="503"/>
      <c r="W8" s="504"/>
      <c r="X8" s="53" t="str">
        <f>Language!$E$26</f>
        <v>TD</v>
      </c>
      <c r="Y8" s="54" t="str">
        <f>Language!$E$29</f>
        <v>ATore</v>
      </c>
      <c r="Z8" s="54" t="str">
        <f>Language!$E$30</f>
        <v>AGew</v>
      </c>
      <c r="AA8" s="55" t="str">
        <f>Language!$E$27</f>
        <v>Pkt</v>
      </c>
      <c r="AB8" s="56" t="str">
        <f>Language!$E$66</f>
        <v>Strafp.</v>
      </c>
      <c r="AE8" s="211"/>
      <c r="AF8" s="212"/>
      <c r="AG8" s="213" t="str">
        <f>P9</f>
        <v>FC Barcelona</v>
      </c>
      <c r="AH8" s="214" t="str">
        <f>P10</f>
        <v>OL Lyonnes</v>
      </c>
      <c r="AI8" s="214" t="str">
        <f>P11</f>
        <v>Chelsea FC</v>
      </c>
      <c r="AJ8" s="214" t="str">
        <f>P12</f>
        <v>FC Bayern München</v>
      </c>
      <c r="AK8" s="214" t="str">
        <f>P13</f>
        <v>Arsenal WFC</v>
      </c>
      <c r="AL8" s="214" t="str">
        <f>P14</f>
        <v>Manchester United</v>
      </c>
      <c r="AM8" s="214" t="str">
        <f>P15</f>
        <v>Real Madrid</v>
      </c>
      <c r="AN8" s="214" t="str">
        <f>P16</f>
        <v>Juventus FC</v>
      </c>
      <c r="AO8" s="214" t="str">
        <f>P17</f>
        <v>VfL Wolfsburg</v>
      </c>
      <c r="AP8" s="214" t="str">
        <f>P18</f>
        <v>Paris FC</v>
      </c>
      <c r="AQ8" s="214" t="str">
        <f>P19</f>
        <v>Atletico Madrid</v>
      </c>
      <c r="AR8" s="214" t="str">
        <f>P20</f>
        <v>Oud-Heverlee Leuven</v>
      </c>
      <c r="AS8" s="214" t="str">
        <f>P21</f>
        <v>Valerenga IF</v>
      </c>
      <c r="AT8" s="214" t="str">
        <f>P22</f>
        <v>AS Rom</v>
      </c>
      <c r="AU8" s="214" t="str">
        <f>P23</f>
        <v>FC Twente</v>
      </c>
      <c r="AV8" s="214" t="str">
        <f>P24</f>
        <v>SL Benfica</v>
      </c>
      <c r="AW8" s="214" t="str">
        <f>P25</f>
        <v>Paris St. Germain</v>
      </c>
      <c r="AX8" s="225" t="str">
        <f>P26</f>
        <v>SKN St. Pölten</v>
      </c>
      <c r="AY8" s="248"/>
      <c r="AZ8" s="248"/>
      <c r="BA8" s="248"/>
      <c r="BB8" s="248"/>
      <c r="BC8" s="248"/>
      <c r="BD8" s="248"/>
      <c r="BE8" s="248"/>
      <c r="BF8" s="248"/>
      <c r="BG8" s="248"/>
      <c r="BH8" s="248"/>
      <c r="BI8" s="248"/>
      <c r="BJ8" s="248"/>
      <c r="BK8" s="248"/>
      <c r="BL8" s="248"/>
      <c r="BM8" s="248"/>
      <c r="BN8" s="248"/>
      <c r="BO8" s="248"/>
      <c r="BP8" s="248"/>
    </row>
    <row r="9" spans="2:68" ht="16.5" thickTop="1" x14ac:dyDescent="0.25">
      <c r="B9" s="23">
        <v>1</v>
      </c>
      <c r="C9" s="21">
        <v>1</v>
      </c>
      <c r="D9" s="488">
        <f>IF(Plan!$T7="","",Plan!$T7)</f>
        <v>45937</v>
      </c>
      <c r="E9" s="19">
        <f>IF(Plan!$U7="","",Plan!$U7)</f>
        <v>0.78125</v>
      </c>
      <c r="F9" s="45" t="str">
        <f>Plan!$Q7</f>
        <v>Juventus FC</v>
      </c>
      <c r="G9" s="20" t="s">
        <v>170</v>
      </c>
      <c r="H9" s="45" t="str">
        <f>Plan!$S7</f>
        <v>SL Benfica</v>
      </c>
      <c r="I9" s="47">
        <v>2</v>
      </c>
      <c r="J9" s="34" t="str">
        <f>Language!$E$90</f>
        <v xml:space="preserve"> : </v>
      </c>
      <c r="K9" s="49">
        <v>1</v>
      </c>
      <c r="L9" s="25"/>
      <c r="M9" s="26"/>
      <c r="O9" s="57">
        <f>IF(Calc!$K$22=0,"",1)</f>
        <v>1</v>
      </c>
      <c r="P9" s="58" t="str">
        <f>IF(Calc!$K$22=0,Calc2!$C4,VLOOKUP(Calc!B4,Calc!$C$4:$N$21,4,0))</f>
        <v>FC Barcelona</v>
      </c>
      <c r="Q9" s="59">
        <f>IF(Calc!$K$22=0,"",VLOOKUP(Calc!B4,Calc!$C$4:$N$21,9,0))</f>
        <v>6</v>
      </c>
      <c r="R9" s="60">
        <f>IF(Calc!$K$22=0,"",IF($Q9=0,"",VLOOKUP(Calc!B4,Calc!$C$4:$N$21,10,0)))</f>
        <v>5</v>
      </c>
      <c r="S9" s="60">
        <f>IF(Calc!$K$22=0,"",IF($Q9=0,"",VLOOKUP(Calc!B4,Calc!$C$4:$N$21,11,0)))</f>
        <v>1</v>
      </c>
      <c r="T9" s="61">
        <f>IF(Calc!$K$22=0,"",IF($Q9=0,"",VLOOKUP(Calc!B4,Calc!$C$4:$N$21,12,0)))</f>
        <v>0</v>
      </c>
      <c r="U9" s="62">
        <f>IF(Calc!$K$22=0,"",IF($Q9=0,"",VLOOKUP(Calc!B4,Calc!$C$4:$N$21,5,0)))</f>
        <v>20</v>
      </c>
      <c r="V9" s="63" t="str">
        <f>Language!$E$90</f>
        <v xml:space="preserve"> : </v>
      </c>
      <c r="W9" s="64">
        <f>IF(Calc!$K$22=0,"",IF($Q9=0,"",VLOOKUP(Calc!B4,Calc!$C$4:$N$21,6,0)))</f>
        <v>3</v>
      </c>
      <c r="X9" s="65">
        <f>IF(Calc!$K$22=0,"",IF($Q9=0,"",VLOOKUP(Calc!B4,Calc!$C$4:$N$21,7,0)))</f>
        <v>17</v>
      </c>
      <c r="Y9" s="66">
        <f>IF(Calc!$K$22=0,"",IF($Q9=0,"",VLOOKUP(Calc!B4,Calc!$C$4:$P$21,13,0)))</f>
        <v>7</v>
      </c>
      <c r="Z9" s="66">
        <f>IF(Calc!$K$22=0,"",IF($Q9=0,"",VLOOKUP(Calc!B4,Calc!$C$4:$P$21,14,0)))</f>
        <v>2</v>
      </c>
      <c r="AA9" s="67">
        <f>IF(Calc!$K$22=0,"",IF($Q9=0,"",VLOOKUP(Calc!B4,Calc!$C$4:$N$21,8,0)))</f>
        <v>16</v>
      </c>
      <c r="AB9" s="68" t="str">
        <f>IF(VLOOKUP(Calc!B4,Calc!$C$4:$Q$21,15,0)=0,"",VLOOKUP(Calc!B4,Calc!$C$4:$Q$21,15,0))</f>
        <v/>
      </c>
      <c r="AC9" t="str">
        <f>IF(IFERROR(VLOOKUP($P9,Plan!$D$7:$E$42,2,0),0)=0,IF(LEN(P9)&gt;Factors!$D$12,LEFT(P9,Factors!$D$12)&amp;".",P9),VLOOKUP($P9,Plan!$D$7:$E$42,2,0))</f>
        <v>FC Barc.</v>
      </c>
      <c r="AE9" s="215">
        <f>O9</f>
        <v>1</v>
      </c>
      <c r="AF9" s="216" t="str">
        <f>P9</f>
        <v>FC Barcelona</v>
      </c>
      <c r="AG9" s="409"/>
      <c r="AH9" s="410" t="str">
        <f>IFERROR(VLOOKUP($P9&amp;AH$8,Calc2!$J$4:$L$111,3,0),"")</f>
        <v/>
      </c>
      <c r="AI9" s="410" t="str">
        <f>IFERROR(VLOOKUP($P9&amp;AI$8,Calc2!$J$4:$L$111,3,0),"")</f>
        <v>1 : 1</v>
      </c>
      <c r="AJ9" s="410" t="str">
        <f>IFERROR(VLOOKUP($P9&amp;AJ$8,Calc2!$J$4:$L$111,3,0),"")</f>
        <v>7 : 1</v>
      </c>
      <c r="AK9" s="410" t="str">
        <f>IFERROR(VLOOKUP($P9&amp;AK$8,Calc2!$J$4:$L$111,3,0),"")</f>
        <v/>
      </c>
      <c r="AL9" s="410" t="str">
        <f>IFERROR(VLOOKUP($P9&amp;AL$8,Calc2!$J$4:$L$111,3,0),"")</f>
        <v/>
      </c>
      <c r="AM9" s="410" t="str">
        <f>IFERROR(VLOOKUP($P9&amp;AM$8,Calc2!$J$4:$L$111,3,0),"")</f>
        <v/>
      </c>
      <c r="AN9" s="410" t="str">
        <f>IFERROR(VLOOKUP($P9&amp;AN$8,Calc2!$J$4:$L$111,3,0),"")</f>
        <v/>
      </c>
      <c r="AO9" s="410" t="str">
        <f>IFERROR(VLOOKUP($P9&amp;AO$8,Calc2!$J$4:$L$111,3,0),"")</f>
        <v/>
      </c>
      <c r="AP9" s="410" t="str">
        <f>IFERROR(VLOOKUP($P9&amp;AP$8,Calc2!$J$4:$L$111,3,0),"")</f>
        <v>2 : 0</v>
      </c>
      <c r="AQ9" s="410" t="str">
        <f>IFERROR(VLOOKUP($P9&amp;AQ$8,Calc2!$J$4:$L$111,3,0),"")</f>
        <v/>
      </c>
      <c r="AR9" s="410" t="str">
        <f>IFERROR(VLOOKUP($P9&amp;AR$8,Calc2!$J$4:$L$111,3,0),"")</f>
        <v>3 : 0</v>
      </c>
      <c r="AS9" s="410" t="str">
        <f>IFERROR(VLOOKUP($P9&amp;AS$8,Calc2!$J$4:$L$111,3,0),"")</f>
        <v/>
      </c>
      <c r="AT9" s="410" t="str">
        <f>IFERROR(VLOOKUP($P9&amp;AT$8,Calc2!$J$4:$L$111,3,0),"")</f>
        <v>4 : 0</v>
      </c>
      <c r="AU9" s="410" t="str">
        <f>IFERROR(VLOOKUP($P9&amp;AU$8,Calc2!$J$4:$L$111,3,0),"")</f>
        <v/>
      </c>
      <c r="AV9" s="410" t="str">
        <f>IFERROR(VLOOKUP($P9&amp;AV$8,Calc2!$J$4:$L$111,3,0),"")</f>
        <v>3 : 1</v>
      </c>
      <c r="AW9" s="410" t="str">
        <f>IFERROR(VLOOKUP($P9&amp;AW$8,Calc2!$J$4:$L$111,3,0),"")</f>
        <v/>
      </c>
      <c r="AX9" s="411" t="str">
        <f>IFERROR(VLOOKUP($P9&amp;AX$8,Calc2!$J$4:$L$111,3,0),"")</f>
        <v/>
      </c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</row>
    <row r="10" spans="2:68" ht="15.75" x14ac:dyDescent="0.25">
      <c r="B10" s="23"/>
      <c r="C10" s="21">
        <v>2</v>
      </c>
      <c r="D10" s="488">
        <f>IF(Plan!$T8="","",Plan!$T8)</f>
        <v>45937</v>
      </c>
      <c r="E10" s="19">
        <f>IF(Plan!$U8="","",Plan!$U8)</f>
        <v>0.875</v>
      </c>
      <c r="F10" s="45" t="str">
        <f>Plan!$Q8</f>
        <v>Arsenal WFC</v>
      </c>
      <c r="G10" s="20" t="s">
        <v>170</v>
      </c>
      <c r="H10" s="45" t="str">
        <f>Plan!$S8</f>
        <v>OL Lyonnes</v>
      </c>
      <c r="I10" s="47">
        <v>1</v>
      </c>
      <c r="J10" s="34" t="str">
        <f>Language!$E$90</f>
        <v xml:space="preserve"> : </v>
      </c>
      <c r="K10" s="49">
        <v>2</v>
      </c>
      <c r="L10" s="25"/>
      <c r="M10" s="26"/>
      <c r="O10" s="57">
        <f>IF(Calc!$K$22=0,"",IF(VLOOKUP(Calc!B5,Calc!$C$4:$E$21,3,0)=MAX(O$9:O9),VLOOKUP(Calc!B5,Calc!$C$4:$E$21,3,0),Calc!B5))</f>
        <v>2</v>
      </c>
      <c r="P10" s="58" t="str">
        <f>IF(Calc!$K$22=0,Calc2!$C5,VLOOKUP(Calc!B5,Calc!$C$4:$N$21,4,0))</f>
        <v>OL Lyonnes</v>
      </c>
      <c r="Q10" s="59">
        <f>IF(Calc!$K$22=0,"",VLOOKUP(Calc!B5,Calc!$C$4:$N$21,9,0))</f>
        <v>6</v>
      </c>
      <c r="R10" s="60">
        <f>IF(Calc!$K$22=0,"",IF($Q10=0,"",VLOOKUP(Calc!B5,Calc!$C$4:$N$21,10,0)))</f>
        <v>5</v>
      </c>
      <c r="S10" s="60">
        <f>IF(Calc!$K$22=0,"",IF($Q10=0,"",VLOOKUP(Calc!B5,Calc!$C$4:$N$21,11,0)))</f>
        <v>1</v>
      </c>
      <c r="T10" s="61">
        <f>IF(Calc!$K$22=0,"",IF($Q10=0,"",VLOOKUP(Calc!B5,Calc!$C$4:$N$21,12,0)))</f>
        <v>0</v>
      </c>
      <c r="U10" s="62">
        <f>IF(Calc!$K$22=0,"",IF($Q10=0,"",VLOOKUP(Calc!B5,Calc!$C$4:$N$21,5,0)))</f>
        <v>18</v>
      </c>
      <c r="V10" s="63" t="str">
        <f>Language!$E$90</f>
        <v xml:space="preserve"> : </v>
      </c>
      <c r="W10" s="64">
        <f>IF(Calc!$K$22=0,"",IF($Q10=0,"",VLOOKUP(Calc!B5,Calc!$C$4:$N$21,6,0)))</f>
        <v>5</v>
      </c>
      <c r="X10" s="65">
        <f>IF(Calc!$K$22=0,"",IF($Q10=0,"",VLOOKUP(Calc!B5,Calc!$C$4:$N$21,7,0)))</f>
        <v>13</v>
      </c>
      <c r="Y10" s="66">
        <f>IF(Calc!$K$22=0,"",IF($Q10=0,"",VLOOKUP(Calc!B5,Calc!$C$4:$P$21,13,0)))</f>
        <v>8</v>
      </c>
      <c r="Z10" s="66">
        <f>IF(Calc!$K$22=0,"",IF($Q10=0,"",VLOOKUP(Calc!B5,Calc!$C$4:$P$21,14,0)))</f>
        <v>2</v>
      </c>
      <c r="AA10" s="67">
        <f>IF(Calc!$K$22=0,"",IF($Q10=0,"",VLOOKUP(Calc!B5,Calc!$C$4:$N$21,8,0)))</f>
        <v>16</v>
      </c>
      <c r="AB10" s="68" t="str">
        <f>IF(VLOOKUP(Calc!B5,Calc!$C$4:$Q$21,15,0)=0,"",VLOOKUP(Calc!B5,Calc!$C$4:$Q$21,15,0))</f>
        <v/>
      </c>
      <c r="AC10" t="str">
        <f>IF(IFERROR(VLOOKUP($P10,Plan!$D$7:$E$42,2,0),0)=0,IF(LEN(P10)&gt;Factors!$D$12,LEFT(P10,Factors!$D$12)&amp;".",P10),VLOOKUP($P10,Plan!$D$7:$E$42,2,0))</f>
        <v>OL Lyon.</v>
      </c>
      <c r="AE10" s="217">
        <f t="shared" ref="AE10:AF26" si="0">O10</f>
        <v>2</v>
      </c>
      <c r="AF10" s="218" t="str">
        <f t="shared" si="0"/>
        <v>OL Lyonnes</v>
      </c>
      <c r="AG10" s="412" t="str">
        <f>IFERROR(VLOOKUP($P10&amp;AG$8,Calc2!$J$4:$L$111,3,0),"")</f>
        <v/>
      </c>
      <c r="AH10" s="413"/>
      <c r="AI10" s="414" t="str">
        <f>IFERROR(VLOOKUP($P10&amp;AI$8,Calc2!$J$4:$L$111,3,0),"")</f>
        <v/>
      </c>
      <c r="AJ10" s="414" t="str">
        <f>IFERROR(VLOOKUP($P10&amp;AJ$8,Calc2!$J$4:$L$111,3,0),"")</f>
        <v/>
      </c>
      <c r="AK10" s="414" t="str">
        <f>IFERROR(VLOOKUP($P10&amp;AK$8,Calc2!$J$4:$L$111,3,0),"")</f>
        <v>2 : 1</v>
      </c>
      <c r="AL10" s="414" t="str">
        <f>IFERROR(VLOOKUP($P10&amp;AL$8,Calc2!$J$4:$L$111,3,0),"")</f>
        <v>3 : 0</v>
      </c>
      <c r="AM10" s="414" t="str">
        <f>IFERROR(VLOOKUP($P10&amp;AM$8,Calc2!$J$4:$L$111,3,0),"")</f>
        <v/>
      </c>
      <c r="AN10" s="414" t="str">
        <f>IFERROR(VLOOKUP($P10&amp;AN$8,Calc2!$J$4:$L$111,3,0),"")</f>
        <v>3 : 3</v>
      </c>
      <c r="AO10" s="414" t="str">
        <f>IFERROR(VLOOKUP($P10&amp;AO$8,Calc2!$J$4:$L$111,3,0),"")</f>
        <v>3 : 1</v>
      </c>
      <c r="AP10" s="414" t="str">
        <f>IFERROR(VLOOKUP($P10&amp;AP$8,Calc2!$J$4:$L$111,3,0),"")</f>
        <v/>
      </c>
      <c r="AQ10" s="414" t="str">
        <f>IFERROR(VLOOKUP($P10&amp;AQ$8,Calc2!$J$4:$L$111,3,0),"")</f>
        <v>4 : 0</v>
      </c>
      <c r="AR10" s="414" t="str">
        <f>IFERROR(VLOOKUP($P10&amp;AR$8,Calc2!$J$4:$L$111,3,0),"")</f>
        <v/>
      </c>
      <c r="AS10" s="414" t="str">
        <f>IFERROR(VLOOKUP($P10&amp;AS$8,Calc2!$J$4:$L$111,3,0),"")</f>
        <v/>
      </c>
      <c r="AT10" s="414" t="str">
        <f>IFERROR(VLOOKUP($P10&amp;AT$8,Calc2!$J$4:$L$111,3,0),"")</f>
        <v/>
      </c>
      <c r="AU10" s="414" t="str">
        <f>IFERROR(VLOOKUP($P10&amp;AU$8,Calc2!$J$4:$L$111,3,0),"")</f>
        <v/>
      </c>
      <c r="AV10" s="414" t="str">
        <f>IFERROR(VLOOKUP($P10&amp;AV$8,Calc2!$J$4:$L$111,3,0),"")</f>
        <v/>
      </c>
      <c r="AW10" s="414" t="str">
        <f>IFERROR(VLOOKUP($P10&amp;AW$8,Calc2!$J$4:$L$111,3,0),"")</f>
        <v/>
      </c>
      <c r="AX10" s="415" t="str">
        <f>IFERROR(VLOOKUP($P10&amp;AX$8,Calc2!$J$4:$L$111,3,0),"")</f>
        <v>3 : 0</v>
      </c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1"/>
      <c r="BN10" s="221"/>
      <c r="BO10" s="221"/>
      <c r="BP10" s="221"/>
    </row>
    <row r="11" spans="2:68" ht="15.75" x14ac:dyDescent="0.25">
      <c r="B11" s="23"/>
      <c r="C11" s="21">
        <v>3</v>
      </c>
      <c r="D11" s="488">
        <f>IF(Plan!$T9="","",Plan!$T9)</f>
        <v>45937</v>
      </c>
      <c r="E11" s="19">
        <f>IF(Plan!$U9="","",Plan!$U9)</f>
        <v>0.875</v>
      </c>
      <c r="F11" s="45" t="str">
        <f>Plan!$Q9</f>
        <v>FC Barcelona</v>
      </c>
      <c r="G11" s="20" t="s">
        <v>170</v>
      </c>
      <c r="H11" s="45" t="str">
        <f>Plan!$S9</f>
        <v>FC Bayern München</v>
      </c>
      <c r="I11" s="47">
        <v>7</v>
      </c>
      <c r="J11" s="34" t="str">
        <f>Language!$E$90</f>
        <v xml:space="preserve"> : </v>
      </c>
      <c r="K11" s="49">
        <v>1</v>
      </c>
      <c r="L11" s="25"/>
      <c r="M11" s="26"/>
      <c r="O11" s="57">
        <f>IF(Calc!$K$22=0,"",IF(VLOOKUP(Calc!B6,Calc!$C$4:$E$21,3,0)=MAX(O$9:O10),VLOOKUP(Calc!B6,Calc!$C$4:$E$21,3,0),Calc!B6))</f>
        <v>3</v>
      </c>
      <c r="P11" s="58" t="str">
        <f>IF(Calc!$K$22=0,Calc2!$C6,VLOOKUP(Calc!B6,Calc!$C$4:$N$21,4,0))</f>
        <v>Chelsea FC</v>
      </c>
      <c r="Q11" s="59">
        <f>IF(Calc!$K$22=0,"",VLOOKUP(Calc!B6,Calc!$C$4:$N$21,9,0))</f>
        <v>6</v>
      </c>
      <c r="R11" s="60">
        <f>IF(Calc!$K$22=0,"",IF($Q11=0,"",VLOOKUP(Calc!B6,Calc!$C$4:$N$21,10,0)))</f>
        <v>4</v>
      </c>
      <c r="S11" s="60">
        <f>IF(Calc!$K$22=0,"",IF($Q11=0,"",VLOOKUP(Calc!B6,Calc!$C$4:$N$21,11,0)))</f>
        <v>2</v>
      </c>
      <c r="T11" s="61">
        <f>IF(Calc!$K$22=0,"",IF($Q11=0,"",VLOOKUP(Calc!B6,Calc!$C$4:$N$21,12,0)))</f>
        <v>0</v>
      </c>
      <c r="U11" s="62">
        <f>IF(Calc!$K$22=0,"",IF($Q11=0,"",VLOOKUP(Calc!B6,Calc!$C$4:$N$21,5,0)))</f>
        <v>20</v>
      </c>
      <c r="V11" s="63" t="str">
        <f>Language!$E$90</f>
        <v xml:space="preserve"> : </v>
      </c>
      <c r="W11" s="64">
        <f>IF(Calc!$K$22=0,"",IF($Q11=0,"",VLOOKUP(Calc!B6,Calc!$C$4:$N$21,6,0)))</f>
        <v>3</v>
      </c>
      <c r="X11" s="65">
        <f>IF(Calc!$K$22=0,"",IF($Q11=0,"",VLOOKUP(Calc!B6,Calc!$C$4:$N$21,7,0)))</f>
        <v>17</v>
      </c>
      <c r="Y11" s="66">
        <f>IF(Calc!$K$22=0,"",IF($Q11=0,"",VLOOKUP(Calc!B6,Calc!$C$4:$P$21,13,0)))</f>
        <v>9</v>
      </c>
      <c r="Z11" s="66">
        <f>IF(Calc!$K$22=0,"",IF($Q11=0,"",VLOOKUP(Calc!B6,Calc!$C$4:$P$21,14,0)))</f>
        <v>2</v>
      </c>
      <c r="AA11" s="67">
        <f>IF(Calc!$K$22=0,"",IF($Q11=0,"",VLOOKUP(Calc!B6,Calc!$C$4:$N$21,8,0)))</f>
        <v>14</v>
      </c>
      <c r="AB11" s="68" t="str">
        <f>IF(VLOOKUP(Calc!B6,Calc!$C$4:$Q$21,15,0)=0,"",VLOOKUP(Calc!B6,Calc!$C$4:$Q$21,15,0))</f>
        <v/>
      </c>
      <c r="AC11" t="str">
        <f>IF(IFERROR(VLOOKUP($P11,Plan!$D$7:$E$42,2,0),0)=0,IF(LEN(P11)&gt;Factors!$D$12,LEFT(P11,Factors!$D$12)&amp;".",P11),VLOOKUP($P11,Plan!$D$7:$E$42,2,0))</f>
        <v>Chelsea.</v>
      </c>
      <c r="AE11" s="217">
        <f t="shared" si="0"/>
        <v>3</v>
      </c>
      <c r="AF11" s="218" t="str">
        <f t="shared" si="0"/>
        <v>Chelsea FC</v>
      </c>
      <c r="AG11" s="412" t="str">
        <f>IFERROR(VLOOKUP($P11&amp;AG$8,Calc2!$J$4:$L$111,3,0),"")</f>
        <v>1 : 1</v>
      </c>
      <c r="AH11" s="414" t="str">
        <f>IFERROR(VLOOKUP($P11&amp;AH$8,Calc2!$J$4:$L$111,3,0),"")</f>
        <v/>
      </c>
      <c r="AI11" s="413"/>
      <c r="AJ11" s="414" t="str">
        <f>IFERROR(VLOOKUP($P11&amp;AJ$8,Calc2!$J$4:$L$111,3,0),"")</f>
        <v/>
      </c>
      <c r="AK11" s="414" t="str">
        <f>IFERROR(VLOOKUP($P11&amp;AK$8,Calc2!$J$4:$L$111,3,0),"")</f>
        <v/>
      </c>
      <c r="AL11" s="414" t="str">
        <f>IFERROR(VLOOKUP($P11&amp;AL$8,Calc2!$J$4:$L$111,3,0),"")</f>
        <v/>
      </c>
      <c r="AM11" s="414" t="str">
        <f>IFERROR(VLOOKUP($P11&amp;AM$8,Calc2!$J$4:$L$111,3,0),"")</f>
        <v/>
      </c>
      <c r="AN11" s="414" t="str">
        <f>IFERROR(VLOOKUP($P11&amp;AN$8,Calc2!$J$4:$L$111,3,0),"")</f>
        <v/>
      </c>
      <c r="AO11" s="414" t="str">
        <f>IFERROR(VLOOKUP($P11&amp;AO$8,Calc2!$J$4:$L$111,3,0),"")</f>
        <v>2 : 1</v>
      </c>
      <c r="AP11" s="414" t="str">
        <f>IFERROR(VLOOKUP($P11&amp;AP$8,Calc2!$J$4:$L$111,3,0),"")</f>
        <v>4 : 0</v>
      </c>
      <c r="AQ11" s="414" t="str">
        <f>IFERROR(VLOOKUP($P11&amp;AQ$8,Calc2!$J$4:$L$111,3,0),"")</f>
        <v/>
      </c>
      <c r="AR11" s="414" t="str">
        <f>IFERROR(VLOOKUP($P11&amp;AR$8,Calc2!$J$4:$L$111,3,0),"")</f>
        <v/>
      </c>
      <c r="AS11" s="414" t="str">
        <f>IFERROR(VLOOKUP($P11&amp;AS$8,Calc2!$J$4:$L$111,3,0),"")</f>
        <v/>
      </c>
      <c r="AT11" s="414" t="str">
        <f>IFERROR(VLOOKUP($P11&amp;AT$8,Calc2!$J$4:$L$111,3,0),"")</f>
        <v>6 : 0</v>
      </c>
      <c r="AU11" s="414" t="str">
        <f>IFERROR(VLOOKUP($P11&amp;AU$8,Calc2!$J$4:$L$111,3,0),"")</f>
        <v>1 : 1</v>
      </c>
      <c r="AV11" s="414" t="str">
        <f>IFERROR(VLOOKUP($P11&amp;AV$8,Calc2!$J$4:$L$111,3,0),"")</f>
        <v/>
      </c>
      <c r="AW11" s="414" t="str">
        <f>IFERROR(VLOOKUP($P11&amp;AW$8,Calc2!$J$4:$L$111,3,0),"")</f>
        <v/>
      </c>
      <c r="AX11" s="415" t="str">
        <f>IFERROR(VLOOKUP($P11&amp;AX$8,Calc2!$J$4:$L$111,3,0),"")</f>
        <v>6 : 0</v>
      </c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1"/>
      <c r="BN11" s="221"/>
      <c r="BO11" s="221"/>
      <c r="BP11" s="221"/>
    </row>
    <row r="12" spans="2:68" ht="15.75" x14ac:dyDescent="0.25">
      <c r="B12" s="23"/>
      <c r="C12" s="21">
        <v>4</v>
      </c>
      <c r="D12" s="488">
        <f>IF(Plan!$T10="","",Plan!$T10)</f>
        <v>45937</v>
      </c>
      <c r="E12" s="19">
        <f>IF(Plan!$U10="","",Plan!$U10)</f>
        <v>0.875</v>
      </c>
      <c r="F12" s="45" t="str">
        <f>Plan!$Q10</f>
        <v>Paris FC</v>
      </c>
      <c r="G12" s="20" t="s">
        <v>170</v>
      </c>
      <c r="H12" s="45" t="str">
        <f>Plan!$S10</f>
        <v>Oud-Heverlee Leuven</v>
      </c>
      <c r="I12" s="47">
        <v>2</v>
      </c>
      <c r="J12" s="34" t="str">
        <f>Language!$E$90</f>
        <v xml:space="preserve"> : </v>
      </c>
      <c r="K12" s="49">
        <v>2</v>
      </c>
      <c r="L12" s="25"/>
      <c r="M12" s="26"/>
      <c r="O12" s="57">
        <f>IF(Calc!$K$22=0,"",IF(VLOOKUP(Calc!B7,Calc!$C$4:$E$21,3,0)=MAX(O$9:O11),VLOOKUP(Calc!B7,Calc!$C$4:$E$21,3,0),Calc!B7))</f>
        <v>4</v>
      </c>
      <c r="P12" s="58" t="str">
        <f>IF(Calc!$K$22=0,Calc2!$C7,VLOOKUP(Calc!B7,Calc!$C$4:$N$21,4,0))</f>
        <v>FC Bayern München</v>
      </c>
      <c r="Q12" s="59">
        <f>IF(Calc!$K$22=0,"",VLOOKUP(Calc!B7,Calc!$C$4:$N$21,9,0))</f>
        <v>6</v>
      </c>
      <c r="R12" s="60">
        <f>IF(Calc!$K$22=0,"",IF($Q12=0,"",VLOOKUP(Calc!B7,Calc!$C$4:$N$21,10,0)))</f>
        <v>4</v>
      </c>
      <c r="S12" s="60">
        <f>IF(Calc!$K$22=0,"",IF($Q12=0,"",VLOOKUP(Calc!B7,Calc!$C$4:$N$21,11,0)))</f>
        <v>1</v>
      </c>
      <c r="T12" s="61">
        <f>IF(Calc!$K$22=0,"",IF($Q12=0,"",VLOOKUP(Calc!B7,Calc!$C$4:$N$21,12,0)))</f>
        <v>1</v>
      </c>
      <c r="U12" s="62">
        <f>IF(Calc!$K$22=0,"",IF($Q12=0,"",VLOOKUP(Calc!B7,Calc!$C$4:$N$21,5,0)))</f>
        <v>14</v>
      </c>
      <c r="V12" s="63" t="str">
        <f>Language!$E$90</f>
        <v xml:space="preserve"> : </v>
      </c>
      <c r="W12" s="64">
        <f>IF(Calc!$K$22=0,"",IF($Q12=0,"",VLOOKUP(Calc!B7,Calc!$C$4:$N$21,6,0)))</f>
        <v>13</v>
      </c>
      <c r="X12" s="65">
        <f>IF(Calc!$K$22=0,"",IF($Q12=0,"",VLOOKUP(Calc!B7,Calc!$C$4:$N$21,7,0)))</f>
        <v>1</v>
      </c>
      <c r="Y12" s="66">
        <f>IF(Calc!$K$22=0,"",IF($Q12=0,"",VLOOKUP(Calc!B7,Calc!$C$4:$P$21,13,0)))</f>
        <v>6</v>
      </c>
      <c r="Z12" s="66">
        <f>IF(Calc!$K$22=0,"",IF($Q12=0,"",VLOOKUP(Calc!B7,Calc!$C$4:$P$21,14,0)))</f>
        <v>1</v>
      </c>
      <c r="AA12" s="67">
        <f>IF(Calc!$K$22=0,"",IF($Q12=0,"",VLOOKUP(Calc!B7,Calc!$C$4:$N$21,8,0)))</f>
        <v>13</v>
      </c>
      <c r="AB12" s="68" t="str">
        <f>IF(VLOOKUP(Calc!B7,Calc!$C$4:$Q$21,15,0)=0,"",VLOOKUP(Calc!B7,Calc!$C$4:$Q$21,15,0))</f>
        <v/>
      </c>
      <c r="AC12" t="str">
        <f>IF(IFERROR(VLOOKUP($P12,Plan!$D$7:$E$42,2,0),0)=0,IF(LEN(P12)&gt;Factors!$D$12,LEFT(P12,Factors!$D$12)&amp;".",P12),VLOOKUP($P12,Plan!$D$7:$E$42,2,0))</f>
        <v>FC Baye.</v>
      </c>
      <c r="AE12" s="217">
        <f t="shared" si="0"/>
        <v>4</v>
      </c>
      <c r="AF12" s="218" t="str">
        <f t="shared" si="0"/>
        <v>FC Bayern München</v>
      </c>
      <c r="AG12" s="412" t="str">
        <f>IFERROR(VLOOKUP($P12&amp;AG$8,Calc2!$J$4:$L$111,3,0),"")</f>
        <v>1 : 7</v>
      </c>
      <c r="AH12" s="414" t="str">
        <f>IFERROR(VLOOKUP($P12&amp;AH$8,Calc2!$J$4:$L$111,3,0),"")</f>
        <v/>
      </c>
      <c r="AI12" s="414" t="str">
        <f>IFERROR(VLOOKUP($P12&amp;AI$8,Calc2!$J$4:$L$111,3,0),"")</f>
        <v/>
      </c>
      <c r="AJ12" s="413"/>
      <c r="AK12" s="414" t="str">
        <f>IFERROR(VLOOKUP($P12&amp;AK$8,Calc2!$J$4:$L$111,3,0),"")</f>
        <v>3 : 2</v>
      </c>
      <c r="AL12" s="414" t="str">
        <f>IFERROR(VLOOKUP($P12&amp;AL$8,Calc2!$J$4:$L$111,3,0),"")</f>
        <v/>
      </c>
      <c r="AM12" s="414" t="str">
        <f>IFERROR(VLOOKUP($P12&amp;AM$8,Calc2!$J$4:$L$111,3,0),"")</f>
        <v/>
      </c>
      <c r="AN12" s="414" t="str">
        <f>IFERROR(VLOOKUP($P12&amp;AN$8,Calc2!$J$4:$L$111,3,0),"")</f>
        <v>2 : 1</v>
      </c>
      <c r="AO12" s="414" t="str">
        <f>IFERROR(VLOOKUP($P12&amp;AO$8,Calc2!$J$4:$L$111,3,0),"")</f>
        <v/>
      </c>
      <c r="AP12" s="414" t="str">
        <f>IFERROR(VLOOKUP($P12&amp;AP$8,Calc2!$J$4:$L$111,3,0),"")</f>
        <v/>
      </c>
      <c r="AQ12" s="414" t="str">
        <f>IFERROR(VLOOKUP($P12&amp;AQ$8,Calc2!$J$4:$L$111,3,0),"")</f>
        <v>2 : 2</v>
      </c>
      <c r="AR12" s="414" t="str">
        <f>IFERROR(VLOOKUP($P12&amp;AR$8,Calc2!$J$4:$L$111,3,0),"")</f>
        <v/>
      </c>
      <c r="AS12" s="414" t="str">
        <f>IFERROR(VLOOKUP($P12&amp;AS$8,Calc2!$J$4:$L$111,3,0),"")</f>
        <v>3 : 0</v>
      </c>
      <c r="AT12" s="414" t="str">
        <f>IFERROR(VLOOKUP($P12&amp;AT$8,Calc2!$J$4:$L$111,3,0),"")</f>
        <v/>
      </c>
      <c r="AU12" s="414" t="str">
        <f>IFERROR(VLOOKUP($P12&amp;AU$8,Calc2!$J$4:$L$111,3,0),"")</f>
        <v/>
      </c>
      <c r="AV12" s="414" t="str">
        <f>IFERROR(VLOOKUP($P12&amp;AV$8,Calc2!$J$4:$L$111,3,0),"")</f>
        <v/>
      </c>
      <c r="AW12" s="414" t="str">
        <f>IFERROR(VLOOKUP($P12&amp;AW$8,Calc2!$J$4:$L$111,3,0),"")</f>
        <v>3 : 1</v>
      </c>
      <c r="AX12" s="415" t="str">
        <f>IFERROR(VLOOKUP($P12&amp;AX$8,Calc2!$J$4:$L$111,3,0),"")</f>
        <v/>
      </c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1"/>
      <c r="BN12" s="221"/>
      <c r="BO12" s="221"/>
      <c r="BP12" s="221"/>
    </row>
    <row r="13" spans="2:68" ht="15.75" x14ac:dyDescent="0.25">
      <c r="B13" s="23"/>
      <c r="C13" s="21">
        <v>5</v>
      </c>
      <c r="D13" s="488">
        <f>IF(Plan!$T11="","",Plan!$T11)</f>
        <v>45938</v>
      </c>
      <c r="E13" s="19">
        <f>IF(Plan!$U11="","",Plan!$U11)</f>
        <v>0.78125</v>
      </c>
      <c r="F13" s="45" t="str">
        <f>Plan!$Q11</f>
        <v>FC Twente</v>
      </c>
      <c r="G13" s="20" t="s">
        <v>170</v>
      </c>
      <c r="H13" s="45" t="str">
        <f>Plan!$S11</f>
        <v>Chelsea FC</v>
      </c>
      <c r="I13" s="47">
        <v>1</v>
      </c>
      <c r="J13" s="34" t="str">
        <f>Language!$E$90</f>
        <v xml:space="preserve"> : </v>
      </c>
      <c r="K13" s="49">
        <v>1</v>
      </c>
      <c r="L13" s="25"/>
      <c r="M13" s="26"/>
      <c r="O13" s="250">
        <f>IF(Calc!$K$22=0,"",IF(VLOOKUP(Calc!B8,Calc!$C$4:$E$21,3,0)=MAX(O$9:O12),VLOOKUP(Calc!B8,Calc!$C$4:$E$21,3,0),Calc!B8))</f>
        <v>5</v>
      </c>
      <c r="P13" s="251" t="str">
        <f>IF(Calc!$K$22=0,Calc2!$C8,VLOOKUP(Calc!B8,Calc!$C$4:$N$21,4,0))</f>
        <v>Arsenal WFC</v>
      </c>
      <c r="Q13" s="252">
        <f>IF(Calc!$K$22=0,"",VLOOKUP(Calc!B8,Calc!$C$4:$N$21,9,0))</f>
        <v>6</v>
      </c>
      <c r="R13" s="253">
        <f>IF(Calc!$K$22=0,"",IF($Q13=0,"",VLOOKUP(Calc!B8,Calc!$C$4:$N$21,10,0)))</f>
        <v>4</v>
      </c>
      <c r="S13" s="253">
        <f>IF(Calc!$K$22=0,"",IF($Q13=0,"",VLOOKUP(Calc!B8,Calc!$C$4:$N$21,11,0)))</f>
        <v>0</v>
      </c>
      <c r="T13" s="254">
        <f>IF(Calc!$K$22=0,"",IF($Q13=0,"",VLOOKUP(Calc!B8,Calc!$C$4:$N$21,12,0)))</f>
        <v>2</v>
      </c>
      <c r="U13" s="255">
        <f>IF(Calc!$K$22=0,"",IF($Q13=0,"",VLOOKUP(Calc!B8,Calc!$C$4:$N$21,5,0)))</f>
        <v>11</v>
      </c>
      <c r="V13" s="256" t="str">
        <f>Language!$E$90</f>
        <v xml:space="preserve"> : </v>
      </c>
      <c r="W13" s="257">
        <f>IF(Calc!$K$22=0,"",IF($Q13=0,"",VLOOKUP(Calc!B8,Calc!$C$4:$N$21,6,0)))</f>
        <v>6</v>
      </c>
      <c r="X13" s="258">
        <f>IF(Calc!$K$22=0,"",IF($Q13=0,"",VLOOKUP(Calc!B8,Calc!$C$4:$N$21,7,0)))</f>
        <v>5</v>
      </c>
      <c r="Y13" s="259">
        <f>IF(Calc!$K$22=0,"",IF($Q13=0,"",VLOOKUP(Calc!B8,Calc!$C$4:$P$21,13,0)))</f>
        <v>7</v>
      </c>
      <c r="Z13" s="259">
        <f>IF(Calc!$K$22=0,"",IF($Q13=0,"",VLOOKUP(Calc!B8,Calc!$C$4:$P$21,14,0)))</f>
        <v>2</v>
      </c>
      <c r="AA13" s="260">
        <f>IF(Calc!$K$22=0,"",IF($Q13=0,"",VLOOKUP(Calc!B8,Calc!$C$4:$N$21,8,0)))</f>
        <v>12</v>
      </c>
      <c r="AB13" s="68" t="str">
        <f>IF(VLOOKUP(Calc!B8,Calc!$C$4:$Q$21,15,0)=0,"",VLOOKUP(Calc!B8,Calc!$C$4:$Q$21,15,0))</f>
        <v/>
      </c>
      <c r="AC13" t="str">
        <f>IF(IFERROR(VLOOKUP($P13,Plan!$D$7:$E$42,2,0),0)=0,IF(LEN(P13)&gt;Factors!$D$12,LEFT(P13,Factors!$D$12)&amp;".",P13),VLOOKUP($P13,Plan!$D$7:$E$42,2,0))</f>
        <v>Arsenal.</v>
      </c>
      <c r="AE13" s="217">
        <f t="shared" si="0"/>
        <v>5</v>
      </c>
      <c r="AF13" s="218" t="str">
        <f t="shared" si="0"/>
        <v>Arsenal WFC</v>
      </c>
      <c r="AG13" s="412" t="str">
        <f>IFERROR(VLOOKUP($P13&amp;AG$8,Calc2!$J$4:$L$111,3,0),"")</f>
        <v/>
      </c>
      <c r="AH13" s="414" t="str">
        <f>IFERROR(VLOOKUP($P13&amp;AH$8,Calc2!$J$4:$L$111,3,0),"")</f>
        <v>1 : 2</v>
      </c>
      <c r="AI13" s="414" t="str">
        <f>IFERROR(VLOOKUP($P13&amp;AI$8,Calc2!$J$4:$L$111,3,0),"")</f>
        <v/>
      </c>
      <c r="AJ13" s="414" t="str">
        <f>IFERROR(VLOOKUP($P13&amp;AJ$8,Calc2!$J$4:$L$111,3,0),"")</f>
        <v>2 : 3</v>
      </c>
      <c r="AK13" s="413"/>
      <c r="AL13" s="414" t="str">
        <f>IFERROR(VLOOKUP($P13&amp;AL$8,Calc2!$J$4:$L$111,3,0),"")</f>
        <v/>
      </c>
      <c r="AM13" s="414" t="str">
        <f>IFERROR(VLOOKUP($P13&amp;AM$8,Calc2!$J$4:$L$111,3,0),"")</f>
        <v>2 : 1</v>
      </c>
      <c r="AN13" s="414" t="str">
        <f>IFERROR(VLOOKUP($P13&amp;AN$8,Calc2!$J$4:$L$111,3,0),"")</f>
        <v/>
      </c>
      <c r="AO13" s="414" t="str">
        <f>IFERROR(VLOOKUP($P13&amp;AO$8,Calc2!$J$4:$L$111,3,0),"")</f>
        <v/>
      </c>
      <c r="AP13" s="414" t="str">
        <f>IFERROR(VLOOKUP($P13&amp;AP$8,Calc2!$J$4:$L$111,3,0),"")</f>
        <v/>
      </c>
      <c r="AQ13" s="414" t="str">
        <f>IFERROR(VLOOKUP($P13&amp;AQ$8,Calc2!$J$4:$L$111,3,0),"")</f>
        <v/>
      </c>
      <c r="AR13" s="414" t="str">
        <f>IFERROR(VLOOKUP($P13&amp;AR$8,Calc2!$J$4:$L$111,3,0),"")</f>
        <v>3 : 0</v>
      </c>
      <c r="AS13" s="414" t="str">
        <f>IFERROR(VLOOKUP($P13&amp;AS$8,Calc2!$J$4:$L$111,3,0),"")</f>
        <v/>
      </c>
      <c r="AT13" s="414" t="str">
        <f>IFERROR(VLOOKUP($P13&amp;AT$8,Calc2!$J$4:$L$111,3,0),"")</f>
        <v/>
      </c>
      <c r="AU13" s="414" t="str">
        <f>IFERROR(VLOOKUP($P13&amp;AU$8,Calc2!$J$4:$L$111,3,0),"")</f>
        <v>1 : 0</v>
      </c>
      <c r="AV13" s="414" t="str">
        <f>IFERROR(VLOOKUP($P13&amp;AV$8,Calc2!$J$4:$L$111,3,0),"")</f>
        <v>2 : 0</v>
      </c>
      <c r="AW13" s="414" t="str">
        <f>IFERROR(VLOOKUP($P13&amp;AW$8,Calc2!$J$4:$L$111,3,0),"")</f>
        <v/>
      </c>
      <c r="AX13" s="415" t="str">
        <f>IFERROR(VLOOKUP($P13&amp;AX$8,Calc2!$J$4:$L$111,3,0),"")</f>
        <v/>
      </c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1"/>
      <c r="BN13" s="221"/>
      <c r="BO13" s="221"/>
      <c r="BP13" s="221"/>
    </row>
    <row r="14" spans="2:68" ht="15.75" x14ac:dyDescent="0.25">
      <c r="B14" s="23"/>
      <c r="C14" s="21">
        <v>6</v>
      </c>
      <c r="D14" s="488">
        <f>IF(Plan!$T12="","",Plan!$T12)</f>
        <v>45938</v>
      </c>
      <c r="E14" s="19">
        <f>IF(Plan!$U12="","",Plan!$U12)</f>
        <v>0.78125</v>
      </c>
      <c r="F14" s="45" t="str">
        <f>Plan!$Q12</f>
        <v>Real Madrid</v>
      </c>
      <c r="G14" s="20" t="s">
        <v>170</v>
      </c>
      <c r="H14" s="45" t="str">
        <f>Plan!$S12</f>
        <v>AS Rom</v>
      </c>
      <c r="I14" s="47">
        <v>6</v>
      </c>
      <c r="J14" s="34" t="str">
        <f>Language!$E$90</f>
        <v xml:space="preserve"> : </v>
      </c>
      <c r="K14" s="49">
        <v>2</v>
      </c>
      <c r="L14" s="25"/>
      <c r="M14" s="26"/>
      <c r="O14" s="250">
        <f>IF(Calc!$K$22=0,"",IF(VLOOKUP(Calc!B9,Calc!$C$4:$E$21,3,0)=MAX(O$9:O13),VLOOKUP(Calc!B9,Calc!$C$4:$E$21,3,0),Calc!B9))</f>
        <v>6</v>
      </c>
      <c r="P14" s="251" t="str">
        <f>IF(Calc!$K$22=0,Calc2!$C9,VLOOKUP(Calc!B9,Calc!$C$4:$N$21,4,0))</f>
        <v>Manchester United</v>
      </c>
      <c r="Q14" s="252">
        <f>IF(Calc!$K$22=0,"",VLOOKUP(Calc!B9,Calc!$C$4:$N$21,9,0))</f>
        <v>6</v>
      </c>
      <c r="R14" s="253">
        <f>IF(Calc!$K$22=0,"",IF($Q14=0,"",VLOOKUP(Calc!B9,Calc!$C$4:$N$21,10,0)))</f>
        <v>4</v>
      </c>
      <c r="S14" s="253">
        <f>IF(Calc!$K$22=0,"",IF($Q14=0,"",VLOOKUP(Calc!B9,Calc!$C$4:$N$21,11,0)))</f>
        <v>0</v>
      </c>
      <c r="T14" s="254">
        <f>IF(Calc!$K$22=0,"",IF($Q14=0,"",VLOOKUP(Calc!B9,Calc!$C$4:$N$21,12,0)))</f>
        <v>2</v>
      </c>
      <c r="U14" s="255">
        <f>IF(Calc!$K$22=0,"",IF($Q14=0,"",VLOOKUP(Calc!B9,Calc!$C$4:$N$21,5,0)))</f>
        <v>7</v>
      </c>
      <c r="V14" s="256" t="str">
        <f>Language!$E$90</f>
        <v xml:space="preserve"> : </v>
      </c>
      <c r="W14" s="257">
        <f>IF(Calc!$K$22=0,"",IF($Q14=0,"",VLOOKUP(Calc!B9,Calc!$C$4:$N$21,6,0)))</f>
        <v>9</v>
      </c>
      <c r="X14" s="258">
        <f>IF(Calc!$K$22=0,"",IF($Q14=0,"",VLOOKUP(Calc!B9,Calc!$C$4:$N$21,7,0)))</f>
        <v>-2</v>
      </c>
      <c r="Y14" s="259">
        <f>IF(Calc!$K$22=0,"",IF($Q14=0,"",VLOOKUP(Calc!B9,Calc!$C$4:$P$21,13,0)))</f>
        <v>4</v>
      </c>
      <c r="Z14" s="259">
        <f>IF(Calc!$K$22=0,"",IF($Q14=0,"",VLOOKUP(Calc!B9,Calc!$C$4:$P$21,14,0)))</f>
        <v>2</v>
      </c>
      <c r="AA14" s="260">
        <f>IF(Calc!$K$22=0,"",IF($Q14=0,"",VLOOKUP(Calc!B9,Calc!$C$4:$N$21,8,0)))</f>
        <v>12</v>
      </c>
      <c r="AB14" s="68" t="str">
        <f>IF(VLOOKUP(Calc!B9,Calc!$C$4:$Q$21,15,0)=0,"",VLOOKUP(Calc!B9,Calc!$C$4:$Q$21,15,0))</f>
        <v/>
      </c>
      <c r="AC14" t="str">
        <f>IF(IFERROR(VLOOKUP($P14,Plan!$D$7:$E$42,2,0),0)=0,IF(LEN(P14)&gt;Factors!$D$12,LEFT(P14,Factors!$D$12)&amp;".",P14),VLOOKUP($P14,Plan!$D$7:$E$42,2,0))</f>
        <v>Manches.</v>
      </c>
      <c r="AE14" s="217">
        <f t="shared" si="0"/>
        <v>6</v>
      </c>
      <c r="AF14" s="218" t="str">
        <f t="shared" si="0"/>
        <v>Manchester United</v>
      </c>
      <c r="AG14" s="412" t="str">
        <f>IFERROR(VLOOKUP($P14&amp;AG$8,Calc2!$J$4:$L$111,3,0),"")</f>
        <v/>
      </c>
      <c r="AH14" s="414" t="str">
        <f>IFERROR(VLOOKUP($P14&amp;AH$8,Calc2!$J$4:$L$111,3,0),"")</f>
        <v>0 : 3</v>
      </c>
      <c r="AI14" s="414" t="str">
        <f>IFERROR(VLOOKUP($P14&amp;AI$8,Calc2!$J$4:$L$111,3,0),"")</f>
        <v/>
      </c>
      <c r="AJ14" s="414" t="str">
        <f>IFERROR(VLOOKUP($P14&amp;AJ$8,Calc2!$J$4:$L$111,3,0),"")</f>
        <v/>
      </c>
      <c r="AK14" s="414" t="str">
        <f>IFERROR(VLOOKUP($P14&amp;AK$8,Calc2!$J$4:$L$111,3,0),"")</f>
        <v/>
      </c>
      <c r="AL14" s="413"/>
      <c r="AM14" s="414" t="str">
        <f>IFERROR(VLOOKUP($P14&amp;AM$8,Calc2!$J$4:$L$111,3,0),"")</f>
        <v/>
      </c>
      <c r="AN14" s="414" t="str">
        <f>IFERROR(VLOOKUP($P14&amp;AN$8,Calc2!$J$4:$L$111,3,0),"")</f>
        <v>1 : 0</v>
      </c>
      <c r="AO14" s="414" t="str">
        <f>IFERROR(VLOOKUP($P14&amp;AO$8,Calc2!$J$4:$L$111,3,0),"")</f>
        <v>2 : 5</v>
      </c>
      <c r="AP14" s="414" t="str">
        <f>IFERROR(VLOOKUP($P14&amp;AP$8,Calc2!$J$4:$L$111,3,0),"")</f>
        <v/>
      </c>
      <c r="AQ14" s="414" t="str">
        <f>IFERROR(VLOOKUP($P14&amp;AQ$8,Calc2!$J$4:$L$111,3,0),"")</f>
        <v>1 : 0</v>
      </c>
      <c r="AR14" s="414" t="str">
        <f>IFERROR(VLOOKUP($P14&amp;AR$8,Calc2!$J$4:$L$111,3,0),"")</f>
        <v/>
      </c>
      <c r="AS14" s="414" t="str">
        <f>IFERROR(VLOOKUP($P14&amp;AS$8,Calc2!$J$4:$L$111,3,0),"")</f>
        <v>1 : 0</v>
      </c>
      <c r="AT14" s="414" t="str">
        <f>IFERROR(VLOOKUP($P14&amp;AT$8,Calc2!$J$4:$L$111,3,0),"")</f>
        <v/>
      </c>
      <c r="AU14" s="414" t="str">
        <f>IFERROR(VLOOKUP($P14&amp;AU$8,Calc2!$J$4:$L$111,3,0),"")</f>
        <v/>
      </c>
      <c r="AV14" s="414" t="str">
        <f>IFERROR(VLOOKUP($P14&amp;AV$8,Calc2!$J$4:$L$111,3,0),"")</f>
        <v/>
      </c>
      <c r="AW14" s="414" t="str">
        <f>IFERROR(VLOOKUP($P14&amp;AW$8,Calc2!$J$4:$L$111,3,0),"")</f>
        <v>2 : 1</v>
      </c>
      <c r="AX14" s="415" t="str">
        <f>IFERROR(VLOOKUP($P14&amp;AX$8,Calc2!$J$4:$L$111,3,0),"")</f>
        <v/>
      </c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1"/>
      <c r="BN14" s="221"/>
      <c r="BO14" s="221"/>
      <c r="BP14" s="221"/>
    </row>
    <row r="15" spans="2:68" ht="15.75" x14ac:dyDescent="0.25">
      <c r="B15" s="23"/>
      <c r="C15" s="21">
        <v>7</v>
      </c>
      <c r="D15" s="488">
        <f>IF(Plan!$T13="","",Plan!$T13)</f>
        <v>45938</v>
      </c>
      <c r="E15" s="19">
        <f>IF(Plan!$U13="","",Plan!$U13)</f>
        <v>0.875</v>
      </c>
      <c r="F15" s="45" t="str">
        <f>Plan!$Q13</f>
        <v>VfL Wolfsburg</v>
      </c>
      <c r="G15" s="20" t="s">
        <v>170</v>
      </c>
      <c r="H15" s="45" t="str">
        <f>Plan!$S13</f>
        <v>Paris St. Germain</v>
      </c>
      <c r="I15" s="47">
        <v>4</v>
      </c>
      <c r="J15" s="34" t="str">
        <f>Language!$E$90</f>
        <v xml:space="preserve"> : </v>
      </c>
      <c r="K15" s="49">
        <v>0</v>
      </c>
      <c r="L15" s="25"/>
      <c r="M15" s="26"/>
      <c r="O15" s="250">
        <f>IF(Calc!$K$22=0,"",IF(VLOOKUP(Calc!B10,Calc!$C$4:$E$21,3,0)=MAX(O$9:O14),VLOOKUP(Calc!B10,Calc!$C$4:$E$21,3,0),Calc!B10))</f>
        <v>7</v>
      </c>
      <c r="P15" s="251" t="str">
        <f>IF(Calc!$K$22=0,Calc2!$C10,VLOOKUP(Calc!B10,Calc!$C$4:$N$21,4,0))</f>
        <v>Real Madrid</v>
      </c>
      <c r="Q15" s="252">
        <f>IF(Calc!$K$22=0,"",VLOOKUP(Calc!B10,Calc!$C$4:$N$21,9,0))</f>
        <v>6</v>
      </c>
      <c r="R15" s="253">
        <f>IF(Calc!$K$22=0,"",IF($Q15=0,"",VLOOKUP(Calc!B10,Calc!$C$4:$N$21,10,0)))</f>
        <v>3</v>
      </c>
      <c r="S15" s="253">
        <f>IF(Calc!$K$22=0,"",IF($Q15=0,"",VLOOKUP(Calc!B10,Calc!$C$4:$N$21,11,0)))</f>
        <v>2</v>
      </c>
      <c r="T15" s="254">
        <f>IF(Calc!$K$22=0,"",IF($Q15=0,"",VLOOKUP(Calc!B10,Calc!$C$4:$N$21,12,0)))</f>
        <v>1</v>
      </c>
      <c r="U15" s="255">
        <f>IF(Calc!$K$22=0,"",IF($Q15=0,"",VLOOKUP(Calc!B10,Calc!$C$4:$N$21,5,0)))</f>
        <v>13</v>
      </c>
      <c r="V15" s="256" t="str">
        <f>Language!$E$90</f>
        <v xml:space="preserve"> : </v>
      </c>
      <c r="W15" s="257">
        <f>IF(Calc!$K$22=0,"",IF($Q15=0,"",VLOOKUP(Calc!B10,Calc!$C$4:$N$21,6,0)))</f>
        <v>7</v>
      </c>
      <c r="X15" s="258">
        <f>IF(Calc!$K$22=0,"",IF($Q15=0,"",VLOOKUP(Calc!B10,Calc!$C$4:$N$21,7,0)))</f>
        <v>6</v>
      </c>
      <c r="Y15" s="259">
        <f>IF(Calc!$K$22=0,"",IF($Q15=0,"",VLOOKUP(Calc!B10,Calc!$C$4:$P$21,13,0)))</f>
        <v>4</v>
      </c>
      <c r="Z15" s="259">
        <f>IF(Calc!$K$22=0,"",IF($Q15=0,"",VLOOKUP(Calc!B10,Calc!$C$4:$P$21,14,0)))</f>
        <v>1</v>
      </c>
      <c r="AA15" s="260">
        <f>IF(Calc!$K$22=0,"",IF($Q15=0,"",VLOOKUP(Calc!B10,Calc!$C$4:$N$21,8,0)))</f>
        <v>11</v>
      </c>
      <c r="AB15" s="68" t="str">
        <f>IF(VLOOKUP(Calc!B10,Calc!$C$4:$Q$21,15,0)=0,"",VLOOKUP(Calc!B10,Calc!$C$4:$Q$21,15,0))</f>
        <v/>
      </c>
      <c r="AC15" t="str">
        <f>IF(IFERROR(VLOOKUP($P15,Plan!$D$7:$E$42,2,0),0)=0,IF(LEN(P15)&gt;Factors!$D$12,LEFT(P15,Factors!$D$12)&amp;".",P15),VLOOKUP($P15,Plan!$D$7:$E$42,2,0))</f>
        <v>Real Ma.</v>
      </c>
      <c r="AE15" s="217">
        <f t="shared" si="0"/>
        <v>7</v>
      </c>
      <c r="AF15" s="218" t="str">
        <f t="shared" si="0"/>
        <v>Real Madrid</v>
      </c>
      <c r="AG15" s="412" t="str">
        <f>IFERROR(VLOOKUP($P15&amp;AG$8,Calc2!$J$4:$L$111,3,0),"")</f>
        <v/>
      </c>
      <c r="AH15" s="414" t="str">
        <f>IFERROR(VLOOKUP($P15&amp;AH$8,Calc2!$J$4:$L$111,3,0),"")</f>
        <v/>
      </c>
      <c r="AI15" s="414" t="str">
        <f>IFERROR(VLOOKUP($P15&amp;AI$8,Calc2!$J$4:$L$111,3,0),"")</f>
        <v/>
      </c>
      <c r="AJ15" s="414" t="str">
        <f>IFERROR(VLOOKUP($P15&amp;AJ$8,Calc2!$J$4:$L$111,3,0),"")</f>
        <v/>
      </c>
      <c r="AK15" s="414" t="str">
        <f>IFERROR(VLOOKUP($P15&amp;AK$8,Calc2!$J$4:$L$111,3,0),"")</f>
        <v>1 : 2</v>
      </c>
      <c r="AL15" s="414" t="str">
        <f>IFERROR(VLOOKUP($P15&amp;AL$8,Calc2!$J$4:$L$111,3,0),"")</f>
        <v/>
      </c>
      <c r="AM15" s="413"/>
      <c r="AN15" s="414" t="str">
        <f>IFERROR(VLOOKUP($P15&amp;AN$8,Calc2!$J$4:$L$111,3,0),"")</f>
        <v/>
      </c>
      <c r="AO15" s="414" t="str">
        <f>IFERROR(VLOOKUP($P15&amp;AO$8,Calc2!$J$4:$L$111,3,0),"")</f>
        <v>2 : 0</v>
      </c>
      <c r="AP15" s="414" t="str">
        <f>IFERROR(VLOOKUP($P15&amp;AP$8,Calc2!$J$4:$L$111,3,0),"")</f>
        <v>1 : 1</v>
      </c>
      <c r="AQ15" s="414" t="str">
        <f>IFERROR(VLOOKUP($P15&amp;AQ$8,Calc2!$J$4:$L$111,3,0),"")</f>
        <v/>
      </c>
      <c r="AR15" s="414" t="str">
        <f>IFERROR(VLOOKUP($P15&amp;AR$8,Calc2!$J$4:$L$111,3,0),"")</f>
        <v/>
      </c>
      <c r="AS15" s="414" t="str">
        <f>IFERROR(VLOOKUP($P15&amp;AS$8,Calc2!$J$4:$L$111,3,0),"")</f>
        <v/>
      </c>
      <c r="AT15" s="414" t="str">
        <f>IFERROR(VLOOKUP($P15&amp;AT$8,Calc2!$J$4:$L$111,3,0),"")</f>
        <v>6 : 2</v>
      </c>
      <c r="AU15" s="414" t="str">
        <f>IFERROR(VLOOKUP($P15&amp;AU$8,Calc2!$J$4:$L$111,3,0),"")</f>
        <v>1 : 1</v>
      </c>
      <c r="AV15" s="414" t="str">
        <f>IFERROR(VLOOKUP($P15&amp;AV$8,Calc2!$J$4:$L$111,3,0),"")</f>
        <v/>
      </c>
      <c r="AW15" s="414" t="str">
        <f>IFERROR(VLOOKUP($P15&amp;AW$8,Calc2!$J$4:$L$111,3,0),"")</f>
        <v>2 : 1</v>
      </c>
      <c r="AX15" s="415" t="str">
        <f>IFERROR(VLOOKUP($P15&amp;AX$8,Calc2!$J$4:$L$111,3,0),"")</f>
        <v/>
      </c>
      <c r="AY15" s="221"/>
      <c r="AZ15" s="221"/>
      <c r="BA15" s="221"/>
      <c r="BB15" s="221"/>
      <c r="BC15" s="221"/>
      <c r="BD15" s="221"/>
      <c r="BE15" s="221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</row>
    <row r="16" spans="2:68" ht="15.75" x14ac:dyDescent="0.25">
      <c r="B16" s="23"/>
      <c r="C16" s="21">
        <v>8</v>
      </c>
      <c r="D16" s="488">
        <f>IF(Plan!$T14="","",Plan!$T14)</f>
        <v>45938</v>
      </c>
      <c r="E16" s="19">
        <f>IF(Plan!$U14="","",Plan!$U14)</f>
        <v>0.875</v>
      </c>
      <c r="F16" s="45" t="str">
        <f>Plan!$Q14</f>
        <v>SKN St. Pölten</v>
      </c>
      <c r="G16" s="20" t="s">
        <v>170</v>
      </c>
      <c r="H16" s="45" t="str">
        <f>Plan!$S14</f>
        <v>Atletico Madrid</v>
      </c>
      <c r="I16" s="47">
        <v>0</v>
      </c>
      <c r="J16" s="34" t="str">
        <f>Language!$E$90</f>
        <v xml:space="preserve"> : </v>
      </c>
      <c r="K16" s="49">
        <v>6</v>
      </c>
      <c r="L16" s="25"/>
      <c r="M16" s="26"/>
      <c r="O16" s="250">
        <f>IF(Calc!$K$22=0,"",IF(VLOOKUP(Calc!B11,Calc!$C$4:$E$21,3,0)=MAX(O$9:O15),VLOOKUP(Calc!B11,Calc!$C$4:$E$21,3,0),Calc!B11))</f>
        <v>8</v>
      </c>
      <c r="P16" s="251" t="str">
        <f>IF(Calc!$K$22=0,Calc2!$C11,VLOOKUP(Calc!B11,Calc!$C$4:$N$21,4,0))</f>
        <v>Juventus FC</v>
      </c>
      <c r="Q16" s="252">
        <f>IF(Calc!$K$22=0,"",VLOOKUP(Calc!B11,Calc!$C$4:$N$21,9,0))</f>
        <v>6</v>
      </c>
      <c r="R16" s="253">
        <f>IF(Calc!$K$22=0,"",IF($Q16=0,"",VLOOKUP(Calc!B11,Calc!$C$4:$N$21,10,0)))</f>
        <v>3</v>
      </c>
      <c r="S16" s="253">
        <f>IF(Calc!$K$22=0,"",IF($Q16=0,"",VLOOKUP(Calc!B11,Calc!$C$4:$N$21,11,0)))</f>
        <v>1</v>
      </c>
      <c r="T16" s="254">
        <f>IF(Calc!$K$22=0,"",IF($Q16=0,"",VLOOKUP(Calc!B11,Calc!$C$4:$N$21,12,0)))</f>
        <v>2</v>
      </c>
      <c r="U16" s="255">
        <f>IF(Calc!$K$22=0,"",IF($Q16=0,"",VLOOKUP(Calc!B11,Calc!$C$4:$N$21,5,0)))</f>
        <v>13</v>
      </c>
      <c r="V16" s="256" t="str">
        <f>Language!$E$90</f>
        <v xml:space="preserve"> : </v>
      </c>
      <c r="W16" s="257">
        <f>IF(Calc!$K$22=0,"",IF($Q16=0,"",VLOOKUP(Calc!B11,Calc!$C$4:$N$21,6,0)))</f>
        <v>8</v>
      </c>
      <c r="X16" s="258">
        <f>IF(Calc!$K$22=0,"",IF($Q16=0,"",VLOOKUP(Calc!B11,Calc!$C$4:$N$21,7,0)))</f>
        <v>5</v>
      </c>
      <c r="Y16" s="259">
        <f>IF(Calc!$K$22=0,"",IF($Q16=0,"",VLOOKUP(Calc!B11,Calc!$C$4:$P$21,13,0)))</f>
        <v>8</v>
      </c>
      <c r="Z16" s="259">
        <f>IF(Calc!$K$22=0,"",IF($Q16=0,"",VLOOKUP(Calc!B11,Calc!$C$4:$P$21,14,0)))</f>
        <v>2</v>
      </c>
      <c r="AA16" s="260">
        <f>IF(Calc!$K$22=0,"",IF($Q16=0,"",VLOOKUP(Calc!B11,Calc!$C$4:$N$21,8,0)))</f>
        <v>10</v>
      </c>
      <c r="AB16" s="68" t="str">
        <f>IF(VLOOKUP(Calc!B11,Calc!$C$4:$Q$21,15,0)=0,"",VLOOKUP(Calc!B11,Calc!$C$4:$Q$21,15,0))</f>
        <v/>
      </c>
      <c r="AC16" t="str">
        <f>IF(IFERROR(VLOOKUP($P16,Plan!$D$7:$E$42,2,0),0)=0,IF(LEN(P16)&gt;Factors!$D$12,LEFT(P16,Factors!$D$12)&amp;".",P16),VLOOKUP($P16,Plan!$D$7:$E$42,2,0))</f>
        <v>Juventu.</v>
      </c>
      <c r="AE16" s="217">
        <f t="shared" si="0"/>
        <v>8</v>
      </c>
      <c r="AF16" s="218" t="str">
        <f t="shared" si="0"/>
        <v>Juventus FC</v>
      </c>
      <c r="AG16" s="412" t="str">
        <f>IFERROR(VLOOKUP($P16&amp;AG$8,Calc2!$J$4:$L$111,3,0),"")</f>
        <v/>
      </c>
      <c r="AH16" s="414" t="str">
        <f>IFERROR(VLOOKUP($P16&amp;AH$8,Calc2!$J$4:$L$111,3,0),"")</f>
        <v>3 : 3</v>
      </c>
      <c r="AI16" s="414" t="str">
        <f>IFERROR(VLOOKUP($P16&amp;AI$8,Calc2!$J$4:$L$111,3,0),"")</f>
        <v/>
      </c>
      <c r="AJ16" s="414" t="str">
        <f>IFERROR(VLOOKUP($P16&amp;AJ$8,Calc2!$J$4:$L$111,3,0),"")</f>
        <v>1 : 2</v>
      </c>
      <c r="AK16" s="414" t="str">
        <f>IFERROR(VLOOKUP($P16&amp;AK$8,Calc2!$J$4:$L$111,3,0),"")</f>
        <v/>
      </c>
      <c r="AL16" s="414" t="str">
        <f>IFERROR(VLOOKUP($P16&amp;AL$8,Calc2!$J$4:$L$111,3,0),"")</f>
        <v>0 : 1</v>
      </c>
      <c r="AM16" s="414" t="str">
        <f>IFERROR(VLOOKUP($P16&amp;AM$8,Calc2!$J$4:$L$111,3,0),"")</f>
        <v/>
      </c>
      <c r="AN16" s="413"/>
      <c r="AO16" s="414" t="str">
        <f>IFERROR(VLOOKUP($P16&amp;AO$8,Calc2!$J$4:$L$111,3,0),"")</f>
        <v/>
      </c>
      <c r="AP16" s="414" t="str">
        <f>IFERROR(VLOOKUP($P16&amp;AP$8,Calc2!$J$4:$L$111,3,0),"")</f>
        <v/>
      </c>
      <c r="AQ16" s="414" t="str">
        <f>IFERROR(VLOOKUP($P16&amp;AQ$8,Calc2!$J$4:$L$111,3,0),"")</f>
        <v>2 : 1</v>
      </c>
      <c r="AR16" s="414" t="str">
        <f>IFERROR(VLOOKUP($P16&amp;AR$8,Calc2!$J$4:$L$111,3,0),"")</f>
        <v/>
      </c>
      <c r="AS16" s="414" t="str">
        <f>IFERROR(VLOOKUP($P16&amp;AS$8,Calc2!$J$4:$L$111,3,0),"")</f>
        <v/>
      </c>
      <c r="AT16" s="414" t="str">
        <f>IFERROR(VLOOKUP($P16&amp;AT$8,Calc2!$J$4:$L$111,3,0),"")</f>
        <v/>
      </c>
      <c r="AU16" s="414" t="str">
        <f>IFERROR(VLOOKUP($P16&amp;AU$8,Calc2!$J$4:$L$111,3,0),"")</f>
        <v/>
      </c>
      <c r="AV16" s="414" t="str">
        <f>IFERROR(VLOOKUP($P16&amp;AV$8,Calc2!$J$4:$L$111,3,0),"")</f>
        <v>2 : 1</v>
      </c>
      <c r="AW16" s="414" t="str">
        <f>IFERROR(VLOOKUP($P16&amp;AW$8,Calc2!$J$4:$L$111,3,0),"")</f>
        <v/>
      </c>
      <c r="AX16" s="415" t="str">
        <f>IFERROR(VLOOKUP($P16&amp;AX$8,Calc2!$J$4:$L$111,3,0),"")</f>
        <v>5 : 0</v>
      </c>
      <c r="AY16" s="221"/>
      <c r="AZ16" s="221"/>
      <c r="BA16" s="221"/>
      <c r="BB16" s="221"/>
      <c r="BC16" s="221"/>
      <c r="BD16" s="221"/>
      <c r="BE16" s="221"/>
      <c r="BF16" s="221"/>
      <c r="BG16" s="221"/>
      <c r="BH16" s="221"/>
      <c r="BI16" s="221"/>
      <c r="BJ16" s="221"/>
      <c r="BK16" s="221"/>
      <c r="BL16" s="221"/>
      <c r="BM16" s="221"/>
      <c r="BN16" s="221"/>
      <c r="BO16" s="221"/>
      <c r="BP16" s="221"/>
    </row>
    <row r="17" spans="2:68" ht="16.5" thickBot="1" x14ac:dyDescent="0.3">
      <c r="B17" s="23"/>
      <c r="C17" s="21">
        <v>9</v>
      </c>
      <c r="D17" s="488">
        <f>IF(Plan!$T15="","",Plan!$T15)</f>
        <v>45938</v>
      </c>
      <c r="E17" s="19">
        <f>IF(Plan!$U15="","",Plan!$U15)</f>
        <v>0.875</v>
      </c>
      <c r="F17" s="45" t="str">
        <f>Plan!$Q15</f>
        <v>Manchester United</v>
      </c>
      <c r="G17" s="20" t="s">
        <v>170</v>
      </c>
      <c r="H17" s="45" t="str">
        <f>Plan!$S15</f>
        <v>Valerenga IF</v>
      </c>
      <c r="I17" s="47">
        <v>1</v>
      </c>
      <c r="J17" s="482" t="str">
        <f>Language!$E$90</f>
        <v xml:space="preserve"> : </v>
      </c>
      <c r="K17" s="49">
        <v>0</v>
      </c>
      <c r="L17" s="25"/>
      <c r="M17" s="480"/>
      <c r="O17" s="272">
        <f>IF(Calc!$K$22=0,"",IF(VLOOKUP(Calc!B12,Calc!$C$4:$E$21,3,0)=MAX(O$9:O16),VLOOKUP(Calc!B12,Calc!$C$4:$E$21,3,0),Calc!B12))</f>
        <v>9</v>
      </c>
      <c r="P17" s="273" t="str">
        <f>IF(Calc!$K$22=0,Calc2!$C12,VLOOKUP(Calc!B12,Calc!$C$4:$N$21,4,0))</f>
        <v>VfL Wolfsburg</v>
      </c>
      <c r="Q17" s="274">
        <f>IF(Calc!$K$22=0,"",VLOOKUP(Calc!B12,Calc!$C$4:$N$21,9,0))</f>
        <v>6</v>
      </c>
      <c r="R17" s="275">
        <f>IF(Calc!$K$22=0,"",IF($Q17=0,"",VLOOKUP(Calc!B12,Calc!$C$4:$N$21,10,0)))</f>
        <v>3</v>
      </c>
      <c r="S17" s="275">
        <f>IF(Calc!$K$22=0,"",IF($Q17=0,"",VLOOKUP(Calc!B12,Calc!$C$4:$N$21,11,0)))</f>
        <v>0</v>
      </c>
      <c r="T17" s="276">
        <f>IF(Calc!$K$22=0,"",IF($Q17=0,"",VLOOKUP(Calc!B12,Calc!$C$4:$N$21,12,0)))</f>
        <v>3</v>
      </c>
      <c r="U17" s="277">
        <f>IF(Calc!$K$22=0,"",IF($Q17=0,"",VLOOKUP(Calc!B12,Calc!$C$4:$N$21,5,0)))</f>
        <v>13</v>
      </c>
      <c r="V17" s="278" t="str">
        <f>Language!$E$90</f>
        <v xml:space="preserve"> : </v>
      </c>
      <c r="W17" s="279">
        <f>IF(Calc!$K$22=0,"",IF($Q17=0,"",VLOOKUP(Calc!B12,Calc!$C$4:$N$21,6,0)))</f>
        <v>10</v>
      </c>
      <c r="X17" s="280">
        <f>IF(Calc!$K$22=0,"",IF($Q17=0,"",VLOOKUP(Calc!B12,Calc!$C$4:$N$21,7,0)))</f>
        <v>3</v>
      </c>
      <c r="Y17" s="281">
        <f>IF(Calc!$K$22=0,"",IF($Q17=0,"",VLOOKUP(Calc!B12,Calc!$C$4:$P$21,13,0)))</f>
        <v>3</v>
      </c>
      <c r="Z17" s="281">
        <f>IF(Calc!$K$22=0,"",IF($Q17=0,"",VLOOKUP(Calc!B12,Calc!$C$4:$P$21,14,0)))</f>
        <v>1</v>
      </c>
      <c r="AA17" s="282">
        <f>IF(Calc!$K$22=0,"",IF($Q17=0,"",VLOOKUP(Calc!B12,Calc!$C$4:$N$21,8,0)))</f>
        <v>9</v>
      </c>
      <c r="AB17" s="68" t="str">
        <f>IF(VLOOKUP(Calc!B12,Calc!$C$4:$Q$21,15,0)=0,"",VLOOKUP(Calc!B12,Calc!$C$4:$Q$21,15,0))</f>
        <v/>
      </c>
      <c r="AC17" t="str">
        <f>IF(IFERROR(VLOOKUP($P17,Plan!$D$7:$E$42,2,0),0)=0,IF(LEN(P17)&gt;Factors!$D$12,LEFT(P17,Factors!$D$12)&amp;".",P17),VLOOKUP($P17,Plan!$D$7:$E$42,2,0))</f>
        <v>VfL Wol.</v>
      </c>
      <c r="AE17" s="217">
        <f t="shared" si="0"/>
        <v>9</v>
      </c>
      <c r="AF17" s="218" t="str">
        <f t="shared" si="0"/>
        <v>VfL Wolfsburg</v>
      </c>
      <c r="AG17" s="412" t="str">
        <f>IFERROR(VLOOKUP($P17&amp;AG$8,Calc2!$J$4:$L$111,3,0),"")</f>
        <v/>
      </c>
      <c r="AH17" s="414" t="str">
        <f>IFERROR(VLOOKUP($P17&amp;AH$8,Calc2!$J$4:$L$111,3,0),"")</f>
        <v>1 : 3</v>
      </c>
      <c r="AI17" s="414" t="str">
        <f>IFERROR(VLOOKUP($P17&amp;AI$8,Calc2!$J$4:$L$111,3,0),"")</f>
        <v>1 : 2</v>
      </c>
      <c r="AJ17" s="414" t="str">
        <f>IFERROR(VLOOKUP($P17&amp;AJ$8,Calc2!$J$4:$L$111,3,0),"")</f>
        <v/>
      </c>
      <c r="AK17" s="414" t="str">
        <f>IFERROR(VLOOKUP($P17&amp;AK$8,Calc2!$J$4:$L$111,3,0),"")</f>
        <v/>
      </c>
      <c r="AL17" s="414" t="str">
        <f>IFERROR(VLOOKUP($P17&amp;AL$8,Calc2!$J$4:$L$111,3,0),"")</f>
        <v>5 : 2</v>
      </c>
      <c r="AM17" s="414" t="str">
        <f>IFERROR(VLOOKUP($P17&amp;AM$8,Calc2!$J$4:$L$111,3,0),"")</f>
        <v>0 : 2</v>
      </c>
      <c r="AN17" s="414" t="str">
        <f>IFERROR(VLOOKUP($P17&amp;AN$8,Calc2!$J$4:$L$111,3,0),"")</f>
        <v/>
      </c>
      <c r="AO17" s="413"/>
      <c r="AP17" s="414" t="str">
        <f>IFERROR(VLOOKUP($P17&amp;AP$8,Calc2!$J$4:$L$111,3,0),"")</f>
        <v/>
      </c>
      <c r="AQ17" s="414" t="str">
        <f>IFERROR(VLOOKUP($P17&amp;AQ$8,Calc2!$J$4:$L$111,3,0),"")</f>
        <v/>
      </c>
      <c r="AR17" s="414" t="str">
        <f>IFERROR(VLOOKUP($P17&amp;AR$8,Calc2!$J$4:$L$111,3,0),"")</f>
        <v/>
      </c>
      <c r="AS17" s="414" t="str">
        <f>IFERROR(VLOOKUP($P17&amp;AS$8,Calc2!$J$4:$L$111,3,0),"")</f>
        <v>2 : 1</v>
      </c>
      <c r="AT17" s="414" t="str">
        <f>IFERROR(VLOOKUP($P17&amp;AT$8,Calc2!$J$4:$L$111,3,0),"")</f>
        <v/>
      </c>
      <c r="AU17" s="414" t="str">
        <f>IFERROR(VLOOKUP($P17&amp;AU$8,Calc2!$J$4:$L$111,3,0),"")</f>
        <v/>
      </c>
      <c r="AV17" s="414" t="str">
        <f>IFERROR(VLOOKUP($P17&amp;AV$8,Calc2!$J$4:$L$111,3,0),"")</f>
        <v/>
      </c>
      <c r="AW17" s="414" t="str">
        <f>IFERROR(VLOOKUP($P17&amp;AW$8,Calc2!$J$4:$L$111,3,0),"")</f>
        <v>4 : 0</v>
      </c>
      <c r="AX17" s="415" t="str">
        <f>IFERROR(VLOOKUP($P17&amp;AX$8,Calc2!$J$4:$L$111,3,0),"")</f>
        <v/>
      </c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</row>
    <row r="18" spans="2:68" ht="15.75" x14ac:dyDescent="0.25">
      <c r="B18" s="27">
        <v>2</v>
      </c>
      <c r="C18" s="28">
        <v>10</v>
      </c>
      <c r="D18" s="489">
        <f>IF(Plan!$T16="","",Plan!$T16)</f>
        <v>45945</v>
      </c>
      <c r="E18" s="29">
        <f>IF(Plan!$U16="","",Plan!$U16)</f>
        <v>0.78125</v>
      </c>
      <c r="F18" s="46" t="str">
        <f>Plan!$Q16</f>
        <v>Valerenga IF</v>
      </c>
      <c r="G18" s="30" t="s">
        <v>170</v>
      </c>
      <c r="H18" s="46" t="str">
        <f>Plan!$S16</f>
        <v>VfL Wolfsburg</v>
      </c>
      <c r="I18" s="48">
        <v>1</v>
      </c>
      <c r="J18" s="481" t="str">
        <f>Language!$E$90</f>
        <v xml:space="preserve"> : </v>
      </c>
      <c r="K18" s="50">
        <v>2</v>
      </c>
      <c r="L18" s="31"/>
      <c r="M18" s="479"/>
      <c r="O18" s="272">
        <f>IF(Calc!$K$22=0,"",IF(VLOOKUP(Calc!B13,Calc!$C$4:$E$21,3,0)=MAX(O$9:O17),VLOOKUP(Calc!B13,Calc!$C$4:$E$21,3,0),Calc!B13))</f>
        <v>10</v>
      </c>
      <c r="P18" s="273" t="str">
        <f>IF(Calc!$K$22=0,Calc2!$C13,VLOOKUP(Calc!B13,Calc!$C$4:$N$21,4,0))</f>
        <v>Paris FC</v>
      </c>
      <c r="Q18" s="274">
        <f>IF(Calc!$K$22=0,"",VLOOKUP(Calc!B13,Calc!$C$4:$N$21,9,0))</f>
        <v>6</v>
      </c>
      <c r="R18" s="275">
        <f>IF(Calc!$K$22=0,"",IF($Q18=0,"",VLOOKUP(Calc!B13,Calc!$C$4:$N$21,10,0)))</f>
        <v>2</v>
      </c>
      <c r="S18" s="275">
        <f>IF(Calc!$K$22=0,"",IF($Q18=0,"",VLOOKUP(Calc!B13,Calc!$C$4:$N$21,11,0)))</f>
        <v>2</v>
      </c>
      <c r="T18" s="276">
        <f>IF(Calc!$K$22=0,"",IF($Q18=0,"",VLOOKUP(Calc!B13,Calc!$C$4:$N$21,12,0)))</f>
        <v>2</v>
      </c>
      <c r="U18" s="277">
        <f>IF(Calc!$K$22=0,"",IF($Q18=0,"",VLOOKUP(Calc!B13,Calc!$C$4:$N$21,5,0)))</f>
        <v>6</v>
      </c>
      <c r="V18" s="278" t="str">
        <f>Language!$E$90</f>
        <v xml:space="preserve"> : </v>
      </c>
      <c r="W18" s="279">
        <f>IF(Calc!$K$22=0,"",IF($Q18=0,"",VLOOKUP(Calc!B13,Calc!$C$4:$N$21,6,0)))</f>
        <v>9</v>
      </c>
      <c r="X18" s="280">
        <f>IF(Calc!$K$22=0,"",IF($Q18=0,"",VLOOKUP(Calc!B13,Calc!$C$4:$N$21,7,0)))</f>
        <v>-3</v>
      </c>
      <c r="Y18" s="281">
        <f>IF(Calc!$K$22=0,"",IF($Q18=0,"",VLOOKUP(Calc!B13,Calc!$C$4:$P$21,13,0)))</f>
        <v>2</v>
      </c>
      <c r="Z18" s="281">
        <f>IF(Calc!$K$22=0,"",IF($Q18=0,"",VLOOKUP(Calc!B13,Calc!$C$4:$P$21,14,0)))</f>
        <v>1</v>
      </c>
      <c r="AA18" s="282">
        <f>IF(Calc!$K$22=0,"",IF($Q18=0,"",VLOOKUP(Calc!B13,Calc!$C$4:$N$21,8,0)))</f>
        <v>8</v>
      </c>
      <c r="AB18" s="68" t="str">
        <f>IF(VLOOKUP(Calc!B13,Calc!$C$4:$Q$21,15,0)=0,"",VLOOKUP(Calc!B13,Calc!$C$4:$Q$21,15,0))</f>
        <v/>
      </c>
      <c r="AC18" t="str">
        <f>IF(IFERROR(VLOOKUP($P18,Plan!$D$7:$E$42,2,0),0)=0,IF(LEN(P18)&gt;Factors!$D$12,LEFT(P18,Factors!$D$12)&amp;".",P18),VLOOKUP($P18,Plan!$D$7:$E$42,2,0))</f>
        <v>Paris F.</v>
      </c>
      <c r="AE18" s="217">
        <f t="shared" si="0"/>
        <v>10</v>
      </c>
      <c r="AF18" s="218" t="str">
        <f t="shared" si="0"/>
        <v>Paris FC</v>
      </c>
      <c r="AG18" s="412" t="str">
        <f>IFERROR(VLOOKUP($P18&amp;AG$8,Calc2!$J$4:$L$111,3,0),"")</f>
        <v>0 : 2</v>
      </c>
      <c r="AH18" s="414" t="str">
        <f>IFERROR(VLOOKUP($P18&amp;AH$8,Calc2!$J$4:$L$111,3,0),"")</f>
        <v/>
      </c>
      <c r="AI18" s="414" t="str">
        <f>IFERROR(VLOOKUP($P18&amp;AI$8,Calc2!$J$4:$L$111,3,0),"")</f>
        <v>0 : 4</v>
      </c>
      <c r="AJ18" s="414" t="str">
        <f>IFERROR(VLOOKUP($P18&amp;AJ$8,Calc2!$J$4:$L$111,3,0),"")</f>
        <v/>
      </c>
      <c r="AK18" s="414" t="str">
        <f>IFERROR(VLOOKUP($P18&amp;AK$8,Calc2!$J$4:$L$111,3,0),"")</f>
        <v/>
      </c>
      <c r="AL18" s="414" t="str">
        <f>IFERROR(VLOOKUP($P18&amp;AL$8,Calc2!$J$4:$L$111,3,0),"")</f>
        <v/>
      </c>
      <c r="AM18" s="414" t="str">
        <f>IFERROR(VLOOKUP($P18&amp;AM$8,Calc2!$J$4:$L$111,3,0),"")</f>
        <v>1 : 1</v>
      </c>
      <c r="AN18" s="414" t="str">
        <f>IFERROR(VLOOKUP($P18&amp;AN$8,Calc2!$J$4:$L$111,3,0),"")</f>
        <v/>
      </c>
      <c r="AO18" s="414" t="str">
        <f>IFERROR(VLOOKUP($P18&amp;AO$8,Calc2!$J$4:$L$111,3,0),"")</f>
        <v/>
      </c>
      <c r="AP18" s="413"/>
      <c r="AQ18" s="414" t="str">
        <f>IFERROR(VLOOKUP($P18&amp;AQ$8,Calc2!$J$4:$L$111,3,0),"")</f>
        <v/>
      </c>
      <c r="AR18" s="414" t="str">
        <f>IFERROR(VLOOKUP($P18&amp;AR$8,Calc2!$J$4:$L$111,3,0),"")</f>
        <v>2 : 2</v>
      </c>
      <c r="AS18" s="414" t="str">
        <f>IFERROR(VLOOKUP($P18&amp;AS$8,Calc2!$J$4:$L$111,3,0),"")</f>
        <v>1 : 0</v>
      </c>
      <c r="AT18" s="414" t="str">
        <f>IFERROR(VLOOKUP($P18&amp;AT$8,Calc2!$J$4:$L$111,3,0),"")</f>
        <v/>
      </c>
      <c r="AU18" s="414" t="str">
        <f>IFERROR(VLOOKUP($P18&amp;AU$8,Calc2!$J$4:$L$111,3,0),"")</f>
        <v/>
      </c>
      <c r="AV18" s="414" t="str">
        <f>IFERROR(VLOOKUP($P18&amp;AV$8,Calc2!$J$4:$L$111,3,0),"")</f>
        <v>2 : 0</v>
      </c>
      <c r="AW18" s="414" t="str">
        <f>IFERROR(VLOOKUP($P18&amp;AW$8,Calc2!$J$4:$L$111,3,0),"")</f>
        <v/>
      </c>
      <c r="AX18" s="415" t="str">
        <f>IFERROR(VLOOKUP($P18&amp;AX$8,Calc2!$J$4:$L$111,3,0),"")</f>
        <v/>
      </c>
      <c r="AY18" s="221"/>
      <c r="AZ18" s="221"/>
      <c r="BA18" s="221"/>
      <c r="BB18" s="221"/>
      <c r="BC18" s="221"/>
      <c r="BD18" s="221"/>
      <c r="BE18" s="221"/>
      <c r="BF18" s="221"/>
      <c r="BG18" s="221"/>
      <c r="BH18" s="221"/>
      <c r="BI18" s="221"/>
      <c r="BJ18" s="221"/>
      <c r="BK18" s="221"/>
      <c r="BL18" s="221"/>
      <c r="BM18" s="221"/>
      <c r="BN18" s="221"/>
      <c r="BO18" s="221"/>
      <c r="BP18" s="221"/>
    </row>
    <row r="19" spans="2:68" ht="15.75" x14ac:dyDescent="0.25">
      <c r="B19" s="23"/>
      <c r="C19" s="21">
        <v>11</v>
      </c>
      <c r="D19" s="488">
        <f>IF(Plan!$T17="","",Plan!$T17)</f>
        <v>45945</v>
      </c>
      <c r="E19" s="19">
        <f>IF(Plan!$U17="","",Plan!$U17)</f>
        <v>0.78125</v>
      </c>
      <c r="F19" s="45" t="str">
        <f>Plan!$Q17</f>
        <v>OL Lyonnes</v>
      </c>
      <c r="G19" s="20" t="s">
        <v>170</v>
      </c>
      <c r="H19" s="45" t="str">
        <f>Plan!$S17</f>
        <v>SKN St. Pölten</v>
      </c>
      <c r="I19" s="47">
        <v>3</v>
      </c>
      <c r="J19" s="481" t="str">
        <f>Language!$E$90</f>
        <v xml:space="preserve"> : </v>
      </c>
      <c r="K19" s="49">
        <v>0</v>
      </c>
      <c r="L19" s="25"/>
      <c r="M19" s="26"/>
      <c r="O19" s="272">
        <f>IF(Calc!$K$22=0,"",IF(VLOOKUP(Calc!B14,Calc!$C$4:$E$21,3,0)=MAX(O$9:O18),VLOOKUP(Calc!B14,Calc!$C$4:$E$21,3,0),Calc!B14))</f>
        <v>11</v>
      </c>
      <c r="P19" s="273" t="str">
        <f>IF(Calc!$K$22=0,Calc2!$C14,VLOOKUP(Calc!B14,Calc!$C$4:$N$21,4,0))</f>
        <v>Atletico Madrid</v>
      </c>
      <c r="Q19" s="274">
        <f>IF(Calc!$K$22=0,"",VLOOKUP(Calc!B14,Calc!$C$4:$N$21,9,0))</f>
        <v>6</v>
      </c>
      <c r="R19" s="275">
        <f>IF(Calc!$K$22=0,"",IF($Q19=0,"",VLOOKUP(Calc!B14,Calc!$C$4:$N$21,10,0)))</f>
        <v>2</v>
      </c>
      <c r="S19" s="275">
        <f>IF(Calc!$K$22=0,"",IF($Q19=0,"",VLOOKUP(Calc!B14,Calc!$C$4:$N$21,11,0)))</f>
        <v>1</v>
      </c>
      <c r="T19" s="276">
        <f>IF(Calc!$K$22=0,"",IF($Q19=0,"",VLOOKUP(Calc!B14,Calc!$C$4:$N$21,12,0)))</f>
        <v>3</v>
      </c>
      <c r="U19" s="277">
        <f>IF(Calc!$K$22=0,"",IF($Q19=0,"",VLOOKUP(Calc!B14,Calc!$C$4:$N$21,5,0)))</f>
        <v>13</v>
      </c>
      <c r="V19" s="278" t="str">
        <f>Language!$E$90</f>
        <v xml:space="preserve"> : </v>
      </c>
      <c r="W19" s="279">
        <f>IF(Calc!$K$22=0,"",IF($Q19=0,"",VLOOKUP(Calc!B14,Calc!$C$4:$N$21,6,0)))</f>
        <v>9</v>
      </c>
      <c r="X19" s="280">
        <f>IF(Calc!$K$22=0,"",IF($Q19=0,"",VLOOKUP(Calc!B14,Calc!$C$4:$N$21,7,0)))</f>
        <v>4</v>
      </c>
      <c r="Y19" s="281">
        <f>IF(Calc!$K$22=0,"",IF($Q19=0,"",VLOOKUP(Calc!B14,Calc!$C$4:$P$21,13,0)))</f>
        <v>10</v>
      </c>
      <c r="Z19" s="281">
        <f>IF(Calc!$K$22=0,"",IF($Q19=0,"",VLOOKUP(Calc!B14,Calc!$C$4:$P$21,14,0)))</f>
        <v>2</v>
      </c>
      <c r="AA19" s="282">
        <f>IF(Calc!$K$22=0,"",IF($Q19=0,"",VLOOKUP(Calc!B14,Calc!$C$4:$N$21,8,0)))</f>
        <v>7</v>
      </c>
      <c r="AB19" s="68" t="str">
        <f>IF(VLOOKUP(Calc!B14,Calc!$C$4:$Q$21,15,0)=0,"",VLOOKUP(Calc!B14,Calc!$C$4:$Q$21,15,0))</f>
        <v/>
      </c>
      <c r="AC19" t="str">
        <f>IF(IFERROR(VLOOKUP($P19,Plan!$D$7:$E$42,2,0),0)=0,IF(LEN(P19)&gt;Factors!$D$12,LEFT(P19,Factors!$D$12)&amp;".",P19),VLOOKUP($P19,Plan!$D$7:$E$42,2,0))</f>
        <v>Atletic.</v>
      </c>
      <c r="AE19" s="217">
        <f t="shared" si="0"/>
        <v>11</v>
      </c>
      <c r="AF19" s="218" t="str">
        <f t="shared" si="0"/>
        <v>Atletico Madrid</v>
      </c>
      <c r="AG19" s="412" t="str">
        <f>IFERROR(VLOOKUP($P19&amp;AG$8,Calc2!$J$4:$L$111,3,0),"")</f>
        <v/>
      </c>
      <c r="AH19" s="414" t="str">
        <f>IFERROR(VLOOKUP($P19&amp;AH$8,Calc2!$J$4:$L$111,3,0),"")</f>
        <v>0 : 4</v>
      </c>
      <c r="AI19" s="414" t="str">
        <f>IFERROR(VLOOKUP($P19&amp;AI$8,Calc2!$J$4:$L$111,3,0),"")</f>
        <v/>
      </c>
      <c r="AJ19" s="414" t="str">
        <f>IFERROR(VLOOKUP($P19&amp;AJ$8,Calc2!$J$4:$L$111,3,0),"")</f>
        <v>2 : 2</v>
      </c>
      <c r="AK19" s="414" t="str">
        <f>IFERROR(VLOOKUP($P19&amp;AK$8,Calc2!$J$4:$L$111,3,0),"")</f>
        <v/>
      </c>
      <c r="AL19" s="414" t="str">
        <f>IFERROR(VLOOKUP($P19&amp;AL$8,Calc2!$J$4:$L$111,3,0),"")</f>
        <v>0 : 1</v>
      </c>
      <c r="AM19" s="414" t="str">
        <f>IFERROR(VLOOKUP($P19&amp;AM$8,Calc2!$J$4:$L$111,3,0),"")</f>
        <v/>
      </c>
      <c r="AN19" s="414" t="str">
        <f>IFERROR(VLOOKUP($P19&amp;AN$8,Calc2!$J$4:$L$111,3,0),"")</f>
        <v>1 : 2</v>
      </c>
      <c r="AO19" s="414" t="str">
        <f>IFERROR(VLOOKUP($P19&amp;AO$8,Calc2!$J$4:$L$111,3,0),"")</f>
        <v/>
      </c>
      <c r="AP19" s="414" t="str">
        <f>IFERROR(VLOOKUP($P19&amp;AP$8,Calc2!$J$4:$L$111,3,0),"")</f>
        <v/>
      </c>
      <c r="AQ19" s="413"/>
      <c r="AR19" s="414" t="str">
        <f>IFERROR(VLOOKUP($P19&amp;AR$8,Calc2!$J$4:$L$111,3,0),"")</f>
        <v/>
      </c>
      <c r="AS19" s="414" t="str">
        <f>IFERROR(VLOOKUP($P19&amp;AS$8,Calc2!$J$4:$L$111,3,0),"")</f>
        <v/>
      </c>
      <c r="AT19" s="414" t="str">
        <f>IFERROR(VLOOKUP($P19&amp;AT$8,Calc2!$J$4:$L$111,3,0),"")</f>
        <v/>
      </c>
      <c r="AU19" s="414" t="str">
        <f>IFERROR(VLOOKUP($P19&amp;AU$8,Calc2!$J$4:$L$111,3,0),"")</f>
        <v>4 : 0</v>
      </c>
      <c r="AV19" s="414" t="str">
        <f>IFERROR(VLOOKUP($P19&amp;AV$8,Calc2!$J$4:$L$111,3,0),"")</f>
        <v/>
      </c>
      <c r="AW19" s="414" t="str">
        <f>IFERROR(VLOOKUP($P19&amp;AW$8,Calc2!$J$4:$L$111,3,0),"")</f>
        <v/>
      </c>
      <c r="AX19" s="415" t="str">
        <f>IFERROR(VLOOKUP($P19&amp;AX$8,Calc2!$J$4:$L$111,3,0),"")</f>
        <v>6 : 0</v>
      </c>
      <c r="AY19" s="221"/>
      <c r="AZ19" s="221"/>
      <c r="BA19" s="221"/>
      <c r="BB19" s="221"/>
      <c r="BC19" s="221"/>
      <c r="BD19" s="221"/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</row>
    <row r="20" spans="2:68" ht="15.75" x14ac:dyDescent="0.25">
      <c r="B20" s="23"/>
      <c r="C20" s="21">
        <v>12</v>
      </c>
      <c r="D20" s="488">
        <f>IF(Plan!$T18="","",Plan!$T18)</f>
        <v>45945</v>
      </c>
      <c r="E20" s="19">
        <f>IF(Plan!$U18="","",Plan!$U18)</f>
        <v>0.875</v>
      </c>
      <c r="F20" s="45" t="str">
        <f>Plan!$Q18</f>
        <v>Chelsea FC</v>
      </c>
      <c r="G20" s="20" t="s">
        <v>170</v>
      </c>
      <c r="H20" s="45" t="str">
        <f>Plan!$S18</f>
        <v>Paris FC</v>
      </c>
      <c r="I20" s="47">
        <v>4</v>
      </c>
      <c r="J20" s="481" t="str">
        <f>Language!$E$90</f>
        <v xml:space="preserve"> : </v>
      </c>
      <c r="K20" s="49">
        <v>0</v>
      </c>
      <c r="L20" s="25"/>
      <c r="M20" s="26"/>
      <c r="O20" s="272">
        <f>IF(Calc!$K$22=0,"",IF(VLOOKUP(Calc!B15,Calc!$C$4:$E$21,3,0)=MAX(O$9:O19),VLOOKUP(Calc!B15,Calc!$C$4:$E$21,3,0),Calc!B15))</f>
        <v>12</v>
      </c>
      <c r="P20" s="273" t="str">
        <f>IF(Calc!$K$22=0,Calc2!$C15,VLOOKUP(Calc!B15,Calc!$C$4:$N$21,4,0))</f>
        <v>Oud-Heverlee Leuven</v>
      </c>
      <c r="Q20" s="274">
        <f>IF(Calc!$K$22=0,"",VLOOKUP(Calc!B15,Calc!$C$4:$N$21,9,0))</f>
        <v>6</v>
      </c>
      <c r="R20" s="275">
        <f>IF(Calc!$K$22=0,"",IF($Q20=0,"",VLOOKUP(Calc!B15,Calc!$C$4:$N$21,10,0)))</f>
        <v>1</v>
      </c>
      <c r="S20" s="275">
        <f>IF(Calc!$K$22=0,"",IF($Q20=0,"",VLOOKUP(Calc!B15,Calc!$C$4:$N$21,11,0)))</f>
        <v>3</v>
      </c>
      <c r="T20" s="276">
        <f>IF(Calc!$K$22=0,"",IF($Q20=0,"",VLOOKUP(Calc!B15,Calc!$C$4:$N$21,12,0)))</f>
        <v>2</v>
      </c>
      <c r="U20" s="277">
        <f>IF(Calc!$K$22=0,"",IF($Q20=0,"",VLOOKUP(Calc!B15,Calc!$C$4:$N$21,5,0)))</f>
        <v>5</v>
      </c>
      <c r="V20" s="278" t="str">
        <f>Language!$E$90</f>
        <v xml:space="preserve"> : </v>
      </c>
      <c r="W20" s="279">
        <f>IF(Calc!$K$22=0,"",IF($Q20=0,"",VLOOKUP(Calc!B15,Calc!$C$4:$N$21,6,0)))</f>
        <v>10</v>
      </c>
      <c r="X20" s="280">
        <f>IF(Calc!$K$22=0,"",IF($Q20=0,"",VLOOKUP(Calc!B15,Calc!$C$4:$N$21,7,0)))</f>
        <v>-5</v>
      </c>
      <c r="Y20" s="281">
        <f>IF(Calc!$K$22=0,"",IF($Q20=0,"",VLOOKUP(Calc!B15,Calc!$C$4:$P$21,13,0)))</f>
        <v>2</v>
      </c>
      <c r="Z20" s="281">
        <f>IF(Calc!$K$22=0,"",IF($Q20=0,"",VLOOKUP(Calc!B15,Calc!$C$4:$P$21,14,0)))</f>
        <v>0</v>
      </c>
      <c r="AA20" s="282">
        <f>IF(Calc!$K$22=0,"",IF($Q20=0,"",VLOOKUP(Calc!B15,Calc!$C$4:$N$21,8,0)))</f>
        <v>6</v>
      </c>
      <c r="AB20" s="68" t="str">
        <f>IF(VLOOKUP(Calc!B15,Calc!$C$4:$Q$21,15,0)=0,"",VLOOKUP(Calc!B15,Calc!$C$4:$Q$21,15,0))</f>
        <v/>
      </c>
      <c r="AC20" t="str">
        <f>IF(IFERROR(VLOOKUP($P20,Plan!$D$7:$E$42,2,0),0)=0,IF(LEN(P20)&gt;Factors!$D$12,LEFT(P20,Factors!$D$12)&amp;".",P20),VLOOKUP($P20,Plan!$D$7:$E$42,2,0))</f>
        <v>Oud-Hev.</v>
      </c>
      <c r="AE20" s="217">
        <f t="shared" si="0"/>
        <v>12</v>
      </c>
      <c r="AF20" s="218" t="str">
        <f t="shared" si="0"/>
        <v>Oud-Heverlee Leuven</v>
      </c>
      <c r="AG20" s="412" t="str">
        <f>IFERROR(VLOOKUP($P20&amp;AG$8,Calc2!$J$4:$L$111,3,0),"")</f>
        <v>0 : 3</v>
      </c>
      <c r="AH20" s="414" t="str">
        <f>IFERROR(VLOOKUP($P20&amp;AH$8,Calc2!$J$4:$L$111,3,0),"")</f>
        <v/>
      </c>
      <c r="AI20" s="414" t="str">
        <f>IFERROR(VLOOKUP($P20&amp;AI$8,Calc2!$J$4:$L$111,3,0),"")</f>
        <v/>
      </c>
      <c r="AJ20" s="414" t="str">
        <f>IFERROR(VLOOKUP($P20&amp;AJ$8,Calc2!$J$4:$L$111,3,0),"")</f>
        <v/>
      </c>
      <c r="AK20" s="414" t="str">
        <f>IFERROR(VLOOKUP($P20&amp;AK$8,Calc2!$J$4:$L$111,3,0),"")</f>
        <v>0 : 3</v>
      </c>
      <c r="AL20" s="414" t="str">
        <f>IFERROR(VLOOKUP($P20&amp;AL$8,Calc2!$J$4:$L$111,3,0),"")</f>
        <v/>
      </c>
      <c r="AM20" s="414" t="str">
        <f>IFERROR(VLOOKUP($P20&amp;AM$8,Calc2!$J$4:$L$111,3,0),"")</f>
        <v/>
      </c>
      <c r="AN20" s="414" t="str">
        <f>IFERROR(VLOOKUP($P20&amp;AN$8,Calc2!$J$4:$L$111,3,0),"")</f>
        <v/>
      </c>
      <c r="AO20" s="414" t="str">
        <f>IFERROR(VLOOKUP($P20&amp;AO$8,Calc2!$J$4:$L$111,3,0),"")</f>
        <v/>
      </c>
      <c r="AP20" s="414" t="str">
        <f>IFERROR(VLOOKUP($P20&amp;AP$8,Calc2!$J$4:$L$111,3,0),"")</f>
        <v>2 : 2</v>
      </c>
      <c r="AQ20" s="414" t="str">
        <f>IFERROR(VLOOKUP($P20&amp;AQ$8,Calc2!$J$4:$L$111,3,0),"")</f>
        <v/>
      </c>
      <c r="AR20" s="413"/>
      <c r="AS20" s="414" t="str">
        <f>IFERROR(VLOOKUP($P20&amp;AS$8,Calc2!$J$4:$L$111,3,0),"")</f>
        <v/>
      </c>
      <c r="AT20" s="414" t="str">
        <f>IFERROR(VLOOKUP($P20&amp;AT$8,Calc2!$J$4:$L$111,3,0),"")</f>
        <v>1 : 1</v>
      </c>
      <c r="AU20" s="414" t="str">
        <f>IFERROR(VLOOKUP($P20&amp;AU$8,Calc2!$J$4:$L$111,3,0),"")</f>
        <v>2 : 1</v>
      </c>
      <c r="AV20" s="414" t="str">
        <f>IFERROR(VLOOKUP($P20&amp;AV$8,Calc2!$J$4:$L$111,3,0),"")</f>
        <v/>
      </c>
      <c r="AW20" s="414" t="str">
        <f>IFERROR(VLOOKUP($P20&amp;AW$8,Calc2!$J$4:$L$111,3,0),"")</f>
        <v>0 : 0</v>
      </c>
      <c r="AX20" s="415" t="str">
        <f>IFERROR(VLOOKUP($P20&amp;AX$8,Calc2!$J$4:$L$111,3,0),"")</f>
        <v/>
      </c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1"/>
      <c r="BN20" s="221"/>
      <c r="BO20" s="221"/>
      <c r="BP20" s="221"/>
    </row>
    <row r="21" spans="2:68" ht="15.75" x14ac:dyDescent="0.25">
      <c r="B21" s="23"/>
      <c r="C21" s="21">
        <v>13</v>
      </c>
      <c r="D21" s="488">
        <f>IF(Plan!$T19="","",Plan!$T19)</f>
        <v>45945</v>
      </c>
      <c r="E21" s="19">
        <f>IF(Plan!$U19="","",Plan!$U19)</f>
        <v>0.875</v>
      </c>
      <c r="F21" s="45" t="str">
        <f>Plan!$Q19</f>
        <v>AS Rom</v>
      </c>
      <c r="G21" s="20" t="s">
        <v>170</v>
      </c>
      <c r="H21" s="45" t="str">
        <f>Plan!$S19</f>
        <v>FC Barcelona</v>
      </c>
      <c r="I21" s="47">
        <v>0</v>
      </c>
      <c r="J21" s="481" t="str">
        <f>Language!$E$90</f>
        <v xml:space="preserve"> : </v>
      </c>
      <c r="K21" s="49">
        <v>4</v>
      </c>
      <c r="L21" s="25"/>
      <c r="M21" s="26"/>
      <c r="O21" s="261">
        <f>IF(Calc!$K$22=0,"",IF(VLOOKUP(Calc!B16,Calc!$C$4:$E$21,3,0)=MAX(O$9:O20),VLOOKUP(Calc!B16,Calc!$C$4:$E$21,3,0),Calc!B16))</f>
        <v>13</v>
      </c>
      <c r="P21" s="262" t="str">
        <f>IF(Calc!$K$22=0,Calc2!$C16,VLOOKUP(Calc!B16,Calc!$C$4:$N$21,4,0))</f>
        <v>Valerenga IF</v>
      </c>
      <c r="Q21" s="263">
        <f>IF(Calc!$K$22=0,"",VLOOKUP(Calc!B16,Calc!$C$4:$N$21,9,0))</f>
        <v>6</v>
      </c>
      <c r="R21" s="264">
        <f>IF(Calc!$K$22=0,"",IF($Q21=0,"",VLOOKUP(Calc!B16,Calc!$C$4:$N$21,10,0)))</f>
        <v>1</v>
      </c>
      <c r="S21" s="264">
        <f>IF(Calc!$K$22=0,"",IF($Q21=0,"",VLOOKUP(Calc!B16,Calc!$C$4:$N$21,11,0)))</f>
        <v>1</v>
      </c>
      <c r="T21" s="265">
        <f>IF(Calc!$K$22=0,"",IF($Q21=0,"",VLOOKUP(Calc!B16,Calc!$C$4:$N$21,12,0)))</f>
        <v>4</v>
      </c>
      <c r="U21" s="266">
        <f>IF(Calc!$K$22=0,"",IF($Q21=0,"",VLOOKUP(Calc!B16,Calc!$C$4:$N$21,5,0)))</f>
        <v>4</v>
      </c>
      <c r="V21" s="267" t="str">
        <f>Language!$E$90</f>
        <v xml:space="preserve"> : </v>
      </c>
      <c r="W21" s="268">
        <f>IF(Calc!$K$22=0,"",IF($Q21=0,"",VLOOKUP(Calc!B16,Calc!$C$4:$N$21,6,0)))</f>
        <v>9</v>
      </c>
      <c r="X21" s="269">
        <f>IF(Calc!$K$22=0,"",IF($Q21=0,"",VLOOKUP(Calc!B16,Calc!$C$4:$N$21,7,0)))</f>
        <v>-5</v>
      </c>
      <c r="Y21" s="270">
        <f>IF(Calc!$K$22=0,"",IF($Q21=0,"",VLOOKUP(Calc!B16,Calc!$C$4:$P$21,13,0)))</f>
        <v>1</v>
      </c>
      <c r="Z21" s="270">
        <f>IF(Calc!$K$22=0,"",IF($Q21=0,"",VLOOKUP(Calc!B16,Calc!$C$4:$P$21,14,0)))</f>
        <v>1</v>
      </c>
      <c r="AA21" s="271">
        <f>IF(Calc!$K$22=0,"",IF($Q21=0,"",VLOOKUP(Calc!B16,Calc!$C$4:$N$21,8,0)))</f>
        <v>4</v>
      </c>
      <c r="AB21" s="68" t="str">
        <f>IF(VLOOKUP(Calc!B16,Calc!$C$4:$Q$21,15,0)=0,"",VLOOKUP(Calc!B16,Calc!$C$4:$Q$21,15,0))</f>
        <v/>
      </c>
      <c r="AC21" t="str">
        <f>IF(IFERROR(VLOOKUP($P21,Plan!$D$7:$E$42,2,0),0)=0,IF(LEN(P21)&gt;Factors!$D$12,LEFT(P21,Factors!$D$12)&amp;".",P21),VLOOKUP($P21,Plan!$D$7:$E$42,2,0))</f>
        <v>Valeren.</v>
      </c>
      <c r="AE21" s="217">
        <f t="shared" si="0"/>
        <v>13</v>
      </c>
      <c r="AF21" s="218" t="str">
        <f t="shared" si="0"/>
        <v>Valerenga IF</v>
      </c>
      <c r="AG21" s="412" t="str">
        <f>IFERROR(VLOOKUP($P21&amp;AG$8,Calc2!$J$4:$L$111,3,0),"")</f>
        <v/>
      </c>
      <c r="AH21" s="414" t="str">
        <f>IFERROR(VLOOKUP($P21&amp;AH$8,Calc2!$J$4:$L$111,3,0),"")</f>
        <v/>
      </c>
      <c r="AI21" s="414" t="str">
        <f>IFERROR(VLOOKUP($P21&amp;AI$8,Calc2!$J$4:$L$111,3,0),"")</f>
        <v/>
      </c>
      <c r="AJ21" s="414" t="str">
        <f>IFERROR(VLOOKUP($P21&amp;AJ$8,Calc2!$J$4:$L$111,3,0),"")</f>
        <v>0 : 3</v>
      </c>
      <c r="AK21" s="414" t="str">
        <f>IFERROR(VLOOKUP($P21&amp;AK$8,Calc2!$J$4:$L$111,3,0),"")</f>
        <v/>
      </c>
      <c r="AL21" s="414" t="str">
        <f>IFERROR(VLOOKUP($P21&amp;AL$8,Calc2!$J$4:$L$111,3,0),"")</f>
        <v>0 : 1</v>
      </c>
      <c r="AM21" s="414" t="str">
        <f>IFERROR(VLOOKUP($P21&amp;AM$8,Calc2!$J$4:$L$111,3,0),"")</f>
        <v/>
      </c>
      <c r="AN21" s="414" t="str">
        <f>IFERROR(VLOOKUP($P21&amp;AN$8,Calc2!$J$4:$L$111,3,0),"")</f>
        <v/>
      </c>
      <c r="AO21" s="414" t="str">
        <f>IFERROR(VLOOKUP($P21&amp;AO$8,Calc2!$J$4:$L$111,3,0),"")</f>
        <v>1 : 2</v>
      </c>
      <c r="AP21" s="414" t="str">
        <f>IFERROR(VLOOKUP($P21&amp;AP$8,Calc2!$J$4:$L$111,3,0),"")</f>
        <v>0 : 1</v>
      </c>
      <c r="AQ21" s="414" t="str">
        <f>IFERROR(VLOOKUP($P21&amp;AQ$8,Calc2!$J$4:$L$111,3,0),"")</f>
        <v/>
      </c>
      <c r="AR21" s="414" t="str">
        <f>IFERROR(VLOOKUP($P21&amp;AR$8,Calc2!$J$4:$L$111,3,0),"")</f>
        <v/>
      </c>
      <c r="AS21" s="413"/>
      <c r="AT21" s="414" t="str">
        <f>IFERROR(VLOOKUP($P21&amp;AT$8,Calc2!$J$4:$L$111,3,0),"")</f>
        <v>1 : 0</v>
      </c>
      <c r="AU21" s="414" t="str">
        <f>IFERROR(VLOOKUP($P21&amp;AU$8,Calc2!$J$4:$L$111,3,0),"")</f>
        <v/>
      </c>
      <c r="AV21" s="414" t="str">
        <f>IFERROR(VLOOKUP($P21&amp;AV$8,Calc2!$J$4:$L$111,3,0),"")</f>
        <v/>
      </c>
      <c r="AW21" s="414" t="str">
        <f>IFERROR(VLOOKUP($P21&amp;AW$8,Calc2!$J$4:$L$111,3,0),"")</f>
        <v/>
      </c>
      <c r="AX21" s="415" t="str">
        <f>IFERROR(VLOOKUP($P21&amp;AX$8,Calc2!$J$4:$L$111,3,0),"")</f>
        <v>2 : 2</v>
      </c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1"/>
    </row>
    <row r="22" spans="2:68" ht="15.75" x14ac:dyDescent="0.25">
      <c r="B22" s="23"/>
      <c r="C22" s="21">
        <v>14</v>
      </c>
      <c r="D22" s="488">
        <f>IF(Plan!$T20="","",Plan!$T20)</f>
        <v>45945</v>
      </c>
      <c r="E22" s="19">
        <f>IF(Plan!$U20="","",Plan!$U20)</f>
        <v>0.875</v>
      </c>
      <c r="F22" s="45" t="str">
        <f>Plan!$Q20</f>
        <v>Oud-Heverlee Leuven</v>
      </c>
      <c r="G22" s="20" t="s">
        <v>170</v>
      </c>
      <c r="H22" s="45" t="str">
        <f>Plan!$S20</f>
        <v>FC Twente</v>
      </c>
      <c r="I22" s="47">
        <v>2</v>
      </c>
      <c r="J22" s="481" t="str">
        <f>Language!$E$90</f>
        <v xml:space="preserve"> : </v>
      </c>
      <c r="K22" s="49">
        <v>1</v>
      </c>
      <c r="L22" s="25"/>
      <c r="M22" s="26"/>
      <c r="O22" s="261">
        <f>IF(Calc!$K$22=0,"",IF(VLOOKUP(Calc!B17,Calc!$C$4:$E$21,3,0)=MAX(O$9:O21),VLOOKUP(Calc!B17,Calc!$C$4:$E$21,3,0),Calc!B17))</f>
        <v>14</v>
      </c>
      <c r="P22" s="262" t="str">
        <f>IF(Calc!$K$22=0,Calc2!$C17,VLOOKUP(Calc!B17,Calc!$C$4:$N$21,4,0))</f>
        <v>AS Rom</v>
      </c>
      <c r="Q22" s="263">
        <f>IF(Calc!$K$22=0,"",VLOOKUP(Calc!B17,Calc!$C$4:$N$21,9,0))</f>
        <v>6</v>
      </c>
      <c r="R22" s="264">
        <f>IF(Calc!$K$22=0,"",IF($Q22=0,"",VLOOKUP(Calc!B17,Calc!$C$4:$N$21,10,0)))</f>
        <v>1</v>
      </c>
      <c r="S22" s="264">
        <f>IF(Calc!$K$22=0,"",IF($Q22=0,"",VLOOKUP(Calc!B17,Calc!$C$4:$N$21,11,0)))</f>
        <v>1</v>
      </c>
      <c r="T22" s="265">
        <f>IF(Calc!$K$22=0,"",IF($Q22=0,"",VLOOKUP(Calc!B17,Calc!$C$4:$N$21,12,0)))</f>
        <v>4</v>
      </c>
      <c r="U22" s="266">
        <f>IF(Calc!$K$22=0,"",IF($Q22=0,"",VLOOKUP(Calc!B17,Calc!$C$4:$N$21,5,0)))</f>
        <v>9</v>
      </c>
      <c r="V22" s="267" t="str">
        <f>Language!$E$90</f>
        <v xml:space="preserve"> : </v>
      </c>
      <c r="W22" s="268">
        <f>IF(Calc!$K$22=0,"",IF($Q22=0,"",VLOOKUP(Calc!B17,Calc!$C$4:$N$21,6,0)))</f>
        <v>19</v>
      </c>
      <c r="X22" s="269">
        <f>IF(Calc!$K$22=0,"",IF($Q22=0,"",VLOOKUP(Calc!B17,Calc!$C$4:$N$21,7,0)))</f>
        <v>-10</v>
      </c>
      <c r="Y22" s="270">
        <f>IF(Calc!$K$22=0,"",IF($Q22=0,"",VLOOKUP(Calc!B17,Calc!$C$4:$P$21,13,0)))</f>
        <v>3</v>
      </c>
      <c r="Z22" s="270">
        <f>IF(Calc!$K$22=0,"",IF($Q22=0,"",VLOOKUP(Calc!B17,Calc!$C$4:$P$21,14,0)))</f>
        <v>0</v>
      </c>
      <c r="AA22" s="271">
        <f>IF(Calc!$K$22=0,"",IF($Q22=0,"",VLOOKUP(Calc!B17,Calc!$C$4:$N$21,8,0)))</f>
        <v>4</v>
      </c>
      <c r="AB22" s="68" t="str">
        <f>IF(VLOOKUP(Calc!B17,Calc!$C$4:$Q$21,15,0)=0,"",VLOOKUP(Calc!B17,Calc!$C$4:$Q$21,15,0))</f>
        <v/>
      </c>
      <c r="AC22" t="str">
        <f>IF(IFERROR(VLOOKUP($P22,Plan!$D$7:$E$42,2,0),0)=0,IF(LEN(P22)&gt;Factors!$D$12,LEFT(P22,Factors!$D$12)&amp;".",P22),VLOOKUP($P22,Plan!$D$7:$E$42,2,0))</f>
        <v>AS Rom</v>
      </c>
      <c r="AE22" s="217">
        <f t="shared" si="0"/>
        <v>14</v>
      </c>
      <c r="AF22" s="218" t="str">
        <f t="shared" si="0"/>
        <v>AS Rom</v>
      </c>
      <c r="AG22" s="412" t="str">
        <f>IFERROR(VLOOKUP($P22&amp;AG$8,Calc2!$J$4:$L$111,3,0),"")</f>
        <v>0 : 4</v>
      </c>
      <c r="AH22" s="414" t="str">
        <f>IFERROR(VLOOKUP($P22&amp;AH$8,Calc2!$J$4:$L$111,3,0),"")</f>
        <v/>
      </c>
      <c r="AI22" s="414" t="str">
        <f>IFERROR(VLOOKUP($P22&amp;AI$8,Calc2!$J$4:$L$111,3,0),"")</f>
        <v>0 : 6</v>
      </c>
      <c r="AJ22" s="414" t="str">
        <f>IFERROR(VLOOKUP($P22&amp;AJ$8,Calc2!$J$4:$L$111,3,0),"")</f>
        <v/>
      </c>
      <c r="AK22" s="414" t="str">
        <f>IFERROR(VLOOKUP($P22&amp;AK$8,Calc2!$J$4:$L$111,3,0),"")</f>
        <v/>
      </c>
      <c r="AL22" s="414" t="str">
        <f>IFERROR(VLOOKUP($P22&amp;AL$8,Calc2!$J$4:$L$111,3,0),"")</f>
        <v/>
      </c>
      <c r="AM22" s="414" t="str">
        <f>IFERROR(VLOOKUP($P22&amp;AM$8,Calc2!$J$4:$L$111,3,0),"")</f>
        <v>2 : 6</v>
      </c>
      <c r="AN22" s="414" t="str">
        <f>IFERROR(VLOOKUP($P22&amp;AN$8,Calc2!$J$4:$L$111,3,0),"")</f>
        <v/>
      </c>
      <c r="AO22" s="414" t="str">
        <f>IFERROR(VLOOKUP($P22&amp;AO$8,Calc2!$J$4:$L$111,3,0),"")</f>
        <v/>
      </c>
      <c r="AP22" s="414" t="str">
        <f>IFERROR(VLOOKUP($P22&amp;AP$8,Calc2!$J$4:$L$111,3,0),"")</f>
        <v/>
      </c>
      <c r="AQ22" s="414" t="str">
        <f>IFERROR(VLOOKUP($P22&amp;AQ$8,Calc2!$J$4:$L$111,3,0),"")</f>
        <v/>
      </c>
      <c r="AR22" s="414" t="str">
        <f>IFERROR(VLOOKUP($P22&amp;AR$8,Calc2!$J$4:$L$111,3,0),"")</f>
        <v>1 : 1</v>
      </c>
      <c r="AS22" s="414" t="str">
        <f>IFERROR(VLOOKUP($P22&amp;AS$8,Calc2!$J$4:$L$111,3,0),"")</f>
        <v>0 : 1</v>
      </c>
      <c r="AT22" s="413"/>
      <c r="AU22" s="414" t="str">
        <f>IFERROR(VLOOKUP($P22&amp;AU$8,Calc2!$J$4:$L$111,3,0),"")</f>
        <v/>
      </c>
      <c r="AV22" s="414" t="str">
        <f>IFERROR(VLOOKUP($P22&amp;AV$8,Calc2!$J$4:$L$111,3,0),"")</f>
        <v/>
      </c>
      <c r="AW22" s="414" t="str">
        <f>IFERROR(VLOOKUP($P22&amp;AW$8,Calc2!$J$4:$L$111,3,0),"")</f>
        <v/>
      </c>
      <c r="AX22" s="415" t="str">
        <f>IFERROR(VLOOKUP($P22&amp;AX$8,Calc2!$J$4:$L$111,3,0),"")</f>
        <v>6 : 1</v>
      </c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1"/>
      <c r="BN22" s="221"/>
      <c r="BO22" s="221"/>
      <c r="BP22" s="221"/>
    </row>
    <row r="23" spans="2:68" ht="15.75" x14ac:dyDescent="0.25">
      <c r="B23" s="23"/>
      <c r="C23" s="21">
        <v>15</v>
      </c>
      <c r="D23" s="488">
        <f>IF(Plan!$T21="","",Plan!$T21)</f>
        <v>45946</v>
      </c>
      <c r="E23" s="19">
        <f>IF(Plan!$U21="","",Plan!$U21)</f>
        <v>0.78125</v>
      </c>
      <c r="F23" s="45" t="str">
        <f>Plan!$Q21</f>
        <v>Atletico Madrid</v>
      </c>
      <c r="G23" s="20" t="s">
        <v>170</v>
      </c>
      <c r="H23" s="45" t="str">
        <f>Plan!$S21</f>
        <v>Manchester United</v>
      </c>
      <c r="I23" s="47">
        <v>0</v>
      </c>
      <c r="J23" s="481" t="str">
        <f>Language!$E$90</f>
        <v xml:space="preserve"> : </v>
      </c>
      <c r="K23" s="49">
        <v>1</v>
      </c>
      <c r="L23" s="25"/>
      <c r="M23" s="26"/>
      <c r="O23" s="261">
        <f>IF(Calc!$K$22=0,"",IF(VLOOKUP(Calc!B18,Calc!$C$4:$E$21,3,0)=MAX(O$9:O22),VLOOKUP(Calc!B18,Calc!$C$4:$E$21,3,0),Calc!B18))</f>
        <v>15</v>
      </c>
      <c r="P23" s="262" t="str">
        <f>IF(Calc!$K$22=0,Calc2!$C18,VLOOKUP(Calc!B18,Calc!$C$4:$N$21,4,0))</f>
        <v>FC Twente</v>
      </c>
      <c r="Q23" s="263">
        <f>IF(Calc!$K$22=0,"",VLOOKUP(Calc!B18,Calc!$C$4:$N$21,9,0))</f>
        <v>6</v>
      </c>
      <c r="R23" s="264">
        <f>IF(Calc!$K$22=0,"",IF($Q23=0,"",VLOOKUP(Calc!B18,Calc!$C$4:$N$21,10,0)))</f>
        <v>0</v>
      </c>
      <c r="S23" s="264">
        <f>IF(Calc!$K$22=0,"",IF($Q23=0,"",VLOOKUP(Calc!B18,Calc!$C$4:$N$21,11,0)))</f>
        <v>3</v>
      </c>
      <c r="T23" s="265">
        <f>IF(Calc!$K$22=0,"",IF($Q23=0,"",VLOOKUP(Calc!B18,Calc!$C$4:$N$21,12,0)))</f>
        <v>3</v>
      </c>
      <c r="U23" s="266">
        <f>IF(Calc!$K$22=0,"",IF($Q23=0,"",VLOOKUP(Calc!B18,Calc!$C$4:$N$21,5,0)))</f>
        <v>4</v>
      </c>
      <c r="V23" s="267" t="str">
        <f>Language!$E$90</f>
        <v xml:space="preserve"> : </v>
      </c>
      <c r="W23" s="268">
        <f>IF(Calc!$K$22=0,"",IF($Q23=0,"",VLOOKUP(Calc!B18,Calc!$C$4:$N$21,6,0)))</f>
        <v>10</v>
      </c>
      <c r="X23" s="269">
        <f>IF(Calc!$K$22=0,"",IF($Q23=0,"",VLOOKUP(Calc!B18,Calc!$C$4:$N$21,7,0)))</f>
        <v>-6</v>
      </c>
      <c r="Y23" s="270">
        <f>IF(Calc!$K$22=0,"",IF($Q23=0,"",VLOOKUP(Calc!B18,Calc!$C$4:$P$21,13,0)))</f>
        <v>2</v>
      </c>
      <c r="Z23" s="270">
        <f>IF(Calc!$K$22=0,"",IF($Q23=0,"",VLOOKUP(Calc!B18,Calc!$C$4:$P$21,14,0)))</f>
        <v>0</v>
      </c>
      <c r="AA23" s="271">
        <f>IF(Calc!$K$22=0,"",IF($Q23=0,"",VLOOKUP(Calc!B18,Calc!$C$4:$N$21,8,0)))</f>
        <v>3</v>
      </c>
      <c r="AB23" s="68" t="str">
        <f>IF(VLOOKUP(Calc!B18,Calc!$C$4:$Q$21,15,0)=0,"",VLOOKUP(Calc!B18,Calc!$C$4:$Q$21,15,0))</f>
        <v/>
      </c>
      <c r="AC23" t="str">
        <f>IF(IFERROR(VLOOKUP($P23,Plan!$D$7:$E$42,2,0),0)=0,IF(LEN(P23)&gt;Factors!$D$12,LEFT(P23,Factors!$D$12)&amp;".",P23),VLOOKUP($P23,Plan!$D$7:$E$42,2,0))</f>
        <v>FC Twen.</v>
      </c>
      <c r="AE23" s="217">
        <f t="shared" si="0"/>
        <v>15</v>
      </c>
      <c r="AF23" s="218" t="str">
        <f t="shared" si="0"/>
        <v>FC Twente</v>
      </c>
      <c r="AG23" s="412" t="str">
        <f>IFERROR(VLOOKUP($P23&amp;AG$8,Calc2!$J$4:$L$111,3,0),"")</f>
        <v/>
      </c>
      <c r="AH23" s="414" t="str">
        <f>IFERROR(VLOOKUP($P23&amp;AH$8,Calc2!$J$4:$L$111,3,0),"")</f>
        <v/>
      </c>
      <c r="AI23" s="414" t="str">
        <f>IFERROR(VLOOKUP($P23&amp;AI$8,Calc2!$J$4:$L$111,3,0),"")</f>
        <v>1 : 1</v>
      </c>
      <c r="AJ23" s="414" t="str">
        <f>IFERROR(VLOOKUP($P23&amp;AJ$8,Calc2!$J$4:$L$111,3,0),"")</f>
        <v/>
      </c>
      <c r="AK23" s="414" t="str">
        <f>IFERROR(VLOOKUP($P23&amp;AK$8,Calc2!$J$4:$L$111,3,0),"")</f>
        <v>0 : 1</v>
      </c>
      <c r="AL23" s="414" t="str">
        <f>IFERROR(VLOOKUP($P23&amp;AL$8,Calc2!$J$4:$L$111,3,0),"")</f>
        <v/>
      </c>
      <c r="AM23" s="414" t="str">
        <f>IFERROR(VLOOKUP($P23&amp;AM$8,Calc2!$J$4:$L$111,3,0),"")</f>
        <v>1 : 1</v>
      </c>
      <c r="AN23" s="414" t="str">
        <f>IFERROR(VLOOKUP($P23&amp;AN$8,Calc2!$J$4:$L$111,3,0),"")</f>
        <v/>
      </c>
      <c r="AO23" s="414" t="str">
        <f>IFERROR(VLOOKUP($P23&amp;AO$8,Calc2!$J$4:$L$111,3,0),"")</f>
        <v/>
      </c>
      <c r="AP23" s="414" t="str">
        <f>IFERROR(VLOOKUP($P23&amp;AP$8,Calc2!$J$4:$L$111,3,0),"")</f>
        <v/>
      </c>
      <c r="AQ23" s="414" t="str">
        <f>IFERROR(VLOOKUP($P23&amp;AQ$8,Calc2!$J$4:$L$111,3,0),"")</f>
        <v>0 : 4</v>
      </c>
      <c r="AR23" s="414" t="str">
        <f>IFERROR(VLOOKUP($P23&amp;AR$8,Calc2!$J$4:$L$111,3,0),"")</f>
        <v>1 : 2</v>
      </c>
      <c r="AS23" s="414" t="str">
        <f>IFERROR(VLOOKUP($P23&amp;AS$8,Calc2!$J$4:$L$111,3,0),"")</f>
        <v/>
      </c>
      <c r="AT23" s="414" t="str">
        <f>IFERROR(VLOOKUP($P23&amp;AT$8,Calc2!$J$4:$L$111,3,0),"")</f>
        <v/>
      </c>
      <c r="AU23" s="413"/>
      <c r="AV23" s="414" t="str">
        <f>IFERROR(VLOOKUP($P23&amp;AV$8,Calc2!$J$4:$L$111,3,0),"")</f>
        <v>1 : 1</v>
      </c>
      <c r="AW23" s="414" t="str">
        <f>IFERROR(VLOOKUP($P23&amp;AW$8,Calc2!$J$4:$L$111,3,0),"")</f>
        <v/>
      </c>
      <c r="AX23" s="415" t="str">
        <f>IFERROR(VLOOKUP($P23&amp;AX$8,Calc2!$J$4:$L$111,3,0),"")</f>
        <v/>
      </c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</row>
    <row r="24" spans="2:68" ht="15.75" x14ac:dyDescent="0.25">
      <c r="B24" s="23"/>
      <c r="C24" s="21">
        <v>16</v>
      </c>
      <c r="D24" s="488">
        <f>IF(Plan!$T22="","",Plan!$T22)</f>
        <v>45946</v>
      </c>
      <c r="E24" s="19">
        <f>IF(Plan!$U22="","",Plan!$U22)</f>
        <v>0.875</v>
      </c>
      <c r="F24" s="45" t="str">
        <f>Plan!$Q22</f>
        <v>SL Benfica</v>
      </c>
      <c r="G24" s="20" t="s">
        <v>170</v>
      </c>
      <c r="H24" s="45" t="str">
        <f>Plan!$S22</f>
        <v>Arsenal WFC</v>
      </c>
      <c r="I24" s="47">
        <v>0</v>
      </c>
      <c r="J24" s="481" t="str">
        <f>Language!$E$90</f>
        <v xml:space="preserve"> : </v>
      </c>
      <c r="K24" s="49">
        <v>2</v>
      </c>
      <c r="L24" s="25"/>
      <c r="M24" s="26"/>
      <c r="O24" s="261">
        <f>IF(Calc!$K$22=0,"",IF(VLOOKUP(Calc!B19,Calc!$C$4:$E$21,3,0)=MAX(O$9:O23),VLOOKUP(Calc!B19,Calc!$C$4:$E$21,3,0),Calc!B19))</f>
        <v>16</v>
      </c>
      <c r="P24" s="262" t="str">
        <f>IF(Calc!$K$22=0,Calc2!$C19,VLOOKUP(Calc!B19,Calc!$C$4:$N$21,4,0))</f>
        <v>SL Benfica</v>
      </c>
      <c r="Q24" s="263">
        <f>IF(Calc!$K$22=0,"",VLOOKUP(Calc!B19,Calc!$C$4:$N$21,9,0))</f>
        <v>6</v>
      </c>
      <c r="R24" s="264">
        <f>IF(Calc!$K$22=0,"",IF($Q24=0,"",VLOOKUP(Calc!B19,Calc!$C$4:$N$21,10,0)))</f>
        <v>0</v>
      </c>
      <c r="S24" s="264">
        <f>IF(Calc!$K$22=0,"",IF($Q24=0,"",VLOOKUP(Calc!B19,Calc!$C$4:$N$21,11,0)))</f>
        <v>2</v>
      </c>
      <c r="T24" s="265">
        <f>IF(Calc!$K$22=0,"",IF($Q24=0,"",VLOOKUP(Calc!B19,Calc!$C$4:$N$21,12,0)))</f>
        <v>4</v>
      </c>
      <c r="U24" s="266">
        <f>IF(Calc!$K$22=0,"",IF($Q24=0,"",VLOOKUP(Calc!B19,Calc!$C$4:$N$21,5,0)))</f>
        <v>4</v>
      </c>
      <c r="V24" s="267" t="str">
        <f>Language!$E$90</f>
        <v xml:space="preserve"> : </v>
      </c>
      <c r="W24" s="268">
        <f>IF(Calc!$K$22=0,"",IF($Q24=0,"",VLOOKUP(Calc!B19,Calc!$C$4:$N$21,6,0)))</f>
        <v>11</v>
      </c>
      <c r="X24" s="269">
        <f>IF(Calc!$K$22=0,"",IF($Q24=0,"",VLOOKUP(Calc!B19,Calc!$C$4:$N$21,7,0)))</f>
        <v>-7</v>
      </c>
      <c r="Y24" s="270">
        <f>IF(Calc!$K$22=0,"",IF($Q24=0,"",VLOOKUP(Calc!B19,Calc!$C$4:$P$21,13,0)))</f>
        <v>2</v>
      </c>
      <c r="Z24" s="270">
        <f>IF(Calc!$K$22=0,"",IF($Q24=0,"",VLOOKUP(Calc!B19,Calc!$C$4:$P$21,14,0)))</f>
        <v>0</v>
      </c>
      <c r="AA24" s="271">
        <f>IF(Calc!$K$22=0,"",IF($Q24=0,"",VLOOKUP(Calc!B19,Calc!$C$4:$N$21,8,0)))</f>
        <v>2</v>
      </c>
      <c r="AB24" s="68" t="str">
        <f>IF(VLOOKUP(Calc!B19,Calc!$C$4:$Q$21,15,0)=0,"",VLOOKUP(Calc!B19,Calc!$C$4:$Q$21,15,0))</f>
        <v/>
      </c>
      <c r="AC24" t="str">
        <f>IF(IFERROR(VLOOKUP($P24,Plan!$D$7:$E$42,2,0),0)=0,IF(LEN(P24)&gt;Factors!$D$12,LEFT(P24,Factors!$D$12)&amp;".",P24),VLOOKUP($P24,Plan!$D$7:$E$42,2,0))</f>
        <v>SL Benf.</v>
      </c>
      <c r="AE24" s="217">
        <f t="shared" si="0"/>
        <v>16</v>
      </c>
      <c r="AF24" s="218" t="str">
        <f t="shared" si="0"/>
        <v>SL Benfica</v>
      </c>
      <c r="AG24" s="412" t="str">
        <f>IFERROR(VLOOKUP($P24&amp;AG$8,Calc2!$J$4:$L$111,3,0),"")</f>
        <v>1 : 3</v>
      </c>
      <c r="AH24" s="414" t="str">
        <f>IFERROR(VLOOKUP($P24&amp;AH$8,Calc2!$J$4:$L$111,3,0),"")</f>
        <v/>
      </c>
      <c r="AI24" s="414" t="str">
        <f>IFERROR(VLOOKUP($P24&amp;AI$8,Calc2!$J$4:$L$111,3,0),"")</f>
        <v/>
      </c>
      <c r="AJ24" s="414" t="str">
        <f>IFERROR(VLOOKUP($P24&amp;AJ$8,Calc2!$J$4:$L$111,3,0),"")</f>
        <v/>
      </c>
      <c r="AK24" s="414" t="str">
        <f>IFERROR(VLOOKUP($P24&amp;AK$8,Calc2!$J$4:$L$111,3,0),"")</f>
        <v>0 : 2</v>
      </c>
      <c r="AL24" s="414" t="str">
        <f>IFERROR(VLOOKUP($P24&amp;AL$8,Calc2!$J$4:$L$111,3,0),"")</f>
        <v/>
      </c>
      <c r="AM24" s="414" t="str">
        <f>IFERROR(VLOOKUP($P24&amp;AM$8,Calc2!$J$4:$L$111,3,0),"")</f>
        <v/>
      </c>
      <c r="AN24" s="414" t="str">
        <f>IFERROR(VLOOKUP($P24&amp;AN$8,Calc2!$J$4:$L$111,3,0),"")</f>
        <v>1 : 2</v>
      </c>
      <c r="AO24" s="414" t="str">
        <f>IFERROR(VLOOKUP($P24&amp;AO$8,Calc2!$J$4:$L$111,3,0),"")</f>
        <v/>
      </c>
      <c r="AP24" s="414" t="str">
        <f>IFERROR(VLOOKUP($P24&amp;AP$8,Calc2!$J$4:$L$111,3,0),"")</f>
        <v>0 : 2</v>
      </c>
      <c r="AQ24" s="414" t="str">
        <f>IFERROR(VLOOKUP($P24&amp;AQ$8,Calc2!$J$4:$L$111,3,0),"")</f>
        <v/>
      </c>
      <c r="AR24" s="414" t="str">
        <f>IFERROR(VLOOKUP($P24&amp;AR$8,Calc2!$J$4:$L$111,3,0),"")</f>
        <v/>
      </c>
      <c r="AS24" s="414" t="str">
        <f>IFERROR(VLOOKUP($P24&amp;AS$8,Calc2!$J$4:$L$111,3,0),"")</f>
        <v/>
      </c>
      <c r="AT24" s="414" t="str">
        <f>IFERROR(VLOOKUP($P24&amp;AT$8,Calc2!$J$4:$L$111,3,0),"")</f>
        <v/>
      </c>
      <c r="AU24" s="414" t="str">
        <f>IFERROR(VLOOKUP($P24&amp;AU$8,Calc2!$J$4:$L$111,3,0),"")</f>
        <v>1 : 1</v>
      </c>
      <c r="AV24" s="413"/>
      <c r="AW24" s="414" t="str">
        <f>IFERROR(VLOOKUP($P24&amp;AW$8,Calc2!$J$4:$L$111,3,0),"")</f>
        <v>1 : 1</v>
      </c>
      <c r="AX24" s="415" t="str">
        <f>IFERROR(VLOOKUP($P24&amp;AX$8,Calc2!$J$4:$L$111,3,0),"")</f>
        <v/>
      </c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1"/>
      <c r="BN24" s="221"/>
      <c r="BO24" s="221"/>
      <c r="BP24" s="221"/>
    </row>
    <row r="25" spans="2:68" ht="15.75" x14ac:dyDescent="0.25">
      <c r="B25" s="23"/>
      <c r="C25" s="21">
        <v>17</v>
      </c>
      <c r="D25" s="488">
        <f>IF(Plan!$T23="","",Plan!$T23)</f>
        <v>45946</v>
      </c>
      <c r="E25" s="19">
        <f>IF(Plan!$U23="","",Plan!$U23)</f>
        <v>0.875</v>
      </c>
      <c r="F25" s="45" t="str">
        <f>Plan!$Q23</f>
        <v>FC Bayern München</v>
      </c>
      <c r="G25" s="20" t="s">
        <v>170</v>
      </c>
      <c r="H25" s="45" t="str">
        <f>Plan!$S23</f>
        <v>Juventus FC</v>
      </c>
      <c r="I25" s="47">
        <v>2</v>
      </c>
      <c r="J25" s="481" t="str">
        <f>Language!$E$90</f>
        <v xml:space="preserve"> : </v>
      </c>
      <c r="K25" s="49">
        <v>1</v>
      </c>
      <c r="L25" s="25"/>
      <c r="M25" s="26"/>
      <c r="O25" s="261">
        <f>IF(Calc!$K$22=0,"",IF(VLOOKUP(Calc!B20,Calc!$C$4:$E$21,3,0)=MAX(O$9:O24),VLOOKUP(Calc!B20,Calc!$C$4:$E$21,3,0),Calc!B20))</f>
        <v>17</v>
      </c>
      <c r="P25" s="262" t="str">
        <f>IF(Calc!$K$22=0,Calc2!$C20,VLOOKUP(Calc!B20,Calc!$C$4:$N$21,4,0))</f>
        <v>Paris St. Germain</v>
      </c>
      <c r="Q25" s="263">
        <f>IF(Calc!$K$22=0,"",VLOOKUP(Calc!B20,Calc!$C$4:$N$21,9,0))</f>
        <v>6</v>
      </c>
      <c r="R25" s="264">
        <f>IF(Calc!$K$22=0,"",IF($Q25=0,"",VLOOKUP(Calc!B20,Calc!$C$4:$N$21,10,0)))</f>
        <v>0</v>
      </c>
      <c r="S25" s="264">
        <f>IF(Calc!$K$22=0,"",IF($Q25=0,"",VLOOKUP(Calc!B20,Calc!$C$4:$N$21,11,0)))</f>
        <v>2</v>
      </c>
      <c r="T25" s="265">
        <f>IF(Calc!$K$22=0,"",IF($Q25=0,"",VLOOKUP(Calc!B20,Calc!$C$4:$N$21,12,0)))</f>
        <v>4</v>
      </c>
      <c r="U25" s="266">
        <f>IF(Calc!$K$22=0,"",IF($Q25=0,"",VLOOKUP(Calc!B20,Calc!$C$4:$N$21,5,0)))</f>
        <v>4</v>
      </c>
      <c r="V25" s="267" t="str">
        <f>Language!$E$90</f>
        <v xml:space="preserve"> : </v>
      </c>
      <c r="W25" s="268">
        <f>IF(Calc!$K$22=0,"",IF($Q25=0,"",VLOOKUP(Calc!B20,Calc!$C$4:$N$21,6,0)))</f>
        <v>12</v>
      </c>
      <c r="X25" s="269">
        <f>IF(Calc!$K$22=0,"",IF($Q25=0,"",VLOOKUP(Calc!B20,Calc!$C$4:$N$21,7,0)))</f>
        <v>-8</v>
      </c>
      <c r="Y25" s="270">
        <f>IF(Calc!$K$22=0,"",IF($Q25=0,"",VLOOKUP(Calc!B20,Calc!$C$4:$P$21,13,0)))</f>
        <v>2</v>
      </c>
      <c r="Z25" s="270">
        <f>IF(Calc!$K$22=0,"",IF($Q25=0,"",VLOOKUP(Calc!B20,Calc!$C$4:$P$21,14,0)))</f>
        <v>0</v>
      </c>
      <c r="AA25" s="271">
        <f>IF(Calc!$K$22=0,"",IF($Q25=0,"",VLOOKUP(Calc!B20,Calc!$C$4:$N$21,8,0)))</f>
        <v>2</v>
      </c>
      <c r="AB25" s="68" t="str">
        <f>IF(VLOOKUP(Calc!B20,Calc!$C$4:$Q$21,15,0)=0,"",VLOOKUP(Calc!B20,Calc!$C$4:$Q$21,15,0))</f>
        <v/>
      </c>
      <c r="AC25" t="str">
        <f>IF(IFERROR(VLOOKUP($P25,Plan!$D$7:$E$42,2,0),0)=0,IF(LEN(P25)&gt;Factors!$D$12,LEFT(P25,Factors!$D$12)&amp;".",P25),VLOOKUP($P25,Plan!$D$7:$E$42,2,0))</f>
        <v>Paris S.</v>
      </c>
      <c r="AE25" s="217">
        <f t="shared" si="0"/>
        <v>17</v>
      </c>
      <c r="AF25" s="218" t="str">
        <f t="shared" si="0"/>
        <v>Paris St. Germain</v>
      </c>
      <c r="AG25" s="412" t="str">
        <f>IFERROR(VLOOKUP($P25&amp;AG$8,Calc2!$J$4:$L$111,3,0),"")</f>
        <v/>
      </c>
      <c r="AH25" s="414" t="str">
        <f>IFERROR(VLOOKUP($P25&amp;AH$8,Calc2!$J$4:$L$111,3,0),"")</f>
        <v/>
      </c>
      <c r="AI25" s="414" t="str">
        <f>IFERROR(VLOOKUP($P25&amp;AI$8,Calc2!$J$4:$L$111,3,0),"")</f>
        <v/>
      </c>
      <c r="AJ25" s="414" t="str">
        <f>IFERROR(VLOOKUP($P25&amp;AJ$8,Calc2!$J$4:$L$111,3,0),"")</f>
        <v>1 : 3</v>
      </c>
      <c r="AK25" s="414" t="str">
        <f>IFERROR(VLOOKUP($P25&amp;AK$8,Calc2!$J$4:$L$111,3,0),"")</f>
        <v/>
      </c>
      <c r="AL25" s="414" t="str">
        <f>IFERROR(VLOOKUP($P25&amp;AL$8,Calc2!$J$4:$L$111,3,0),"")</f>
        <v>1 : 2</v>
      </c>
      <c r="AM25" s="414" t="str">
        <f>IFERROR(VLOOKUP($P25&amp;AM$8,Calc2!$J$4:$L$111,3,0),"")</f>
        <v>1 : 2</v>
      </c>
      <c r="AN25" s="414" t="str">
        <f>IFERROR(VLOOKUP($P25&amp;AN$8,Calc2!$J$4:$L$111,3,0),"")</f>
        <v/>
      </c>
      <c r="AO25" s="414" t="str">
        <f>IFERROR(VLOOKUP($P25&amp;AO$8,Calc2!$J$4:$L$111,3,0),"")</f>
        <v>0 : 4</v>
      </c>
      <c r="AP25" s="414" t="str">
        <f>IFERROR(VLOOKUP($P25&amp;AP$8,Calc2!$J$4:$L$111,3,0),"")</f>
        <v/>
      </c>
      <c r="AQ25" s="414" t="str">
        <f>IFERROR(VLOOKUP($P25&amp;AQ$8,Calc2!$J$4:$L$111,3,0),"")</f>
        <v/>
      </c>
      <c r="AR25" s="414" t="str">
        <f>IFERROR(VLOOKUP($P25&amp;AR$8,Calc2!$J$4:$L$111,3,0),"")</f>
        <v>0 : 0</v>
      </c>
      <c r="AS25" s="414" t="str">
        <f>IFERROR(VLOOKUP($P25&amp;AS$8,Calc2!$J$4:$L$111,3,0),"")</f>
        <v/>
      </c>
      <c r="AT25" s="414" t="str">
        <f>IFERROR(VLOOKUP($P25&amp;AT$8,Calc2!$J$4:$L$111,3,0),"")</f>
        <v/>
      </c>
      <c r="AU25" s="414" t="str">
        <f>IFERROR(VLOOKUP($P25&amp;AU$8,Calc2!$J$4:$L$111,3,0),"")</f>
        <v/>
      </c>
      <c r="AV25" s="414" t="str">
        <f>IFERROR(VLOOKUP($P25&amp;AV$8,Calc2!$J$4:$L$111,3,0),"")</f>
        <v>1 : 1</v>
      </c>
      <c r="AW25" s="413"/>
      <c r="AX25" s="415" t="str">
        <f>IFERROR(VLOOKUP($P25&amp;AX$8,Calc2!$J$4:$L$111,3,0),"")</f>
        <v/>
      </c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1"/>
      <c r="BN25" s="221"/>
      <c r="BO25" s="221"/>
      <c r="BP25" s="221"/>
    </row>
    <row r="26" spans="2:68" ht="16.5" thickBot="1" x14ac:dyDescent="0.3">
      <c r="B26" s="23"/>
      <c r="C26" s="21">
        <v>18</v>
      </c>
      <c r="D26" s="488">
        <f>IF(Plan!$T24="","",Plan!$T24)</f>
        <v>45946</v>
      </c>
      <c r="E26" s="19">
        <f>IF(Plan!$U24="","",Plan!$U24)</f>
        <v>0.875</v>
      </c>
      <c r="F26" s="45" t="str">
        <f>Plan!$Q24</f>
        <v>Paris St. Germain</v>
      </c>
      <c r="G26" s="20" t="s">
        <v>170</v>
      </c>
      <c r="H26" s="45" t="str">
        <f>Plan!$S24</f>
        <v>Real Madrid</v>
      </c>
      <c r="I26" s="47">
        <v>1</v>
      </c>
      <c r="J26" s="482" t="str">
        <f>Language!$E$90</f>
        <v xml:space="preserve"> : </v>
      </c>
      <c r="K26" s="49">
        <v>2</v>
      </c>
      <c r="L26" s="25"/>
      <c r="M26" s="26"/>
      <c r="O26" s="361">
        <f>IF(Calc!$K$22=0,"",IF(VLOOKUP(Calc!B21,Calc!$C$4:$E$21,3,0)=MAX(O$9:O25),VLOOKUP(Calc!B21,Calc!$C$4:$E$21,3,0),Calc!B21))</f>
        <v>18</v>
      </c>
      <c r="P26" s="362" t="str">
        <f>IF(Calc!$K$22=0,Calc2!$C21,VLOOKUP(Calc!B21,Calc!$C$4:$N$21,4,0))</f>
        <v>SKN St. Pölten</v>
      </c>
      <c r="Q26" s="398">
        <f>IF(Calc!$K$22=0,"",VLOOKUP(Calc!B21,Calc!$C$4:$N$21,9,0))</f>
        <v>6</v>
      </c>
      <c r="R26" s="399">
        <f>IF(Calc!$K$22=0,"",IF($Q26=0,"",VLOOKUP(Calc!B21,Calc!$C$4:$N$21,10,0)))</f>
        <v>0</v>
      </c>
      <c r="S26" s="374">
        <f>IF(Calc!$K$22=0,"",IF($Q26=0,"",VLOOKUP(Calc!B21,Calc!$C$4:$N$21,11,0)))</f>
        <v>1</v>
      </c>
      <c r="T26" s="375">
        <f>IF(Calc!$K$22=0,"",IF($Q26=0,"",VLOOKUP(Calc!B21,Calc!$C$4:$N$21,12,0)))</f>
        <v>5</v>
      </c>
      <c r="U26" s="376">
        <f>IF(Calc!$K$22=0,"",IF($Q26=0,"",VLOOKUP(Calc!B21,Calc!$C$4:$N$21,5,0)))</f>
        <v>3</v>
      </c>
      <c r="V26" s="377" t="str">
        <f>Language!$E$90</f>
        <v xml:space="preserve"> : </v>
      </c>
      <c r="W26" s="378">
        <f>IF(Calc!$K$22=0,"",IF($Q26=0,"",VLOOKUP(Calc!B21,Calc!$C$4:$N$21,6,0)))</f>
        <v>28</v>
      </c>
      <c r="X26" s="379">
        <f>IF(Calc!$K$22=0,"",IF($Q26=0,"",VLOOKUP(Calc!B21,Calc!$C$4:$N$21,7,0)))</f>
        <v>-25</v>
      </c>
      <c r="Y26" s="380">
        <f>IF(Calc!$K$22=0,"",IF($Q26=0,"",VLOOKUP(Calc!B21,Calc!$C$4:$P$21,13,0)))</f>
        <v>3</v>
      </c>
      <c r="Z26" s="380">
        <f>IF(Calc!$K$22=0,"",IF($Q26=0,"",VLOOKUP(Calc!B21,Calc!$C$4:$P$21,14,0)))</f>
        <v>0</v>
      </c>
      <c r="AA26" s="381">
        <f>IF(Calc!$K$22=0,"",IF($Q26=0,"",VLOOKUP(Calc!B21,Calc!$C$4:$N$21,8,0)))</f>
        <v>1</v>
      </c>
      <c r="AB26" s="363" t="str">
        <f>IF(VLOOKUP(Calc!B21,Calc!$C$4:$Q$21,15,0)=0,"",VLOOKUP(Calc!B21,Calc!$C$4:$Q$21,15,0))</f>
        <v/>
      </c>
      <c r="AC26" t="str">
        <f>IF(IFERROR(VLOOKUP($P26,Plan!$D$7:$E$42,2,0),0)=0,IF(LEN(P26)&gt;Factors!$D$12,LEFT(P26,Factors!$D$12)&amp;".",P26),VLOOKUP($P26,Plan!$D$7:$E$42,2,0))</f>
        <v>SKN St..</v>
      </c>
      <c r="AE26" s="419">
        <f t="shared" si="0"/>
        <v>18</v>
      </c>
      <c r="AF26" s="420" t="str">
        <f t="shared" si="0"/>
        <v>SKN St. Pölten</v>
      </c>
      <c r="AG26" s="416" t="str">
        <f>IFERROR(VLOOKUP($P26&amp;AG$8,Calc2!$J$4:$L$111,3,0),"")</f>
        <v/>
      </c>
      <c r="AH26" s="417" t="str">
        <f>IFERROR(VLOOKUP($P26&amp;AH$8,Calc2!$J$4:$L$111,3,0),"")</f>
        <v>0 : 3</v>
      </c>
      <c r="AI26" s="417" t="str">
        <f>IFERROR(VLOOKUP($P26&amp;AI$8,Calc2!$J$4:$L$111,3,0),"")</f>
        <v>0 : 6</v>
      </c>
      <c r="AJ26" s="417" t="str">
        <f>IFERROR(VLOOKUP($P26&amp;AJ$8,Calc2!$J$4:$L$111,3,0),"")</f>
        <v/>
      </c>
      <c r="AK26" s="417" t="str">
        <f>IFERROR(VLOOKUP($P26&amp;AK$8,Calc2!$J$4:$L$111,3,0),"")</f>
        <v/>
      </c>
      <c r="AL26" s="417" t="str">
        <f>IFERROR(VLOOKUP($P26&amp;AL$8,Calc2!$J$4:$L$111,3,0),"")</f>
        <v/>
      </c>
      <c r="AM26" s="417" t="str">
        <f>IFERROR(VLOOKUP($P26&amp;AM$8,Calc2!$J$4:$L$111,3,0),"")</f>
        <v/>
      </c>
      <c r="AN26" s="417" t="str">
        <f>IFERROR(VLOOKUP($P26&amp;AN$8,Calc2!$J$4:$L$111,3,0),"")</f>
        <v>0 : 5</v>
      </c>
      <c r="AO26" s="417" t="str">
        <f>IFERROR(VLOOKUP($P26&amp;AO$8,Calc2!$J$4:$L$111,3,0),"")</f>
        <v/>
      </c>
      <c r="AP26" s="417" t="str">
        <f>IFERROR(VLOOKUP($P26&amp;AP$8,Calc2!$J$4:$L$111,3,0),"")</f>
        <v/>
      </c>
      <c r="AQ26" s="417" t="str">
        <f>IFERROR(VLOOKUP($P26&amp;AQ$8,Calc2!$J$4:$L$111,3,0),"")</f>
        <v>0 : 6</v>
      </c>
      <c r="AR26" s="417" t="str">
        <f>IFERROR(VLOOKUP($P26&amp;AR$8,Calc2!$J$4:$L$111,3,0),"")</f>
        <v/>
      </c>
      <c r="AS26" s="417" t="str">
        <f>IFERROR(VLOOKUP($P26&amp;AS$8,Calc2!$J$4:$L$111,3,0),"")</f>
        <v>2 : 2</v>
      </c>
      <c r="AT26" s="417" t="str">
        <f>IFERROR(VLOOKUP($P26&amp;AT$8,Calc2!$J$4:$L$111,3,0),"")</f>
        <v>1 : 6</v>
      </c>
      <c r="AU26" s="417" t="str">
        <f>IFERROR(VLOOKUP($P26&amp;AU$8,Calc2!$J$4:$L$111,3,0),"")</f>
        <v/>
      </c>
      <c r="AV26" s="417" t="str">
        <f>IFERROR(VLOOKUP($P26&amp;AV$8,Calc2!$J$4:$L$111,3,0),"")</f>
        <v/>
      </c>
      <c r="AW26" s="417" t="str">
        <f>IFERROR(VLOOKUP($P26&amp;AW$8,Calc2!$J$4:$L$111,3,0),"")</f>
        <v/>
      </c>
      <c r="AX26" s="418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1"/>
      <c r="BN26" s="221"/>
      <c r="BO26" s="221"/>
      <c r="BP26" s="221"/>
    </row>
    <row r="27" spans="2:68" ht="15.75" x14ac:dyDescent="0.25">
      <c r="B27" s="27">
        <v>3</v>
      </c>
      <c r="C27" s="28">
        <v>19</v>
      </c>
      <c r="D27" s="489">
        <f>IF(Plan!$T25="","",Plan!$T25)</f>
        <v>45972</v>
      </c>
      <c r="E27" s="29">
        <f>IF(Plan!$U25="","",Plan!$U25)</f>
        <v>0.78125</v>
      </c>
      <c r="F27" s="46" t="str">
        <f>Plan!$Q25</f>
        <v>AS Rom</v>
      </c>
      <c r="G27" s="30" t="s">
        <v>170</v>
      </c>
      <c r="H27" s="46" t="str">
        <f>Plan!$S25</f>
        <v>Valerenga IF</v>
      </c>
      <c r="I27" s="48">
        <v>0</v>
      </c>
      <c r="J27" s="481" t="str">
        <f>Language!$E$90</f>
        <v xml:space="preserve"> : </v>
      </c>
      <c r="K27" s="50">
        <v>1</v>
      </c>
      <c r="L27" s="31"/>
      <c r="M27" s="32"/>
      <c r="AE27" s="219"/>
      <c r="AF27" s="220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1"/>
      <c r="BN27" s="221"/>
      <c r="BO27" s="221"/>
      <c r="BP27" s="221"/>
    </row>
    <row r="28" spans="2:68" ht="15.75" x14ac:dyDescent="0.25">
      <c r="B28" s="23"/>
      <c r="C28" s="21">
        <v>20</v>
      </c>
      <c r="D28" s="488">
        <f>IF(Plan!$T26="","",Plan!$T26)</f>
        <v>45972</v>
      </c>
      <c r="E28" s="19">
        <f>IF(Plan!$U26="","",Plan!$U26)</f>
        <v>0.875</v>
      </c>
      <c r="F28" s="45" t="str">
        <f>Plan!$Q26</f>
        <v>OL Lyonnes</v>
      </c>
      <c r="G28" s="20" t="s">
        <v>170</v>
      </c>
      <c r="H28" s="45" t="str">
        <f>Plan!$S26</f>
        <v>VfL Wolfsburg</v>
      </c>
      <c r="I28" s="47">
        <v>3</v>
      </c>
      <c r="J28" s="481" t="str">
        <f>Language!$E$90</f>
        <v xml:space="preserve"> : </v>
      </c>
      <c r="K28" s="49">
        <v>1</v>
      </c>
      <c r="L28" s="25"/>
      <c r="M28" s="26"/>
      <c r="AE28" s="219"/>
      <c r="AF28" s="220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</row>
    <row r="29" spans="2:68" ht="15.75" x14ac:dyDescent="0.25">
      <c r="B29" s="23"/>
      <c r="C29" s="21">
        <v>21</v>
      </c>
      <c r="D29" s="488">
        <f>IF(Plan!$T27="","",Plan!$T27)</f>
        <v>45972</v>
      </c>
      <c r="E29" s="19">
        <f>IF(Plan!$U27="","",Plan!$U27)</f>
        <v>0.875</v>
      </c>
      <c r="F29" s="45" t="str">
        <f>Plan!$Q27</f>
        <v>SKN St. Pölten</v>
      </c>
      <c r="G29" s="20" t="s">
        <v>170</v>
      </c>
      <c r="H29" s="45" t="str">
        <f>Plan!$S27</f>
        <v>Chelsea FC</v>
      </c>
      <c r="I29" s="47">
        <v>0</v>
      </c>
      <c r="J29" s="481" t="str">
        <f>Language!$E$90</f>
        <v xml:space="preserve"> : </v>
      </c>
      <c r="K29" s="49">
        <v>6</v>
      </c>
      <c r="L29" s="25"/>
      <c r="M29" s="26"/>
      <c r="O29" s="226" t="str">
        <f>Language!$E$70</f>
        <v>Bei Punktgleichheit entscheiden folgende Kriterien:</v>
      </c>
      <c r="P29" s="227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12"/>
      <c r="AC29" s="212"/>
      <c r="AD29" s="212"/>
      <c r="AE29" s="229"/>
      <c r="AF29" s="230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1"/>
      <c r="BN29" s="221"/>
      <c r="BO29" s="221"/>
      <c r="BP29" s="221"/>
    </row>
    <row r="30" spans="2:68" ht="15.75" x14ac:dyDescent="0.25">
      <c r="B30" s="23"/>
      <c r="C30" s="21">
        <v>22</v>
      </c>
      <c r="D30" s="488">
        <f>IF(Plan!$T28="","",Plan!$T28)</f>
        <v>45972</v>
      </c>
      <c r="E30" s="19">
        <f>IF(Plan!$U28="","",Plan!$U28)</f>
        <v>0.875</v>
      </c>
      <c r="F30" s="45" t="str">
        <f>Plan!$Q28</f>
        <v>Real Madrid</v>
      </c>
      <c r="G30" s="20" t="s">
        <v>170</v>
      </c>
      <c r="H30" s="45" t="str">
        <f>Plan!$S28</f>
        <v>Paris FC</v>
      </c>
      <c r="I30" s="47">
        <v>1</v>
      </c>
      <c r="J30" s="481" t="str">
        <f>Language!$E$90</f>
        <v xml:space="preserve"> : </v>
      </c>
      <c r="K30" s="49">
        <v>1</v>
      </c>
      <c r="L30" s="25"/>
      <c r="M30" s="26"/>
      <c r="O30" s="231"/>
      <c r="P30" s="227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12"/>
      <c r="AC30" s="212"/>
      <c r="AD30" s="212"/>
      <c r="AE30" s="232"/>
      <c r="AF30" s="233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1"/>
      <c r="BN30" s="221"/>
      <c r="BO30" s="221"/>
      <c r="BP30" s="221"/>
    </row>
    <row r="31" spans="2:68" ht="15.75" x14ac:dyDescent="0.25">
      <c r="B31" s="23"/>
      <c r="C31" s="21">
        <v>23</v>
      </c>
      <c r="D31" s="488">
        <f>IF(Plan!$T29="","",Plan!$T29)</f>
        <v>45973</v>
      </c>
      <c r="E31" s="19">
        <f>IF(Plan!$U29="","",Plan!$U29)</f>
        <v>0.78125</v>
      </c>
      <c r="F31" s="45" t="str">
        <f>Plan!$Q29</f>
        <v>FC Bayern München</v>
      </c>
      <c r="G31" s="20" t="s">
        <v>170</v>
      </c>
      <c r="H31" s="45" t="str">
        <f>Plan!$S29</f>
        <v>Arsenal WFC</v>
      </c>
      <c r="I31" s="47">
        <v>3</v>
      </c>
      <c r="J31" s="481" t="str">
        <f>Language!$E$90</f>
        <v xml:space="preserve"> : </v>
      </c>
      <c r="K31" s="49">
        <v>2</v>
      </c>
      <c r="L31" s="25"/>
      <c r="M31" s="26"/>
      <c r="O31" s="234" t="s">
        <v>171</v>
      </c>
      <c r="P31" s="228" t="str">
        <f>Language!$E$71</f>
        <v>Bessere Tordifferenz</v>
      </c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12"/>
      <c r="AC31" s="212"/>
      <c r="AD31" s="212"/>
      <c r="AE31" s="232"/>
      <c r="AF31" s="233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221"/>
      <c r="BN31" s="221"/>
      <c r="BO31" s="221"/>
      <c r="BP31" s="221"/>
    </row>
    <row r="32" spans="2:68" ht="15.75" x14ac:dyDescent="0.25">
      <c r="B32" s="23"/>
      <c r="C32" s="21">
        <v>24</v>
      </c>
      <c r="D32" s="488">
        <f>IF(Plan!$T30="","",Plan!$T30)</f>
        <v>45973</v>
      </c>
      <c r="E32" s="19">
        <f>IF(Plan!$U30="","",Plan!$U30)</f>
        <v>0.78125</v>
      </c>
      <c r="F32" s="45" t="str">
        <f>Plan!$Q30</f>
        <v>FC Barcelona</v>
      </c>
      <c r="G32" s="20" t="s">
        <v>170</v>
      </c>
      <c r="H32" s="45" t="str">
        <f>Plan!$S30</f>
        <v>Oud-Heverlee Leuven</v>
      </c>
      <c r="I32" s="47">
        <v>3</v>
      </c>
      <c r="J32" s="481" t="str">
        <f>Language!$E$90</f>
        <v xml:space="preserve"> : </v>
      </c>
      <c r="K32" s="49">
        <v>0</v>
      </c>
      <c r="L32" s="25"/>
      <c r="M32" s="26"/>
      <c r="O32" s="234" t="s">
        <v>172</v>
      </c>
      <c r="P32" s="235" t="str">
        <f>Language!$E$72</f>
        <v>Höhere Anzahl erzielter Tore</v>
      </c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12"/>
      <c r="AC32" s="212"/>
      <c r="AD32" s="212"/>
      <c r="AE32" s="232"/>
      <c r="AF32" s="233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</row>
    <row r="33" spans="2:68" ht="15.75" x14ac:dyDescent="0.25">
      <c r="B33" s="23"/>
      <c r="C33" s="21">
        <v>25</v>
      </c>
      <c r="D33" s="488">
        <f>IF(Plan!$T31="","",Plan!$T31)</f>
        <v>45973</v>
      </c>
      <c r="E33" s="19">
        <f>IF(Plan!$U31="","",Plan!$U31)</f>
        <v>0.875</v>
      </c>
      <c r="F33" s="45" t="str">
        <f>Plan!$Q31</f>
        <v>Manchester United</v>
      </c>
      <c r="G33" s="20" t="s">
        <v>170</v>
      </c>
      <c r="H33" s="45" t="str">
        <f>Plan!$S31</f>
        <v>Paris St. Germain</v>
      </c>
      <c r="I33" s="47">
        <v>2</v>
      </c>
      <c r="J33" s="481" t="str">
        <f>Language!$E$90</f>
        <v xml:space="preserve"> : </v>
      </c>
      <c r="K33" s="49">
        <v>1</v>
      </c>
      <c r="L33" s="25"/>
      <c r="M33" s="26"/>
      <c r="O33" s="234" t="s">
        <v>173</v>
      </c>
      <c r="P33" s="235" t="str">
        <f>Language!$E$73</f>
        <v>Höhere Anzahl erzielter Auswärtstore</v>
      </c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12"/>
      <c r="AC33" s="212"/>
      <c r="AD33" s="212"/>
      <c r="AE33" s="232"/>
      <c r="AF33" s="233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221"/>
      <c r="BN33" s="221"/>
      <c r="BO33" s="221"/>
      <c r="BP33" s="221"/>
    </row>
    <row r="34" spans="2:68" ht="15.75" x14ac:dyDescent="0.25">
      <c r="B34" s="23"/>
      <c r="C34" s="21">
        <v>26</v>
      </c>
      <c r="D34" s="488">
        <f>IF(Plan!$T32="","",Plan!$T32)</f>
        <v>45973</v>
      </c>
      <c r="E34" s="19">
        <f>IF(Plan!$U32="","",Plan!$U32)</f>
        <v>0.875</v>
      </c>
      <c r="F34" s="45" t="str">
        <f>Plan!$Q32</f>
        <v>Atletico Madrid</v>
      </c>
      <c r="G34" s="20" t="s">
        <v>170</v>
      </c>
      <c r="H34" s="45" t="str">
        <f>Plan!$S32</f>
        <v>Juventus FC</v>
      </c>
      <c r="I34" s="47">
        <v>1</v>
      </c>
      <c r="J34" s="481" t="str">
        <f>Language!$E$90</f>
        <v xml:space="preserve"> : </v>
      </c>
      <c r="K34" s="49">
        <v>2</v>
      </c>
      <c r="L34" s="25"/>
      <c r="M34" s="26"/>
      <c r="O34" s="234" t="s">
        <v>174</v>
      </c>
      <c r="P34" s="235" t="str">
        <f>Language!$E$74</f>
        <v>Höhere Anzahl von Siegen</v>
      </c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12"/>
      <c r="AC34" s="212"/>
      <c r="AD34" s="212"/>
      <c r="AE34" s="232"/>
      <c r="AF34" s="233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1"/>
    </row>
    <row r="35" spans="2:68" ht="16.5" thickBot="1" x14ac:dyDescent="0.3">
      <c r="B35" s="23"/>
      <c r="C35" s="21">
        <v>27</v>
      </c>
      <c r="D35" s="488">
        <f>IF(Plan!$T33="","",Plan!$T33)</f>
        <v>45973</v>
      </c>
      <c r="E35" s="19">
        <f>IF(Plan!$U33="","",Plan!$U33)</f>
        <v>0.875</v>
      </c>
      <c r="F35" s="45" t="str">
        <f>Plan!$Q33</f>
        <v>SL Benfica</v>
      </c>
      <c r="G35" s="20" t="s">
        <v>170</v>
      </c>
      <c r="H35" s="45" t="str">
        <f>Plan!$S33</f>
        <v>FC Twente</v>
      </c>
      <c r="I35" s="47">
        <v>1</v>
      </c>
      <c r="J35" s="482" t="str">
        <f>Language!$E$90</f>
        <v xml:space="preserve"> : </v>
      </c>
      <c r="K35" s="49">
        <v>1</v>
      </c>
      <c r="L35" s="25"/>
      <c r="M35" s="26"/>
      <c r="O35" s="234" t="s">
        <v>175</v>
      </c>
      <c r="P35" s="235" t="str">
        <f>Language!$E$75</f>
        <v>Höhere Anzahl von Auswärtssiegen</v>
      </c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12"/>
      <c r="AC35" s="212"/>
      <c r="AD35" s="212"/>
      <c r="AE35" s="232"/>
      <c r="AF35" s="233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</row>
    <row r="36" spans="2:68" ht="15.75" x14ac:dyDescent="0.25">
      <c r="B36" s="27">
        <v>4</v>
      </c>
      <c r="C36" s="28">
        <v>28</v>
      </c>
      <c r="D36" s="489">
        <f>IF(Plan!$T34="","",Plan!$T34)</f>
        <v>45980</v>
      </c>
      <c r="E36" s="29">
        <f>IF(Plan!$U34="","",Plan!$U34)</f>
        <v>0.78125</v>
      </c>
      <c r="F36" s="46" t="str">
        <f>Plan!$Q34</f>
        <v>VfL Wolfsburg</v>
      </c>
      <c r="G36" s="30" t="s">
        <v>170</v>
      </c>
      <c r="H36" s="46" t="str">
        <f>Plan!$S34</f>
        <v>Manchester United</v>
      </c>
      <c r="I36" s="48">
        <v>5</v>
      </c>
      <c r="J36" s="481" t="str">
        <f>Language!$E$90</f>
        <v xml:space="preserve"> : </v>
      </c>
      <c r="K36" s="50">
        <v>2</v>
      </c>
      <c r="L36" s="31"/>
      <c r="M36" s="32"/>
      <c r="O36" s="236"/>
      <c r="P36" s="236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12"/>
      <c r="AC36" s="212"/>
      <c r="AD36" s="212"/>
      <c r="AE36" s="232"/>
      <c r="AF36" s="233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</row>
    <row r="37" spans="2:68" ht="15.75" x14ac:dyDescent="0.25">
      <c r="B37" s="23"/>
      <c r="C37" s="21">
        <v>29</v>
      </c>
      <c r="D37" s="488">
        <f>IF(Plan!$T35="","",Plan!$T35)</f>
        <v>45980</v>
      </c>
      <c r="E37" s="19">
        <f>IF(Plan!$U35="","",Plan!$U35)</f>
        <v>0.78125</v>
      </c>
      <c r="F37" s="45" t="str">
        <f>Plan!$Q35</f>
        <v>Juventus FC</v>
      </c>
      <c r="G37" s="20" t="s">
        <v>170</v>
      </c>
      <c r="H37" s="45" t="str">
        <f>Plan!$S35</f>
        <v>OL Lyonnes</v>
      </c>
      <c r="I37" s="47">
        <v>3</v>
      </c>
      <c r="J37" s="481" t="str">
        <f>Language!$E$90</f>
        <v xml:space="preserve"> : </v>
      </c>
      <c r="K37" s="49">
        <v>3</v>
      </c>
      <c r="L37" s="25"/>
      <c r="M37" s="26"/>
      <c r="O37" s="237" t="str">
        <f>Language!$E$76</f>
        <v>Diese fünf Kriterien werden in der Tabelle oben berücksichtigt.</v>
      </c>
      <c r="P37" s="236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12"/>
      <c r="AC37" s="212"/>
      <c r="AD37" s="212"/>
      <c r="AE37" s="232"/>
      <c r="AF37" s="233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1"/>
    </row>
    <row r="38" spans="2:68" ht="15.75" x14ac:dyDescent="0.25">
      <c r="B38" s="23"/>
      <c r="C38" s="21">
        <v>30</v>
      </c>
      <c r="D38" s="488">
        <f>IF(Plan!$T36="","",Plan!$T36)</f>
        <v>45980</v>
      </c>
      <c r="E38" s="19">
        <f>IF(Plan!$U36="","",Plan!$U36)</f>
        <v>0.875</v>
      </c>
      <c r="F38" s="45" t="str">
        <f>Plan!$Q36</f>
        <v>Arsenal WFC</v>
      </c>
      <c r="G38" s="20" t="s">
        <v>170</v>
      </c>
      <c r="H38" s="45" t="str">
        <f>Plan!$S36</f>
        <v>Real Madrid</v>
      </c>
      <c r="I38" s="47">
        <v>2</v>
      </c>
      <c r="J38" s="481" t="str">
        <f>Language!$E$90</f>
        <v xml:space="preserve"> : </v>
      </c>
      <c r="K38" s="49">
        <v>1</v>
      </c>
      <c r="L38" s="25"/>
      <c r="M38" s="26"/>
      <c r="O38" s="236"/>
      <c r="P38" s="236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12"/>
      <c r="AC38" s="212"/>
      <c r="AD38" s="212"/>
      <c r="AE38" s="232"/>
      <c r="AF38" s="233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1"/>
      <c r="BN38" s="221"/>
      <c r="BO38" s="221"/>
      <c r="BP38" s="221"/>
    </row>
    <row r="39" spans="2:68" ht="18.75" x14ac:dyDescent="0.25">
      <c r="B39" s="23"/>
      <c r="C39" s="21">
        <v>31</v>
      </c>
      <c r="D39" s="488">
        <f>IF(Plan!$T37="","",Plan!$T37)</f>
        <v>45980</v>
      </c>
      <c r="E39" s="19">
        <f>IF(Plan!$U37="","",Plan!$U37)</f>
        <v>0.875</v>
      </c>
      <c r="F39" s="45" t="str">
        <f>Plan!$Q37</f>
        <v>Paris FC</v>
      </c>
      <c r="G39" s="20" t="s">
        <v>170</v>
      </c>
      <c r="H39" s="45" t="str">
        <f>Plan!$S37</f>
        <v>SL Benfica</v>
      </c>
      <c r="I39" s="47">
        <v>2</v>
      </c>
      <c r="J39" s="481" t="str">
        <f>Language!$E$90</f>
        <v xml:space="preserve"> : </v>
      </c>
      <c r="K39" s="49">
        <v>0</v>
      </c>
      <c r="L39" s="25"/>
      <c r="M39" s="26"/>
      <c r="O39" s="236"/>
      <c r="P39" s="236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38"/>
      <c r="AB39" s="239"/>
      <c r="AC39" s="240"/>
      <c r="AD39" s="239"/>
      <c r="AE39" s="232"/>
      <c r="AF39" s="233"/>
      <c r="AG39" s="221"/>
      <c r="AH39" s="221"/>
      <c r="AI39" s="221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1"/>
      <c r="BN39" s="221"/>
      <c r="BO39" s="221"/>
      <c r="BP39" s="221"/>
    </row>
    <row r="40" spans="2:68" ht="18.75" x14ac:dyDescent="0.25">
      <c r="B40" s="23"/>
      <c r="C40" s="21">
        <v>32</v>
      </c>
      <c r="D40" s="488">
        <f>IF(Plan!$T38="","",Plan!$T38)</f>
        <v>45980</v>
      </c>
      <c r="E40" s="19">
        <f>IF(Plan!$U38="","",Plan!$U38)</f>
        <v>0.875</v>
      </c>
      <c r="F40" s="45" t="str">
        <f>Plan!$Q38</f>
        <v>Valerenga IF</v>
      </c>
      <c r="G40" s="20" t="s">
        <v>170</v>
      </c>
      <c r="H40" s="45" t="str">
        <f>Plan!$S38</f>
        <v>SKN St. Pölten</v>
      </c>
      <c r="I40" s="47">
        <v>2</v>
      </c>
      <c r="J40" s="481" t="str">
        <f>Language!$E$90</f>
        <v xml:space="preserve"> : </v>
      </c>
      <c r="K40" s="49">
        <v>2</v>
      </c>
      <c r="L40" s="25"/>
      <c r="M40" s="26"/>
      <c r="O40" s="241" t="str">
        <f>Language!$E$77</f>
        <v>Am Ende der Ligaphase werden bei Gleichstand zusätzlich folgende Kriterien herangezogen:</v>
      </c>
      <c r="P40" s="236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38"/>
      <c r="AB40" s="239"/>
      <c r="AC40" s="240"/>
      <c r="AD40" s="239"/>
      <c r="AE40" s="232"/>
      <c r="AF40" s="233"/>
      <c r="AG40" s="221"/>
      <c r="AH40" s="221"/>
      <c r="AI40" s="221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  <c r="BP40" s="221"/>
    </row>
    <row r="41" spans="2:68" ht="18.75" x14ac:dyDescent="0.25">
      <c r="B41" s="23"/>
      <c r="C41" s="21">
        <v>33</v>
      </c>
      <c r="D41" s="488">
        <f>IF(Plan!$T39="","",Plan!$T39)</f>
        <v>45981</v>
      </c>
      <c r="E41" s="19">
        <f>IF(Plan!$U39="","",Plan!$U39)</f>
        <v>0.78125</v>
      </c>
      <c r="F41" s="45" t="str">
        <f>Plan!$Q39</f>
        <v>FC Twente</v>
      </c>
      <c r="G41" s="20" t="s">
        <v>170</v>
      </c>
      <c r="H41" s="45" t="str">
        <f>Plan!$S39</f>
        <v>Atletico Madrid</v>
      </c>
      <c r="I41" s="47">
        <v>0</v>
      </c>
      <c r="J41" s="481" t="str">
        <f>Language!$E$90</f>
        <v xml:space="preserve"> : </v>
      </c>
      <c r="K41" s="49">
        <v>4</v>
      </c>
      <c r="L41" s="25"/>
      <c r="M41" s="26"/>
      <c r="O41" s="236"/>
      <c r="P41" s="236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38"/>
      <c r="AB41" s="239"/>
      <c r="AC41" s="240"/>
      <c r="AD41" s="239"/>
      <c r="AE41" s="232"/>
      <c r="AF41" s="233"/>
      <c r="AG41" s="221"/>
      <c r="AH41" s="221"/>
      <c r="AI41" s="221"/>
      <c r="AJ41" s="221"/>
      <c r="AK41" s="221"/>
      <c r="AL41" s="221"/>
      <c r="AM41" s="221"/>
      <c r="AN41" s="221"/>
      <c r="AO41" s="221"/>
      <c r="AP41" s="221"/>
      <c r="AQ41" s="221"/>
      <c r="AR41" s="221"/>
      <c r="AS41" s="221"/>
      <c r="AT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G41" s="221"/>
      <c r="BH41" s="221"/>
      <c r="BI41" s="221"/>
      <c r="BJ41" s="221"/>
      <c r="BK41" s="221"/>
      <c r="BL41" s="221"/>
      <c r="BM41" s="221"/>
      <c r="BN41" s="221"/>
      <c r="BO41" s="221"/>
      <c r="BP41" s="221"/>
    </row>
    <row r="42" spans="2:68" ht="15.6" customHeight="1" x14ac:dyDescent="0.25">
      <c r="B42" s="23"/>
      <c r="C42" s="21">
        <v>34</v>
      </c>
      <c r="D42" s="488">
        <f>IF(Plan!$T40="","",Plan!$T40)</f>
        <v>45981</v>
      </c>
      <c r="E42" s="19">
        <f>IF(Plan!$U40="","",Plan!$U40)</f>
        <v>0.875</v>
      </c>
      <c r="F42" s="45" t="str">
        <f>Plan!$Q40</f>
        <v>Paris St. Germain</v>
      </c>
      <c r="G42" s="20" t="s">
        <v>170</v>
      </c>
      <c r="H42" s="45" t="str">
        <f>Plan!$S40</f>
        <v>FC Bayern München</v>
      </c>
      <c r="I42" s="47">
        <v>1</v>
      </c>
      <c r="J42" s="481" t="str">
        <f>Language!$E$90</f>
        <v xml:space="preserve"> : </v>
      </c>
      <c r="K42" s="49">
        <v>3</v>
      </c>
      <c r="L42" s="25"/>
      <c r="M42" s="26"/>
      <c r="O42" s="242" t="s">
        <v>176</v>
      </c>
      <c r="P42" s="235" t="str">
        <f>Language!$E$78</f>
        <v>Höhere Anzahl von Punkten, die die acht Gegner des betreffenden Klubs erspielt haben</v>
      </c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38"/>
      <c r="AB42" s="239"/>
      <c r="AC42" s="240"/>
      <c r="AD42" s="239"/>
      <c r="AE42" s="232"/>
      <c r="AF42" s="233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1"/>
      <c r="BN42" s="221"/>
      <c r="BO42" s="221"/>
      <c r="BP42" s="221"/>
    </row>
    <row r="43" spans="2:68" ht="15.6" customHeight="1" x14ac:dyDescent="0.25">
      <c r="B43" s="23"/>
      <c r="C43" s="21">
        <v>35</v>
      </c>
      <c r="D43" s="488">
        <f>IF(Plan!$T41="","",Plan!$T41)</f>
        <v>45981</v>
      </c>
      <c r="E43" s="19">
        <f>IF(Plan!$U41="","",Plan!$U41)</f>
        <v>0.875</v>
      </c>
      <c r="F43" s="45" t="str">
        <f>Plan!$Q41</f>
        <v>Chelsea FC</v>
      </c>
      <c r="G43" s="20" t="s">
        <v>170</v>
      </c>
      <c r="H43" s="45" t="str">
        <f>Plan!$S41</f>
        <v>FC Barcelona</v>
      </c>
      <c r="I43" s="47">
        <v>1</v>
      </c>
      <c r="J43" s="481" t="str">
        <f>Language!$E$90</f>
        <v xml:space="preserve"> : </v>
      </c>
      <c r="K43" s="49">
        <v>1</v>
      </c>
      <c r="L43" s="25"/>
      <c r="M43" s="26"/>
      <c r="O43" s="243" t="s">
        <v>177</v>
      </c>
      <c r="P43" s="235" t="str">
        <f>Language!$E$79</f>
        <v>Bessere gemeinsame Tordifferenz der acht Gegner</v>
      </c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5"/>
      <c r="AC43" s="245"/>
      <c r="AD43" s="245"/>
      <c r="AE43" s="232"/>
      <c r="AF43" s="233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1"/>
      <c r="BN43" s="221"/>
      <c r="BO43" s="221"/>
      <c r="BP43" s="221"/>
    </row>
    <row r="44" spans="2:68" ht="15.6" customHeight="1" thickBot="1" x14ac:dyDescent="0.3">
      <c r="B44" s="23"/>
      <c r="C44" s="21">
        <v>36</v>
      </c>
      <c r="D44" s="488">
        <f>IF(Plan!$T42="","",Plan!$T42)</f>
        <v>45981</v>
      </c>
      <c r="E44" s="19">
        <f>IF(Plan!$U42="","",Plan!$U42)</f>
        <v>0.875</v>
      </c>
      <c r="F44" s="45" t="str">
        <f>Plan!$Q42</f>
        <v>Oud-Heverlee Leuven</v>
      </c>
      <c r="G44" s="20" t="s">
        <v>170</v>
      </c>
      <c r="H44" s="45" t="str">
        <f>Plan!$S42</f>
        <v>AS Rom</v>
      </c>
      <c r="I44" s="47">
        <v>1</v>
      </c>
      <c r="J44" s="482" t="str">
        <f>Language!$E$90</f>
        <v xml:space="preserve"> : </v>
      </c>
      <c r="K44" s="49">
        <v>1</v>
      </c>
      <c r="L44" s="25"/>
      <c r="M44" s="26"/>
      <c r="O44" s="243" t="s">
        <v>178</v>
      </c>
      <c r="P44" s="235" t="str">
        <f>Language!$E$80</f>
        <v>Höhere Anzahl erzielter Tore der acht Gegner</v>
      </c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5"/>
      <c r="AC44" s="245"/>
      <c r="AD44" s="245"/>
      <c r="AE44" s="232"/>
      <c r="AF44" s="233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3"/>
    </row>
    <row r="45" spans="2:68" ht="15.75" x14ac:dyDescent="0.25">
      <c r="B45" s="27">
        <v>5</v>
      </c>
      <c r="C45" s="28">
        <v>37</v>
      </c>
      <c r="D45" s="489">
        <f>IF(Plan!$T43="","",Plan!$T43)</f>
        <v>46000</v>
      </c>
      <c r="E45" s="29">
        <f>IF(Plan!$U43="","",Plan!$U43)</f>
        <v>0.78125</v>
      </c>
      <c r="F45" s="46" t="str">
        <f>Plan!$Q43</f>
        <v>SKN St. Pölten</v>
      </c>
      <c r="G45" s="30" t="s">
        <v>170</v>
      </c>
      <c r="H45" s="46" t="str">
        <f>Plan!$S43</f>
        <v>Juventus FC</v>
      </c>
      <c r="I45" s="48">
        <v>0</v>
      </c>
      <c r="J45" s="481" t="str">
        <f>Language!$E$90</f>
        <v xml:space="preserve"> : </v>
      </c>
      <c r="K45" s="50">
        <v>5</v>
      </c>
      <c r="L45" s="31"/>
      <c r="M45" s="32"/>
      <c r="O45" s="243" t="s">
        <v>179</v>
      </c>
      <c r="P45" s="228" t="str">
        <f>Language!$E$81</f>
        <v>Fairplay-Wertung</v>
      </c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46"/>
      <c r="AC45" s="246"/>
      <c r="AD45" s="246"/>
      <c r="AE45" s="232"/>
      <c r="AF45" s="233"/>
    </row>
    <row r="46" spans="2:68" ht="15.75" x14ac:dyDescent="0.25">
      <c r="B46" s="23"/>
      <c r="C46" s="21">
        <v>38</v>
      </c>
      <c r="D46" s="488">
        <f>IF(Plan!$T44="","",Plan!$T44)</f>
        <v>46000</v>
      </c>
      <c r="E46" s="19">
        <f>IF(Plan!$U44="","",Plan!$U44)</f>
        <v>0.875</v>
      </c>
      <c r="F46" s="45" t="str">
        <f>Plan!$Q44</f>
        <v>Arsenal WFC</v>
      </c>
      <c r="G46" s="20" t="s">
        <v>170</v>
      </c>
      <c r="H46" s="45" t="str">
        <f>Plan!$S44</f>
        <v>FC Twente</v>
      </c>
      <c r="I46" s="47">
        <v>1</v>
      </c>
      <c r="J46" s="481" t="str">
        <f>Language!$E$90</f>
        <v xml:space="preserve"> : </v>
      </c>
      <c r="K46" s="49">
        <v>0</v>
      </c>
      <c r="L46" s="25"/>
      <c r="M46" s="26"/>
      <c r="O46" s="383" t="s">
        <v>180</v>
      </c>
      <c r="P46" s="228" t="str">
        <f>Language!$E$82</f>
        <v>UEFA-Koeffizient</v>
      </c>
      <c r="Q46" s="247"/>
      <c r="R46" s="247"/>
      <c r="S46" s="247"/>
      <c r="T46" s="247"/>
      <c r="U46" s="247"/>
      <c r="V46" s="247"/>
      <c r="W46" s="247"/>
      <c r="X46" s="247"/>
      <c r="Y46" s="247"/>
      <c r="Z46" s="247"/>
      <c r="AA46" s="247"/>
      <c r="AB46" s="248"/>
      <c r="AC46" s="229"/>
      <c r="AD46" s="248"/>
      <c r="AE46" s="232"/>
      <c r="AF46" s="233"/>
    </row>
    <row r="47" spans="2:68" ht="15.75" x14ac:dyDescent="0.25">
      <c r="B47" s="23"/>
      <c r="C47" s="21">
        <v>39</v>
      </c>
      <c r="D47" s="488">
        <f>IF(Plan!$T45="","",Plan!$T45)</f>
        <v>46000</v>
      </c>
      <c r="E47" s="19">
        <f>IF(Plan!$U45="","",Plan!$U45)</f>
        <v>0.875</v>
      </c>
      <c r="F47" s="45" t="str">
        <f>Plan!$Q45</f>
        <v>Real Madrid</v>
      </c>
      <c r="G47" s="20" t="s">
        <v>170</v>
      </c>
      <c r="H47" s="45" t="str">
        <f>Plan!$S45</f>
        <v>VfL Wolfsburg</v>
      </c>
      <c r="I47" s="47">
        <v>2</v>
      </c>
      <c r="J47" s="481" t="str">
        <f>Language!$E$90</f>
        <v xml:space="preserve"> : </v>
      </c>
      <c r="K47" s="49">
        <v>0</v>
      </c>
      <c r="L47" s="25"/>
      <c r="M47" s="26"/>
      <c r="O47" s="236"/>
      <c r="P47" s="236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12"/>
      <c r="AC47" s="212"/>
      <c r="AD47" s="212"/>
      <c r="AE47" s="232"/>
      <c r="AF47" s="233"/>
    </row>
    <row r="48" spans="2:68" ht="15.75" x14ac:dyDescent="0.25">
      <c r="B48" s="23"/>
      <c r="C48" s="21">
        <v>40</v>
      </c>
      <c r="D48" s="488">
        <f>IF(Plan!$T46="","",Plan!$T46)</f>
        <v>46000</v>
      </c>
      <c r="E48" s="19">
        <f>IF(Plan!$U46="","",Plan!$U46)</f>
        <v>0.875</v>
      </c>
      <c r="F48" s="45" t="str">
        <f>Plan!$Q46</f>
        <v>Paris St. Germain</v>
      </c>
      <c r="G48" s="20" t="s">
        <v>170</v>
      </c>
      <c r="H48" s="45" t="str">
        <f>Plan!$S46</f>
        <v>Oud-Heverlee Leuven</v>
      </c>
      <c r="I48" s="47">
        <v>0</v>
      </c>
      <c r="J48" s="481" t="str">
        <f>Language!$E$90</f>
        <v xml:space="preserve"> : </v>
      </c>
      <c r="K48" s="49">
        <v>0</v>
      </c>
      <c r="L48" s="25"/>
      <c r="M48" s="26"/>
      <c r="O48" s="237" t="str">
        <f>Language!$E$83</f>
        <v>Sollte dieser Fall eintreten, kann auf dem Tabellenblatt 'Tie_Break' ein Bonuspunkt für das bessere Team eingetragen werden.</v>
      </c>
      <c r="P48" s="236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12"/>
      <c r="AC48" s="212"/>
      <c r="AD48" s="212"/>
      <c r="AE48" s="232"/>
      <c r="AF48" s="233"/>
    </row>
    <row r="49" spans="2:32" ht="15.75" x14ac:dyDescent="0.25">
      <c r="B49" s="23"/>
      <c r="C49" s="21">
        <v>41</v>
      </c>
      <c r="D49" s="488">
        <f>IF(Plan!$T47="","",Plan!$T47)</f>
        <v>46001</v>
      </c>
      <c r="E49" s="19">
        <f>IF(Plan!$U47="","",Plan!$U47)</f>
        <v>0.78125</v>
      </c>
      <c r="F49" s="45" t="str">
        <f>Plan!$Q47</f>
        <v>FC Barcelona</v>
      </c>
      <c r="G49" s="20" t="s">
        <v>170</v>
      </c>
      <c r="H49" s="45" t="str">
        <f>Plan!$S47</f>
        <v>SL Benfica</v>
      </c>
      <c r="I49" s="47">
        <v>3</v>
      </c>
      <c r="J49" s="481" t="str">
        <f>Language!$E$90</f>
        <v xml:space="preserve"> : </v>
      </c>
      <c r="K49" s="49">
        <v>1</v>
      </c>
      <c r="L49" s="25"/>
      <c r="M49" s="26"/>
      <c r="O49" s="236"/>
      <c r="P49" s="236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12"/>
      <c r="AC49" s="212"/>
      <c r="AD49" s="212"/>
      <c r="AE49" s="232"/>
      <c r="AF49" s="233"/>
    </row>
    <row r="50" spans="2:32" ht="15.75" x14ac:dyDescent="0.25">
      <c r="B50" s="23"/>
      <c r="C50" s="21">
        <v>42</v>
      </c>
      <c r="D50" s="488">
        <f>IF(Plan!$T48="","",Plan!$T48)</f>
        <v>46001</v>
      </c>
      <c r="E50" s="19">
        <f>IF(Plan!$U48="","",Plan!$U48)</f>
        <v>0.78125</v>
      </c>
      <c r="F50" s="45" t="str">
        <f>Plan!$Q48</f>
        <v>Valerenga IF</v>
      </c>
      <c r="G50" s="20" t="s">
        <v>170</v>
      </c>
      <c r="H50" s="45" t="str">
        <f>Plan!$S48</f>
        <v>Paris FC</v>
      </c>
      <c r="I50" s="47">
        <v>0</v>
      </c>
      <c r="J50" s="481" t="str">
        <f>Language!$E$90</f>
        <v xml:space="preserve"> : </v>
      </c>
      <c r="K50" s="49">
        <v>1</v>
      </c>
      <c r="L50" s="25"/>
      <c r="M50" s="26"/>
      <c r="O50" s="241" t="str">
        <f>Language!$E$84</f>
        <v>Zum Vergleich:</v>
      </c>
      <c r="P50" s="236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12"/>
      <c r="AC50" s="212"/>
      <c r="AD50" s="212"/>
      <c r="AE50" s="232"/>
      <c r="AF50" s="233"/>
    </row>
    <row r="51" spans="2:32" ht="15.75" x14ac:dyDescent="0.25">
      <c r="B51" s="23"/>
      <c r="C51" s="21">
        <v>43</v>
      </c>
      <c r="D51" s="488">
        <f>IF(Plan!$T49="","",Plan!$T49)</f>
        <v>46001</v>
      </c>
      <c r="E51" s="19">
        <f>IF(Plan!$U49="","",Plan!$U49)</f>
        <v>0.875</v>
      </c>
      <c r="F51" s="45" t="str">
        <f>Plan!$Q49</f>
        <v>Atletico Madrid</v>
      </c>
      <c r="G51" s="20" t="s">
        <v>170</v>
      </c>
      <c r="H51" s="45" t="str">
        <f>Plan!$S49</f>
        <v>FC Bayern München</v>
      </c>
      <c r="I51" s="47">
        <v>2</v>
      </c>
      <c r="J51" s="481" t="str">
        <f>Language!$E$90</f>
        <v xml:space="preserve"> : </v>
      </c>
      <c r="K51" s="49">
        <v>2</v>
      </c>
      <c r="L51" s="25"/>
      <c r="M51" s="26"/>
      <c r="O51" s="500" t="s">
        <v>262</v>
      </c>
      <c r="P51" s="501"/>
      <c r="Q51" s="501"/>
      <c r="R51" s="501"/>
      <c r="S51" s="501"/>
      <c r="T51" s="228"/>
      <c r="U51" s="228"/>
      <c r="V51" s="228"/>
      <c r="W51" s="228"/>
      <c r="X51" s="228"/>
      <c r="Y51" s="228"/>
      <c r="Z51" s="228"/>
      <c r="AA51" s="228"/>
      <c r="AB51" s="212"/>
      <c r="AC51" s="212"/>
      <c r="AD51" s="212"/>
      <c r="AE51" s="232"/>
      <c r="AF51" s="233"/>
    </row>
    <row r="52" spans="2:32" ht="15.75" x14ac:dyDescent="0.25">
      <c r="B52" s="23"/>
      <c r="C52" s="21">
        <v>44</v>
      </c>
      <c r="D52" s="488">
        <f>IF(Plan!$T50="","",Plan!$T50)</f>
        <v>46001</v>
      </c>
      <c r="E52" s="19">
        <f>IF(Plan!$U50="","",Plan!$U50)</f>
        <v>0.875</v>
      </c>
      <c r="F52" s="45" t="str">
        <f>Plan!$Q50</f>
        <v>Chelsea FC</v>
      </c>
      <c r="G52" s="20" t="s">
        <v>170</v>
      </c>
      <c r="H52" s="45" t="str">
        <f>Plan!$S50</f>
        <v>AS Rom</v>
      </c>
      <c r="I52" s="47">
        <v>6</v>
      </c>
      <c r="J52" s="481" t="str">
        <f>Language!$E$90</f>
        <v xml:space="preserve"> : </v>
      </c>
      <c r="K52" s="49">
        <v>0</v>
      </c>
      <c r="L52" s="25"/>
      <c r="M52" s="26"/>
      <c r="O52" s="236"/>
      <c r="P52" s="236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12"/>
      <c r="AC52" s="212"/>
      <c r="AD52" s="212"/>
      <c r="AE52" s="232"/>
      <c r="AF52" s="233"/>
    </row>
    <row r="53" spans="2:32" ht="16.5" thickBot="1" x14ac:dyDescent="0.3">
      <c r="B53" s="23"/>
      <c r="C53" s="21">
        <v>45</v>
      </c>
      <c r="D53" s="488">
        <f>IF(Plan!$T51="","",Plan!$T51)</f>
        <v>46001</v>
      </c>
      <c r="E53" s="19">
        <f>IF(Plan!$U51="","",Plan!$U51)</f>
        <v>0.875</v>
      </c>
      <c r="F53" s="45" t="str">
        <f>Plan!$Q51</f>
        <v>Manchester United</v>
      </c>
      <c r="G53" s="20" t="s">
        <v>170</v>
      </c>
      <c r="H53" s="45" t="str">
        <f>Plan!$S51</f>
        <v>OL Lyonnes</v>
      </c>
      <c r="I53" s="47">
        <v>0</v>
      </c>
      <c r="J53" s="482" t="str">
        <f>Language!$E$90</f>
        <v xml:space="preserve"> : </v>
      </c>
      <c r="K53" s="49">
        <v>3</v>
      </c>
      <c r="L53" s="25"/>
      <c r="M53" s="26"/>
      <c r="O53" s="241" t="s">
        <v>228</v>
      </c>
    </row>
    <row r="54" spans="2:32" ht="15.75" x14ac:dyDescent="0.25">
      <c r="B54" s="27">
        <v>6</v>
      </c>
      <c r="C54" s="28">
        <v>46</v>
      </c>
      <c r="D54" s="489">
        <f>IF(Plan!$T52="","",Plan!$T52)</f>
        <v>46008</v>
      </c>
      <c r="E54" s="29">
        <f>IF(Plan!$U52="","",Plan!$U52)</f>
        <v>0.875</v>
      </c>
      <c r="F54" s="46" t="str">
        <f>Plan!$Q52</f>
        <v>Oud-Heverlee Leuven</v>
      </c>
      <c r="G54" s="30" t="s">
        <v>170</v>
      </c>
      <c r="H54" s="46" t="str">
        <f>Plan!$S52</f>
        <v>Arsenal WFC</v>
      </c>
      <c r="I54" s="48">
        <v>0</v>
      </c>
      <c r="J54" s="481" t="str">
        <f>Language!$E$90</f>
        <v xml:space="preserve"> : </v>
      </c>
      <c r="K54" s="50">
        <v>3</v>
      </c>
      <c r="L54" s="31"/>
      <c r="M54" s="32"/>
      <c r="O54" s="249" t="s">
        <v>229</v>
      </c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49"/>
    </row>
    <row r="55" spans="2:32" ht="15.75" x14ac:dyDescent="0.25">
      <c r="B55" s="23"/>
      <c r="C55" s="21">
        <v>47</v>
      </c>
      <c r="D55" s="488">
        <f>IF(Plan!$T53="","",Plan!$T53)</f>
        <v>46008</v>
      </c>
      <c r="E55" s="19">
        <f>IF(Plan!$U53="","",Plan!$U53)</f>
        <v>0.875</v>
      </c>
      <c r="F55" s="45" t="str">
        <f>Plan!$Q53</f>
        <v>VfL Wolfsburg</v>
      </c>
      <c r="G55" s="20" t="s">
        <v>170</v>
      </c>
      <c r="H55" s="45" t="str">
        <f>Plan!$S53</f>
        <v>Chelsea FC</v>
      </c>
      <c r="I55" s="47">
        <v>1</v>
      </c>
      <c r="J55" s="481" t="str">
        <f>Language!$E$90</f>
        <v xml:space="preserve"> : </v>
      </c>
      <c r="K55" s="49">
        <v>2</v>
      </c>
      <c r="L55" s="25"/>
      <c r="M55" s="26"/>
      <c r="O55" s="241" t="s">
        <v>230</v>
      </c>
    </row>
    <row r="56" spans="2:32" ht="15.75" x14ac:dyDescent="0.25">
      <c r="B56" s="23"/>
      <c r="C56" s="21">
        <v>48</v>
      </c>
      <c r="D56" s="488">
        <f>IF(Plan!$T54="","",Plan!$T54)</f>
        <v>46008</v>
      </c>
      <c r="E56" s="19">
        <f>IF(Plan!$U54="","",Plan!$U54)</f>
        <v>0.875</v>
      </c>
      <c r="F56" s="45" t="str">
        <f>Plan!$Q54</f>
        <v>FC Bayern München</v>
      </c>
      <c r="G56" s="20" t="s">
        <v>170</v>
      </c>
      <c r="H56" s="45" t="str">
        <f>Plan!$S54</f>
        <v>Valerenga IF</v>
      </c>
      <c r="I56" s="47">
        <v>3</v>
      </c>
      <c r="J56" s="481" t="str">
        <f>Language!$E$90</f>
        <v xml:space="preserve"> : </v>
      </c>
      <c r="K56" s="49">
        <v>0</v>
      </c>
      <c r="L56" s="25"/>
      <c r="M56" s="26"/>
      <c r="O56" s="501" t="s">
        <v>231</v>
      </c>
      <c r="P56" s="501"/>
      <c r="Q56" s="501"/>
      <c r="R56" s="501"/>
      <c r="S56" s="501"/>
      <c r="T56" s="501"/>
      <c r="U56" s="501"/>
      <c r="V56" s="501"/>
      <c r="W56" s="501"/>
      <c r="X56" s="501"/>
      <c r="Y56" s="501"/>
      <c r="Z56" s="501"/>
      <c r="AA56" s="501"/>
      <c r="AB56" s="501"/>
      <c r="AC56" s="501"/>
      <c r="AD56" s="501"/>
      <c r="AE56" s="501"/>
      <c r="AF56" s="501"/>
    </row>
    <row r="57" spans="2:32" ht="15.75" x14ac:dyDescent="0.25">
      <c r="B57" s="23"/>
      <c r="C57" s="21">
        <v>49</v>
      </c>
      <c r="D57" s="488">
        <f>IF(Plan!$T55="","",Plan!$T55)</f>
        <v>46008</v>
      </c>
      <c r="E57" s="19">
        <f>IF(Plan!$U55="","",Plan!$U55)</f>
        <v>0.875</v>
      </c>
      <c r="F57" s="45" t="str">
        <f>Plan!$Q55</f>
        <v>OL Lyonnes</v>
      </c>
      <c r="G57" s="20" t="s">
        <v>170</v>
      </c>
      <c r="H57" s="45" t="str">
        <f>Plan!$S55</f>
        <v>Atletico Madrid</v>
      </c>
      <c r="I57" s="47">
        <v>4</v>
      </c>
      <c r="J57" s="481" t="str">
        <f>Language!$E$90</f>
        <v xml:space="preserve"> : </v>
      </c>
      <c r="K57" s="49">
        <v>0</v>
      </c>
      <c r="L57" s="25"/>
      <c r="M57" s="26"/>
    </row>
    <row r="58" spans="2:32" ht="16.5" thickBot="1" x14ac:dyDescent="0.3">
      <c r="B58" s="23"/>
      <c r="C58" s="21">
        <v>50</v>
      </c>
      <c r="D58" s="488">
        <f>IF(Plan!$T56="","",Plan!$T56)</f>
        <v>46008</v>
      </c>
      <c r="E58" s="19">
        <f>IF(Plan!$U56="","",Plan!$U56)</f>
        <v>0.875</v>
      </c>
      <c r="F58" s="45" t="str">
        <f>Plan!$Q56</f>
        <v>Paris FC</v>
      </c>
      <c r="G58" s="20" t="s">
        <v>170</v>
      </c>
      <c r="H58" s="45" t="str">
        <f>Plan!$S56</f>
        <v>FC Barcelona</v>
      </c>
      <c r="I58" s="47">
        <v>0</v>
      </c>
      <c r="J58" s="481" t="str">
        <f>Language!$E$90</f>
        <v xml:space="preserve"> : </v>
      </c>
      <c r="K58" s="49">
        <v>2</v>
      </c>
      <c r="L58" s="25"/>
      <c r="M58" s="26"/>
    </row>
    <row r="59" spans="2:32" ht="16.5" thickTop="1" x14ac:dyDescent="0.25">
      <c r="B59" s="23"/>
      <c r="C59" s="21">
        <v>51</v>
      </c>
      <c r="D59" s="488">
        <f>IF(Plan!$T57="","",Plan!$T57)</f>
        <v>46008</v>
      </c>
      <c r="E59" s="19">
        <f>IF(Plan!$U57="","",Plan!$U57)</f>
        <v>0.875</v>
      </c>
      <c r="F59" s="45" t="str">
        <f>Plan!$Q57</f>
        <v>SL Benfica</v>
      </c>
      <c r="G59" s="20" t="s">
        <v>170</v>
      </c>
      <c r="H59" s="45" t="str">
        <f>Plan!$S57</f>
        <v>Paris St. Germain</v>
      </c>
      <c r="I59" s="47">
        <v>1</v>
      </c>
      <c r="J59" s="481" t="str">
        <f>Language!$E$90</f>
        <v xml:space="preserve"> : </v>
      </c>
      <c r="K59" s="49">
        <v>1</v>
      </c>
      <c r="L59" s="25"/>
      <c r="M59" s="26"/>
      <c r="O59" s="505"/>
      <c r="P59" s="506"/>
      <c r="Q59" s="52" t="str">
        <f>$Q$8</f>
        <v>Sp</v>
      </c>
      <c r="R59" s="53" t="str">
        <f>$R$8</f>
        <v>G</v>
      </c>
      <c r="S59" s="53" t="str">
        <f>$S$8</f>
        <v>U</v>
      </c>
      <c r="T59" s="204" t="str">
        <f>$T$8</f>
        <v>V</v>
      </c>
      <c r="U59" s="502" t="str">
        <f>$U$8</f>
        <v>Tore</v>
      </c>
      <c r="V59" s="503"/>
      <c r="W59" s="504"/>
      <c r="X59" s="53" t="str">
        <f>$X$8</f>
        <v>TD</v>
      </c>
      <c r="Y59" s="204" t="str">
        <f>$Y$8</f>
        <v>ATore</v>
      </c>
      <c r="Z59" s="204" t="str">
        <f>$Z$8</f>
        <v>AGew</v>
      </c>
      <c r="AA59" s="55" t="str">
        <f>$AA$8</f>
        <v>Pkt</v>
      </c>
      <c r="AB59" s="56" t="str">
        <f>$AB$8</f>
        <v>Strafp.</v>
      </c>
    </row>
    <row r="60" spans="2:32" ht="15.75" x14ac:dyDescent="0.25">
      <c r="B60" s="23"/>
      <c r="C60" s="21">
        <v>52</v>
      </c>
      <c r="D60" s="488">
        <f>IF(Plan!$T58="","",Plan!$T58)</f>
        <v>46008</v>
      </c>
      <c r="E60" s="19">
        <f>IF(Plan!$U58="","",Plan!$U58)</f>
        <v>0.875</v>
      </c>
      <c r="F60" s="45" t="str">
        <f>Plan!$Q58</f>
        <v>FC Twente</v>
      </c>
      <c r="G60" s="20" t="s">
        <v>170</v>
      </c>
      <c r="H60" s="45" t="str">
        <f>Plan!$S58</f>
        <v>Real Madrid</v>
      </c>
      <c r="I60" s="47">
        <v>1</v>
      </c>
      <c r="J60" s="481" t="str">
        <f>Language!$E$90</f>
        <v xml:space="preserve"> : </v>
      </c>
      <c r="K60" s="49">
        <v>1</v>
      </c>
      <c r="L60" s="25"/>
      <c r="M60" s="26"/>
      <c r="O60" s="57">
        <f t="array" ref="O60:AB77">IF($O$9:$AB$26="","",$O$9:$AB$26)</f>
        <v>1</v>
      </c>
      <c r="P60" s="58" t="str">
        <v>FC Barcelona</v>
      </c>
      <c r="Q60" s="59">
        <v>6</v>
      </c>
      <c r="R60" s="60">
        <v>5</v>
      </c>
      <c r="S60" s="60">
        <v>1</v>
      </c>
      <c r="T60" s="61">
        <v>0</v>
      </c>
      <c r="U60" s="62">
        <v>20</v>
      </c>
      <c r="V60" s="63" t="str">
        <v xml:space="preserve"> : </v>
      </c>
      <c r="W60" s="64">
        <v>3</v>
      </c>
      <c r="X60" s="65">
        <v>17</v>
      </c>
      <c r="Y60" s="66">
        <v>7</v>
      </c>
      <c r="Z60" s="66">
        <v>2</v>
      </c>
      <c r="AA60" s="67">
        <v>16</v>
      </c>
      <c r="AB60" s="68" t="str">
        <v/>
      </c>
    </row>
    <row r="61" spans="2:32" ht="15.75" x14ac:dyDescent="0.25">
      <c r="B61" s="23"/>
      <c r="C61" s="21">
        <v>53</v>
      </c>
      <c r="D61" s="488">
        <f>IF(Plan!$T59="","",Plan!$T59)</f>
        <v>46008</v>
      </c>
      <c r="E61" s="19">
        <f>IF(Plan!$U59="","",Plan!$U59)</f>
        <v>0.875</v>
      </c>
      <c r="F61" s="45" t="str">
        <f>Plan!$Q59</f>
        <v>Juventus FC</v>
      </c>
      <c r="G61" s="20" t="s">
        <v>170</v>
      </c>
      <c r="H61" s="45" t="str">
        <f>Plan!$S59</f>
        <v>Manchester United</v>
      </c>
      <c r="I61" s="47">
        <v>0</v>
      </c>
      <c r="J61" s="481" t="str">
        <f>Language!$E$90</f>
        <v xml:space="preserve"> : </v>
      </c>
      <c r="K61" s="49">
        <v>1</v>
      </c>
      <c r="L61" s="25"/>
      <c r="M61" s="26"/>
      <c r="O61" s="57">
        <v>2</v>
      </c>
      <c r="P61" s="58" t="str">
        <v>OL Lyonnes</v>
      </c>
      <c r="Q61" s="59">
        <v>6</v>
      </c>
      <c r="R61" s="60">
        <v>5</v>
      </c>
      <c r="S61" s="60">
        <v>1</v>
      </c>
      <c r="T61" s="61">
        <v>0</v>
      </c>
      <c r="U61" s="62">
        <v>18</v>
      </c>
      <c r="V61" s="63" t="str">
        <v xml:space="preserve"> : </v>
      </c>
      <c r="W61" s="64">
        <v>5</v>
      </c>
      <c r="X61" s="65">
        <v>13</v>
      </c>
      <c r="Y61" s="66">
        <v>8</v>
      </c>
      <c r="Z61" s="66">
        <v>2</v>
      </c>
      <c r="AA61" s="67">
        <v>16</v>
      </c>
      <c r="AB61" s="68" t="str">
        <v/>
      </c>
    </row>
    <row r="62" spans="2:32" ht="16.5" thickBot="1" x14ac:dyDescent="0.3">
      <c r="B62" s="364"/>
      <c r="C62" s="365">
        <v>54</v>
      </c>
      <c r="D62" s="490">
        <f>IF(Plan!$T60="","",Plan!$T60)</f>
        <v>46008</v>
      </c>
      <c r="E62" s="366">
        <f>IF(Plan!$U60="","",Plan!$U60)</f>
        <v>0.875</v>
      </c>
      <c r="F62" s="367" t="str">
        <f>Plan!$Q60</f>
        <v>AS Rom</v>
      </c>
      <c r="G62" s="368" t="s">
        <v>170</v>
      </c>
      <c r="H62" s="367" t="str">
        <f>Plan!$S60</f>
        <v>SKN St. Pölten</v>
      </c>
      <c r="I62" s="369">
        <v>6</v>
      </c>
      <c r="J62" s="370" t="str">
        <f>Language!$E$90</f>
        <v xml:space="preserve"> : </v>
      </c>
      <c r="K62" s="371">
        <v>1</v>
      </c>
      <c r="L62" s="372"/>
      <c r="M62" s="373"/>
      <c r="O62" s="57">
        <v>3</v>
      </c>
      <c r="P62" s="58" t="str">
        <v>Chelsea FC</v>
      </c>
      <c r="Q62" s="59">
        <v>6</v>
      </c>
      <c r="R62" s="60">
        <v>4</v>
      </c>
      <c r="S62" s="60">
        <v>2</v>
      </c>
      <c r="T62" s="61">
        <v>0</v>
      </c>
      <c r="U62" s="62">
        <v>20</v>
      </c>
      <c r="V62" s="63" t="str">
        <v xml:space="preserve"> : </v>
      </c>
      <c r="W62" s="64">
        <v>3</v>
      </c>
      <c r="X62" s="65">
        <v>17</v>
      </c>
      <c r="Y62" s="66">
        <v>9</v>
      </c>
      <c r="Z62" s="66">
        <v>2</v>
      </c>
      <c r="AA62" s="67">
        <v>14</v>
      </c>
      <c r="AB62" s="68" t="str">
        <v/>
      </c>
    </row>
    <row r="63" spans="2:32" ht="16.5" thickTop="1" x14ac:dyDescent="0.25">
      <c r="O63" s="57">
        <v>4</v>
      </c>
      <c r="P63" s="58" t="str">
        <v>FC Bayern München</v>
      </c>
      <c r="Q63" s="59">
        <v>6</v>
      </c>
      <c r="R63" s="60">
        <v>4</v>
      </c>
      <c r="S63" s="60">
        <v>1</v>
      </c>
      <c r="T63" s="61">
        <v>1</v>
      </c>
      <c r="U63" s="62">
        <v>14</v>
      </c>
      <c r="V63" s="63" t="str">
        <v xml:space="preserve"> : </v>
      </c>
      <c r="W63" s="64">
        <v>13</v>
      </c>
      <c r="X63" s="65">
        <v>1</v>
      </c>
      <c r="Y63" s="66">
        <v>6</v>
      </c>
      <c r="Z63" s="66">
        <v>1</v>
      </c>
      <c r="AA63" s="67">
        <v>13</v>
      </c>
      <c r="AB63" s="68" t="str">
        <v/>
      </c>
    </row>
    <row r="64" spans="2:32" ht="15.75" x14ac:dyDescent="0.25">
      <c r="O64" s="250">
        <v>5</v>
      </c>
      <c r="P64" s="251" t="str">
        <v>Arsenal WFC</v>
      </c>
      <c r="Q64" s="252">
        <v>6</v>
      </c>
      <c r="R64" s="253">
        <v>4</v>
      </c>
      <c r="S64" s="253">
        <v>0</v>
      </c>
      <c r="T64" s="254">
        <v>2</v>
      </c>
      <c r="U64" s="255">
        <v>11</v>
      </c>
      <c r="V64" s="256" t="str">
        <v xml:space="preserve"> : </v>
      </c>
      <c r="W64" s="257">
        <v>6</v>
      </c>
      <c r="X64" s="258">
        <v>5</v>
      </c>
      <c r="Y64" s="259">
        <v>7</v>
      </c>
      <c r="Z64" s="259">
        <v>2</v>
      </c>
      <c r="AA64" s="260">
        <v>12</v>
      </c>
      <c r="AB64" s="68" t="str">
        <v/>
      </c>
    </row>
    <row r="65" spans="15:28" ht="15.75" x14ac:dyDescent="0.25">
      <c r="O65" s="250">
        <v>6</v>
      </c>
      <c r="P65" s="251" t="str">
        <v>Manchester United</v>
      </c>
      <c r="Q65" s="252">
        <v>6</v>
      </c>
      <c r="R65" s="253">
        <v>4</v>
      </c>
      <c r="S65" s="253">
        <v>0</v>
      </c>
      <c r="T65" s="254">
        <v>2</v>
      </c>
      <c r="U65" s="255">
        <v>7</v>
      </c>
      <c r="V65" s="256" t="str">
        <v xml:space="preserve"> : </v>
      </c>
      <c r="W65" s="257">
        <v>9</v>
      </c>
      <c r="X65" s="258">
        <v>-2</v>
      </c>
      <c r="Y65" s="259">
        <v>4</v>
      </c>
      <c r="Z65" s="259">
        <v>2</v>
      </c>
      <c r="AA65" s="260">
        <v>12</v>
      </c>
      <c r="AB65" s="68" t="str">
        <v/>
      </c>
    </row>
    <row r="66" spans="15:28" ht="15.75" x14ac:dyDescent="0.25">
      <c r="O66" s="250">
        <v>7</v>
      </c>
      <c r="P66" s="251" t="str">
        <v>Real Madrid</v>
      </c>
      <c r="Q66" s="252">
        <v>6</v>
      </c>
      <c r="R66" s="253">
        <v>3</v>
      </c>
      <c r="S66" s="253">
        <v>2</v>
      </c>
      <c r="T66" s="254">
        <v>1</v>
      </c>
      <c r="U66" s="255">
        <v>13</v>
      </c>
      <c r="V66" s="256" t="str">
        <v xml:space="preserve"> : </v>
      </c>
      <c r="W66" s="257">
        <v>7</v>
      </c>
      <c r="X66" s="258">
        <v>6</v>
      </c>
      <c r="Y66" s="259">
        <v>4</v>
      </c>
      <c r="Z66" s="259">
        <v>1</v>
      </c>
      <c r="AA66" s="260">
        <v>11</v>
      </c>
      <c r="AB66" s="68" t="str">
        <v/>
      </c>
    </row>
    <row r="67" spans="15:28" ht="15.75" x14ac:dyDescent="0.25">
      <c r="O67" s="250">
        <v>8</v>
      </c>
      <c r="P67" s="251" t="str">
        <v>Juventus FC</v>
      </c>
      <c r="Q67" s="252">
        <v>6</v>
      </c>
      <c r="R67" s="253">
        <v>3</v>
      </c>
      <c r="S67" s="253">
        <v>1</v>
      </c>
      <c r="T67" s="254">
        <v>2</v>
      </c>
      <c r="U67" s="255">
        <v>13</v>
      </c>
      <c r="V67" s="256" t="str">
        <v xml:space="preserve"> : </v>
      </c>
      <c r="W67" s="257">
        <v>8</v>
      </c>
      <c r="X67" s="258">
        <v>5</v>
      </c>
      <c r="Y67" s="259">
        <v>8</v>
      </c>
      <c r="Z67" s="259">
        <v>2</v>
      </c>
      <c r="AA67" s="260">
        <v>10</v>
      </c>
      <c r="AB67" s="68" t="str">
        <v/>
      </c>
    </row>
    <row r="68" spans="15:28" ht="15.75" x14ac:dyDescent="0.25">
      <c r="O68" s="272">
        <v>9</v>
      </c>
      <c r="P68" s="273" t="str">
        <v>VfL Wolfsburg</v>
      </c>
      <c r="Q68" s="274">
        <v>6</v>
      </c>
      <c r="R68" s="275">
        <v>3</v>
      </c>
      <c r="S68" s="275">
        <v>0</v>
      </c>
      <c r="T68" s="276">
        <v>3</v>
      </c>
      <c r="U68" s="277">
        <v>13</v>
      </c>
      <c r="V68" s="278" t="str">
        <v xml:space="preserve"> : </v>
      </c>
      <c r="W68" s="279">
        <v>10</v>
      </c>
      <c r="X68" s="280">
        <v>3</v>
      </c>
      <c r="Y68" s="281">
        <v>3</v>
      </c>
      <c r="Z68" s="281">
        <v>1</v>
      </c>
      <c r="AA68" s="282">
        <v>9</v>
      </c>
      <c r="AB68" s="68" t="str">
        <v/>
      </c>
    </row>
    <row r="69" spans="15:28" ht="15.75" x14ac:dyDescent="0.25">
      <c r="O69" s="272">
        <v>10</v>
      </c>
      <c r="P69" s="273" t="str">
        <v>Paris FC</v>
      </c>
      <c r="Q69" s="274">
        <v>6</v>
      </c>
      <c r="R69" s="275">
        <v>2</v>
      </c>
      <c r="S69" s="275">
        <v>2</v>
      </c>
      <c r="T69" s="276">
        <v>2</v>
      </c>
      <c r="U69" s="277">
        <v>6</v>
      </c>
      <c r="V69" s="278" t="str">
        <v xml:space="preserve"> : </v>
      </c>
      <c r="W69" s="279">
        <v>9</v>
      </c>
      <c r="X69" s="280">
        <v>-3</v>
      </c>
      <c r="Y69" s="281">
        <v>2</v>
      </c>
      <c r="Z69" s="281">
        <v>1</v>
      </c>
      <c r="AA69" s="282">
        <v>8</v>
      </c>
      <c r="AB69" s="68" t="str">
        <v/>
      </c>
    </row>
    <row r="70" spans="15:28" ht="15.75" x14ac:dyDescent="0.25">
      <c r="O70" s="272">
        <v>11</v>
      </c>
      <c r="P70" s="273" t="str">
        <v>Atletico Madrid</v>
      </c>
      <c r="Q70" s="274">
        <v>6</v>
      </c>
      <c r="R70" s="275">
        <v>2</v>
      </c>
      <c r="S70" s="275">
        <v>1</v>
      </c>
      <c r="T70" s="276">
        <v>3</v>
      </c>
      <c r="U70" s="277">
        <v>13</v>
      </c>
      <c r="V70" s="278" t="str">
        <v xml:space="preserve"> : </v>
      </c>
      <c r="W70" s="279">
        <v>9</v>
      </c>
      <c r="X70" s="280">
        <v>4</v>
      </c>
      <c r="Y70" s="281">
        <v>10</v>
      </c>
      <c r="Z70" s="281">
        <v>2</v>
      </c>
      <c r="AA70" s="282">
        <v>7</v>
      </c>
      <c r="AB70" s="68" t="str">
        <v/>
      </c>
    </row>
    <row r="71" spans="15:28" ht="15.75" x14ac:dyDescent="0.25">
      <c r="O71" s="272">
        <v>12</v>
      </c>
      <c r="P71" s="273" t="str">
        <v>Oud-Heverlee Leuven</v>
      </c>
      <c r="Q71" s="274">
        <v>6</v>
      </c>
      <c r="R71" s="275">
        <v>1</v>
      </c>
      <c r="S71" s="275">
        <v>3</v>
      </c>
      <c r="T71" s="276">
        <v>2</v>
      </c>
      <c r="U71" s="277">
        <v>5</v>
      </c>
      <c r="V71" s="278" t="str">
        <v xml:space="preserve"> : </v>
      </c>
      <c r="W71" s="279">
        <v>10</v>
      </c>
      <c r="X71" s="280">
        <v>-5</v>
      </c>
      <c r="Y71" s="281">
        <v>2</v>
      </c>
      <c r="Z71" s="281">
        <v>0</v>
      </c>
      <c r="AA71" s="282">
        <v>6</v>
      </c>
      <c r="AB71" s="68" t="str">
        <v/>
      </c>
    </row>
    <row r="72" spans="15:28" ht="15.75" x14ac:dyDescent="0.25">
      <c r="O72" s="261">
        <v>13</v>
      </c>
      <c r="P72" s="262" t="str">
        <v>Valerenga IF</v>
      </c>
      <c r="Q72" s="263">
        <v>6</v>
      </c>
      <c r="R72" s="264">
        <v>1</v>
      </c>
      <c r="S72" s="264">
        <v>1</v>
      </c>
      <c r="T72" s="265">
        <v>4</v>
      </c>
      <c r="U72" s="266">
        <v>4</v>
      </c>
      <c r="V72" s="267" t="str">
        <v xml:space="preserve"> : </v>
      </c>
      <c r="W72" s="268">
        <v>9</v>
      </c>
      <c r="X72" s="269">
        <v>-5</v>
      </c>
      <c r="Y72" s="270">
        <v>1</v>
      </c>
      <c r="Z72" s="270">
        <v>1</v>
      </c>
      <c r="AA72" s="271">
        <v>4</v>
      </c>
      <c r="AB72" s="68" t="str">
        <v/>
      </c>
    </row>
    <row r="73" spans="15:28" ht="15.75" x14ac:dyDescent="0.25">
      <c r="O73" s="261">
        <v>14</v>
      </c>
      <c r="P73" s="262" t="str">
        <v>AS Rom</v>
      </c>
      <c r="Q73" s="263">
        <v>6</v>
      </c>
      <c r="R73" s="264">
        <v>1</v>
      </c>
      <c r="S73" s="264">
        <v>1</v>
      </c>
      <c r="T73" s="265">
        <v>4</v>
      </c>
      <c r="U73" s="266">
        <v>9</v>
      </c>
      <c r="V73" s="267" t="str">
        <v xml:space="preserve"> : </v>
      </c>
      <c r="W73" s="268">
        <v>19</v>
      </c>
      <c r="X73" s="269">
        <v>-10</v>
      </c>
      <c r="Y73" s="270">
        <v>3</v>
      </c>
      <c r="Z73" s="270">
        <v>0</v>
      </c>
      <c r="AA73" s="271">
        <v>4</v>
      </c>
      <c r="AB73" s="68" t="str">
        <v/>
      </c>
    </row>
    <row r="74" spans="15:28" ht="15.75" x14ac:dyDescent="0.25">
      <c r="O74" s="261">
        <v>15</v>
      </c>
      <c r="P74" s="262" t="str">
        <v>FC Twente</v>
      </c>
      <c r="Q74" s="263">
        <v>6</v>
      </c>
      <c r="R74" s="264">
        <v>0</v>
      </c>
      <c r="S74" s="264">
        <v>3</v>
      </c>
      <c r="T74" s="265">
        <v>3</v>
      </c>
      <c r="U74" s="266">
        <v>4</v>
      </c>
      <c r="V74" s="267" t="str">
        <v xml:space="preserve"> : </v>
      </c>
      <c r="W74" s="268">
        <v>10</v>
      </c>
      <c r="X74" s="269">
        <v>-6</v>
      </c>
      <c r="Y74" s="270">
        <v>2</v>
      </c>
      <c r="Z74" s="270">
        <v>0</v>
      </c>
      <c r="AA74" s="271">
        <v>3</v>
      </c>
      <c r="AB74" s="68" t="str">
        <v/>
      </c>
    </row>
    <row r="75" spans="15:28" ht="15.75" x14ac:dyDescent="0.25">
      <c r="O75" s="261">
        <v>16</v>
      </c>
      <c r="P75" s="262" t="str">
        <v>SL Benfica</v>
      </c>
      <c r="Q75" s="263">
        <v>6</v>
      </c>
      <c r="R75" s="264">
        <v>0</v>
      </c>
      <c r="S75" s="264">
        <v>2</v>
      </c>
      <c r="T75" s="265">
        <v>4</v>
      </c>
      <c r="U75" s="266">
        <v>4</v>
      </c>
      <c r="V75" s="267" t="str">
        <v xml:space="preserve"> : </v>
      </c>
      <c r="W75" s="268">
        <v>11</v>
      </c>
      <c r="X75" s="269">
        <v>-7</v>
      </c>
      <c r="Y75" s="270">
        <v>2</v>
      </c>
      <c r="Z75" s="270">
        <v>0</v>
      </c>
      <c r="AA75" s="271">
        <v>2</v>
      </c>
      <c r="AB75" s="68" t="str">
        <v/>
      </c>
    </row>
    <row r="76" spans="15:28" ht="15.75" x14ac:dyDescent="0.25">
      <c r="O76" s="261">
        <v>17</v>
      </c>
      <c r="P76" s="262" t="str">
        <v>Paris St. Germain</v>
      </c>
      <c r="Q76" s="263">
        <v>6</v>
      </c>
      <c r="R76" s="264">
        <v>0</v>
      </c>
      <c r="S76" s="264">
        <v>2</v>
      </c>
      <c r="T76" s="265">
        <v>4</v>
      </c>
      <c r="U76" s="266">
        <v>4</v>
      </c>
      <c r="V76" s="267" t="str">
        <v xml:space="preserve"> : </v>
      </c>
      <c r="W76" s="268">
        <v>12</v>
      </c>
      <c r="X76" s="269">
        <v>-8</v>
      </c>
      <c r="Y76" s="270">
        <v>2</v>
      </c>
      <c r="Z76" s="270">
        <v>0</v>
      </c>
      <c r="AA76" s="271">
        <v>2</v>
      </c>
      <c r="AB76" s="68" t="str">
        <v/>
      </c>
    </row>
    <row r="77" spans="15:28" ht="16.5" thickBot="1" x14ac:dyDescent="0.3">
      <c r="O77" s="361">
        <v>18</v>
      </c>
      <c r="P77" s="362" t="str">
        <v>SKN St. Pölten</v>
      </c>
      <c r="Q77" s="382">
        <v>6</v>
      </c>
      <c r="R77" s="374">
        <v>0</v>
      </c>
      <c r="S77" s="374">
        <v>1</v>
      </c>
      <c r="T77" s="375">
        <v>5</v>
      </c>
      <c r="U77" s="376">
        <v>3</v>
      </c>
      <c r="V77" s="377" t="str">
        <v xml:space="preserve"> : </v>
      </c>
      <c r="W77" s="378">
        <v>28</v>
      </c>
      <c r="X77" s="379">
        <v>-25</v>
      </c>
      <c r="Y77" s="380">
        <v>3</v>
      </c>
      <c r="Z77" s="380">
        <v>0</v>
      </c>
      <c r="AA77" s="381">
        <v>1</v>
      </c>
      <c r="AB77" s="363" t="str">
        <v/>
      </c>
    </row>
    <row r="78" spans="15:28" ht="15.75" thickTop="1" x14ac:dyDescent="0.25"/>
    <row r="79" spans="15:28" ht="15.75" thickBot="1" x14ac:dyDescent="0.3"/>
    <row r="80" spans="15:28" ht="15.75" thickTop="1" x14ac:dyDescent="0.25">
      <c r="O80" s="505"/>
      <c r="P80" s="506"/>
      <c r="Q80" s="52" t="str">
        <f>$Q$8</f>
        <v>Sp</v>
      </c>
      <c r="R80" s="53" t="str">
        <f>$R$8</f>
        <v>G</v>
      </c>
      <c r="S80" s="53" t="str">
        <f>$S$8</f>
        <v>U</v>
      </c>
      <c r="T80" s="204" t="str">
        <f>$T$8</f>
        <v>V</v>
      </c>
      <c r="U80" s="502" t="str">
        <f>$U$8</f>
        <v>Tore</v>
      </c>
      <c r="V80" s="503"/>
      <c r="W80" s="504"/>
      <c r="X80" s="53" t="str">
        <f>$X$8</f>
        <v>TD</v>
      </c>
      <c r="Y80" s="204" t="str">
        <f>$Y$8</f>
        <v>ATore</v>
      </c>
      <c r="Z80" s="204" t="str">
        <f>$Z$8</f>
        <v>AGew</v>
      </c>
      <c r="AA80" s="55" t="str">
        <f>$AA$8</f>
        <v>Pkt</v>
      </c>
      <c r="AB80" s="56" t="str">
        <f>$AB$8</f>
        <v>Strafp.</v>
      </c>
    </row>
    <row r="81" spans="15:28" ht="15.75" x14ac:dyDescent="0.25">
      <c r="O81" s="57">
        <f t="array" ref="O81:AB98">IF($O$9:$AB$26="","",$O$9:$AB$26)</f>
        <v>1</v>
      </c>
      <c r="P81" s="58" t="str">
        <v>FC Barcelona</v>
      </c>
      <c r="Q81" s="59">
        <v>6</v>
      </c>
      <c r="R81" s="60">
        <v>5</v>
      </c>
      <c r="S81" s="60">
        <v>1</v>
      </c>
      <c r="T81" s="61">
        <v>0</v>
      </c>
      <c r="U81" s="62">
        <v>20</v>
      </c>
      <c r="V81" s="63" t="str">
        <v xml:space="preserve"> : </v>
      </c>
      <c r="W81" s="64">
        <v>3</v>
      </c>
      <c r="X81" s="65">
        <v>17</v>
      </c>
      <c r="Y81" s="66">
        <v>7</v>
      </c>
      <c r="Z81" s="66">
        <v>2</v>
      </c>
      <c r="AA81" s="67">
        <v>16</v>
      </c>
      <c r="AB81" s="68" t="str">
        <v/>
      </c>
    </row>
    <row r="82" spans="15:28" ht="15.75" x14ac:dyDescent="0.25">
      <c r="O82" s="57">
        <v>2</v>
      </c>
      <c r="P82" s="58" t="str">
        <v>OL Lyonnes</v>
      </c>
      <c r="Q82" s="59">
        <v>6</v>
      </c>
      <c r="R82" s="60">
        <v>5</v>
      </c>
      <c r="S82" s="60">
        <v>1</v>
      </c>
      <c r="T82" s="61">
        <v>0</v>
      </c>
      <c r="U82" s="62">
        <v>18</v>
      </c>
      <c r="V82" s="63" t="str">
        <v xml:space="preserve"> : </v>
      </c>
      <c r="W82" s="64">
        <v>5</v>
      </c>
      <c r="X82" s="65">
        <v>13</v>
      </c>
      <c r="Y82" s="66">
        <v>8</v>
      </c>
      <c r="Z82" s="66">
        <v>2</v>
      </c>
      <c r="AA82" s="67">
        <v>16</v>
      </c>
      <c r="AB82" s="68" t="str">
        <v/>
      </c>
    </row>
    <row r="83" spans="15:28" ht="15.75" x14ac:dyDescent="0.25">
      <c r="O83" s="57">
        <v>3</v>
      </c>
      <c r="P83" s="58" t="str">
        <v>Chelsea FC</v>
      </c>
      <c r="Q83" s="59">
        <v>6</v>
      </c>
      <c r="R83" s="60">
        <v>4</v>
      </c>
      <c r="S83" s="60">
        <v>2</v>
      </c>
      <c r="T83" s="61">
        <v>0</v>
      </c>
      <c r="U83" s="62">
        <v>20</v>
      </c>
      <c r="V83" s="63" t="str">
        <v xml:space="preserve"> : </v>
      </c>
      <c r="W83" s="64">
        <v>3</v>
      </c>
      <c r="X83" s="65">
        <v>17</v>
      </c>
      <c r="Y83" s="66">
        <v>9</v>
      </c>
      <c r="Z83" s="66">
        <v>2</v>
      </c>
      <c r="AA83" s="67">
        <v>14</v>
      </c>
      <c r="AB83" s="68" t="str">
        <v/>
      </c>
    </row>
    <row r="84" spans="15:28" ht="15.75" x14ac:dyDescent="0.25">
      <c r="O84" s="57">
        <v>4</v>
      </c>
      <c r="P84" s="58" t="str">
        <v>FC Bayern München</v>
      </c>
      <c r="Q84" s="59">
        <v>6</v>
      </c>
      <c r="R84" s="60">
        <v>4</v>
      </c>
      <c r="S84" s="60">
        <v>1</v>
      </c>
      <c r="T84" s="61">
        <v>1</v>
      </c>
      <c r="U84" s="62">
        <v>14</v>
      </c>
      <c r="V84" s="63" t="str">
        <v xml:space="preserve"> : </v>
      </c>
      <c r="W84" s="64">
        <v>13</v>
      </c>
      <c r="X84" s="65">
        <v>1</v>
      </c>
      <c r="Y84" s="66">
        <v>6</v>
      </c>
      <c r="Z84" s="66">
        <v>1</v>
      </c>
      <c r="AA84" s="67">
        <v>13</v>
      </c>
      <c r="AB84" s="68" t="str">
        <v/>
      </c>
    </row>
    <row r="85" spans="15:28" ht="15.75" x14ac:dyDescent="0.25">
      <c r="O85" s="250">
        <v>5</v>
      </c>
      <c r="P85" s="251" t="str">
        <v>Arsenal WFC</v>
      </c>
      <c r="Q85" s="252">
        <v>6</v>
      </c>
      <c r="R85" s="253">
        <v>4</v>
      </c>
      <c r="S85" s="253">
        <v>0</v>
      </c>
      <c r="T85" s="254">
        <v>2</v>
      </c>
      <c r="U85" s="255">
        <v>11</v>
      </c>
      <c r="V85" s="256" t="str">
        <v xml:space="preserve"> : </v>
      </c>
      <c r="W85" s="257">
        <v>6</v>
      </c>
      <c r="X85" s="258">
        <v>5</v>
      </c>
      <c r="Y85" s="259">
        <v>7</v>
      </c>
      <c r="Z85" s="259">
        <v>2</v>
      </c>
      <c r="AA85" s="260">
        <v>12</v>
      </c>
      <c r="AB85" s="68" t="str">
        <v/>
      </c>
    </row>
    <row r="86" spans="15:28" ht="15.75" x14ac:dyDescent="0.25">
      <c r="O86" s="250">
        <v>6</v>
      </c>
      <c r="P86" s="251" t="str">
        <v>Manchester United</v>
      </c>
      <c r="Q86" s="252">
        <v>6</v>
      </c>
      <c r="R86" s="253">
        <v>4</v>
      </c>
      <c r="S86" s="253">
        <v>0</v>
      </c>
      <c r="T86" s="254">
        <v>2</v>
      </c>
      <c r="U86" s="255">
        <v>7</v>
      </c>
      <c r="V86" s="256" t="str">
        <v xml:space="preserve"> : </v>
      </c>
      <c r="W86" s="257">
        <v>9</v>
      </c>
      <c r="X86" s="258">
        <v>-2</v>
      </c>
      <c r="Y86" s="259">
        <v>4</v>
      </c>
      <c r="Z86" s="259">
        <v>2</v>
      </c>
      <c r="AA86" s="260">
        <v>12</v>
      </c>
      <c r="AB86" s="68" t="str">
        <v/>
      </c>
    </row>
    <row r="87" spans="15:28" ht="15.75" x14ac:dyDescent="0.25">
      <c r="O87" s="250">
        <v>7</v>
      </c>
      <c r="P87" s="251" t="str">
        <v>Real Madrid</v>
      </c>
      <c r="Q87" s="252">
        <v>6</v>
      </c>
      <c r="R87" s="253">
        <v>3</v>
      </c>
      <c r="S87" s="253">
        <v>2</v>
      </c>
      <c r="T87" s="254">
        <v>1</v>
      </c>
      <c r="U87" s="255">
        <v>13</v>
      </c>
      <c r="V87" s="256" t="str">
        <v xml:space="preserve"> : </v>
      </c>
      <c r="W87" s="257">
        <v>7</v>
      </c>
      <c r="X87" s="258">
        <v>6</v>
      </c>
      <c r="Y87" s="259">
        <v>4</v>
      </c>
      <c r="Z87" s="259">
        <v>1</v>
      </c>
      <c r="AA87" s="260">
        <v>11</v>
      </c>
      <c r="AB87" s="68" t="str">
        <v/>
      </c>
    </row>
    <row r="88" spans="15:28" ht="15.75" x14ac:dyDescent="0.25">
      <c r="O88" s="250">
        <v>8</v>
      </c>
      <c r="P88" s="251" t="str">
        <v>Juventus FC</v>
      </c>
      <c r="Q88" s="252">
        <v>6</v>
      </c>
      <c r="R88" s="253">
        <v>3</v>
      </c>
      <c r="S88" s="253">
        <v>1</v>
      </c>
      <c r="T88" s="254">
        <v>2</v>
      </c>
      <c r="U88" s="255">
        <v>13</v>
      </c>
      <c r="V88" s="256" t="str">
        <v xml:space="preserve"> : </v>
      </c>
      <c r="W88" s="257">
        <v>8</v>
      </c>
      <c r="X88" s="258">
        <v>5</v>
      </c>
      <c r="Y88" s="259">
        <v>8</v>
      </c>
      <c r="Z88" s="259">
        <v>2</v>
      </c>
      <c r="AA88" s="260">
        <v>10</v>
      </c>
      <c r="AB88" s="68" t="str">
        <v/>
      </c>
    </row>
    <row r="89" spans="15:28" ht="15.75" x14ac:dyDescent="0.25">
      <c r="O89" s="272">
        <v>9</v>
      </c>
      <c r="P89" s="273" t="str">
        <v>VfL Wolfsburg</v>
      </c>
      <c r="Q89" s="274">
        <v>6</v>
      </c>
      <c r="R89" s="275">
        <v>3</v>
      </c>
      <c r="S89" s="275">
        <v>0</v>
      </c>
      <c r="T89" s="276">
        <v>3</v>
      </c>
      <c r="U89" s="277">
        <v>13</v>
      </c>
      <c r="V89" s="278" t="str">
        <v xml:space="preserve"> : </v>
      </c>
      <c r="W89" s="279">
        <v>10</v>
      </c>
      <c r="X89" s="280">
        <v>3</v>
      </c>
      <c r="Y89" s="281">
        <v>3</v>
      </c>
      <c r="Z89" s="281">
        <v>1</v>
      </c>
      <c r="AA89" s="282">
        <v>9</v>
      </c>
      <c r="AB89" s="68" t="str">
        <v/>
      </c>
    </row>
    <row r="90" spans="15:28" ht="15.75" x14ac:dyDescent="0.25">
      <c r="O90" s="272">
        <v>10</v>
      </c>
      <c r="P90" s="273" t="str">
        <v>Paris FC</v>
      </c>
      <c r="Q90" s="274">
        <v>6</v>
      </c>
      <c r="R90" s="275">
        <v>2</v>
      </c>
      <c r="S90" s="275">
        <v>2</v>
      </c>
      <c r="T90" s="276">
        <v>2</v>
      </c>
      <c r="U90" s="277">
        <v>6</v>
      </c>
      <c r="V90" s="278" t="str">
        <v xml:space="preserve"> : </v>
      </c>
      <c r="W90" s="279">
        <v>9</v>
      </c>
      <c r="X90" s="280">
        <v>-3</v>
      </c>
      <c r="Y90" s="281">
        <v>2</v>
      </c>
      <c r="Z90" s="281">
        <v>1</v>
      </c>
      <c r="AA90" s="282">
        <v>8</v>
      </c>
      <c r="AB90" s="68" t="str">
        <v/>
      </c>
    </row>
    <row r="91" spans="15:28" ht="15.75" x14ac:dyDescent="0.25">
      <c r="O91" s="272">
        <v>11</v>
      </c>
      <c r="P91" s="273" t="str">
        <v>Atletico Madrid</v>
      </c>
      <c r="Q91" s="274">
        <v>6</v>
      </c>
      <c r="R91" s="275">
        <v>2</v>
      </c>
      <c r="S91" s="275">
        <v>1</v>
      </c>
      <c r="T91" s="276">
        <v>3</v>
      </c>
      <c r="U91" s="277">
        <v>13</v>
      </c>
      <c r="V91" s="278" t="str">
        <v xml:space="preserve"> : </v>
      </c>
      <c r="W91" s="279">
        <v>9</v>
      </c>
      <c r="X91" s="280">
        <v>4</v>
      </c>
      <c r="Y91" s="281">
        <v>10</v>
      </c>
      <c r="Z91" s="281">
        <v>2</v>
      </c>
      <c r="AA91" s="282">
        <v>7</v>
      </c>
      <c r="AB91" s="68" t="str">
        <v/>
      </c>
    </row>
    <row r="92" spans="15:28" ht="15.75" x14ac:dyDescent="0.25">
      <c r="O92" s="272">
        <v>12</v>
      </c>
      <c r="P92" s="273" t="str">
        <v>Oud-Heverlee Leuven</v>
      </c>
      <c r="Q92" s="274">
        <v>6</v>
      </c>
      <c r="R92" s="275">
        <v>1</v>
      </c>
      <c r="S92" s="275">
        <v>3</v>
      </c>
      <c r="T92" s="276">
        <v>2</v>
      </c>
      <c r="U92" s="277">
        <v>5</v>
      </c>
      <c r="V92" s="278" t="str">
        <v xml:space="preserve"> : </v>
      </c>
      <c r="W92" s="279">
        <v>10</v>
      </c>
      <c r="X92" s="280">
        <v>-5</v>
      </c>
      <c r="Y92" s="281">
        <v>2</v>
      </c>
      <c r="Z92" s="281">
        <v>0</v>
      </c>
      <c r="AA92" s="282">
        <v>6</v>
      </c>
      <c r="AB92" s="68" t="str">
        <v/>
      </c>
    </row>
    <row r="93" spans="15:28" ht="15.75" x14ac:dyDescent="0.25">
      <c r="O93" s="261">
        <v>13</v>
      </c>
      <c r="P93" s="262" t="str">
        <v>Valerenga IF</v>
      </c>
      <c r="Q93" s="263">
        <v>6</v>
      </c>
      <c r="R93" s="264">
        <v>1</v>
      </c>
      <c r="S93" s="264">
        <v>1</v>
      </c>
      <c r="T93" s="265">
        <v>4</v>
      </c>
      <c r="U93" s="266">
        <v>4</v>
      </c>
      <c r="V93" s="267" t="str">
        <v xml:space="preserve"> : </v>
      </c>
      <c r="W93" s="268">
        <v>9</v>
      </c>
      <c r="X93" s="269">
        <v>-5</v>
      </c>
      <c r="Y93" s="270">
        <v>1</v>
      </c>
      <c r="Z93" s="270">
        <v>1</v>
      </c>
      <c r="AA93" s="271">
        <v>4</v>
      </c>
      <c r="AB93" s="68" t="str">
        <v/>
      </c>
    </row>
    <row r="94" spans="15:28" ht="15.75" x14ac:dyDescent="0.25">
      <c r="O94" s="261">
        <v>14</v>
      </c>
      <c r="P94" s="262" t="str">
        <v>AS Rom</v>
      </c>
      <c r="Q94" s="263">
        <v>6</v>
      </c>
      <c r="R94" s="264">
        <v>1</v>
      </c>
      <c r="S94" s="264">
        <v>1</v>
      </c>
      <c r="T94" s="265">
        <v>4</v>
      </c>
      <c r="U94" s="266">
        <v>9</v>
      </c>
      <c r="V94" s="267" t="str">
        <v xml:space="preserve"> : </v>
      </c>
      <c r="W94" s="268">
        <v>19</v>
      </c>
      <c r="X94" s="269">
        <v>-10</v>
      </c>
      <c r="Y94" s="270">
        <v>3</v>
      </c>
      <c r="Z94" s="270">
        <v>0</v>
      </c>
      <c r="AA94" s="271">
        <v>4</v>
      </c>
      <c r="AB94" s="68" t="str">
        <v/>
      </c>
    </row>
    <row r="95" spans="15:28" ht="15.75" x14ac:dyDescent="0.25">
      <c r="O95" s="261">
        <v>15</v>
      </c>
      <c r="P95" s="262" t="str">
        <v>FC Twente</v>
      </c>
      <c r="Q95" s="263">
        <v>6</v>
      </c>
      <c r="R95" s="264">
        <v>0</v>
      </c>
      <c r="S95" s="264">
        <v>3</v>
      </c>
      <c r="T95" s="265">
        <v>3</v>
      </c>
      <c r="U95" s="266">
        <v>4</v>
      </c>
      <c r="V95" s="267" t="str">
        <v xml:space="preserve"> : </v>
      </c>
      <c r="W95" s="268">
        <v>10</v>
      </c>
      <c r="X95" s="269">
        <v>-6</v>
      </c>
      <c r="Y95" s="270">
        <v>2</v>
      </c>
      <c r="Z95" s="270">
        <v>0</v>
      </c>
      <c r="AA95" s="271">
        <v>3</v>
      </c>
      <c r="AB95" s="68" t="str">
        <v/>
      </c>
    </row>
    <row r="96" spans="15:28" ht="15.75" x14ac:dyDescent="0.25">
      <c r="O96" s="261">
        <v>16</v>
      </c>
      <c r="P96" s="262" t="str">
        <v>SL Benfica</v>
      </c>
      <c r="Q96" s="263">
        <v>6</v>
      </c>
      <c r="R96" s="264">
        <v>0</v>
      </c>
      <c r="S96" s="264">
        <v>2</v>
      </c>
      <c r="T96" s="265">
        <v>4</v>
      </c>
      <c r="U96" s="266">
        <v>4</v>
      </c>
      <c r="V96" s="267" t="str">
        <v xml:space="preserve"> : </v>
      </c>
      <c r="W96" s="268">
        <v>11</v>
      </c>
      <c r="X96" s="269">
        <v>-7</v>
      </c>
      <c r="Y96" s="270">
        <v>2</v>
      </c>
      <c r="Z96" s="270">
        <v>0</v>
      </c>
      <c r="AA96" s="271">
        <v>2</v>
      </c>
      <c r="AB96" s="68" t="str">
        <v/>
      </c>
    </row>
    <row r="97" spans="2:28" ht="15.75" x14ac:dyDescent="0.25">
      <c r="B97" s="487" t="s">
        <v>261</v>
      </c>
      <c r="O97" s="261">
        <v>17</v>
      </c>
      <c r="P97" s="262" t="str">
        <v>Paris St. Germain</v>
      </c>
      <c r="Q97" s="263">
        <v>6</v>
      </c>
      <c r="R97" s="264">
        <v>0</v>
      </c>
      <c r="S97" s="264">
        <v>2</v>
      </c>
      <c r="T97" s="265">
        <v>4</v>
      </c>
      <c r="U97" s="266">
        <v>4</v>
      </c>
      <c r="V97" s="267" t="str">
        <v xml:space="preserve"> : </v>
      </c>
      <c r="W97" s="268">
        <v>12</v>
      </c>
      <c r="X97" s="269">
        <v>-8</v>
      </c>
      <c r="Y97" s="270">
        <v>2</v>
      </c>
      <c r="Z97" s="270">
        <v>0</v>
      </c>
      <c r="AA97" s="271">
        <v>2</v>
      </c>
      <c r="AB97" s="68" t="str">
        <v/>
      </c>
    </row>
    <row r="98" spans="2:28" ht="16.5" thickBot="1" x14ac:dyDescent="0.3">
      <c r="O98" s="361">
        <v>18</v>
      </c>
      <c r="P98" s="362" t="str">
        <v>SKN St. Pölten</v>
      </c>
      <c r="Q98" s="382">
        <v>6</v>
      </c>
      <c r="R98" s="374">
        <v>0</v>
      </c>
      <c r="S98" s="374">
        <v>1</v>
      </c>
      <c r="T98" s="375">
        <v>5</v>
      </c>
      <c r="U98" s="376">
        <v>3</v>
      </c>
      <c r="V98" s="377" t="str">
        <v xml:space="preserve"> : </v>
      </c>
      <c r="W98" s="378">
        <v>28</v>
      </c>
      <c r="X98" s="379">
        <v>-25</v>
      </c>
      <c r="Y98" s="380">
        <v>3</v>
      </c>
      <c r="Z98" s="380">
        <v>0</v>
      </c>
      <c r="AA98" s="381">
        <v>1</v>
      </c>
      <c r="AB98" s="363" t="str">
        <v/>
      </c>
    </row>
    <row r="99" spans="2:28" ht="15.75" thickTop="1" x14ac:dyDescent="0.25"/>
  </sheetData>
  <sheetProtection sheet="1" objects="1" scenarios="1" selectLockedCells="1"/>
  <mergeCells count="16">
    <mergeCell ref="Y7:Z7"/>
    <mergeCell ref="O8:P8"/>
    <mergeCell ref="U8:W8"/>
    <mergeCell ref="G3:Q3"/>
    <mergeCell ref="G4:Q4"/>
    <mergeCell ref="O6:P6"/>
    <mergeCell ref="F8:H8"/>
    <mergeCell ref="I8:K8"/>
    <mergeCell ref="L8:M8"/>
    <mergeCell ref="R6:AA6"/>
    <mergeCell ref="O51:S51"/>
    <mergeCell ref="O56:AF56"/>
    <mergeCell ref="U59:W59"/>
    <mergeCell ref="O59:P59"/>
    <mergeCell ref="O80:P80"/>
    <mergeCell ref="U80:W80"/>
  </mergeCells>
  <conditionalFormatting sqref="O9:O26">
    <cfRule type="expression" dxfId="54" priority="46">
      <formula>O9=O8</formula>
    </cfRule>
  </conditionalFormatting>
  <conditionalFormatting sqref="AE9:AE28">
    <cfRule type="expression" dxfId="53" priority="45">
      <formula>AE9=AE8</formula>
    </cfRule>
  </conditionalFormatting>
  <conditionalFormatting sqref="O46">
    <cfRule type="expression" dxfId="52" priority="41">
      <formula>$P$10=""</formula>
    </cfRule>
    <cfRule type="expression" dxfId="51" priority="42">
      <formula>OR(AND($O$10=$O$9,$P$9&lt;&gt;""),AND($O$10=$O$11,$P$11&lt;&gt;""))</formula>
    </cfRule>
  </conditionalFormatting>
  <conditionalFormatting sqref="AE31:AF31 AE48:AF49">
    <cfRule type="expression" dxfId="50" priority="37">
      <formula>$P1048568=""</formula>
    </cfRule>
    <cfRule type="expression" dxfId="49" priority="40">
      <formula>OR(AND($O1048568=$O1048567,$P1048567&lt;&gt;""),AND($O1048568=$O1048569,$P1048569&lt;&gt;""))</formula>
    </cfRule>
  </conditionalFormatting>
  <conditionalFormatting sqref="AE30:AF30">
    <cfRule type="expression" dxfId="48" priority="38">
      <formula>$P1048567=""</formula>
    </cfRule>
    <cfRule type="expression" dxfId="47" priority="39">
      <formula>AND($O$9=$O$10,$P$10&lt;&gt;"")</formula>
    </cfRule>
  </conditionalFormatting>
  <conditionalFormatting sqref="AE32:AF32">
    <cfRule type="expression" dxfId="46" priority="35">
      <formula>$P1048569=""</formula>
    </cfRule>
    <cfRule type="expression" dxfId="45" priority="36">
      <formula>OR(AND($O1048569=$O1048568,$P1048568&lt;&gt;""),AND($O1048569=$O1048570,$P1048570&lt;&gt;""))</formula>
    </cfRule>
  </conditionalFormatting>
  <conditionalFormatting sqref="AE33:AF33">
    <cfRule type="expression" dxfId="44" priority="33">
      <formula>$P1048570=""</formula>
    </cfRule>
    <cfRule type="expression" dxfId="43" priority="34">
      <formula>OR(AND($O1048570=$O1048569,$P1048569&lt;&gt;""),AND($O1048570=$O1048571,$P1048571&lt;&gt;""))</formula>
    </cfRule>
  </conditionalFormatting>
  <conditionalFormatting sqref="AE34:AF34">
    <cfRule type="expression" dxfId="42" priority="31">
      <formula>$P1048571=""</formula>
    </cfRule>
    <cfRule type="expression" dxfId="41" priority="32">
      <formula>OR(AND($O1048571=$O1048570,$P1048570&lt;&gt;""),AND($O1048571=$O1048572,$P1048572&lt;&gt;""))</formula>
    </cfRule>
  </conditionalFormatting>
  <conditionalFormatting sqref="AE35:AF35">
    <cfRule type="expression" dxfId="40" priority="29">
      <formula>$P1048572=""</formula>
    </cfRule>
    <cfRule type="expression" dxfId="39" priority="30">
      <formula>OR(AND($O1048572=$O1048571,$P1048571&lt;&gt;""),AND($O1048572=$O1048573,$P1048573&lt;&gt;""))</formula>
    </cfRule>
  </conditionalFormatting>
  <conditionalFormatting sqref="AE36:AF36">
    <cfRule type="expression" dxfId="38" priority="27">
      <formula>$P1048573=""</formula>
    </cfRule>
    <cfRule type="expression" dxfId="37" priority="28">
      <formula>OR(AND($O1048573=$O1048572,$P1048572&lt;&gt;""),AND($O1048573=$O1048574,$P1048574&lt;&gt;""))</formula>
    </cfRule>
  </conditionalFormatting>
  <conditionalFormatting sqref="AE37:AF37">
    <cfRule type="expression" dxfId="36" priority="25">
      <formula>$P1048574=""</formula>
    </cfRule>
    <cfRule type="expression" dxfId="35" priority="26">
      <formula>OR(AND($O1048574=$O1048573,$P1048573&lt;&gt;""),AND($O1048574=$O1048575,$P1048575&lt;&gt;""))</formula>
    </cfRule>
  </conditionalFormatting>
  <conditionalFormatting sqref="AE38:AF38">
    <cfRule type="expression" dxfId="34" priority="23">
      <formula>$P1048575=""</formula>
    </cfRule>
    <cfRule type="expression" dxfId="33" priority="24">
      <formula>OR(AND($O1048575=$O1048574,$P1048574&lt;&gt;""),AND($O1048575=$O1048576,$P1048576&lt;&gt;""))</formula>
    </cfRule>
  </conditionalFormatting>
  <conditionalFormatting sqref="AE39:AF39">
    <cfRule type="expression" dxfId="32" priority="21">
      <formula>$P1048576=""</formula>
    </cfRule>
    <cfRule type="expression" dxfId="31" priority="22">
      <formula>OR(AND($O1048576=$O1048575,$P1048575&lt;&gt;""),AND($O1048576=$O1,$P1&lt;&gt;""))</formula>
    </cfRule>
  </conditionalFormatting>
  <conditionalFormatting sqref="AE40:AF40">
    <cfRule type="expression" dxfId="30" priority="19">
      <formula>$P1=""</formula>
    </cfRule>
    <cfRule type="expression" dxfId="29" priority="20">
      <formula>OR(AND($O1=$O1048576,$P1048576&lt;&gt;""),AND($O1=$O2,$P2&lt;&gt;""))</formula>
    </cfRule>
  </conditionalFormatting>
  <conditionalFormatting sqref="AE41:AF41">
    <cfRule type="expression" dxfId="28" priority="17">
      <formula>$P2=""</formula>
    </cfRule>
    <cfRule type="expression" dxfId="27" priority="18">
      <formula>OR(AND($O2=$O1,$P1&lt;&gt;""),AND($O2=$O3,$P3&lt;&gt;""))</formula>
    </cfRule>
  </conditionalFormatting>
  <conditionalFormatting sqref="AE42:AF42">
    <cfRule type="expression" dxfId="26" priority="15">
      <formula>$P3=""</formula>
    </cfRule>
    <cfRule type="expression" dxfId="25" priority="16">
      <formula>OR(AND($O3=$O2,$P2&lt;&gt;""),AND($O3=$O4,$P4&lt;&gt;""))</formula>
    </cfRule>
  </conditionalFormatting>
  <conditionalFormatting sqref="AE43:AF43">
    <cfRule type="expression" dxfId="24" priority="13">
      <formula>$P4=""</formula>
    </cfRule>
    <cfRule type="expression" dxfId="23" priority="14">
      <formula>OR(AND($O4=$O3,$P3&lt;&gt;""),AND($O4=$O5,$P5&lt;&gt;""))</formula>
    </cfRule>
  </conditionalFormatting>
  <conditionalFormatting sqref="AE44:AF44">
    <cfRule type="expression" dxfId="22" priority="11">
      <formula>$P5=""</formula>
    </cfRule>
    <cfRule type="expression" dxfId="21" priority="12">
      <formula>OR(AND($O5=$O4,$P4&lt;&gt;""),AND($O5=$O6,$P6&lt;&gt;""))</formula>
    </cfRule>
  </conditionalFormatting>
  <conditionalFormatting sqref="AE45:AF45">
    <cfRule type="expression" dxfId="20" priority="9">
      <formula>$P6=""</formula>
    </cfRule>
    <cfRule type="expression" dxfId="19" priority="10">
      <formula>OR(AND($O6=$O5,$P5&lt;&gt;""),AND($O6=$O7,$P7&lt;&gt;""))</formula>
    </cfRule>
  </conditionalFormatting>
  <conditionalFormatting sqref="AE46:AF46">
    <cfRule type="expression" dxfId="18" priority="7">
      <formula>$P7=""</formula>
    </cfRule>
    <cfRule type="expression" dxfId="17" priority="8">
      <formula>OR(AND($O7=$O6,$P6&lt;&gt;""),AND($O7=$O8,$P8&lt;&gt;""))</formula>
    </cfRule>
  </conditionalFormatting>
  <conditionalFormatting sqref="AE47:AF47">
    <cfRule type="expression" dxfId="16" priority="5">
      <formula>$P8=""</formula>
    </cfRule>
    <cfRule type="expression" dxfId="15" priority="6">
      <formula>OR(AND($O8=$O7,$P7&lt;&gt;""),AND($O8=$O9,$P9&lt;&gt;""))</formula>
    </cfRule>
  </conditionalFormatting>
  <conditionalFormatting sqref="AE50:AF52">
    <cfRule type="expression" dxfId="14" priority="43">
      <formula>$P12=""</formula>
    </cfRule>
    <cfRule type="expression" dxfId="13" priority="44">
      <formula>OR(AND($O12=$O11,$P11&lt;&gt;""),AND($O12=$O13,$P13&lt;&gt;""))</formula>
    </cfRule>
  </conditionalFormatting>
  <conditionalFormatting sqref="O81:O98">
    <cfRule type="expression" dxfId="12" priority="2">
      <formula>O81=O80</formula>
    </cfRule>
  </conditionalFormatting>
  <conditionalFormatting sqref="O60:O77">
    <cfRule type="expression" dxfId="11" priority="1">
      <formula>O60=O59</formula>
    </cfRule>
  </conditionalFormatting>
  <hyperlinks>
    <hyperlink ref="O51" r:id="rId1" xr:uid="{00000000-0004-0000-0000-000000000000}"/>
    <hyperlink ref="O54" r:id="rId2" xr:uid="{00000000-0004-0000-0000-000001000000}"/>
    <hyperlink ref="O56" r:id="rId3" xr:uid="{00000000-0004-0000-0000-000002000000}"/>
  </hyperlinks>
  <pageMargins left="0.7" right="0.7" top="0.78740157499999996" bottom="0.78740157499999996" header="0.3" footer="0.3"/>
  <pageSetup paperSize="9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Calc2!$A$1:$A$6</xm:f>
          </x14:formula1>
          <xm:sqref>Q6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47"/>
  <sheetViews>
    <sheetView showGridLines="0" showRowColHeaders="0" tabSelected="1" zoomScaleNormal="100" workbookViewId="0">
      <selection activeCell="H20" sqref="H20"/>
    </sheetView>
  </sheetViews>
  <sheetFormatPr baseColWidth="10" defaultColWidth="0" defaultRowHeight="15" zeroHeight="1" x14ac:dyDescent="0.25"/>
  <cols>
    <col min="1" max="1" width="5.85546875" customWidth="1"/>
    <col min="2" max="4" width="11.5703125" customWidth="1"/>
    <col min="5" max="5" width="21.7109375" bestFit="1" customWidth="1"/>
    <col min="6" max="6" width="4" customWidth="1"/>
    <col min="7" max="7" width="20.85546875" bestFit="1" customWidth="1"/>
    <col min="8" max="8" width="5.7109375" customWidth="1"/>
    <col min="9" max="9" width="2" customWidth="1"/>
    <col min="10" max="11" width="5.7109375" customWidth="1"/>
    <col min="12" max="12" width="2" customWidth="1"/>
    <col min="13" max="14" width="5.7109375" customWidth="1"/>
    <col min="15" max="15" width="2" customWidth="1"/>
    <col min="16" max="16" width="5.7109375" customWidth="1"/>
    <col min="17" max="17" width="6" customWidth="1"/>
    <col min="18" max="18" width="5.28515625" customWidth="1"/>
    <col min="19" max="19" width="11" customWidth="1"/>
    <col min="20" max="20" width="5.7109375" customWidth="1"/>
    <col min="21" max="21" width="21.140625" customWidth="1"/>
    <col min="22" max="26" width="4.7109375" customWidth="1"/>
    <col min="27" max="27" width="2.7109375" customWidth="1"/>
    <col min="28" max="28" width="4.7109375" customWidth="1"/>
    <col min="29" max="29" width="6.140625" customWidth="1"/>
    <col min="30" max="31" width="4.7109375" customWidth="1"/>
    <col min="32" max="32" width="6.28515625" customWidth="1"/>
    <col min="33" max="33" width="5.42578125" customWidth="1"/>
    <col min="34" max="34" width="5.140625" hidden="1" customWidth="1"/>
    <col min="35" max="35" width="9.5703125" hidden="1" customWidth="1"/>
    <col min="36" max="36" width="7.5703125" hidden="1" customWidth="1"/>
    <col min="37" max="37" width="11.5703125" hidden="1" customWidth="1"/>
    <col min="38" max="38" width="6.85546875" hidden="1" customWidth="1"/>
    <col min="39" max="40" width="11.5703125" hidden="1" customWidth="1"/>
    <col min="41" max="41" width="2.5703125" hidden="1" customWidth="1"/>
    <col min="42" max="16384" width="11.5703125" hidden="1"/>
  </cols>
  <sheetData>
    <row r="1" spans="1:44" ht="15.75" x14ac:dyDescent="0.25">
      <c r="A1" s="153"/>
      <c r="B1" s="154"/>
      <c r="C1" s="154"/>
      <c r="D1" s="154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</row>
    <row r="2" spans="1:44" ht="42" customHeight="1" thickBot="1" x14ac:dyDescent="0.4">
      <c r="A2" s="153"/>
      <c r="B2" s="155" t="str">
        <f>Language!$E$38</f>
        <v>Play-Offs</v>
      </c>
      <c r="C2" s="154"/>
      <c r="D2" s="154"/>
      <c r="E2" s="153"/>
      <c r="F2" s="153"/>
      <c r="G2" s="156" t="str">
        <f>Language!$E$88</f>
        <v>Diese Teams haben beim Rückspiel Heimrecht.</v>
      </c>
      <c r="H2" s="530" t="s">
        <v>255</v>
      </c>
      <c r="I2" s="531"/>
      <c r="J2" s="531"/>
      <c r="K2" s="530" t="s">
        <v>256</v>
      </c>
      <c r="L2" s="531"/>
      <c r="M2" s="531"/>
      <c r="N2" s="524" t="str">
        <f>Language!$E$33</f>
        <v>Elfmeter-schießen</v>
      </c>
      <c r="O2" s="525"/>
      <c r="P2" s="526"/>
      <c r="Q2" s="153"/>
      <c r="R2" s="153"/>
      <c r="S2" s="153"/>
      <c r="T2" s="532" t="str">
        <f>Language!$E$42</f>
        <v>Liga-Tabelle</v>
      </c>
      <c r="U2" s="532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</row>
    <row r="3" spans="1:44" ht="17.25" thickTop="1" thickBot="1" x14ac:dyDescent="0.3">
      <c r="A3" s="153"/>
      <c r="B3" s="154"/>
      <c r="C3" s="154"/>
      <c r="D3" s="154"/>
      <c r="E3" s="153"/>
      <c r="F3" s="153"/>
      <c r="G3" s="157" t="s">
        <v>199</v>
      </c>
      <c r="H3" s="533" t="str">
        <f>Language!$E$31</f>
        <v>Hinspiel</v>
      </c>
      <c r="I3" s="533"/>
      <c r="J3" s="533"/>
      <c r="K3" s="533" t="str">
        <f>Language!$E$32</f>
        <v>Rückspiel</v>
      </c>
      <c r="L3" s="533"/>
      <c r="M3" s="533"/>
      <c r="N3" s="527"/>
      <c r="O3" s="528"/>
      <c r="P3" s="529"/>
      <c r="Q3" s="153"/>
      <c r="R3" s="153"/>
      <c r="S3" s="384" t="str">
        <f>Language!$E$39</f>
        <v>Liga-Rang</v>
      </c>
      <c r="T3" s="158"/>
      <c r="U3" s="159"/>
      <c r="V3" s="52" t="str">
        <f>Results!$Q$8</f>
        <v>Sp</v>
      </c>
      <c r="W3" s="53" t="str">
        <f>Results!$R$8</f>
        <v>G</v>
      </c>
      <c r="X3" s="53" t="str">
        <f>Results!$S$8</f>
        <v>U</v>
      </c>
      <c r="Y3" s="360" t="str">
        <f>Results!$T$8</f>
        <v>V</v>
      </c>
      <c r="Z3" s="502" t="str">
        <f>Results!$U$8</f>
        <v>Tore</v>
      </c>
      <c r="AA3" s="503"/>
      <c r="AB3" s="504"/>
      <c r="AC3" s="53" t="str">
        <f>Results!$X$8</f>
        <v>TD</v>
      </c>
      <c r="AD3" s="360" t="str">
        <f>Results!$Y$8</f>
        <v>ATore</v>
      </c>
      <c r="AE3" s="360" t="str">
        <f>Results!$Z$8</f>
        <v>AGew</v>
      </c>
      <c r="AF3" s="55" t="str">
        <f>Results!$AA$8</f>
        <v>Pkt</v>
      </c>
    </row>
    <row r="4" spans="1:44" ht="16.5" customHeight="1" thickTop="1" x14ac:dyDescent="0.25">
      <c r="A4" s="153"/>
      <c r="B4" s="160" t="s">
        <v>200</v>
      </c>
      <c r="C4" s="161" t="s">
        <v>207</v>
      </c>
      <c r="D4" s="162" t="s">
        <v>213</v>
      </c>
      <c r="E4" s="163" t="str">
        <f>IF(ISNUMBER(FIND("/",$C4)),"",INDEX(Results!$P$9:$P$26,MID($C4,4,2)))</f>
        <v>Atletico Madrid</v>
      </c>
      <c r="F4" s="164" t="s">
        <v>170</v>
      </c>
      <c r="G4" s="165" t="str">
        <f>IF(ISNUMBER(FIND("/",$D4)),"",INDEX(Results!$P$9:$P$26,MID($D4,4,2)))</f>
        <v>Manchester United</v>
      </c>
      <c r="H4" s="166">
        <v>0</v>
      </c>
      <c r="I4" s="167" t="str">
        <f>Language!$E$90</f>
        <v xml:space="preserve"> : </v>
      </c>
      <c r="J4" s="168">
        <v>3</v>
      </c>
      <c r="K4" s="166">
        <v>0</v>
      </c>
      <c r="L4" s="167" t="str">
        <f>Language!$E$90</f>
        <v xml:space="preserve"> : </v>
      </c>
      <c r="M4" s="168">
        <v>2</v>
      </c>
      <c r="N4" s="166"/>
      <c r="O4" s="167" t="str">
        <f>Language!$E$90</f>
        <v xml:space="preserve"> : </v>
      </c>
      <c r="P4" s="169"/>
      <c r="Q4" s="153"/>
      <c r="R4" s="154"/>
      <c r="S4" s="385" t="s">
        <v>202</v>
      </c>
      <c r="T4" s="57">
        <f t="array" ref="T4:AF21">IF(Results!$O$9:$AB$26="","",Results!$O$9:$AB$26)</f>
        <v>1</v>
      </c>
      <c r="U4" s="58" t="str">
        <v>FC Barcelona</v>
      </c>
      <c r="V4" s="59">
        <v>6</v>
      </c>
      <c r="W4" s="60">
        <v>5</v>
      </c>
      <c r="X4" s="60">
        <v>1</v>
      </c>
      <c r="Y4" s="61">
        <v>0</v>
      </c>
      <c r="Z4" s="62">
        <v>20</v>
      </c>
      <c r="AA4" s="63" t="str">
        <v xml:space="preserve"> : </v>
      </c>
      <c r="AB4" s="64">
        <v>3</v>
      </c>
      <c r="AC4" s="65">
        <v>17</v>
      </c>
      <c r="AD4" s="66">
        <v>7</v>
      </c>
      <c r="AE4" s="491">
        <v>2</v>
      </c>
      <c r="AF4" s="67">
        <v>16</v>
      </c>
    </row>
    <row r="5" spans="1:44" ht="15.75" x14ac:dyDescent="0.25">
      <c r="A5" s="153"/>
      <c r="B5" s="170" t="s">
        <v>203</v>
      </c>
      <c r="C5" s="171" t="s">
        <v>204</v>
      </c>
      <c r="D5" s="172" t="s">
        <v>214</v>
      </c>
      <c r="E5" s="173" t="str">
        <f>IF(ISNUMBER(FIND("/",$C5)),"",INDEX(Results!$P$9:$P$26,MID($C5,4,2)))</f>
        <v>Paris FC</v>
      </c>
      <c r="F5" s="174" t="s">
        <v>170</v>
      </c>
      <c r="G5" s="175" t="str">
        <f>IF(ISNUMBER(FIND("/",$D5)),"",INDEX(Results!$P$9:$P$26,MID($D5,4,2)))</f>
        <v>Real Madrid</v>
      </c>
      <c r="H5" s="176">
        <v>2</v>
      </c>
      <c r="I5" s="177" t="str">
        <f>Language!$E$90</f>
        <v xml:space="preserve"> : </v>
      </c>
      <c r="J5" s="178">
        <v>3</v>
      </c>
      <c r="K5" s="176">
        <v>0</v>
      </c>
      <c r="L5" s="177" t="str">
        <f>Language!$E$90</f>
        <v xml:space="preserve"> : </v>
      </c>
      <c r="M5" s="178">
        <v>2</v>
      </c>
      <c r="N5" s="176"/>
      <c r="O5" s="177" t="str">
        <f>Language!$E$90</f>
        <v xml:space="preserve"> : </v>
      </c>
      <c r="P5" s="179"/>
      <c r="Q5" s="153"/>
      <c r="R5" s="154"/>
      <c r="S5" s="386" t="s">
        <v>205</v>
      </c>
      <c r="T5" s="57">
        <v>2</v>
      </c>
      <c r="U5" s="58" t="str">
        <v>OL Lyonnes</v>
      </c>
      <c r="V5" s="69">
        <v>6</v>
      </c>
      <c r="W5" s="70">
        <v>5</v>
      </c>
      <c r="X5" s="70">
        <v>1</v>
      </c>
      <c r="Y5" s="71">
        <v>0</v>
      </c>
      <c r="Z5" s="72">
        <v>18</v>
      </c>
      <c r="AA5" s="73" t="str">
        <v xml:space="preserve"> : </v>
      </c>
      <c r="AB5" s="74">
        <v>5</v>
      </c>
      <c r="AC5" s="75">
        <v>13</v>
      </c>
      <c r="AD5" s="76">
        <v>8</v>
      </c>
      <c r="AE5" s="492">
        <v>2</v>
      </c>
      <c r="AF5" s="77">
        <v>16</v>
      </c>
    </row>
    <row r="6" spans="1:44" ht="15.75" x14ac:dyDescent="0.25">
      <c r="A6" s="153"/>
      <c r="B6" s="170" t="s">
        <v>206</v>
      </c>
      <c r="C6" s="171" t="s">
        <v>210</v>
      </c>
      <c r="D6" s="172" t="s">
        <v>212</v>
      </c>
      <c r="E6" s="173" t="str">
        <f>IF(ISNUMBER(FIND("/",$C6)),"",INDEX(Results!$P$9:$P$26,MID($C6,4,2)))</f>
        <v>Oud-Heverlee Leuven</v>
      </c>
      <c r="F6" s="174" t="s">
        <v>170</v>
      </c>
      <c r="G6" s="175" t="str">
        <f>IF(ISNUMBER(FIND("/",$D6)),"",INDEX(Results!$P$9:$P$26,MID($D6,4,2)))</f>
        <v>Arsenal WFC</v>
      </c>
      <c r="H6" s="176">
        <v>0</v>
      </c>
      <c r="I6" s="177" t="str">
        <f>Language!$E$90</f>
        <v xml:space="preserve"> : </v>
      </c>
      <c r="J6" s="178">
        <v>4</v>
      </c>
      <c r="K6" s="176">
        <v>1</v>
      </c>
      <c r="L6" s="177" t="str">
        <f>Language!$E$90</f>
        <v xml:space="preserve"> : </v>
      </c>
      <c r="M6" s="178">
        <v>3</v>
      </c>
      <c r="N6" s="176"/>
      <c r="O6" s="177" t="str">
        <f>Language!$E$90</f>
        <v xml:space="preserve"> : </v>
      </c>
      <c r="P6" s="179"/>
      <c r="Q6" s="153"/>
      <c r="R6" s="154"/>
      <c r="S6" s="386" t="s">
        <v>208</v>
      </c>
      <c r="T6" s="57">
        <v>3</v>
      </c>
      <c r="U6" s="58" t="str">
        <v>Chelsea FC</v>
      </c>
      <c r="V6" s="69">
        <v>6</v>
      </c>
      <c r="W6" s="70">
        <v>4</v>
      </c>
      <c r="X6" s="70">
        <v>2</v>
      </c>
      <c r="Y6" s="71">
        <v>0</v>
      </c>
      <c r="Z6" s="72">
        <v>20</v>
      </c>
      <c r="AA6" s="73" t="str">
        <v xml:space="preserve"> : </v>
      </c>
      <c r="AB6" s="74">
        <v>3</v>
      </c>
      <c r="AC6" s="75">
        <v>17</v>
      </c>
      <c r="AD6" s="76">
        <v>9</v>
      </c>
      <c r="AE6" s="492">
        <v>2</v>
      </c>
      <c r="AF6" s="77">
        <v>14</v>
      </c>
    </row>
    <row r="7" spans="1:44" ht="15.75" x14ac:dyDescent="0.25">
      <c r="A7" s="153"/>
      <c r="B7" s="309" t="s">
        <v>209</v>
      </c>
      <c r="C7" s="310" t="s">
        <v>201</v>
      </c>
      <c r="D7" s="311" t="s">
        <v>215</v>
      </c>
      <c r="E7" s="206" t="str">
        <f>IF(ISNUMBER(FIND("/",$C7)),"",INDEX(Results!$P$9:$P$26,MID($C7,4,2)))</f>
        <v>VfL Wolfsburg</v>
      </c>
      <c r="F7" s="207" t="s">
        <v>170</v>
      </c>
      <c r="G7" s="208" t="str">
        <f>IF(ISNUMBER(FIND("/",$D7)),"",INDEX(Results!$P$9:$P$26,MID($D7,4,2)))</f>
        <v>Juventus FC</v>
      </c>
      <c r="H7" s="312">
        <v>2</v>
      </c>
      <c r="I7" s="313" t="str">
        <f>Language!$E$90</f>
        <v xml:space="preserve"> : </v>
      </c>
      <c r="J7" s="314">
        <v>2</v>
      </c>
      <c r="K7" s="312">
        <v>2</v>
      </c>
      <c r="L7" s="313" t="str">
        <f>Language!$E$90</f>
        <v xml:space="preserve"> : </v>
      </c>
      <c r="M7" s="314">
        <v>0</v>
      </c>
      <c r="N7" s="312"/>
      <c r="O7" s="313" t="str">
        <f>Language!$E$90</f>
        <v xml:space="preserve"> : </v>
      </c>
      <c r="P7" s="315"/>
      <c r="Q7" s="153"/>
      <c r="R7" s="154"/>
      <c r="S7" s="386" t="s">
        <v>211</v>
      </c>
      <c r="T7" s="57">
        <v>4</v>
      </c>
      <c r="U7" s="58" t="str">
        <v>FC Bayern München</v>
      </c>
      <c r="V7" s="69">
        <v>6</v>
      </c>
      <c r="W7" s="70">
        <v>4</v>
      </c>
      <c r="X7" s="70">
        <v>1</v>
      </c>
      <c r="Y7" s="71">
        <v>1</v>
      </c>
      <c r="Z7" s="72">
        <v>14</v>
      </c>
      <c r="AA7" s="73" t="str">
        <v xml:space="preserve"> : </v>
      </c>
      <c r="AB7" s="74">
        <v>13</v>
      </c>
      <c r="AC7" s="75">
        <v>1</v>
      </c>
      <c r="AD7" s="76">
        <v>6</v>
      </c>
      <c r="AE7" s="492">
        <v>1</v>
      </c>
      <c r="AF7" s="77">
        <v>13</v>
      </c>
    </row>
    <row r="8" spans="1:44" ht="15.75" x14ac:dyDescent="0.25">
      <c r="A8" s="153"/>
      <c r="B8" s="154"/>
      <c r="C8" s="154"/>
      <c r="D8" s="154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4"/>
      <c r="S8" s="387" t="s">
        <v>212</v>
      </c>
      <c r="T8" s="250">
        <v>5</v>
      </c>
      <c r="U8" s="251" t="str">
        <v>Arsenal WFC</v>
      </c>
      <c r="V8" s="292">
        <v>6</v>
      </c>
      <c r="W8" s="293">
        <v>4</v>
      </c>
      <c r="X8" s="293">
        <v>0</v>
      </c>
      <c r="Y8" s="294">
        <v>2</v>
      </c>
      <c r="Z8" s="295">
        <v>11</v>
      </c>
      <c r="AA8" s="296" t="str">
        <v xml:space="preserve"> : </v>
      </c>
      <c r="AB8" s="297">
        <v>6</v>
      </c>
      <c r="AC8" s="298">
        <v>5</v>
      </c>
      <c r="AD8" s="299">
        <v>7</v>
      </c>
      <c r="AE8" s="493">
        <v>2</v>
      </c>
      <c r="AF8" s="300">
        <v>12</v>
      </c>
    </row>
    <row r="9" spans="1:44" ht="15.75" x14ac:dyDescent="0.25">
      <c r="A9" s="153"/>
      <c r="B9" s="301"/>
      <c r="C9" s="302"/>
      <c r="D9" s="303"/>
      <c r="E9" s="304"/>
      <c r="F9" s="305"/>
      <c r="G9" s="306"/>
      <c r="H9" s="307"/>
      <c r="I9" s="305"/>
      <c r="J9" s="308"/>
      <c r="K9" s="307"/>
      <c r="L9" s="305"/>
      <c r="M9" s="308"/>
      <c r="N9" s="307"/>
      <c r="O9" s="305"/>
      <c r="P9" s="308"/>
      <c r="Q9" s="153"/>
      <c r="R9" s="154"/>
      <c r="S9" s="387" t="s">
        <v>213</v>
      </c>
      <c r="T9" s="250">
        <v>6</v>
      </c>
      <c r="U9" s="251" t="str">
        <v>Manchester United</v>
      </c>
      <c r="V9" s="292">
        <v>6</v>
      </c>
      <c r="W9" s="293">
        <v>4</v>
      </c>
      <c r="X9" s="293">
        <v>0</v>
      </c>
      <c r="Y9" s="294">
        <v>2</v>
      </c>
      <c r="Z9" s="295">
        <v>7</v>
      </c>
      <c r="AA9" s="296" t="str">
        <v xml:space="preserve"> : </v>
      </c>
      <c r="AB9" s="297">
        <v>9</v>
      </c>
      <c r="AC9" s="298">
        <v>-2</v>
      </c>
      <c r="AD9" s="299">
        <v>4</v>
      </c>
      <c r="AE9" s="493">
        <v>2</v>
      </c>
      <c r="AF9" s="300">
        <v>12</v>
      </c>
    </row>
    <row r="10" spans="1:44" ht="23.45" customHeight="1" x14ac:dyDescent="0.35">
      <c r="A10" s="153"/>
      <c r="B10" s="155" t="str">
        <f>Language!$E$35</f>
        <v>Viertelfinale</v>
      </c>
      <c r="C10" s="154"/>
      <c r="D10" s="154"/>
      <c r="E10" s="153"/>
      <c r="F10" s="153"/>
      <c r="G10" s="153"/>
      <c r="H10" s="546" t="s">
        <v>257</v>
      </c>
      <c r="I10" s="544"/>
      <c r="J10" s="545"/>
      <c r="K10" s="543" t="s">
        <v>258</v>
      </c>
      <c r="L10" s="544"/>
      <c r="M10" s="545"/>
      <c r="N10" s="524" t="str">
        <f>Language!$E$33</f>
        <v>Elfmeter-schießen</v>
      </c>
      <c r="O10" s="525"/>
      <c r="P10" s="526"/>
      <c r="Q10" s="153"/>
      <c r="R10" s="154"/>
      <c r="S10" s="387" t="s">
        <v>214</v>
      </c>
      <c r="T10" s="250">
        <v>7</v>
      </c>
      <c r="U10" s="251" t="str">
        <v>Real Madrid</v>
      </c>
      <c r="V10" s="292">
        <v>6</v>
      </c>
      <c r="W10" s="293">
        <v>3</v>
      </c>
      <c r="X10" s="293">
        <v>2</v>
      </c>
      <c r="Y10" s="294">
        <v>1</v>
      </c>
      <c r="Z10" s="295">
        <v>13</v>
      </c>
      <c r="AA10" s="296" t="str">
        <v xml:space="preserve"> : </v>
      </c>
      <c r="AB10" s="297">
        <v>7</v>
      </c>
      <c r="AC10" s="298">
        <v>6</v>
      </c>
      <c r="AD10" s="299">
        <v>4</v>
      </c>
      <c r="AE10" s="493">
        <v>1</v>
      </c>
      <c r="AF10" s="300">
        <v>11</v>
      </c>
    </row>
    <row r="11" spans="1:44" ht="16.5" thickBot="1" x14ac:dyDescent="0.3">
      <c r="A11" s="153"/>
      <c r="B11" s="154"/>
      <c r="C11" s="154"/>
      <c r="D11" s="154"/>
      <c r="E11" s="153"/>
      <c r="F11" s="153"/>
      <c r="G11" s="153"/>
      <c r="H11" s="552" t="str">
        <f>Language!$E$31</f>
        <v>Hinspiel</v>
      </c>
      <c r="I11" s="553"/>
      <c r="J11" s="554"/>
      <c r="K11" s="552" t="str">
        <f>Language!$E$32</f>
        <v>Rückspiel</v>
      </c>
      <c r="L11" s="553"/>
      <c r="M11" s="554"/>
      <c r="N11" s="527"/>
      <c r="O11" s="528"/>
      <c r="P11" s="529"/>
      <c r="Q11" s="153"/>
      <c r="R11" s="154"/>
      <c r="S11" s="387" t="s">
        <v>215</v>
      </c>
      <c r="T11" s="250">
        <v>8</v>
      </c>
      <c r="U11" s="251" t="str">
        <v>Juventus FC</v>
      </c>
      <c r="V11" s="292">
        <v>6</v>
      </c>
      <c r="W11" s="293">
        <v>3</v>
      </c>
      <c r="X11" s="293">
        <v>1</v>
      </c>
      <c r="Y11" s="294">
        <v>2</v>
      </c>
      <c r="Z11" s="295">
        <v>13</v>
      </c>
      <c r="AA11" s="296" t="str">
        <v xml:space="preserve"> : </v>
      </c>
      <c r="AB11" s="297">
        <v>8</v>
      </c>
      <c r="AC11" s="298">
        <v>5</v>
      </c>
      <c r="AD11" s="299">
        <v>8</v>
      </c>
      <c r="AE11" s="493">
        <v>2</v>
      </c>
      <c r="AF11" s="300">
        <v>10</v>
      </c>
    </row>
    <row r="12" spans="1:44" ht="16.5" customHeight="1" thickTop="1" x14ac:dyDescent="0.25">
      <c r="A12" s="153"/>
      <c r="B12" s="160" t="s">
        <v>216</v>
      </c>
      <c r="C12" s="161" t="s">
        <v>266</v>
      </c>
      <c r="D12" s="188" t="s">
        <v>205</v>
      </c>
      <c r="E12" s="400" t="str">
        <f>IF(ISNUMBER(FIND("/",$C12)),"",IF(NOT(AND(ISNUMBER($AH12),ISNUMBER($AJ12),ISNUMBER($AK12),ISNUMBER($AM12))),"",IF($AH12+$AK12&gt;$AJ12+$AM12,$AQ12,IF($AH12+$AK12&lt;$AJ12+$AM12,$AR12,IF(OR(NOT(ISNUMBER($AN12)),NOT(ISNUMBER($AP12)),$AN12=$AP12),"",IF($AN12&gt;$AP12,$AQ12,$AR12))))))</f>
        <v>VfL Wolfsburg</v>
      </c>
      <c r="F12" s="164" t="s">
        <v>170</v>
      </c>
      <c r="G12" s="165" t="str">
        <f>IF(ISNUMBER(FIND("/",$D12)),"",INDEX(Results!$P$9:$P$26,MID($D12,4,2)))</f>
        <v>OL Lyonnes</v>
      </c>
      <c r="H12" s="166">
        <v>1</v>
      </c>
      <c r="I12" s="167" t="str">
        <f>Language!$E$90</f>
        <v xml:space="preserve"> : </v>
      </c>
      <c r="J12" s="168">
        <v>0</v>
      </c>
      <c r="K12" s="166">
        <v>0</v>
      </c>
      <c r="L12" s="167" t="str">
        <f>Language!$E$90</f>
        <v xml:space="preserve"> : </v>
      </c>
      <c r="M12" s="168">
        <v>4</v>
      </c>
      <c r="N12" s="166"/>
      <c r="O12" s="167" t="str">
        <f>Language!$E$90</f>
        <v xml:space="preserve"> : </v>
      </c>
      <c r="P12" s="169"/>
      <c r="Q12" s="153"/>
      <c r="R12" s="153"/>
      <c r="S12" s="388" t="s">
        <v>201</v>
      </c>
      <c r="T12" s="272">
        <v>9</v>
      </c>
      <c r="U12" s="273" t="str">
        <v>VfL Wolfsburg</v>
      </c>
      <c r="V12" s="78">
        <v>6</v>
      </c>
      <c r="W12" s="79">
        <v>3</v>
      </c>
      <c r="X12" s="79">
        <v>0</v>
      </c>
      <c r="Y12" s="80">
        <v>3</v>
      </c>
      <c r="Z12" s="81">
        <v>13</v>
      </c>
      <c r="AA12" s="82" t="str">
        <v xml:space="preserve"> : </v>
      </c>
      <c r="AB12" s="83">
        <v>10</v>
      </c>
      <c r="AC12" s="84">
        <v>3</v>
      </c>
      <c r="AD12" s="85">
        <v>3</v>
      </c>
      <c r="AE12" s="494">
        <v>1</v>
      </c>
      <c r="AF12" s="86">
        <v>9</v>
      </c>
      <c r="AH12" s="154">
        <f>IF(ISNUMBER(INDEX($H$4:$H$7,MID($C12,8,1))),INDEX($H$4:$H$7,MID($C12,8,1)),"")</f>
        <v>2</v>
      </c>
      <c r="AI12" s="154"/>
      <c r="AJ12" s="154">
        <f>IF(ISNUMBER(INDEX($J$4:$J$7,MID($C12,8,1))),INDEX($J$4:$J$7,MID($C12,8,1)),"")</f>
        <v>2</v>
      </c>
      <c r="AK12" s="154">
        <f>IF(ISNUMBER(INDEX($K$4:$K$7,MID($C12,8,1))),INDEX($K$4:$K$7,MID($C12,8,1)),"")</f>
        <v>2</v>
      </c>
      <c r="AL12" s="154"/>
      <c r="AM12" s="154">
        <f>IF(ISNUMBER(INDEX($M$4:$M$7,MID($C12,8,1))),INDEX($M$4:$M$7,MID($C12,8,1)),"")</f>
        <v>0</v>
      </c>
      <c r="AN12" s="154" t="str">
        <f>IF(ISNUMBER(INDEX($N$4:$N$7,MID($C12,8,1))),INDEX($N$4:$N$7,MID($C12,8,1)),"")</f>
        <v/>
      </c>
      <c r="AO12" s="154"/>
      <c r="AP12" s="154" t="str">
        <f>IF(ISNUMBER(INDEX($P$4:$P$7,MID($C12,8,1))),INDEX($P$4:$P$7,MID($C12,8,1)),"")</f>
        <v/>
      </c>
      <c r="AQ12" s="153" t="str">
        <f>IF(INDEX($E$4:$E$7,MID($C12,8,1))="","",INDEX($E$4:$E$7,MID($C12,8,1)))</f>
        <v>VfL Wolfsburg</v>
      </c>
      <c r="AR12" s="153" t="str">
        <f>IF(INDEX($G$4:$G$7,MID($C12,8,1))="","",INDEX($G$4:$G$7,MID($C12,8,1)))</f>
        <v>Juventus FC</v>
      </c>
    </row>
    <row r="13" spans="1:44" ht="15.75" x14ac:dyDescent="0.25">
      <c r="A13" s="153"/>
      <c r="B13" s="170" t="s">
        <v>217</v>
      </c>
      <c r="C13" s="171" t="s">
        <v>264</v>
      </c>
      <c r="D13" s="189" t="s">
        <v>208</v>
      </c>
      <c r="E13" s="401" t="str">
        <f t="shared" ref="E13:E15" si="0">IF(ISNUMBER(FIND("/",$C13)),"",IF(NOT(AND(ISNUMBER($AH13),ISNUMBER($AJ13),ISNUMBER($AK13),ISNUMBER($AM13))),"",IF($AH13+$AK13&gt;$AJ13+$AM13,$AQ13,IF($AH13+$AK13&lt;$AJ13+$AM13,$AR13,IF(OR(NOT(ISNUMBER($AN13)),NOT(ISNUMBER($AP13)),$AN13=$AP13),"",IF($AN13&gt;$AP13,$AQ13,$AR13))))))</f>
        <v>Arsenal WFC</v>
      </c>
      <c r="F13" s="174" t="s">
        <v>170</v>
      </c>
      <c r="G13" s="175" t="str">
        <f>IF(ISNUMBER(FIND("/",$D13)),"",INDEX(Results!$P$9:$P$26,MID($D13,4,2)))</f>
        <v>Chelsea FC</v>
      </c>
      <c r="H13" s="176">
        <v>3</v>
      </c>
      <c r="I13" s="177" t="str">
        <f>Language!$E$90</f>
        <v xml:space="preserve"> : </v>
      </c>
      <c r="J13" s="178">
        <v>1</v>
      </c>
      <c r="K13" s="176">
        <v>0</v>
      </c>
      <c r="L13" s="177" t="str">
        <f>Language!$E$90</f>
        <v xml:space="preserve"> : </v>
      </c>
      <c r="M13" s="178">
        <v>1</v>
      </c>
      <c r="N13" s="176"/>
      <c r="O13" s="177" t="str">
        <f>Language!$E$90</f>
        <v xml:space="preserve"> : </v>
      </c>
      <c r="P13" s="179"/>
      <c r="Q13" s="153"/>
      <c r="R13" s="153"/>
      <c r="S13" s="388" t="s">
        <v>204</v>
      </c>
      <c r="T13" s="272">
        <v>10</v>
      </c>
      <c r="U13" s="273" t="str">
        <v>Paris FC</v>
      </c>
      <c r="V13" s="78">
        <v>6</v>
      </c>
      <c r="W13" s="79">
        <v>2</v>
      </c>
      <c r="X13" s="79">
        <v>2</v>
      </c>
      <c r="Y13" s="80">
        <v>2</v>
      </c>
      <c r="Z13" s="81">
        <v>6</v>
      </c>
      <c r="AA13" s="82" t="str">
        <v xml:space="preserve"> : </v>
      </c>
      <c r="AB13" s="83">
        <v>9</v>
      </c>
      <c r="AC13" s="84">
        <v>-3</v>
      </c>
      <c r="AD13" s="85">
        <v>2</v>
      </c>
      <c r="AE13" s="494">
        <v>1</v>
      </c>
      <c r="AF13" s="86">
        <v>8</v>
      </c>
      <c r="AH13" s="154">
        <f>IF(ISNUMBER(INDEX($H$4:$H$7,MID($C13,8,1))),INDEX($H$4:$H$7,MID($C13,8,1)),"")</f>
        <v>0</v>
      </c>
      <c r="AI13" s="154"/>
      <c r="AJ13" s="154">
        <f>IF(ISNUMBER(INDEX($J$4:$J$7,MID($C13,8,1))),INDEX($J$4:$J$7,MID($C13,8,1)),"")</f>
        <v>4</v>
      </c>
      <c r="AK13" s="154">
        <f>IF(ISNUMBER(INDEX($K$4:$K$7,MID($C13,8,1))),INDEX($K$4:$K$7,MID($C13,8,1)),"")</f>
        <v>1</v>
      </c>
      <c r="AL13" s="154"/>
      <c r="AM13" s="154">
        <f>IF(ISNUMBER(INDEX($M$4:$M$7,MID($C13,8,1))),INDEX($M$4:$M$7,MID($C13,8,1)),"")</f>
        <v>3</v>
      </c>
      <c r="AN13" s="154" t="str">
        <f>IF(ISNUMBER(INDEX($N$4:$N$7,MID($C13,8,1))),INDEX($N$4:$N$7,MID($C13,8,1)),"")</f>
        <v/>
      </c>
      <c r="AO13" s="154"/>
      <c r="AP13" s="154" t="str">
        <f>IF(ISNUMBER(INDEX($P$4:$P$7,MID($C13,8,1))),INDEX($P$4:$P$7,MID($C13,8,1)),"")</f>
        <v/>
      </c>
      <c r="AQ13" s="153" t="str">
        <f>IF(INDEX($E$4:$E$7,MID($C13,8,1))="","",INDEX($E$4:$E$7,MID($C13,8,1)))</f>
        <v>Oud-Heverlee Leuven</v>
      </c>
      <c r="AR13" s="153" t="str">
        <f>IF(INDEX($G$4:$G$7,MID($C13,8,1))="","",INDEX($G$4:$G$7,MID($C13,8,1)))</f>
        <v>Arsenal WFC</v>
      </c>
    </row>
    <row r="14" spans="1:44" ht="15.75" x14ac:dyDescent="0.25">
      <c r="A14" s="153"/>
      <c r="B14" s="170" t="s">
        <v>218</v>
      </c>
      <c r="C14" s="171" t="s">
        <v>265</v>
      </c>
      <c r="D14" s="189" t="s">
        <v>202</v>
      </c>
      <c r="E14" s="173" t="str">
        <f t="shared" si="0"/>
        <v>Real Madrid</v>
      </c>
      <c r="F14" s="174" t="s">
        <v>170</v>
      </c>
      <c r="G14" s="175" t="str">
        <f>IF(ISNUMBER(FIND("/",$D14)),"",INDEX(Results!$P$9:$P$26,MID($D14,4,2)))</f>
        <v>FC Barcelona</v>
      </c>
      <c r="H14" s="176">
        <v>2</v>
      </c>
      <c r="I14" s="177" t="str">
        <f>Language!$E$90</f>
        <v xml:space="preserve"> : </v>
      </c>
      <c r="J14" s="178">
        <v>6</v>
      </c>
      <c r="K14" s="176">
        <v>0</v>
      </c>
      <c r="L14" s="177" t="str">
        <f>Language!$E$90</f>
        <v xml:space="preserve"> : </v>
      </c>
      <c r="M14" s="178">
        <v>6</v>
      </c>
      <c r="N14" s="176"/>
      <c r="O14" s="177" t="str">
        <f>Language!$E$90</f>
        <v xml:space="preserve"> : </v>
      </c>
      <c r="P14" s="179"/>
      <c r="Q14" s="153"/>
      <c r="R14" s="153"/>
      <c r="S14" s="388" t="s">
        <v>207</v>
      </c>
      <c r="T14" s="272">
        <v>11</v>
      </c>
      <c r="U14" s="273" t="str">
        <v>Atletico Madrid</v>
      </c>
      <c r="V14" s="78">
        <v>6</v>
      </c>
      <c r="W14" s="79">
        <v>2</v>
      </c>
      <c r="X14" s="79">
        <v>1</v>
      </c>
      <c r="Y14" s="80">
        <v>3</v>
      </c>
      <c r="Z14" s="81">
        <v>13</v>
      </c>
      <c r="AA14" s="82" t="str">
        <v xml:space="preserve"> : </v>
      </c>
      <c r="AB14" s="83">
        <v>9</v>
      </c>
      <c r="AC14" s="84">
        <v>4</v>
      </c>
      <c r="AD14" s="85">
        <v>10</v>
      </c>
      <c r="AE14" s="494">
        <v>2</v>
      </c>
      <c r="AF14" s="86">
        <v>7</v>
      </c>
      <c r="AH14" s="154">
        <f>IF(ISNUMBER(INDEX($H$4:$H$7,MID($C14,8,1))),INDEX($H$4:$H$7,MID($C14,8,1)),"")</f>
        <v>2</v>
      </c>
      <c r="AI14" s="154"/>
      <c r="AJ14" s="154">
        <f>IF(ISNUMBER(INDEX($J$4:$J$7,MID($C14,8,1))),INDEX($J$4:$J$7,MID($C14,8,1)),"")</f>
        <v>3</v>
      </c>
      <c r="AK14" s="154">
        <f>IF(ISNUMBER(INDEX($K$4:$K$7,MID($C14,8,1))),INDEX($K$4:$K$7,MID($C14,8,1)),"")</f>
        <v>0</v>
      </c>
      <c r="AL14" s="154"/>
      <c r="AM14" s="154">
        <f>IF(ISNUMBER(INDEX($M$4:$M$7,MID($C14,8,1))),INDEX($M$4:$M$7,MID($C14,8,1)),"")</f>
        <v>2</v>
      </c>
      <c r="AN14" s="154" t="str">
        <f>IF(ISNUMBER(INDEX($N$4:$N$7,MID($C14,8,1))),INDEX($N$4:$N$7,MID($C14,8,1)),"")</f>
        <v/>
      </c>
      <c r="AO14" s="154"/>
      <c r="AP14" s="154" t="str">
        <f>IF(ISNUMBER(INDEX($P$4:$P$7,MID($C14,8,1))),INDEX($P$4:$P$7,MID($C14,8,1)),"")</f>
        <v/>
      </c>
      <c r="AQ14" s="153" t="str">
        <f>IF(INDEX($E$4:$E$7,MID($C14,8,1))="","",INDEX($E$4:$E$7,MID($C14,8,1)))</f>
        <v>Paris FC</v>
      </c>
      <c r="AR14" s="153" t="str">
        <f>IF(INDEX($G$4:$G$7,MID($C14,8,1))="","",INDEX($G$4:$G$7,MID($C14,8,1)))</f>
        <v>Real Madrid</v>
      </c>
    </row>
    <row r="15" spans="1:44" ht="16.5" thickBot="1" x14ac:dyDescent="0.3">
      <c r="A15" s="153"/>
      <c r="B15" s="180" t="s">
        <v>219</v>
      </c>
      <c r="C15" s="405" t="s">
        <v>263</v>
      </c>
      <c r="D15" s="190" t="s">
        <v>211</v>
      </c>
      <c r="E15" s="181" t="str">
        <f t="shared" si="0"/>
        <v>Manchester United</v>
      </c>
      <c r="F15" s="182" t="s">
        <v>170</v>
      </c>
      <c r="G15" s="183" t="str">
        <f>IF(ISNUMBER(FIND("/",$D15)),"",INDEX(Results!$P$9:$P$26,MID($D15,4,2)))</f>
        <v>FC Bayern München</v>
      </c>
      <c r="H15" s="184">
        <v>2</v>
      </c>
      <c r="I15" s="185" t="str">
        <f>Language!$E$90</f>
        <v xml:space="preserve"> : </v>
      </c>
      <c r="J15" s="186">
        <v>3</v>
      </c>
      <c r="K15" s="184">
        <v>1</v>
      </c>
      <c r="L15" s="185" t="str">
        <f>Language!$E$90</f>
        <v xml:space="preserve"> : </v>
      </c>
      <c r="M15" s="186">
        <v>2</v>
      </c>
      <c r="N15" s="184"/>
      <c r="O15" s="185" t="str">
        <f>Language!$E$90</f>
        <v xml:space="preserve"> : </v>
      </c>
      <c r="P15" s="187"/>
      <c r="Q15" s="153"/>
      <c r="R15" s="153"/>
      <c r="S15" s="478" t="s">
        <v>210</v>
      </c>
      <c r="T15" s="272">
        <v>12</v>
      </c>
      <c r="U15" s="273" t="str">
        <v>Oud-Heverlee Leuven</v>
      </c>
      <c r="V15" s="78">
        <v>6</v>
      </c>
      <c r="W15" s="79">
        <v>1</v>
      </c>
      <c r="X15" s="79">
        <v>3</v>
      </c>
      <c r="Y15" s="80">
        <v>2</v>
      </c>
      <c r="Z15" s="81">
        <v>5</v>
      </c>
      <c r="AA15" s="82" t="str">
        <v xml:space="preserve"> : </v>
      </c>
      <c r="AB15" s="83">
        <v>10</v>
      </c>
      <c r="AC15" s="84">
        <v>-5</v>
      </c>
      <c r="AD15" s="85">
        <v>2</v>
      </c>
      <c r="AE15" s="494">
        <v>0</v>
      </c>
      <c r="AF15" s="86">
        <v>6</v>
      </c>
      <c r="AH15" s="154">
        <f>IF(ISNUMBER(INDEX($H$4:$H$7,MID($C15,8,1))),INDEX($H$4:$H$7,MID($C15,8,1)),"")</f>
        <v>0</v>
      </c>
      <c r="AI15" s="154"/>
      <c r="AJ15" s="154">
        <f>IF(ISNUMBER(INDEX($J$4:$J$7,MID($C15,8,1))),INDEX($J$4:$J$7,MID($C15,8,1)),"")</f>
        <v>3</v>
      </c>
      <c r="AK15" s="154">
        <f>IF(ISNUMBER(INDEX($K$4:$K$7,MID($C15,8,1))),INDEX($K$4:$K$7,MID($C15,8,1)),"")</f>
        <v>0</v>
      </c>
      <c r="AL15" s="154"/>
      <c r="AM15" s="154">
        <f>IF(ISNUMBER(INDEX($M$4:$M$7,MID($C15,8,1))),INDEX($M$4:$M$7,MID($C15,8,1)),"")</f>
        <v>2</v>
      </c>
      <c r="AN15" s="154" t="str">
        <f>IF(ISNUMBER(INDEX($N$4:$N$7,MID($C15,8,1))),INDEX($N$4:$N$7,MID($C15,8,1)),"")</f>
        <v/>
      </c>
      <c r="AO15" s="154"/>
      <c r="AP15" s="154" t="str">
        <f>IF(ISNUMBER(INDEX($P$4:$P$7,MID($C15,8,1))),INDEX($P$4:$P$7,MID($C15,8,1)),"")</f>
        <v/>
      </c>
      <c r="AQ15" s="153" t="str">
        <f>IF(INDEX($E$4:$E$7,MID($C15,8,1))="","",INDEX($E$4:$E$7,MID($C15,8,1)))</f>
        <v>Atletico Madrid</v>
      </c>
      <c r="AR15" s="153" t="str">
        <f>IF(INDEX($G$4:$G$7,MID($C15,8,1))="","",INDEX($G$4:$G$7,MID($C15,8,1)))</f>
        <v>Manchester United</v>
      </c>
    </row>
    <row r="16" spans="1:44" ht="16.5" thickTop="1" x14ac:dyDescent="0.25">
      <c r="A16" s="153"/>
      <c r="B16" s="154"/>
      <c r="C16" s="154"/>
      <c r="D16" s="154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476"/>
      <c r="T16" s="477">
        <v>13</v>
      </c>
      <c r="U16" s="262" t="str">
        <v>Valerenga IF</v>
      </c>
      <c r="V16" s="283">
        <v>6</v>
      </c>
      <c r="W16" s="284">
        <v>1</v>
      </c>
      <c r="X16" s="284">
        <v>1</v>
      </c>
      <c r="Y16" s="285">
        <v>4</v>
      </c>
      <c r="Z16" s="286">
        <v>4</v>
      </c>
      <c r="AA16" s="287" t="str">
        <v xml:space="preserve"> : </v>
      </c>
      <c r="AB16" s="288">
        <v>9</v>
      </c>
      <c r="AC16" s="289">
        <v>-5</v>
      </c>
      <c r="AD16" s="290">
        <v>1</v>
      </c>
      <c r="AE16" s="495">
        <v>1</v>
      </c>
      <c r="AF16" s="291">
        <v>4</v>
      </c>
    </row>
    <row r="17" spans="1:44" ht="15.75" x14ac:dyDescent="0.25">
      <c r="A17" s="153"/>
      <c r="B17" s="154"/>
      <c r="C17" s="154"/>
      <c r="D17" s="154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476"/>
      <c r="T17" s="261">
        <v>14</v>
      </c>
      <c r="U17" s="262" t="str">
        <v>AS Rom</v>
      </c>
      <c r="V17" s="283">
        <v>6</v>
      </c>
      <c r="W17" s="284">
        <v>1</v>
      </c>
      <c r="X17" s="284">
        <v>1</v>
      </c>
      <c r="Y17" s="285">
        <v>4</v>
      </c>
      <c r="Z17" s="286">
        <v>9</v>
      </c>
      <c r="AA17" s="287" t="str">
        <v xml:space="preserve"> : </v>
      </c>
      <c r="AB17" s="288">
        <v>19</v>
      </c>
      <c r="AC17" s="289">
        <v>-10</v>
      </c>
      <c r="AD17" s="290">
        <v>3</v>
      </c>
      <c r="AE17" s="495">
        <v>0</v>
      </c>
      <c r="AF17" s="291">
        <v>4</v>
      </c>
    </row>
    <row r="18" spans="1:44" ht="30.6" customHeight="1" x14ac:dyDescent="0.35">
      <c r="A18" s="153"/>
      <c r="B18" s="155" t="str">
        <f>Language!$E$36</f>
        <v>Halbfinale</v>
      </c>
      <c r="C18" s="154"/>
      <c r="D18" s="154"/>
      <c r="E18" s="153"/>
      <c r="F18" s="153"/>
      <c r="G18" s="153"/>
      <c r="H18" s="547" t="s">
        <v>259</v>
      </c>
      <c r="I18" s="548"/>
      <c r="J18" s="549"/>
      <c r="K18" s="543" t="s">
        <v>260</v>
      </c>
      <c r="L18" s="544"/>
      <c r="M18" s="545"/>
      <c r="N18" s="524" t="str">
        <f>Language!$E$33</f>
        <v>Elfmeter-schießen</v>
      </c>
      <c r="O18" s="525"/>
      <c r="P18" s="526"/>
      <c r="Q18" s="153"/>
      <c r="R18" s="153"/>
      <c r="S18" s="476"/>
      <c r="T18" s="261">
        <v>15</v>
      </c>
      <c r="U18" s="262" t="str">
        <v>FC Twente</v>
      </c>
      <c r="V18" s="283">
        <v>6</v>
      </c>
      <c r="W18" s="284">
        <v>0</v>
      </c>
      <c r="X18" s="284">
        <v>3</v>
      </c>
      <c r="Y18" s="285">
        <v>3</v>
      </c>
      <c r="Z18" s="286">
        <v>4</v>
      </c>
      <c r="AA18" s="287" t="str">
        <v xml:space="preserve"> : </v>
      </c>
      <c r="AB18" s="288">
        <v>10</v>
      </c>
      <c r="AC18" s="289">
        <v>-6</v>
      </c>
      <c r="AD18" s="290">
        <v>2</v>
      </c>
      <c r="AE18" s="495">
        <v>0</v>
      </c>
      <c r="AF18" s="291">
        <v>3</v>
      </c>
      <c r="AH18" s="407" t="str">
        <f>MID($B12,4,1)</f>
        <v>1</v>
      </c>
      <c r="AI18" t="str">
        <f>IF(NOT(AND(ISNUMBER($H12),ISNUMBER($J12),ISNUMBER($K12),ISNUMBER($M12))),"",IF($H12+$K12&gt;$J12+$M12,$E12,IF($H12+$K12&lt;$J12+$M12,$G12,IF(OR(NOT(ISNUMBER($N12)),NOT(ISNUMBER($P12)),$N12=$P12),"",IF($N12&gt;$P12,$E12,$G12)))))</f>
        <v>OL Lyonnes</v>
      </c>
    </row>
    <row r="19" spans="1:44" ht="16.5" thickBot="1" x14ac:dyDescent="0.3">
      <c r="A19" s="153"/>
      <c r="B19" s="154"/>
      <c r="C19" s="154"/>
      <c r="D19" s="154"/>
      <c r="E19" s="153"/>
      <c r="F19" s="153"/>
      <c r="G19" s="153"/>
      <c r="H19" s="552" t="str">
        <f>Language!$E$31</f>
        <v>Hinspiel</v>
      </c>
      <c r="I19" s="553"/>
      <c r="J19" s="554"/>
      <c r="K19" s="552" t="str">
        <f>Language!$E$32</f>
        <v>Rückspiel</v>
      </c>
      <c r="L19" s="553"/>
      <c r="M19" s="554"/>
      <c r="N19" s="527"/>
      <c r="O19" s="528"/>
      <c r="P19" s="529"/>
      <c r="Q19" s="153"/>
      <c r="R19" s="153"/>
      <c r="S19" s="476"/>
      <c r="T19" s="261">
        <v>16</v>
      </c>
      <c r="U19" s="262" t="str">
        <v>SL Benfica</v>
      </c>
      <c r="V19" s="283">
        <v>6</v>
      </c>
      <c r="W19" s="284">
        <v>0</v>
      </c>
      <c r="X19" s="284">
        <v>2</v>
      </c>
      <c r="Y19" s="285">
        <v>4</v>
      </c>
      <c r="Z19" s="286">
        <v>4</v>
      </c>
      <c r="AA19" s="287" t="str">
        <v xml:space="preserve"> : </v>
      </c>
      <c r="AB19" s="288">
        <v>11</v>
      </c>
      <c r="AC19" s="289">
        <v>-7</v>
      </c>
      <c r="AD19" s="290">
        <v>2</v>
      </c>
      <c r="AE19" s="495">
        <v>0</v>
      </c>
      <c r="AF19" s="291">
        <v>2</v>
      </c>
      <c r="AH19" s="407" t="str">
        <f t="shared" ref="AH19:AH21" si="1">MID($B13,4,1)</f>
        <v>2</v>
      </c>
      <c r="AI19" t="str">
        <f t="shared" ref="AI19:AI21" si="2">IF(NOT(AND(ISNUMBER($H13),ISNUMBER($J13),ISNUMBER($K13),ISNUMBER($M13))),"",IF($H13+$K13&gt;$J13+$M13,$E13,IF($H13+$K13&lt;$J13+$M13,$G13,IF(OR(NOT(ISNUMBER($N13)),NOT(ISNUMBER($P13)),$N13=$P13),"",IF($N13&gt;$P13,$E13,$G13)))))</f>
        <v>Arsenal WFC</v>
      </c>
    </row>
    <row r="20" spans="1:44" ht="16.5" customHeight="1" thickTop="1" x14ac:dyDescent="0.25">
      <c r="A20" s="153"/>
      <c r="B20" s="160" t="s">
        <v>220</v>
      </c>
      <c r="C20" s="188" t="s">
        <v>225</v>
      </c>
      <c r="D20" s="188" t="s">
        <v>224</v>
      </c>
      <c r="E20" s="163" t="str">
        <f>VLOOKUP(MID($C20,8,1),$AH$18:$AI$21,2)</f>
        <v>FC Bayern München</v>
      </c>
      <c r="F20" s="164" t="s">
        <v>170</v>
      </c>
      <c r="G20" s="165" t="str">
        <f>VLOOKUP(MID($D20,8,1),$AH$18:$AI$21,2)</f>
        <v>FC Barcelona</v>
      </c>
      <c r="H20" s="166"/>
      <c r="I20" s="167" t="str">
        <f>Language!$E$90</f>
        <v xml:space="preserve"> : </v>
      </c>
      <c r="J20" s="168"/>
      <c r="K20" s="166"/>
      <c r="L20" s="167" t="str">
        <f>Language!$E$90</f>
        <v xml:space="preserve"> : </v>
      </c>
      <c r="M20" s="168"/>
      <c r="N20" s="166"/>
      <c r="O20" s="167" t="str">
        <f>Language!$E$90</f>
        <v xml:space="preserve"> : </v>
      </c>
      <c r="P20" s="169"/>
      <c r="Q20" s="153"/>
      <c r="R20" s="153"/>
      <c r="S20" s="476"/>
      <c r="T20" s="261">
        <v>17</v>
      </c>
      <c r="U20" s="262" t="str">
        <v>Paris St. Germain</v>
      </c>
      <c r="V20" s="283">
        <v>6</v>
      </c>
      <c r="W20" s="284">
        <v>0</v>
      </c>
      <c r="X20" s="284">
        <v>2</v>
      </c>
      <c r="Y20" s="285">
        <v>4</v>
      </c>
      <c r="Z20" s="286">
        <v>4</v>
      </c>
      <c r="AA20" s="287" t="str">
        <v xml:space="preserve"> : </v>
      </c>
      <c r="AB20" s="288">
        <v>12</v>
      </c>
      <c r="AC20" s="289">
        <v>-8</v>
      </c>
      <c r="AD20" s="290">
        <v>2</v>
      </c>
      <c r="AE20" s="495">
        <v>0</v>
      </c>
      <c r="AF20" s="291">
        <v>2</v>
      </c>
      <c r="AH20" s="407" t="str">
        <f t="shared" si="1"/>
        <v>3</v>
      </c>
      <c r="AI20" t="str">
        <f t="shared" si="2"/>
        <v>FC Barcelona</v>
      </c>
      <c r="AJ20" s="154"/>
      <c r="AK20" s="154"/>
      <c r="AL20" s="154"/>
      <c r="AM20" s="154"/>
      <c r="AN20" s="154"/>
      <c r="AO20" s="154"/>
      <c r="AP20" s="154"/>
      <c r="AQ20" s="153"/>
      <c r="AR20" s="153"/>
    </row>
    <row r="21" spans="1:44" ht="16.5" thickBot="1" x14ac:dyDescent="0.3">
      <c r="A21" s="153"/>
      <c r="B21" s="180" t="s">
        <v>223</v>
      </c>
      <c r="C21" s="190" t="s">
        <v>222</v>
      </c>
      <c r="D21" s="190" t="s">
        <v>221</v>
      </c>
      <c r="E21" s="181" t="str">
        <f>VLOOKUP(MID($C21,8,1),$AH$18:$AI$21,2)</f>
        <v>Arsenal WFC</v>
      </c>
      <c r="F21" s="182" t="s">
        <v>170</v>
      </c>
      <c r="G21" s="183" t="str">
        <f>VLOOKUP(MID($D21,8,1),$AH$18:$AI$21,2)</f>
        <v>OL Lyonnes</v>
      </c>
      <c r="H21" s="184"/>
      <c r="I21" s="185" t="str">
        <f>Language!$E$90</f>
        <v xml:space="preserve"> : </v>
      </c>
      <c r="J21" s="186"/>
      <c r="K21" s="184"/>
      <c r="L21" s="185" t="str">
        <f>Language!$E$90</f>
        <v xml:space="preserve"> : </v>
      </c>
      <c r="M21" s="186"/>
      <c r="N21" s="184"/>
      <c r="O21" s="185" t="str">
        <f>Language!$E$90</f>
        <v xml:space="preserve"> : </v>
      </c>
      <c r="P21" s="187"/>
      <c r="Q21" s="153"/>
      <c r="R21" s="153"/>
      <c r="S21" s="476"/>
      <c r="T21" s="361">
        <v>18</v>
      </c>
      <c r="U21" s="362" t="str">
        <v>SKN St. Pölten</v>
      </c>
      <c r="V21" s="389">
        <v>6</v>
      </c>
      <c r="W21" s="390">
        <v>0</v>
      </c>
      <c r="X21" s="390">
        <v>1</v>
      </c>
      <c r="Y21" s="391">
        <v>5</v>
      </c>
      <c r="Z21" s="392">
        <v>3</v>
      </c>
      <c r="AA21" s="393" t="str">
        <v xml:space="preserve"> : </v>
      </c>
      <c r="AB21" s="394">
        <v>28</v>
      </c>
      <c r="AC21" s="395">
        <v>-25</v>
      </c>
      <c r="AD21" s="396">
        <v>3</v>
      </c>
      <c r="AE21" s="496">
        <v>0</v>
      </c>
      <c r="AF21" s="397">
        <v>1</v>
      </c>
      <c r="AH21" s="407" t="str">
        <f t="shared" si="1"/>
        <v>4</v>
      </c>
      <c r="AI21" t="str">
        <f t="shared" si="2"/>
        <v>FC Bayern München</v>
      </c>
      <c r="AJ21" s="154"/>
      <c r="AK21" s="154"/>
      <c r="AL21" s="154"/>
      <c r="AM21" s="154"/>
      <c r="AN21" s="154"/>
      <c r="AO21" s="154"/>
      <c r="AP21" s="154"/>
      <c r="AQ21" s="153"/>
      <c r="AR21" s="153"/>
    </row>
    <row r="22" spans="1:44" ht="23.45" customHeight="1" thickTop="1" x14ac:dyDescent="0.25">
      <c r="A22" s="153"/>
      <c r="B22" s="154"/>
      <c r="C22" s="154"/>
      <c r="D22" s="154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H22" s="154"/>
      <c r="AI22" s="154"/>
      <c r="AJ22" s="154"/>
      <c r="AK22" s="154"/>
      <c r="AL22" s="154"/>
      <c r="AM22" s="154"/>
      <c r="AN22" s="154"/>
      <c r="AO22" s="154"/>
      <c r="AP22" s="154"/>
      <c r="AQ22" s="153"/>
      <c r="AR22" s="153"/>
    </row>
    <row r="23" spans="1:44" ht="15.75" x14ac:dyDescent="0.25">
      <c r="A23" s="153"/>
      <c r="B23" s="154"/>
      <c r="C23" s="154"/>
      <c r="D23" s="154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H23" s="154"/>
      <c r="AI23" s="154"/>
      <c r="AJ23" s="154"/>
      <c r="AK23" s="154"/>
      <c r="AL23" s="154"/>
      <c r="AM23" s="154"/>
      <c r="AN23" s="154"/>
      <c r="AO23" s="154"/>
      <c r="AP23" s="154"/>
      <c r="AQ23" s="153"/>
      <c r="AR23" s="153"/>
    </row>
    <row r="24" spans="1:44" ht="23.45" customHeight="1" x14ac:dyDescent="0.35">
      <c r="A24" s="153"/>
      <c r="B24" s="155" t="str">
        <f>Language!$E$37</f>
        <v>Finale</v>
      </c>
      <c r="C24" s="154"/>
      <c r="D24" s="154"/>
      <c r="E24" s="153"/>
      <c r="F24" s="153"/>
      <c r="G24" s="153"/>
      <c r="H24" s="543">
        <v>46165</v>
      </c>
      <c r="I24" s="550"/>
      <c r="J24" s="551"/>
      <c r="K24" s="524" t="str">
        <f>Language!$E$33</f>
        <v>Elfmeter-schießen</v>
      </c>
      <c r="L24" s="525"/>
      <c r="M24" s="526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</row>
    <row r="25" spans="1:44" ht="16.5" thickBot="1" x14ac:dyDescent="0.3">
      <c r="A25" s="153"/>
      <c r="B25" s="154"/>
      <c r="C25" s="154"/>
      <c r="D25" s="154"/>
      <c r="E25" s="153"/>
      <c r="F25" s="153"/>
      <c r="G25" s="153"/>
      <c r="H25" s="552" t="str">
        <f>Language!$E$15</f>
        <v>Ergebnis</v>
      </c>
      <c r="I25" s="553"/>
      <c r="J25" s="554"/>
      <c r="K25" s="527"/>
      <c r="L25" s="528"/>
      <c r="M25" s="529"/>
      <c r="N25" s="191"/>
      <c r="O25" s="191"/>
      <c r="P25" s="191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H25" s="408" t="str">
        <f>MID($B20,4,1)</f>
        <v>1</v>
      </c>
      <c r="AI25" t="str">
        <f>IF(NOT(AND(ISNUMBER($H20),ISNUMBER($J20),ISNUMBER($K20),ISNUMBER($M20))),"",IF($H20+$K20&gt;$J20+$M20,$E20,IF($H20+$K20&lt;$J20+$M20,$G20,IF(OR(NOT(ISNUMBER($N20)),NOT(ISNUMBER($P20)),$N20=$P20),"",IF($N20&gt;$P20,$E20,$G20)))))</f>
        <v/>
      </c>
    </row>
    <row r="26" spans="1:44" ht="30.6" customHeight="1" thickTop="1" thickBot="1" x14ac:dyDescent="0.3">
      <c r="A26" s="153"/>
      <c r="B26" s="192" t="str">
        <f>Language!$E$37</f>
        <v>Finale</v>
      </c>
      <c r="C26" s="193" t="s">
        <v>226</v>
      </c>
      <c r="D26" s="193" t="s">
        <v>227</v>
      </c>
      <c r="E26" s="194" t="str">
        <f>VLOOKUP(MID($C26,8,1),$AH$25:$AI$26,2)</f>
        <v/>
      </c>
      <c r="F26" s="195" t="s">
        <v>170</v>
      </c>
      <c r="G26" s="196" t="str">
        <f>VLOOKUP(MID($D26,8,1),$AH$25:$AI$26,2)</f>
        <v/>
      </c>
      <c r="H26" s="197"/>
      <c r="I26" s="198" t="str">
        <f>Language!$E$90</f>
        <v xml:space="preserve"> : </v>
      </c>
      <c r="J26" s="199"/>
      <c r="K26" s="197"/>
      <c r="L26" s="198" t="str">
        <f>Language!$E$90</f>
        <v xml:space="preserve"> : </v>
      </c>
      <c r="M26" s="200"/>
      <c r="N26" s="201"/>
      <c r="O26" s="154"/>
      <c r="P26" s="202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H26" s="408" t="str">
        <f>MID($B21,4,1)</f>
        <v>2</v>
      </c>
      <c r="AI26" t="str">
        <f>IF(NOT(AND(ISNUMBER($H21),ISNUMBER($J21),ISNUMBER($K21),ISNUMBER($M21))),"",IF($H21+$K21&gt;$J21+$M21,$E21,IF($H21+$K21&lt;$J21+$M21,$G21,IF(OR(NOT(ISNUMBER($N21)),NOT(ISNUMBER($P21)),$N21=$P21),"",IF($N21&gt;$P21,$E21,$G21)))))</f>
        <v/>
      </c>
    </row>
    <row r="27" spans="1:44" ht="16.5" thickTop="1" x14ac:dyDescent="0.25">
      <c r="A27" s="153"/>
      <c r="B27" s="154"/>
      <c r="C27" s="154"/>
      <c r="D27" s="154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</row>
    <row r="28" spans="1:44" ht="16.5" thickBot="1" x14ac:dyDescent="0.3">
      <c r="A28" s="153"/>
      <c r="B28" s="154"/>
      <c r="C28" s="154"/>
      <c r="D28" s="154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</row>
    <row r="29" spans="1:44" ht="21.75" thickTop="1" x14ac:dyDescent="0.35">
      <c r="A29" s="153"/>
      <c r="B29" s="154"/>
      <c r="C29" s="154"/>
      <c r="D29" s="154"/>
      <c r="E29" s="534" t="s">
        <v>235</v>
      </c>
      <c r="F29" s="535"/>
      <c r="G29" s="536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</row>
    <row r="30" spans="1:44" ht="23.45" customHeight="1" x14ac:dyDescent="0.25">
      <c r="A30" s="153"/>
      <c r="B30" s="154"/>
      <c r="C30" s="154"/>
      <c r="D30" s="154"/>
      <c r="E30" s="537" t="str">
        <f>IF(NOT(AND(ISNUMBER($H26),ISNUMBER($J26))),"",IF($H26&gt;$J26,$E26,IF($H26&lt;$J26,$G26,IF(OR(NOT(ISNUMBER($K26)),NOT(ISNUMBER($M26)),$K26=$M26),"",IF($K26&gt;$M26,$E26,$G26)))))</f>
        <v/>
      </c>
      <c r="F30" s="538"/>
      <c r="G30" s="539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</row>
    <row r="31" spans="1:44" ht="16.5" thickBot="1" x14ac:dyDescent="0.3">
      <c r="A31" s="153"/>
      <c r="B31" s="154"/>
      <c r="C31" s="154"/>
      <c r="D31" s="154"/>
      <c r="E31" s="540"/>
      <c r="F31" s="541"/>
      <c r="G31" s="542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</row>
    <row r="32" spans="1:44" ht="30.6" customHeight="1" thickTop="1" x14ac:dyDescent="0.25">
      <c r="A32" s="153"/>
      <c r="Q32" s="153"/>
      <c r="R32" s="153"/>
    </row>
    <row r="33" spans="1:18" ht="15.75" hidden="1" x14ac:dyDescent="0.25">
      <c r="A33" s="153"/>
      <c r="Q33" s="153"/>
      <c r="R33" s="153"/>
    </row>
    <row r="34" spans="1:18" ht="15.75" hidden="1" x14ac:dyDescent="0.25">
      <c r="A34" s="153"/>
      <c r="Q34" s="153"/>
      <c r="R34" s="153"/>
    </row>
    <row r="35" spans="1:18" ht="15.75" hidden="1" x14ac:dyDescent="0.25">
      <c r="A35" s="153"/>
      <c r="Q35" s="153"/>
      <c r="R35" s="153"/>
    </row>
    <row r="36" spans="1:18" ht="23.45" hidden="1" customHeight="1" x14ac:dyDescent="0.25">
      <c r="A36" s="153"/>
      <c r="Q36" s="153"/>
      <c r="R36" s="153"/>
    </row>
    <row r="37" spans="1:18" ht="15.75" hidden="1" x14ac:dyDescent="0.25">
      <c r="A37" s="153"/>
      <c r="Q37" s="153"/>
      <c r="R37" s="153"/>
    </row>
    <row r="38" spans="1:18" ht="15.75" hidden="1" x14ac:dyDescent="0.25">
      <c r="A38" s="153"/>
      <c r="Q38" s="153"/>
      <c r="R38" s="153"/>
    </row>
    <row r="39" spans="1:18" ht="15.75" hidden="1" x14ac:dyDescent="0.25">
      <c r="A39" s="153"/>
      <c r="Q39" s="153"/>
      <c r="R39" s="153"/>
    </row>
    <row r="40" spans="1:18" ht="15.75" hidden="1" x14ac:dyDescent="0.25">
      <c r="A40" s="153"/>
      <c r="Q40" s="153"/>
      <c r="R40" s="153"/>
    </row>
    <row r="41" spans="1:18" ht="15.75" hidden="1" x14ac:dyDescent="0.25">
      <c r="A41" s="153"/>
      <c r="Q41" s="153"/>
      <c r="R41" s="153"/>
    </row>
    <row r="42" spans="1:18" ht="15.75" hidden="1" x14ac:dyDescent="0.25">
      <c r="A42" s="153"/>
      <c r="Q42" s="153"/>
      <c r="R42" s="153"/>
    </row>
    <row r="43" spans="1:18" ht="15.75" hidden="1" x14ac:dyDescent="0.25">
      <c r="A43" s="153"/>
      <c r="Q43" s="153"/>
      <c r="R43" s="153"/>
    </row>
    <row r="44" spans="1:18" ht="15.75" hidden="1" x14ac:dyDescent="0.25">
      <c r="A44" s="153"/>
      <c r="Q44" s="153"/>
      <c r="R44" s="153"/>
    </row>
    <row r="45" spans="1:18" ht="15.75" hidden="1" x14ac:dyDescent="0.25">
      <c r="A45" s="153"/>
      <c r="Q45" s="153"/>
      <c r="R45" s="153"/>
    </row>
    <row r="46" spans="1:18" ht="15.75" hidden="1" x14ac:dyDescent="0.25">
      <c r="A46" s="153"/>
      <c r="Q46" s="153"/>
      <c r="R46" s="153"/>
    </row>
    <row r="47" spans="1:18" ht="15.75" hidden="1" x14ac:dyDescent="0.25">
      <c r="A47" s="153"/>
      <c r="Q47" s="153"/>
      <c r="R47" s="153"/>
    </row>
  </sheetData>
  <sheetProtection sheet="1" objects="1" scenarios="1" selectLockedCells="1"/>
  <mergeCells count="22">
    <mergeCell ref="E29:G29"/>
    <mergeCell ref="E30:G31"/>
    <mergeCell ref="K10:M10"/>
    <mergeCell ref="H10:J10"/>
    <mergeCell ref="H18:J18"/>
    <mergeCell ref="K18:M18"/>
    <mergeCell ref="H24:J24"/>
    <mergeCell ref="H11:J11"/>
    <mergeCell ref="K11:M11"/>
    <mergeCell ref="H19:J19"/>
    <mergeCell ref="K19:M19"/>
    <mergeCell ref="H25:J25"/>
    <mergeCell ref="K24:M25"/>
    <mergeCell ref="N18:P19"/>
    <mergeCell ref="Z3:AB3"/>
    <mergeCell ref="H2:J2"/>
    <mergeCell ref="K2:M2"/>
    <mergeCell ref="N2:P3"/>
    <mergeCell ref="T2:U2"/>
    <mergeCell ref="H3:J3"/>
    <mergeCell ref="K3:M3"/>
    <mergeCell ref="N10:P11"/>
  </mergeCells>
  <conditionalFormatting sqref="T4:T21">
    <cfRule type="expression" dxfId="10" priority="1">
      <formula>T4=T3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14"/>
  <sheetViews>
    <sheetView showGridLines="0" showRowColHeaders="0" workbookViewId="0">
      <selection activeCell="E7" sqref="E7"/>
    </sheetView>
  </sheetViews>
  <sheetFormatPr baseColWidth="10" defaultColWidth="0" defaultRowHeight="15" zeroHeight="1" x14ac:dyDescent="0.25"/>
  <cols>
    <col min="1" max="1" width="11.5703125" customWidth="1"/>
    <col min="2" max="2" width="11.5703125" hidden="1" customWidth="1"/>
    <col min="3" max="3" width="13" customWidth="1"/>
    <col min="4" max="4" width="27" bestFit="1" customWidth="1"/>
    <col min="5" max="5" width="13.140625" customWidth="1"/>
    <col min="6" max="9" width="0" hidden="1" customWidth="1"/>
    <col min="10" max="12" width="11.5703125" customWidth="1"/>
    <col min="13" max="13" width="12.28515625" customWidth="1"/>
    <col min="14" max="14" width="5.42578125" customWidth="1"/>
    <col min="15" max="15" width="1.7109375" bestFit="1" customWidth="1"/>
    <col min="16" max="16" width="6.85546875" customWidth="1"/>
    <col min="17" max="17" width="19.7109375" bestFit="1" customWidth="1"/>
    <col min="18" max="18" width="4" customWidth="1"/>
    <col min="19" max="19" width="21.28515625" customWidth="1"/>
    <col min="20" max="22" width="11.5703125" customWidth="1"/>
    <col min="23" max="16384" width="11.5703125" hidden="1"/>
  </cols>
  <sheetData>
    <row r="1" spans="1:22" x14ac:dyDescent="0.25">
      <c r="A1" s="87"/>
      <c r="B1" s="88"/>
      <c r="C1" s="87"/>
      <c r="D1" s="87"/>
      <c r="E1" s="87"/>
      <c r="F1" s="87"/>
      <c r="G1" s="87"/>
      <c r="H1" s="87"/>
      <c r="I1" s="87"/>
      <c r="J1" s="89"/>
      <c r="K1" s="89"/>
      <c r="L1" s="90"/>
      <c r="M1" s="87"/>
      <c r="N1" s="87"/>
      <c r="O1" s="87"/>
      <c r="P1" s="87"/>
      <c r="Q1" s="87"/>
      <c r="R1" s="87"/>
      <c r="S1" s="87"/>
      <c r="T1" s="87"/>
      <c r="U1" s="87"/>
      <c r="V1" s="87"/>
    </row>
    <row r="2" spans="1:22" ht="33.75" x14ac:dyDescent="0.5">
      <c r="A2" s="87"/>
      <c r="B2" s="91"/>
      <c r="C2" s="92" t="str">
        <f>Language!$E$44</f>
        <v>Teilnehmer und Ablaufplan</v>
      </c>
      <c r="D2" s="92"/>
      <c r="E2" s="92"/>
      <c r="F2" s="92"/>
      <c r="G2" s="92"/>
      <c r="H2" s="92"/>
      <c r="I2" s="92"/>
      <c r="J2" s="93"/>
      <c r="K2" s="93"/>
      <c r="L2" s="94"/>
      <c r="M2" s="87"/>
      <c r="N2" s="87"/>
      <c r="O2" s="87"/>
      <c r="P2" s="87"/>
      <c r="Q2" s="555" t="s">
        <v>122</v>
      </c>
      <c r="R2" s="555"/>
      <c r="S2" s="555"/>
      <c r="T2" s="555"/>
      <c r="U2" s="95"/>
      <c r="V2" s="95"/>
    </row>
    <row r="3" spans="1:22" x14ac:dyDescent="0.25">
      <c r="A3" s="87"/>
      <c r="B3" s="87"/>
      <c r="C3" s="87"/>
      <c r="D3" s="87"/>
      <c r="E3" s="87"/>
      <c r="F3" s="87"/>
      <c r="G3" s="87"/>
      <c r="H3" s="87"/>
      <c r="I3" s="87"/>
      <c r="J3" s="89"/>
      <c r="K3" s="89"/>
      <c r="L3" s="90"/>
      <c r="M3" s="87"/>
      <c r="N3" s="87"/>
      <c r="O3" s="87"/>
      <c r="P3" s="87"/>
      <c r="Q3" s="87"/>
      <c r="R3" s="87"/>
      <c r="S3" s="87"/>
      <c r="T3" s="87"/>
      <c r="U3" s="87"/>
      <c r="V3" s="87"/>
    </row>
    <row r="4" spans="1:22" ht="26.25" x14ac:dyDescent="0.4">
      <c r="A4" s="87"/>
      <c r="B4" s="87"/>
      <c r="C4" s="96" t="str">
        <f>Language!$E$45</f>
        <v>Teilnehmer</v>
      </c>
      <c r="D4" s="87"/>
      <c r="E4" s="87"/>
      <c r="F4" s="87"/>
      <c r="G4" s="87"/>
      <c r="H4" s="87"/>
      <c r="I4" s="87"/>
      <c r="J4" s="89"/>
      <c r="K4" s="89"/>
      <c r="L4" s="90"/>
      <c r="M4" s="96" t="str">
        <f>Language!$E$46</f>
        <v>Ablaufplan</v>
      </c>
      <c r="N4" s="87"/>
      <c r="O4" s="87"/>
      <c r="P4" s="87"/>
      <c r="Q4" s="97"/>
      <c r="R4" s="97"/>
      <c r="S4" s="97"/>
      <c r="T4" s="87"/>
      <c r="U4" s="87"/>
      <c r="V4" s="87"/>
    </row>
    <row r="5" spans="1:22" ht="15.75" thickBot="1" x14ac:dyDescent="0.3">
      <c r="A5" s="87"/>
      <c r="B5" s="87"/>
      <c r="C5" s="556" t="s">
        <v>157</v>
      </c>
      <c r="D5" s="556"/>
      <c r="E5" s="98"/>
      <c r="F5" s="99"/>
      <c r="G5" s="87"/>
      <c r="H5" s="87"/>
      <c r="I5" s="87"/>
      <c r="J5" s="89"/>
      <c r="K5" s="89"/>
      <c r="L5" s="90"/>
      <c r="M5" s="87"/>
      <c r="N5" s="87"/>
      <c r="O5" s="87"/>
      <c r="P5" s="87"/>
      <c r="Q5" s="87"/>
      <c r="R5" s="87"/>
      <c r="S5" s="87"/>
      <c r="T5" s="87"/>
      <c r="U5" s="87"/>
      <c r="V5" s="87"/>
    </row>
    <row r="6" spans="1:22" ht="16.5" thickTop="1" x14ac:dyDescent="0.25">
      <c r="A6" s="87"/>
      <c r="B6" s="100">
        <f>MAX($B$7:$B$24)</f>
        <v>1</v>
      </c>
      <c r="C6" s="101" t="str">
        <f>Language!$E$9</f>
        <v>Nr.</v>
      </c>
      <c r="D6" s="102" t="str">
        <f>Language!$E$10</f>
        <v>Teilnehmer bzw. Mannschaft</v>
      </c>
      <c r="E6" s="103" t="str">
        <f>Language!$E$56</f>
        <v>Abkürzung</v>
      </c>
      <c r="F6" s="104">
        <f>MAX($F$7:$F$60)</f>
        <v>1</v>
      </c>
      <c r="G6" s="99"/>
      <c r="H6" s="99"/>
      <c r="I6" s="99" t="s">
        <v>198</v>
      </c>
      <c r="J6" s="99"/>
      <c r="K6" s="99"/>
      <c r="L6" s="105" t="str">
        <f>Language!$E$17</f>
        <v>Spieltag</v>
      </c>
      <c r="M6" s="106" t="str">
        <f>Language!$E$47</f>
        <v>Spiel-Nr.</v>
      </c>
      <c r="N6" s="557" t="str">
        <f>Language!$E$48</f>
        <v>Paarungen</v>
      </c>
      <c r="O6" s="557"/>
      <c r="P6" s="557"/>
      <c r="Q6" s="557" t="str">
        <f>Language!$E$45</f>
        <v>Teilnehmer</v>
      </c>
      <c r="R6" s="557"/>
      <c r="S6" s="558"/>
      <c r="T6" s="106" t="str">
        <f>Language!$E$59</f>
        <v>Datum</v>
      </c>
      <c r="U6" s="107" t="str">
        <f>Language!$E$62</f>
        <v>Zeit</v>
      </c>
      <c r="V6" s="87"/>
    </row>
    <row r="7" spans="1:22" ht="17.25" x14ac:dyDescent="0.25">
      <c r="A7" s="87"/>
      <c r="B7" s="100">
        <f>COUNTIF($D$7:$D$24,$D7)</f>
        <v>1</v>
      </c>
      <c r="C7" s="108">
        <v>1</v>
      </c>
      <c r="D7" s="109" t="s">
        <v>244</v>
      </c>
      <c r="E7" s="110"/>
      <c r="F7" s="100">
        <f>IF($G7="",0,IF(LEFT($G7,2)=RIGHT($G7,2),100,IF(COUNTIF($G$7:$G$24,$G7)&gt;1,101,COUNTIF($G$7:$G$24,$G7)+COUNTIF($H$7:$H$24,$G7))))</f>
        <v>1</v>
      </c>
      <c r="G7" s="100" t="str">
        <f>IF(OR($N7="",$P7=""),"",TEXT($N7,"00")&amp;TEXT($P7,"00"))</f>
        <v>0705</v>
      </c>
      <c r="H7" s="100" t="str">
        <f>IF(OR($N7="",$P7=""),"",TEXT($P7,"00")&amp;TEXT($N7,"00"))</f>
        <v>0507</v>
      </c>
      <c r="I7" s="100">
        <f>IF($G7="",0,COUNTIF($G$7:$G7,$H7))</f>
        <v>0</v>
      </c>
      <c r="J7" s="111"/>
      <c r="K7" s="112" t="s">
        <v>154</v>
      </c>
      <c r="L7" s="113">
        <v>1</v>
      </c>
      <c r="M7" s="114">
        <v>1</v>
      </c>
      <c r="N7" s="115">
        <v>7</v>
      </c>
      <c r="O7" s="116" t="s">
        <v>170</v>
      </c>
      <c r="P7" s="117">
        <v>5</v>
      </c>
      <c r="Q7" s="118" t="str">
        <f>IF(ISBLANK($N7),"",IF(ISBLANK(VLOOKUP($N7,$C$7:$D$24,2,0)),"",VLOOKUP($N7,$C$7:$D$24,2,0)))</f>
        <v>Juventus FC</v>
      </c>
      <c r="R7" s="119" t="s">
        <v>170</v>
      </c>
      <c r="S7" s="120" t="str">
        <f>IF(ISBLANK($P7),"",IF(ISBLANK(VLOOKUP($P7,$C$7:$D$24,2,0)),"",VLOOKUP($P7,$C$7:$D$24,2,0)))</f>
        <v>SL Benfica</v>
      </c>
      <c r="T7" s="121">
        <v>45937</v>
      </c>
      <c r="U7" s="122">
        <v>0.78125</v>
      </c>
      <c r="V7" s="87"/>
    </row>
    <row r="8" spans="1:22" ht="17.25" x14ac:dyDescent="0.25">
      <c r="A8" s="87"/>
      <c r="B8" s="100">
        <f t="shared" ref="B8:B24" si="0">COUNTIF($D$7:$D$24,$D8)</f>
        <v>1</v>
      </c>
      <c r="C8" s="123">
        <v>2</v>
      </c>
      <c r="D8" s="124" t="s">
        <v>236</v>
      </c>
      <c r="E8" s="125"/>
      <c r="F8" s="100">
        <f t="shared" ref="F8:F60" si="1">IF($G8="",0,IF(LEFT($G8,2)=RIGHT($G8,2),100,IF(COUNTIF($G$7:$G$24,$G8)&gt;1,101,COUNTIF($G$7:$G$24,$G8)+COUNTIF($H$7:$H$24,$G8))))</f>
        <v>1</v>
      </c>
      <c r="G8" s="100" t="str">
        <f t="shared" ref="G8:G60" si="2">IF(OR($N8="",$P8=""),"",TEXT($N8,"00")&amp;TEXT($P8,"00"))</f>
        <v>0110</v>
      </c>
      <c r="H8" s="100" t="str">
        <f t="shared" ref="H8:H60" si="3">IF(OR($N8="",$P8=""),"",TEXT($P8,"00")&amp;TEXT($N8,"00"))</f>
        <v>1001</v>
      </c>
      <c r="I8" s="100">
        <f>IF($G8="",0,COUNTIF($G$7:$G8,$H8))</f>
        <v>0</v>
      </c>
      <c r="J8" s="111"/>
      <c r="K8" s="112" t="s">
        <v>154</v>
      </c>
      <c r="L8" s="126"/>
      <c r="M8" s="127">
        <v>2</v>
      </c>
      <c r="N8" s="128">
        <v>1</v>
      </c>
      <c r="O8" s="129" t="s">
        <v>170</v>
      </c>
      <c r="P8" s="130">
        <v>10</v>
      </c>
      <c r="Q8" s="118" t="str">
        <f t="shared" ref="Q8:Q15" si="4">IF(ISBLANK($N8),"",IF(ISBLANK(VLOOKUP($N8,$C$7:$D$24,2,0)),"",VLOOKUP($N8,$C$7:$D$24,2,0)))</f>
        <v>Arsenal WFC</v>
      </c>
      <c r="R8" s="119" t="s">
        <v>170</v>
      </c>
      <c r="S8" s="120" t="str">
        <f t="shared" ref="S8:S15" si="5">IF(ISBLANK($P8),"",IF(ISBLANK(VLOOKUP($P8,$C$7:$D$24,2,0)),"",VLOOKUP($P8,$C$7:$D$24,2,0)))</f>
        <v>OL Lyonnes</v>
      </c>
      <c r="T8" s="121">
        <v>45937</v>
      </c>
      <c r="U8" s="122">
        <v>0.875</v>
      </c>
      <c r="V8" s="87"/>
    </row>
    <row r="9" spans="1:22" ht="17.25" x14ac:dyDescent="0.25">
      <c r="A9" s="87"/>
      <c r="B9" s="100">
        <f t="shared" si="0"/>
        <v>1</v>
      </c>
      <c r="C9" s="123">
        <v>3</v>
      </c>
      <c r="D9" s="124" t="s">
        <v>245</v>
      </c>
      <c r="E9" s="125"/>
      <c r="F9" s="100">
        <f t="shared" si="1"/>
        <v>1</v>
      </c>
      <c r="G9" s="100" t="str">
        <f t="shared" si="2"/>
        <v>0304</v>
      </c>
      <c r="H9" s="100" t="str">
        <f t="shared" si="3"/>
        <v>0403</v>
      </c>
      <c r="I9" s="100">
        <f>IF($G9="",0,COUNTIF($G$7:$G9,$H9))</f>
        <v>0</v>
      </c>
      <c r="J9" s="111"/>
      <c r="K9" s="112" t="s">
        <v>154</v>
      </c>
      <c r="L9" s="126"/>
      <c r="M9" s="127">
        <v>3</v>
      </c>
      <c r="N9" s="128">
        <v>3</v>
      </c>
      <c r="O9" s="129" t="s">
        <v>170</v>
      </c>
      <c r="P9" s="130">
        <v>4</v>
      </c>
      <c r="Q9" s="118" t="str">
        <f t="shared" si="4"/>
        <v>FC Barcelona</v>
      </c>
      <c r="R9" s="119" t="s">
        <v>170</v>
      </c>
      <c r="S9" s="120" t="str">
        <f t="shared" si="5"/>
        <v>FC Bayern München</v>
      </c>
      <c r="T9" s="121">
        <v>45937</v>
      </c>
      <c r="U9" s="122">
        <v>0.875</v>
      </c>
      <c r="V9" s="87"/>
    </row>
    <row r="10" spans="1:22" ht="17.25" x14ac:dyDescent="0.25">
      <c r="A10" s="87"/>
      <c r="B10" s="100">
        <f t="shared" si="0"/>
        <v>1</v>
      </c>
      <c r="C10" s="123">
        <v>4</v>
      </c>
      <c r="D10" s="124" t="s">
        <v>237</v>
      </c>
      <c r="E10" s="125"/>
      <c r="F10" s="100">
        <f t="shared" si="1"/>
        <v>1</v>
      </c>
      <c r="G10" s="100" t="str">
        <f t="shared" si="2"/>
        <v>1109</v>
      </c>
      <c r="H10" s="100" t="str">
        <f t="shared" si="3"/>
        <v>0911</v>
      </c>
      <c r="I10" s="100">
        <f>IF($G10="",0,COUNTIF($G$7:$G10,$H10))</f>
        <v>0</v>
      </c>
      <c r="J10" s="111"/>
      <c r="K10" s="112" t="s">
        <v>154</v>
      </c>
      <c r="L10" s="126"/>
      <c r="M10" s="127">
        <v>4</v>
      </c>
      <c r="N10" s="128">
        <v>11</v>
      </c>
      <c r="O10" s="129" t="s">
        <v>170</v>
      </c>
      <c r="P10" s="130">
        <v>9</v>
      </c>
      <c r="Q10" s="118" t="str">
        <f t="shared" si="4"/>
        <v>Paris FC</v>
      </c>
      <c r="R10" s="119" t="s">
        <v>170</v>
      </c>
      <c r="S10" s="120" t="str">
        <f t="shared" si="5"/>
        <v>Oud-Heverlee Leuven</v>
      </c>
      <c r="T10" s="121">
        <v>45937</v>
      </c>
      <c r="U10" s="122">
        <v>0.875</v>
      </c>
      <c r="V10" s="87"/>
    </row>
    <row r="11" spans="1:22" ht="17.25" x14ac:dyDescent="0.25">
      <c r="A11" s="87"/>
      <c r="B11" s="100">
        <f t="shared" si="0"/>
        <v>1</v>
      </c>
      <c r="C11" s="123">
        <v>5</v>
      </c>
      <c r="D11" s="124" t="s">
        <v>243</v>
      </c>
      <c r="E11" s="125"/>
      <c r="F11" s="100">
        <f t="shared" si="1"/>
        <v>1</v>
      </c>
      <c r="G11" s="100" t="str">
        <f t="shared" si="2"/>
        <v>1606</v>
      </c>
      <c r="H11" s="100" t="str">
        <f t="shared" si="3"/>
        <v>0616</v>
      </c>
      <c r="I11" s="100">
        <f>IF($G11="",0,COUNTIF($G$7:$G11,$H11))</f>
        <v>0</v>
      </c>
      <c r="J11" s="111"/>
      <c r="K11" s="112" t="s">
        <v>154</v>
      </c>
      <c r="L11" s="126"/>
      <c r="M11" s="127">
        <v>5</v>
      </c>
      <c r="N11" s="128">
        <v>16</v>
      </c>
      <c r="O11" s="129" t="s">
        <v>170</v>
      </c>
      <c r="P11" s="130">
        <v>6</v>
      </c>
      <c r="Q11" s="118" t="str">
        <f t="shared" si="4"/>
        <v>FC Twente</v>
      </c>
      <c r="R11" s="119" t="s">
        <v>170</v>
      </c>
      <c r="S11" s="120" t="str">
        <f t="shared" si="5"/>
        <v>Chelsea FC</v>
      </c>
      <c r="T11" s="121">
        <v>45938</v>
      </c>
      <c r="U11" s="122">
        <v>0.78125</v>
      </c>
      <c r="V11" s="87"/>
    </row>
    <row r="12" spans="1:22" ht="17.25" x14ac:dyDescent="0.25">
      <c r="A12" s="87"/>
      <c r="B12" s="100">
        <f t="shared" si="0"/>
        <v>1</v>
      </c>
      <c r="C12" s="123">
        <v>6</v>
      </c>
      <c r="D12" s="124" t="s">
        <v>248</v>
      </c>
      <c r="E12" s="125"/>
      <c r="F12" s="100">
        <f t="shared" si="1"/>
        <v>1</v>
      </c>
      <c r="G12" s="100" t="str">
        <f t="shared" si="2"/>
        <v>1314</v>
      </c>
      <c r="H12" s="100" t="str">
        <f t="shared" si="3"/>
        <v>1413</v>
      </c>
      <c r="I12" s="100">
        <f>IF($G12="",0,COUNTIF($G$7:$G12,$H12))</f>
        <v>0</v>
      </c>
      <c r="J12" s="111"/>
      <c r="K12" s="112" t="s">
        <v>154</v>
      </c>
      <c r="L12" s="126"/>
      <c r="M12" s="127">
        <v>6</v>
      </c>
      <c r="N12" s="128">
        <v>13</v>
      </c>
      <c r="O12" s="129" t="s">
        <v>170</v>
      </c>
      <c r="P12" s="130">
        <v>14</v>
      </c>
      <c r="Q12" s="118" t="str">
        <f t="shared" si="4"/>
        <v>Real Madrid</v>
      </c>
      <c r="R12" s="119" t="s">
        <v>170</v>
      </c>
      <c r="S12" s="120" t="str">
        <f t="shared" si="5"/>
        <v>AS Rom</v>
      </c>
      <c r="T12" s="121">
        <v>45938</v>
      </c>
      <c r="U12" s="122">
        <v>0.78125</v>
      </c>
      <c r="V12" s="87"/>
    </row>
    <row r="13" spans="1:22" ht="17.25" x14ac:dyDescent="0.25">
      <c r="A13" s="87"/>
      <c r="B13" s="100">
        <f t="shared" si="0"/>
        <v>1</v>
      </c>
      <c r="C13" s="123">
        <v>7</v>
      </c>
      <c r="D13" s="124" t="s">
        <v>254</v>
      </c>
      <c r="E13" s="125"/>
      <c r="F13" s="100">
        <f t="shared" si="1"/>
        <v>1</v>
      </c>
      <c r="G13" s="100" t="str">
        <f t="shared" si="2"/>
        <v>1812</v>
      </c>
      <c r="H13" s="100" t="str">
        <f t="shared" si="3"/>
        <v>1218</v>
      </c>
      <c r="I13" s="100">
        <f>IF($G13="",0,COUNTIF($G$7:$G13,$H13))</f>
        <v>0</v>
      </c>
      <c r="J13" s="111"/>
      <c r="K13" s="112" t="s">
        <v>154</v>
      </c>
      <c r="L13" s="126"/>
      <c r="M13" s="127">
        <v>7</v>
      </c>
      <c r="N13" s="128">
        <v>18</v>
      </c>
      <c r="O13" s="129" t="s">
        <v>170</v>
      </c>
      <c r="P13" s="130">
        <v>12</v>
      </c>
      <c r="Q13" s="118" t="str">
        <f t="shared" si="4"/>
        <v>VfL Wolfsburg</v>
      </c>
      <c r="R13" s="119" t="s">
        <v>170</v>
      </c>
      <c r="S13" s="120" t="str">
        <f t="shared" si="5"/>
        <v>Paris St. Germain</v>
      </c>
      <c r="T13" s="121">
        <v>45938</v>
      </c>
      <c r="U13" s="122">
        <v>0.875</v>
      </c>
      <c r="V13" s="87"/>
    </row>
    <row r="14" spans="1:22" ht="17.25" x14ac:dyDescent="0.25">
      <c r="A14" s="87"/>
      <c r="B14" s="100">
        <f t="shared" si="0"/>
        <v>1</v>
      </c>
      <c r="C14" s="123">
        <v>8</v>
      </c>
      <c r="D14" s="124" t="s">
        <v>238</v>
      </c>
      <c r="E14" s="125"/>
      <c r="F14" s="100">
        <f t="shared" si="1"/>
        <v>1</v>
      </c>
      <c r="G14" s="100" t="str">
        <f t="shared" si="2"/>
        <v>1502</v>
      </c>
      <c r="H14" s="100" t="str">
        <f t="shared" si="3"/>
        <v>0215</v>
      </c>
      <c r="I14" s="100">
        <f>IF($G14="",0,COUNTIF($G$7:$G14,$H14))</f>
        <v>0</v>
      </c>
      <c r="J14" s="111"/>
      <c r="K14" s="112" t="s">
        <v>154</v>
      </c>
      <c r="L14" s="126"/>
      <c r="M14" s="127">
        <v>8</v>
      </c>
      <c r="N14" s="128">
        <v>15</v>
      </c>
      <c r="O14" s="129" t="s">
        <v>170</v>
      </c>
      <c r="P14" s="130">
        <v>2</v>
      </c>
      <c r="Q14" s="118" t="str">
        <f t="shared" si="4"/>
        <v>SKN St. Pölten</v>
      </c>
      <c r="R14" s="119" t="s">
        <v>170</v>
      </c>
      <c r="S14" s="120" t="str">
        <f t="shared" si="5"/>
        <v>Atletico Madrid</v>
      </c>
      <c r="T14" s="121">
        <v>45938</v>
      </c>
      <c r="U14" s="122">
        <v>0.875</v>
      </c>
      <c r="V14" s="87"/>
    </row>
    <row r="15" spans="1:22" ht="18" thickBot="1" x14ac:dyDescent="0.3">
      <c r="A15" s="87"/>
      <c r="B15" s="100">
        <f t="shared" si="0"/>
        <v>1</v>
      </c>
      <c r="C15" s="123">
        <v>9</v>
      </c>
      <c r="D15" s="124" t="s">
        <v>246</v>
      </c>
      <c r="E15" s="125"/>
      <c r="F15" s="100">
        <f t="shared" si="1"/>
        <v>1</v>
      </c>
      <c r="G15" s="100" t="str">
        <f t="shared" si="2"/>
        <v>0817</v>
      </c>
      <c r="H15" s="100" t="str">
        <f t="shared" si="3"/>
        <v>1708</v>
      </c>
      <c r="I15" s="100">
        <f>IF($G15="",0,COUNTIF($G$7:$G15,$H15))</f>
        <v>0</v>
      </c>
      <c r="J15" s="111"/>
      <c r="K15" s="112" t="s">
        <v>154</v>
      </c>
      <c r="L15" s="126"/>
      <c r="M15" s="127">
        <v>9</v>
      </c>
      <c r="N15" s="128">
        <v>8</v>
      </c>
      <c r="O15" s="129" t="s">
        <v>170</v>
      </c>
      <c r="P15" s="130">
        <v>17</v>
      </c>
      <c r="Q15" s="118" t="str">
        <f t="shared" si="4"/>
        <v>Manchester United</v>
      </c>
      <c r="R15" s="119" t="s">
        <v>170</v>
      </c>
      <c r="S15" s="120" t="str">
        <f t="shared" si="5"/>
        <v>Valerenga IF</v>
      </c>
      <c r="T15" s="121">
        <v>45938</v>
      </c>
      <c r="U15" s="122">
        <v>0.875</v>
      </c>
      <c r="V15" s="87"/>
    </row>
    <row r="16" spans="1:22" ht="17.25" x14ac:dyDescent="0.25">
      <c r="A16" s="87"/>
      <c r="B16" s="100">
        <f t="shared" si="0"/>
        <v>1</v>
      </c>
      <c r="C16" s="123">
        <v>10</v>
      </c>
      <c r="D16" s="124" t="s">
        <v>239</v>
      </c>
      <c r="E16" s="125"/>
      <c r="F16" s="100">
        <f t="shared" si="1"/>
        <v>1</v>
      </c>
      <c r="G16" s="100" t="str">
        <f t="shared" si="2"/>
        <v>1718</v>
      </c>
      <c r="H16" s="100" t="str">
        <f t="shared" si="3"/>
        <v>1817</v>
      </c>
      <c r="I16" s="100">
        <f>IF($G16="",0,COUNTIF($G$7:$G16,$H16))</f>
        <v>0</v>
      </c>
      <c r="J16" s="100"/>
      <c r="K16" s="112" t="s">
        <v>154</v>
      </c>
      <c r="L16" s="133">
        <v>2</v>
      </c>
      <c r="M16" s="134">
        <v>10</v>
      </c>
      <c r="N16" s="135">
        <v>17</v>
      </c>
      <c r="O16" s="136" t="s">
        <v>170</v>
      </c>
      <c r="P16" s="137">
        <v>18</v>
      </c>
      <c r="Q16" s="138" t="str">
        <f t="shared" ref="Q16:Q42" si="6">IF(ISBLANK($N16),"",IF(ISBLANK(VLOOKUP($N16,$C$7:$D$42,2,0)),"",VLOOKUP($N16,$C$7:$D$42,2,0)))</f>
        <v>Valerenga IF</v>
      </c>
      <c r="R16" s="139" t="s">
        <v>170</v>
      </c>
      <c r="S16" s="140" t="str">
        <f t="shared" ref="S16:S42" si="7">IF(ISBLANK($P16),"",IF(ISBLANK(VLOOKUP($P16,$C$7:$D$42,2,0)),"",VLOOKUP($P16,$C$7:$D$42,2,0)))</f>
        <v>VfL Wolfsburg</v>
      </c>
      <c r="T16" s="141">
        <v>45945</v>
      </c>
      <c r="U16" s="142">
        <v>0.78125</v>
      </c>
      <c r="V16" s="87"/>
    </row>
    <row r="17" spans="1:22" ht="17.25" x14ac:dyDescent="0.25">
      <c r="A17" s="87"/>
      <c r="B17" s="100">
        <f t="shared" si="0"/>
        <v>1</v>
      </c>
      <c r="C17" s="123">
        <v>11</v>
      </c>
      <c r="D17" s="124" t="s">
        <v>240</v>
      </c>
      <c r="E17" s="125"/>
      <c r="F17" s="100">
        <f t="shared" si="1"/>
        <v>1</v>
      </c>
      <c r="G17" s="100" t="str">
        <f t="shared" si="2"/>
        <v>1015</v>
      </c>
      <c r="H17" s="100" t="str">
        <f t="shared" si="3"/>
        <v>1510</v>
      </c>
      <c r="I17" s="100">
        <f>IF($G17="",0,COUNTIF($G$7:$G17,$H17))</f>
        <v>0</v>
      </c>
      <c r="J17" s="100"/>
      <c r="K17" s="112" t="s">
        <v>154</v>
      </c>
      <c r="L17" s="126"/>
      <c r="M17" s="127">
        <v>11</v>
      </c>
      <c r="N17" s="128">
        <v>10</v>
      </c>
      <c r="O17" s="129" t="s">
        <v>170</v>
      </c>
      <c r="P17" s="130">
        <v>15</v>
      </c>
      <c r="Q17" s="118" t="str">
        <f t="shared" si="6"/>
        <v>OL Lyonnes</v>
      </c>
      <c r="R17" s="119" t="s">
        <v>170</v>
      </c>
      <c r="S17" s="120" t="str">
        <f t="shared" si="7"/>
        <v>SKN St. Pölten</v>
      </c>
      <c r="T17" s="131">
        <v>45945</v>
      </c>
      <c r="U17" s="132">
        <v>0.78125</v>
      </c>
      <c r="V17" s="87"/>
    </row>
    <row r="18" spans="1:22" ht="17.25" x14ac:dyDescent="0.25">
      <c r="A18" s="87"/>
      <c r="B18" s="100">
        <f t="shared" si="0"/>
        <v>1</v>
      </c>
      <c r="C18" s="123">
        <v>12</v>
      </c>
      <c r="D18" s="124" t="s">
        <v>251</v>
      </c>
      <c r="E18" s="125"/>
      <c r="F18" s="100">
        <f t="shared" si="1"/>
        <v>1</v>
      </c>
      <c r="G18" s="100" t="str">
        <f t="shared" si="2"/>
        <v>0611</v>
      </c>
      <c r="H18" s="100" t="str">
        <f t="shared" si="3"/>
        <v>1106</v>
      </c>
      <c r="I18" s="100">
        <f>IF($G18="",0,COUNTIF($G$7:$G18,$H18))</f>
        <v>0</v>
      </c>
      <c r="J18" s="100"/>
      <c r="K18" s="112" t="s">
        <v>154</v>
      </c>
      <c r="L18" s="126"/>
      <c r="M18" s="127">
        <v>12</v>
      </c>
      <c r="N18" s="128">
        <v>6</v>
      </c>
      <c r="O18" s="129" t="s">
        <v>170</v>
      </c>
      <c r="P18" s="130">
        <v>11</v>
      </c>
      <c r="Q18" s="118" t="str">
        <f t="shared" si="6"/>
        <v>Chelsea FC</v>
      </c>
      <c r="R18" s="119" t="s">
        <v>170</v>
      </c>
      <c r="S18" s="120" t="str">
        <f t="shared" si="7"/>
        <v>Paris FC</v>
      </c>
      <c r="T18" s="131">
        <v>45945</v>
      </c>
      <c r="U18" s="132">
        <v>0.875</v>
      </c>
      <c r="V18" s="87"/>
    </row>
    <row r="19" spans="1:22" ht="17.25" x14ac:dyDescent="0.25">
      <c r="A19" s="87"/>
      <c r="B19" s="100">
        <f t="shared" si="0"/>
        <v>1</v>
      </c>
      <c r="C19" s="123">
        <v>13</v>
      </c>
      <c r="D19" s="124" t="s">
        <v>241</v>
      </c>
      <c r="E19" s="125"/>
      <c r="F19" s="100">
        <f t="shared" si="1"/>
        <v>1</v>
      </c>
      <c r="G19" s="100" t="str">
        <f t="shared" si="2"/>
        <v>1403</v>
      </c>
      <c r="H19" s="100" t="str">
        <f t="shared" si="3"/>
        <v>0314</v>
      </c>
      <c r="I19" s="100">
        <f>IF($G19="",0,COUNTIF($G$7:$G19,$H19))</f>
        <v>0</v>
      </c>
      <c r="J19" s="100"/>
      <c r="K19" s="112" t="s">
        <v>154</v>
      </c>
      <c r="L19" s="126"/>
      <c r="M19" s="127">
        <v>13</v>
      </c>
      <c r="N19" s="128">
        <v>14</v>
      </c>
      <c r="O19" s="129" t="s">
        <v>170</v>
      </c>
      <c r="P19" s="130">
        <v>3</v>
      </c>
      <c r="Q19" s="118" t="str">
        <f t="shared" si="6"/>
        <v>AS Rom</v>
      </c>
      <c r="R19" s="119" t="s">
        <v>170</v>
      </c>
      <c r="S19" s="120" t="str">
        <f t="shared" si="7"/>
        <v>FC Barcelona</v>
      </c>
      <c r="T19" s="131">
        <v>45945</v>
      </c>
      <c r="U19" s="132">
        <v>0.875</v>
      </c>
      <c r="V19" s="87"/>
    </row>
    <row r="20" spans="1:22" ht="17.25" x14ac:dyDescent="0.25">
      <c r="A20" s="87"/>
      <c r="B20" s="100">
        <f t="shared" si="0"/>
        <v>1</v>
      </c>
      <c r="C20" s="123">
        <v>14</v>
      </c>
      <c r="D20" s="124" t="s">
        <v>249</v>
      </c>
      <c r="E20" s="125"/>
      <c r="F20" s="100">
        <f t="shared" si="1"/>
        <v>1</v>
      </c>
      <c r="G20" s="100" t="str">
        <f t="shared" si="2"/>
        <v>0916</v>
      </c>
      <c r="H20" s="100" t="str">
        <f t="shared" si="3"/>
        <v>1609</v>
      </c>
      <c r="I20" s="100">
        <f>IF($G20="",0,COUNTIF($G$7:$G20,$H20))</f>
        <v>0</v>
      </c>
      <c r="J20" s="100"/>
      <c r="K20" s="112" t="s">
        <v>154</v>
      </c>
      <c r="L20" s="126"/>
      <c r="M20" s="127">
        <v>14</v>
      </c>
      <c r="N20" s="128">
        <v>9</v>
      </c>
      <c r="O20" s="129" t="s">
        <v>170</v>
      </c>
      <c r="P20" s="130">
        <v>16</v>
      </c>
      <c r="Q20" s="118" t="str">
        <f t="shared" si="6"/>
        <v>Oud-Heverlee Leuven</v>
      </c>
      <c r="R20" s="119" t="s">
        <v>170</v>
      </c>
      <c r="S20" s="120" t="str">
        <f t="shared" si="7"/>
        <v>FC Twente</v>
      </c>
      <c r="T20" s="131">
        <v>45945</v>
      </c>
      <c r="U20" s="132">
        <v>0.875</v>
      </c>
      <c r="V20" s="87"/>
    </row>
    <row r="21" spans="1:22" ht="17.25" x14ac:dyDescent="0.25">
      <c r="A21" s="87"/>
      <c r="B21" s="100">
        <f t="shared" si="0"/>
        <v>1</v>
      </c>
      <c r="C21" s="123">
        <v>15</v>
      </c>
      <c r="D21" s="124" t="s">
        <v>252</v>
      </c>
      <c r="E21" s="125"/>
      <c r="F21" s="100">
        <f t="shared" si="1"/>
        <v>1</v>
      </c>
      <c r="G21" s="100" t="str">
        <f t="shared" si="2"/>
        <v>0208</v>
      </c>
      <c r="H21" s="100" t="str">
        <f t="shared" si="3"/>
        <v>0802</v>
      </c>
      <c r="I21" s="100">
        <f>IF($G21="",0,COUNTIF($G$7:$G21,$H21))</f>
        <v>0</v>
      </c>
      <c r="J21" s="100"/>
      <c r="K21" s="112" t="s">
        <v>154</v>
      </c>
      <c r="L21" s="126"/>
      <c r="M21" s="127">
        <v>15</v>
      </c>
      <c r="N21" s="128">
        <v>2</v>
      </c>
      <c r="O21" s="129" t="s">
        <v>170</v>
      </c>
      <c r="P21" s="130">
        <v>8</v>
      </c>
      <c r="Q21" s="118" t="str">
        <f t="shared" si="6"/>
        <v>Atletico Madrid</v>
      </c>
      <c r="R21" s="119" t="s">
        <v>170</v>
      </c>
      <c r="S21" s="120" t="str">
        <f t="shared" si="7"/>
        <v>Manchester United</v>
      </c>
      <c r="T21" s="131">
        <v>45946</v>
      </c>
      <c r="U21" s="132">
        <v>0.78125</v>
      </c>
      <c r="V21" s="87"/>
    </row>
    <row r="22" spans="1:22" ht="17.25" x14ac:dyDescent="0.25">
      <c r="A22" s="87"/>
      <c r="B22" s="100">
        <f t="shared" si="0"/>
        <v>1</v>
      </c>
      <c r="C22" s="123">
        <v>16</v>
      </c>
      <c r="D22" s="124" t="s">
        <v>247</v>
      </c>
      <c r="E22" s="125"/>
      <c r="F22" s="100">
        <f t="shared" si="1"/>
        <v>1</v>
      </c>
      <c r="G22" s="100" t="str">
        <f t="shared" si="2"/>
        <v>0501</v>
      </c>
      <c r="H22" s="100" t="str">
        <f t="shared" si="3"/>
        <v>0105</v>
      </c>
      <c r="I22" s="100">
        <f>IF($G22="",0,COUNTIF($G$7:$G22,$H22))</f>
        <v>0</v>
      </c>
      <c r="J22" s="100"/>
      <c r="K22" s="112" t="s">
        <v>154</v>
      </c>
      <c r="L22" s="126"/>
      <c r="M22" s="127">
        <v>16</v>
      </c>
      <c r="N22" s="128">
        <v>5</v>
      </c>
      <c r="O22" s="129" t="s">
        <v>170</v>
      </c>
      <c r="P22" s="130">
        <v>1</v>
      </c>
      <c r="Q22" s="118" t="str">
        <f t="shared" si="6"/>
        <v>SL Benfica</v>
      </c>
      <c r="R22" s="119" t="s">
        <v>170</v>
      </c>
      <c r="S22" s="120" t="str">
        <f t="shared" si="7"/>
        <v>Arsenal WFC</v>
      </c>
      <c r="T22" s="131">
        <v>45946</v>
      </c>
      <c r="U22" s="132">
        <v>0.875</v>
      </c>
      <c r="V22" s="87"/>
    </row>
    <row r="23" spans="1:22" ht="17.25" x14ac:dyDescent="0.25">
      <c r="A23" s="87"/>
      <c r="B23" s="100">
        <f t="shared" si="0"/>
        <v>1</v>
      </c>
      <c r="C23" s="123">
        <v>17</v>
      </c>
      <c r="D23" s="124" t="s">
        <v>253</v>
      </c>
      <c r="E23" s="125"/>
      <c r="F23" s="100">
        <f t="shared" si="1"/>
        <v>1</v>
      </c>
      <c r="G23" s="100" t="str">
        <f t="shared" si="2"/>
        <v>0407</v>
      </c>
      <c r="H23" s="100" t="str">
        <f t="shared" si="3"/>
        <v>0704</v>
      </c>
      <c r="I23" s="100">
        <f>IF($G23="",0,COUNTIF($G$7:$G23,$H23))</f>
        <v>0</v>
      </c>
      <c r="J23" s="100"/>
      <c r="K23" s="112" t="s">
        <v>154</v>
      </c>
      <c r="L23" s="126"/>
      <c r="M23" s="127">
        <v>17</v>
      </c>
      <c r="N23" s="128">
        <v>4</v>
      </c>
      <c r="O23" s="129" t="s">
        <v>170</v>
      </c>
      <c r="P23" s="130">
        <v>7</v>
      </c>
      <c r="Q23" s="118" t="str">
        <f t="shared" si="6"/>
        <v>FC Bayern München</v>
      </c>
      <c r="R23" s="119" t="s">
        <v>170</v>
      </c>
      <c r="S23" s="120" t="str">
        <f t="shared" si="7"/>
        <v>Juventus FC</v>
      </c>
      <c r="T23" s="131">
        <v>45946</v>
      </c>
      <c r="U23" s="132">
        <v>0.875</v>
      </c>
      <c r="V23" s="87"/>
    </row>
    <row r="24" spans="1:22" ht="18" thickBot="1" x14ac:dyDescent="0.3">
      <c r="A24" s="87"/>
      <c r="B24" s="100">
        <f t="shared" si="0"/>
        <v>1</v>
      </c>
      <c r="C24" s="472">
        <v>18</v>
      </c>
      <c r="D24" s="473" t="s">
        <v>250</v>
      </c>
      <c r="E24" s="474"/>
      <c r="F24" s="100">
        <f t="shared" si="1"/>
        <v>1</v>
      </c>
      <c r="G24" s="100" t="str">
        <f t="shared" si="2"/>
        <v>1213</v>
      </c>
      <c r="H24" s="100" t="str">
        <f t="shared" si="3"/>
        <v>1312</v>
      </c>
      <c r="I24" s="100">
        <f>IF($G24="",0,COUNTIF($G$7:$G24,$H24))</f>
        <v>0</v>
      </c>
      <c r="J24" s="100"/>
      <c r="K24" s="112" t="s">
        <v>154</v>
      </c>
      <c r="L24" s="126"/>
      <c r="M24" s="127">
        <v>18</v>
      </c>
      <c r="N24" s="128">
        <v>12</v>
      </c>
      <c r="O24" s="129" t="s">
        <v>170</v>
      </c>
      <c r="P24" s="130">
        <v>13</v>
      </c>
      <c r="Q24" s="118" t="str">
        <f t="shared" si="6"/>
        <v>Paris St. Germain</v>
      </c>
      <c r="R24" s="119" t="s">
        <v>170</v>
      </c>
      <c r="S24" s="120" t="str">
        <f t="shared" si="7"/>
        <v>Real Madrid</v>
      </c>
      <c r="T24" s="131">
        <v>45946</v>
      </c>
      <c r="U24" s="132">
        <v>0.875</v>
      </c>
      <c r="V24" s="87"/>
    </row>
    <row r="25" spans="1:22" ht="18" thickTop="1" x14ac:dyDescent="0.25">
      <c r="A25" s="87"/>
      <c r="B25" s="100"/>
      <c r="C25" s="497"/>
      <c r="D25" s="498"/>
      <c r="E25" s="499"/>
      <c r="F25" s="100">
        <f t="shared" si="1"/>
        <v>0</v>
      </c>
      <c r="G25" s="100" t="str">
        <f t="shared" si="2"/>
        <v>1417</v>
      </c>
      <c r="H25" s="100" t="str">
        <f t="shared" si="3"/>
        <v>1714</v>
      </c>
      <c r="I25" s="100">
        <f>IF($G25="",0,COUNTIF($G$7:$G25,$H25))</f>
        <v>0</v>
      </c>
      <c r="J25" s="100"/>
      <c r="K25" s="112" t="s">
        <v>154</v>
      </c>
      <c r="L25" s="133">
        <v>3</v>
      </c>
      <c r="M25" s="134">
        <v>19</v>
      </c>
      <c r="N25" s="135">
        <v>14</v>
      </c>
      <c r="O25" s="136" t="s">
        <v>170</v>
      </c>
      <c r="P25" s="137">
        <v>17</v>
      </c>
      <c r="Q25" s="138" t="str">
        <f t="shared" si="6"/>
        <v>AS Rom</v>
      </c>
      <c r="R25" s="139" t="s">
        <v>170</v>
      </c>
      <c r="S25" s="140" t="str">
        <f t="shared" si="7"/>
        <v>Valerenga IF</v>
      </c>
      <c r="T25" s="141">
        <v>45972</v>
      </c>
      <c r="U25" s="142">
        <v>0.78125</v>
      </c>
      <c r="V25" s="87"/>
    </row>
    <row r="26" spans="1:22" ht="17.25" x14ac:dyDescent="0.25">
      <c r="A26" s="87"/>
      <c r="B26" s="100"/>
      <c r="C26" s="497"/>
      <c r="D26" s="498"/>
      <c r="E26" s="499"/>
      <c r="F26" s="100">
        <f t="shared" si="1"/>
        <v>0</v>
      </c>
      <c r="G26" s="100" t="str">
        <f t="shared" si="2"/>
        <v>1018</v>
      </c>
      <c r="H26" s="100" t="str">
        <f t="shared" si="3"/>
        <v>1810</v>
      </c>
      <c r="I26" s="100">
        <f>IF($G26="",0,COUNTIF($G$7:$G26,$H26))</f>
        <v>0</v>
      </c>
      <c r="J26" s="100"/>
      <c r="K26" s="112" t="s">
        <v>154</v>
      </c>
      <c r="L26" s="126"/>
      <c r="M26" s="127">
        <v>20</v>
      </c>
      <c r="N26" s="128">
        <v>10</v>
      </c>
      <c r="O26" s="129" t="s">
        <v>170</v>
      </c>
      <c r="P26" s="130">
        <v>18</v>
      </c>
      <c r="Q26" s="118" t="str">
        <f t="shared" si="6"/>
        <v>OL Lyonnes</v>
      </c>
      <c r="R26" s="119" t="s">
        <v>170</v>
      </c>
      <c r="S26" s="120" t="str">
        <f t="shared" si="7"/>
        <v>VfL Wolfsburg</v>
      </c>
      <c r="T26" s="131">
        <v>45972</v>
      </c>
      <c r="U26" s="132">
        <v>0.875</v>
      </c>
      <c r="V26" s="87"/>
    </row>
    <row r="27" spans="1:22" ht="17.25" x14ac:dyDescent="0.25">
      <c r="A27" s="87"/>
      <c r="B27" s="100"/>
      <c r="C27" s="497"/>
      <c r="D27" s="498"/>
      <c r="E27" s="499"/>
      <c r="F27" s="100">
        <f t="shared" si="1"/>
        <v>0</v>
      </c>
      <c r="G27" s="100" t="str">
        <f t="shared" si="2"/>
        <v>1506</v>
      </c>
      <c r="H27" s="100" t="str">
        <f t="shared" si="3"/>
        <v>0615</v>
      </c>
      <c r="I27" s="100">
        <f>IF($G27="",0,COUNTIF($G$7:$G27,$H27))</f>
        <v>0</v>
      </c>
      <c r="J27" s="100"/>
      <c r="K27" s="112" t="s">
        <v>154</v>
      </c>
      <c r="L27" s="126"/>
      <c r="M27" s="127">
        <v>21</v>
      </c>
      <c r="N27" s="128">
        <v>15</v>
      </c>
      <c r="O27" s="129" t="s">
        <v>170</v>
      </c>
      <c r="P27" s="130">
        <v>6</v>
      </c>
      <c r="Q27" s="118" t="str">
        <f t="shared" si="6"/>
        <v>SKN St. Pölten</v>
      </c>
      <c r="R27" s="119" t="s">
        <v>170</v>
      </c>
      <c r="S27" s="120" t="str">
        <f t="shared" si="7"/>
        <v>Chelsea FC</v>
      </c>
      <c r="T27" s="131">
        <v>45972</v>
      </c>
      <c r="U27" s="132">
        <v>0.875</v>
      </c>
      <c r="V27" s="87"/>
    </row>
    <row r="28" spans="1:22" ht="17.25" x14ac:dyDescent="0.25">
      <c r="A28" s="87"/>
      <c r="B28" s="100"/>
      <c r="C28" s="497"/>
      <c r="D28" s="498"/>
      <c r="E28" s="499"/>
      <c r="F28" s="100">
        <f t="shared" si="1"/>
        <v>0</v>
      </c>
      <c r="G28" s="100" t="str">
        <f t="shared" si="2"/>
        <v>1311</v>
      </c>
      <c r="H28" s="100" t="str">
        <f t="shared" si="3"/>
        <v>1113</v>
      </c>
      <c r="I28" s="100">
        <f>IF($G28="",0,COUNTIF($G$7:$G28,$H28))</f>
        <v>0</v>
      </c>
      <c r="J28" s="100"/>
      <c r="K28" s="112" t="s">
        <v>154</v>
      </c>
      <c r="L28" s="126"/>
      <c r="M28" s="127">
        <v>22</v>
      </c>
      <c r="N28" s="128">
        <v>13</v>
      </c>
      <c r="O28" s="129" t="s">
        <v>170</v>
      </c>
      <c r="P28" s="130">
        <v>11</v>
      </c>
      <c r="Q28" s="118" t="str">
        <f t="shared" si="6"/>
        <v>Real Madrid</v>
      </c>
      <c r="R28" s="119" t="s">
        <v>170</v>
      </c>
      <c r="S28" s="120" t="str">
        <f t="shared" si="7"/>
        <v>Paris FC</v>
      </c>
      <c r="T28" s="131">
        <v>45972</v>
      </c>
      <c r="U28" s="132">
        <v>0.875</v>
      </c>
      <c r="V28" s="87"/>
    </row>
    <row r="29" spans="1:22" ht="17.25" x14ac:dyDescent="0.25">
      <c r="A29" s="87"/>
      <c r="B29" s="100"/>
      <c r="C29" s="497"/>
      <c r="D29" s="498"/>
      <c r="E29" s="499"/>
      <c r="F29" s="100">
        <f t="shared" si="1"/>
        <v>0</v>
      </c>
      <c r="G29" s="100" t="str">
        <f t="shared" si="2"/>
        <v>0401</v>
      </c>
      <c r="H29" s="100" t="str">
        <f t="shared" si="3"/>
        <v>0104</v>
      </c>
      <c r="I29" s="100">
        <f>IF($G29="",0,COUNTIF($G$7:$G29,$H29))</f>
        <v>0</v>
      </c>
      <c r="J29" s="100"/>
      <c r="K29" s="112" t="s">
        <v>154</v>
      </c>
      <c r="L29" s="126"/>
      <c r="M29" s="127">
        <v>23</v>
      </c>
      <c r="N29" s="128">
        <v>4</v>
      </c>
      <c r="O29" s="129" t="s">
        <v>170</v>
      </c>
      <c r="P29" s="130">
        <v>1</v>
      </c>
      <c r="Q29" s="118" t="str">
        <f t="shared" si="6"/>
        <v>FC Bayern München</v>
      </c>
      <c r="R29" s="119" t="s">
        <v>170</v>
      </c>
      <c r="S29" s="120" t="str">
        <f t="shared" si="7"/>
        <v>Arsenal WFC</v>
      </c>
      <c r="T29" s="131">
        <v>45973</v>
      </c>
      <c r="U29" s="132">
        <v>0.78125</v>
      </c>
      <c r="V29" s="87"/>
    </row>
    <row r="30" spans="1:22" ht="17.25" x14ac:dyDescent="0.25">
      <c r="A30" s="87"/>
      <c r="B30" s="100"/>
      <c r="C30" s="497"/>
      <c r="D30" s="498"/>
      <c r="E30" s="499"/>
      <c r="F30" s="100">
        <f t="shared" si="1"/>
        <v>0</v>
      </c>
      <c r="G30" s="100" t="str">
        <f t="shared" si="2"/>
        <v>0309</v>
      </c>
      <c r="H30" s="100" t="str">
        <f t="shared" si="3"/>
        <v>0903</v>
      </c>
      <c r="I30" s="100">
        <f>IF($G30="",0,COUNTIF($G$7:$G30,$H30))</f>
        <v>0</v>
      </c>
      <c r="J30" s="100"/>
      <c r="K30" s="112" t="s">
        <v>154</v>
      </c>
      <c r="L30" s="126"/>
      <c r="M30" s="127">
        <v>24</v>
      </c>
      <c r="N30" s="128">
        <v>3</v>
      </c>
      <c r="O30" s="129" t="s">
        <v>170</v>
      </c>
      <c r="P30" s="130">
        <v>9</v>
      </c>
      <c r="Q30" s="118" t="str">
        <f t="shared" si="6"/>
        <v>FC Barcelona</v>
      </c>
      <c r="R30" s="119" t="s">
        <v>170</v>
      </c>
      <c r="S30" s="120" t="str">
        <f t="shared" si="7"/>
        <v>Oud-Heverlee Leuven</v>
      </c>
      <c r="T30" s="131">
        <v>45973</v>
      </c>
      <c r="U30" s="132">
        <v>0.78125</v>
      </c>
      <c r="V30" s="87"/>
    </row>
    <row r="31" spans="1:22" ht="17.25" x14ac:dyDescent="0.25">
      <c r="A31" s="87"/>
      <c r="B31" s="100"/>
      <c r="C31" s="497"/>
      <c r="D31" s="498"/>
      <c r="E31" s="499"/>
      <c r="F31" s="100">
        <f t="shared" si="1"/>
        <v>0</v>
      </c>
      <c r="G31" s="100" t="str">
        <f t="shared" si="2"/>
        <v>0812</v>
      </c>
      <c r="H31" s="100" t="str">
        <f t="shared" si="3"/>
        <v>1208</v>
      </c>
      <c r="I31" s="100">
        <f>IF($G31="",0,COUNTIF($G$7:$G31,$H31))</f>
        <v>0</v>
      </c>
      <c r="J31" s="100"/>
      <c r="K31" s="112" t="s">
        <v>154</v>
      </c>
      <c r="L31" s="126"/>
      <c r="M31" s="127">
        <v>25</v>
      </c>
      <c r="N31" s="128">
        <v>8</v>
      </c>
      <c r="O31" s="129" t="s">
        <v>170</v>
      </c>
      <c r="P31" s="130">
        <v>12</v>
      </c>
      <c r="Q31" s="118" t="str">
        <f t="shared" si="6"/>
        <v>Manchester United</v>
      </c>
      <c r="R31" s="119" t="s">
        <v>170</v>
      </c>
      <c r="S31" s="120" t="str">
        <f t="shared" si="7"/>
        <v>Paris St. Germain</v>
      </c>
      <c r="T31" s="131">
        <v>45973</v>
      </c>
      <c r="U31" s="132">
        <v>0.875</v>
      </c>
      <c r="V31" s="87"/>
    </row>
    <row r="32" spans="1:22" ht="17.25" x14ac:dyDescent="0.25">
      <c r="A32" s="87"/>
      <c r="B32" s="100"/>
      <c r="C32" s="497"/>
      <c r="D32" s="498"/>
      <c r="E32" s="499"/>
      <c r="F32" s="100">
        <f t="shared" si="1"/>
        <v>0</v>
      </c>
      <c r="G32" s="100" t="str">
        <f t="shared" si="2"/>
        <v>0207</v>
      </c>
      <c r="H32" s="100" t="str">
        <f t="shared" si="3"/>
        <v>0702</v>
      </c>
      <c r="I32" s="100">
        <f>IF($G32="",0,COUNTIF($G$7:$G32,$H32))</f>
        <v>0</v>
      </c>
      <c r="J32" s="100"/>
      <c r="K32" s="112" t="s">
        <v>154</v>
      </c>
      <c r="L32" s="126"/>
      <c r="M32" s="127">
        <v>26</v>
      </c>
      <c r="N32" s="128">
        <v>2</v>
      </c>
      <c r="O32" s="129" t="s">
        <v>170</v>
      </c>
      <c r="P32" s="130">
        <v>7</v>
      </c>
      <c r="Q32" s="118" t="str">
        <f t="shared" si="6"/>
        <v>Atletico Madrid</v>
      </c>
      <c r="R32" s="119" t="s">
        <v>170</v>
      </c>
      <c r="S32" s="120" t="str">
        <f t="shared" si="7"/>
        <v>Juventus FC</v>
      </c>
      <c r="T32" s="131">
        <v>45973</v>
      </c>
      <c r="U32" s="132">
        <v>0.875</v>
      </c>
      <c r="V32" s="87"/>
    </row>
    <row r="33" spans="1:22" ht="18" thickBot="1" x14ac:dyDescent="0.3">
      <c r="A33" s="87"/>
      <c r="B33" s="100"/>
      <c r="C33" s="497"/>
      <c r="D33" s="498"/>
      <c r="E33" s="499"/>
      <c r="F33" s="100">
        <f t="shared" si="1"/>
        <v>0</v>
      </c>
      <c r="G33" s="100" t="str">
        <f t="shared" si="2"/>
        <v>0516</v>
      </c>
      <c r="H33" s="100" t="str">
        <f t="shared" si="3"/>
        <v>1605</v>
      </c>
      <c r="I33" s="100">
        <f>IF($G33="",0,COUNTIF($G$7:$G33,$H33))</f>
        <v>0</v>
      </c>
      <c r="J33" s="100"/>
      <c r="K33" s="112" t="s">
        <v>154</v>
      </c>
      <c r="L33" s="126"/>
      <c r="M33" s="127">
        <v>27</v>
      </c>
      <c r="N33" s="128">
        <v>5</v>
      </c>
      <c r="O33" s="129" t="s">
        <v>170</v>
      </c>
      <c r="P33" s="130">
        <v>16</v>
      </c>
      <c r="Q33" s="118" t="str">
        <f t="shared" si="6"/>
        <v>SL Benfica</v>
      </c>
      <c r="R33" s="119" t="s">
        <v>170</v>
      </c>
      <c r="S33" s="120" t="str">
        <f t="shared" si="7"/>
        <v>FC Twente</v>
      </c>
      <c r="T33" s="131">
        <v>45973</v>
      </c>
      <c r="U33" s="132">
        <v>0.875</v>
      </c>
      <c r="V33" s="87"/>
    </row>
    <row r="34" spans="1:22" ht="17.25" x14ac:dyDescent="0.25">
      <c r="A34" s="87"/>
      <c r="B34" s="100"/>
      <c r="C34" s="497"/>
      <c r="D34" s="498"/>
      <c r="E34" s="499"/>
      <c r="F34" s="100">
        <f t="shared" si="1"/>
        <v>0</v>
      </c>
      <c r="G34" s="100" t="str">
        <f t="shared" si="2"/>
        <v>1808</v>
      </c>
      <c r="H34" s="100" t="str">
        <f t="shared" si="3"/>
        <v>0818</v>
      </c>
      <c r="I34" s="100">
        <f>IF($G34="",0,COUNTIF($G$7:$G34,$H34))</f>
        <v>0</v>
      </c>
      <c r="J34" s="100"/>
      <c r="K34" s="112" t="s">
        <v>154</v>
      </c>
      <c r="L34" s="133">
        <v>4</v>
      </c>
      <c r="M34" s="134">
        <v>28</v>
      </c>
      <c r="N34" s="135">
        <v>18</v>
      </c>
      <c r="O34" s="136" t="s">
        <v>170</v>
      </c>
      <c r="P34" s="137">
        <v>8</v>
      </c>
      <c r="Q34" s="138" t="str">
        <f t="shared" si="6"/>
        <v>VfL Wolfsburg</v>
      </c>
      <c r="R34" s="139" t="s">
        <v>170</v>
      </c>
      <c r="S34" s="140" t="str">
        <f t="shared" si="7"/>
        <v>Manchester United</v>
      </c>
      <c r="T34" s="141">
        <v>45980</v>
      </c>
      <c r="U34" s="142">
        <v>0.78125</v>
      </c>
      <c r="V34" s="87"/>
    </row>
    <row r="35" spans="1:22" ht="17.25" x14ac:dyDescent="0.25">
      <c r="A35" s="87"/>
      <c r="B35" s="100"/>
      <c r="C35" s="497"/>
      <c r="D35" s="498"/>
      <c r="E35" s="499"/>
      <c r="F35" s="100">
        <f t="shared" si="1"/>
        <v>0</v>
      </c>
      <c r="G35" s="100" t="str">
        <f t="shared" si="2"/>
        <v>0710</v>
      </c>
      <c r="H35" s="100" t="str">
        <f t="shared" si="3"/>
        <v>1007</v>
      </c>
      <c r="I35" s="100">
        <f>IF($G35="",0,COUNTIF($G$7:$G35,$H35))</f>
        <v>0</v>
      </c>
      <c r="J35" s="100"/>
      <c r="K35" s="112" t="s">
        <v>154</v>
      </c>
      <c r="L35" s="126"/>
      <c r="M35" s="127">
        <v>29</v>
      </c>
      <c r="N35" s="128">
        <v>7</v>
      </c>
      <c r="O35" s="129" t="s">
        <v>170</v>
      </c>
      <c r="P35" s="130">
        <v>10</v>
      </c>
      <c r="Q35" s="118" t="str">
        <f t="shared" si="6"/>
        <v>Juventus FC</v>
      </c>
      <c r="R35" s="119" t="s">
        <v>170</v>
      </c>
      <c r="S35" s="120" t="str">
        <f t="shared" si="7"/>
        <v>OL Lyonnes</v>
      </c>
      <c r="T35" s="131">
        <v>45980</v>
      </c>
      <c r="U35" s="132">
        <v>0.78125</v>
      </c>
      <c r="V35" s="87"/>
    </row>
    <row r="36" spans="1:22" ht="17.25" x14ac:dyDescent="0.25">
      <c r="A36" s="87"/>
      <c r="B36" s="100"/>
      <c r="C36" s="497"/>
      <c r="D36" s="498"/>
      <c r="E36" s="499"/>
      <c r="F36" s="100">
        <f t="shared" si="1"/>
        <v>0</v>
      </c>
      <c r="G36" s="100" t="str">
        <f t="shared" si="2"/>
        <v>0113</v>
      </c>
      <c r="H36" s="100" t="str">
        <f t="shared" si="3"/>
        <v>1301</v>
      </c>
      <c r="I36" s="100">
        <f>IF($G36="",0,COUNTIF($G$7:$G36,$H36))</f>
        <v>0</v>
      </c>
      <c r="J36" s="100"/>
      <c r="K36" s="112" t="s">
        <v>154</v>
      </c>
      <c r="L36" s="126"/>
      <c r="M36" s="127">
        <v>30</v>
      </c>
      <c r="N36" s="128">
        <v>1</v>
      </c>
      <c r="O36" s="129" t="s">
        <v>170</v>
      </c>
      <c r="P36" s="130">
        <v>13</v>
      </c>
      <c r="Q36" s="118" t="str">
        <f t="shared" si="6"/>
        <v>Arsenal WFC</v>
      </c>
      <c r="R36" s="119" t="s">
        <v>170</v>
      </c>
      <c r="S36" s="120" t="str">
        <f t="shared" si="7"/>
        <v>Real Madrid</v>
      </c>
      <c r="T36" s="131">
        <v>45980</v>
      </c>
      <c r="U36" s="132">
        <v>0.875</v>
      </c>
      <c r="V36" s="87"/>
    </row>
    <row r="37" spans="1:22" ht="17.25" x14ac:dyDescent="0.25">
      <c r="A37" s="87"/>
      <c r="B37" s="100"/>
      <c r="C37" s="497"/>
      <c r="D37" s="498"/>
      <c r="E37" s="499"/>
      <c r="F37" s="100">
        <f t="shared" si="1"/>
        <v>0</v>
      </c>
      <c r="G37" s="100" t="str">
        <f t="shared" si="2"/>
        <v>1105</v>
      </c>
      <c r="H37" s="100" t="str">
        <f t="shared" si="3"/>
        <v>0511</v>
      </c>
      <c r="I37" s="100">
        <f>IF($G37="",0,COUNTIF($G$7:$G37,$H37))</f>
        <v>0</v>
      </c>
      <c r="J37" s="100"/>
      <c r="K37" s="112" t="s">
        <v>154</v>
      </c>
      <c r="L37" s="126"/>
      <c r="M37" s="127">
        <v>31</v>
      </c>
      <c r="N37" s="128">
        <v>11</v>
      </c>
      <c r="O37" s="129" t="s">
        <v>170</v>
      </c>
      <c r="P37" s="130">
        <v>5</v>
      </c>
      <c r="Q37" s="118" t="str">
        <f t="shared" si="6"/>
        <v>Paris FC</v>
      </c>
      <c r="R37" s="119" t="s">
        <v>170</v>
      </c>
      <c r="S37" s="120" t="str">
        <f t="shared" si="7"/>
        <v>SL Benfica</v>
      </c>
      <c r="T37" s="131">
        <v>45980</v>
      </c>
      <c r="U37" s="132">
        <v>0.875</v>
      </c>
      <c r="V37" s="87"/>
    </row>
    <row r="38" spans="1:22" ht="17.25" x14ac:dyDescent="0.25">
      <c r="A38" s="87"/>
      <c r="B38" s="100"/>
      <c r="C38" s="497"/>
      <c r="D38" s="498"/>
      <c r="E38" s="499"/>
      <c r="F38" s="100">
        <f t="shared" si="1"/>
        <v>0</v>
      </c>
      <c r="G38" s="100" t="str">
        <f t="shared" si="2"/>
        <v>1715</v>
      </c>
      <c r="H38" s="100" t="str">
        <f t="shared" si="3"/>
        <v>1517</v>
      </c>
      <c r="I38" s="100">
        <f>IF($G38="",0,COUNTIF($G$7:$G38,$H38))</f>
        <v>0</v>
      </c>
      <c r="J38" s="100"/>
      <c r="K38" s="112" t="s">
        <v>154</v>
      </c>
      <c r="L38" s="126"/>
      <c r="M38" s="127">
        <v>32</v>
      </c>
      <c r="N38" s="128">
        <v>17</v>
      </c>
      <c r="O38" s="129" t="s">
        <v>170</v>
      </c>
      <c r="P38" s="130">
        <v>15</v>
      </c>
      <c r="Q38" s="118" t="str">
        <f t="shared" si="6"/>
        <v>Valerenga IF</v>
      </c>
      <c r="R38" s="119" t="s">
        <v>170</v>
      </c>
      <c r="S38" s="120" t="str">
        <f t="shared" si="7"/>
        <v>SKN St. Pölten</v>
      </c>
      <c r="T38" s="131">
        <v>45980</v>
      </c>
      <c r="U38" s="132">
        <v>0.875</v>
      </c>
      <c r="V38" s="87"/>
    </row>
    <row r="39" spans="1:22" ht="17.25" x14ac:dyDescent="0.25">
      <c r="A39" s="87"/>
      <c r="B39" s="143"/>
      <c r="C39" s="497"/>
      <c r="D39" s="498"/>
      <c r="E39" s="499"/>
      <c r="F39" s="100">
        <f t="shared" si="1"/>
        <v>0</v>
      </c>
      <c r="G39" s="100" t="str">
        <f t="shared" si="2"/>
        <v>1602</v>
      </c>
      <c r="H39" s="100" t="str">
        <f t="shared" si="3"/>
        <v>0216</v>
      </c>
      <c r="I39" s="100">
        <f>IF($G39="",0,COUNTIF($G$7:$G39,$H39))</f>
        <v>0</v>
      </c>
      <c r="J39" s="100"/>
      <c r="K39" s="112" t="s">
        <v>154</v>
      </c>
      <c r="L39" s="126"/>
      <c r="M39" s="127">
        <v>33</v>
      </c>
      <c r="N39" s="128">
        <v>16</v>
      </c>
      <c r="O39" s="129" t="s">
        <v>170</v>
      </c>
      <c r="P39" s="130">
        <v>2</v>
      </c>
      <c r="Q39" s="118" t="str">
        <f t="shared" si="6"/>
        <v>FC Twente</v>
      </c>
      <c r="R39" s="119" t="s">
        <v>170</v>
      </c>
      <c r="S39" s="120" t="str">
        <f t="shared" si="7"/>
        <v>Atletico Madrid</v>
      </c>
      <c r="T39" s="131">
        <v>45981</v>
      </c>
      <c r="U39" s="132">
        <v>0.78125</v>
      </c>
      <c r="V39" s="87"/>
    </row>
    <row r="40" spans="1:22" ht="17.25" x14ac:dyDescent="0.25">
      <c r="A40" s="87"/>
      <c r="B40" s="143"/>
      <c r="C40" s="497"/>
      <c r="D40" s="498"/>
      <c r="E40" s="499"/>
      <c r="F40" s="100">
        <f t="shared" si="1"/>
        <v>0</v>
      </c>
      <c r="G40" s="100" t="str">
        <f t="shared" si="2"/>
        <v>1204</v>
      </c>
      <c r="H40" s="100" t="str">
        <f t="shared" si="3"/>
        <v>0412</v>
      </c>
      <c r="I40" s="100">
        <f>IF($G40="",0,COUNTIF($G$7:$G40,$H40))</f>
        <v>0</v>
      </c>
      <c r="J40" s="100"/>
      <c r="K40" s="112" t="s">
        <v>154</v>
      </c>
      <c r="L40" s="126"/>
      <c r="M40" s="127">
        <v>34</v>
      </c>
      <c r="N40" s="128">
        <v>12</v>
      </c>
      <c r="O40" s="129" t="s">
        <v>170</v>
      </c>
      <c r="P40" s="130">
        <v>4</v>
      </c>
      <c r="Q40" s="118" t="str">
        <f t="shared" si="6"/>
        <v>Paris St. Germain</v>
      </c>
      <c r="R40" s="119" t="s">
        <v>170</v>
      </c>
      <c r="S40" s="120" t="str">
        <f t="shared" si="7"/>
        <v>FC Bayern München</v>
      </c>
      <c r="T40" s="131">
        <v>45981</v>
      </c>
      <c r="U40" s="132">
        <v>0.875</v>
      </c>
      <c r="V40" s="87"/>
    </row>
    <row r="41" spans="1:22" ht="17.25" x14ac:dyDescent="0.25">
      <c r="A41" s="87"/>
      <c r="B41" s="143"/>
      <c r="C41" s="497"/>
      <c r="D41" s="498"/>
      <c r="E41" s="499"/>
      <c r="F41" s="100">
        <f t="shared" si="1"/>
        <v>0</v>
      </c>
      <c r="G41" s="100" t="str">
        <f t="shared" si="2"/>
        <v>0603</v>
      </c>
      <c r="H41" s="100" t="str">
        <f t="shared" si="3"/>
        <v>0306</v>
      </c>
      <c r="I41" s="100">
        <f>IF($G41="",0,COUNTIF($G$7:$G41,$H41))</f>
        <v>0</v>
      </c>
      <c r="J41" s="100"/>
      <c r="K41" s="112" t="s">
        <v>154</v>
      </c>
      <c r="L41" s="126"/>
      <c r="M41" s="127">
        <v>35</v>
      </c>
      <c r="N41" s="128">
        <v>6</v>
      </c>
      <c r="O41" s="129" t="s">
        <v>170</v>
      </c>
      <c r="P41" s="130">
        <v>3</v>
      </c>
      <c r="Q41" s="118" t="str">
        <f t="shared" si="6"/>
        <v>Chelsea FC</v>
      </c>
      <c r="R41" s="119" t="s">
        <v>170</v>
      </c>
      <c r="S41" s="120" t="str">
        <f t="shared" si="7"/>
        <v>FC Barcelona</v>
      </c>
      <c r="T41" s="131">
        <v>45981</v>
      </c>
      <c r="U41" s="132">
        <v>0.875</v>
      </c>
      <c r="V41" s="87"/>
    </row>
    <row r="42" spans="1:22" ht="18" thickBot="1" x14ac:dyDescent="0.3">
      <c r="A42" s="87"/>
      <c r="B42" s="143"/>
      <c r="C42" s="497"/>
      <c r="D42" s="498"/>
      <c r="E42" s="499"/>
      <c r="F42" s="100">
        <f t="shared" si="1"/>
        <v>0</v>
      </c>
      <c r="G42" s="100" t="str">
        <f t="shared" si="2"/>
        <v>0914</v>
      </c>
      <c r="H42" s="100" t="str">
        <f t="shared" si="3"/>
        <v>1409</v>
      </c>
      <c r="I42" s="100">
        <f>IF($G42="",0,COUNTIF($G$7:$G42,$H42))</f>
        <v>0</v>
      </c>
      <c r="J42" s="100"/>
      <c r="K42" s="112" t="s">
        <v>154</v>
      </c>
      <c r="L42" s="126"/>
      <c r="M42" s="127">
        <v>36</v>
      </c>
      <c r="N42" s="128">
        <v>9</v>
      </c>
      <c r="O42" s="129" t="s">
        <v>170</v>
      </c>
      <c r="P42" s="130">
        <v>14</v>
      </c>
      <c r="Q42" s="118" t="str">
        <f t="shared" si="6"/>
        <v>Oud-Heverlee Leuven</v>
      </c>
      <c r="R42" s="119" t="s">
        <v>170</v>
      </c>
      <c r="S42" s="120" t="str">
        <f t="shared" si="7"/>
        <v>AS Rom</v>
      </c>
      <c r="T42" s="131">
        <v>45981</v>
      </c>
      <c r="U42" s="132">
        <v>0.875</v>
      </c>
      <c r="V42" s="87"/>
    </row>
    <row r="43" spans="1:22" ht="17.25" x14ac:dyDescent="0.25">
      <c r="A43" s="87"/>
      <c r="B43" s="87"/>
      <c r="C43" s="87"/>
      <c r="D43" s="87"/>
      <c r="E43" s="87"/>
      <c r="F43" s="100">
        <f t="shared" si="1"/>
        <v>0</v>
      </c>
      <c r="G43" s="100" t="str">
        <f t="shared" si="2"/>
        <v>1507</v>
      </c>
      <c r="H43" s="100" t="str">
        <f t="shared" si="3"/>
        <v>0715</v>
      </c>
      <c r="I43" s="100">
        <f>IF($G43="",0,COUNTIF($G$7:$G43,$H43))</f>
        <v>0</v>
      </c>
      <c r="J43" s="100"/>
      <c r="K43" s="112" t="s">
        <v>154</v>
      </c>
      <c r="L43" s="133">
        <v>5</v>
      </c>
      <c r="M43" s="134">
        <v>37</v>
      </c>
      <c r="N43" s="135">
        <v>15</v>
      </c>
      <c r="O43" s="136" t="s">
        <v>170</v>
      </c>
      <c r="P43" s="137">
        <v>7</v>
      </c>
      <c r="Q43" s="138" t="str">
        <f t="shared" ref="Q43:Q60" si="8">IF(ISBLANK($N43),"",IF(ISBLANK(VLOOKUP($N43,$C$7:$D$42,2,0)),"",VLOOKUP($N43,$C$7:$D$42,2,0)))</f>
        <v>SKN St. Pölten</v>
      </c>
      <c r="R43" s="139" t="s">
        <v>170</v>
      </c>
      <c r="S43" s="140" t="str">
        <f t="shared" ref="S43:S60" si="9">IF(ISBLANK($P43),"",IF(ISBLANK(VLOOKUP($P43,$C$7:$D$42,2,0)),"",VLOOKUP($P43,$C$7:$D$42,2,0)))</f>
        <v>Juventus FC</v>
      </c>
      <c r="T43" s="141">
        <v>46000</v>
      </c>
      <c r="U43" s="142">
        <v>0.78125</v>
      </c>
      <c r="V43" s="87"/>
    </row>
    <row r="44" spans="1:22" ht="17.25" x14ac:dyDescent="0.25">
      <c r="A44" s="87"/>
      <c r="B44" s="87"/>
      <c r="C44" s="87"/>
      <c r="D44" s="87"/>
      <c r="E44" s="87"/>
      <c r="F44" s="100">
        <f t="shared" si="1"/>
        <v>0</v>
      </c>
      <c r="G44" s="100" t="str">
        <f t="shared" si="2"/>
        <v>0116</v>
      </c>
      <c r="H44" s="100" t="str">
        <f t="shared" si="3"/>
        <v>1601</v>
      </c>
      <c r="I44" s="100">
        <f>IF($G44="",0,COUNTIF($G$7:$G44,$H44))</f>
        <v>0</v>
      </c>
      <c r="J44" s="100"/>
      <c r="K44" s="112" t="s">
        <v>154</v>
      </c>
      <c r="L44" s="126"/>
      <c r="M44" s="127">
        <v>38</v>
      </c>
      <c r="N44" s="128">
        <v>1</v>
      </c>
      <c r="O44" s="129" t="s">
        <v>170</v>
      </c>
      <c r="P44" s="130">
        <v>16</v>
      </c>
      <c r="Q44" s="118" t="str">
        <f t="shared" si="8"/>
        <v>Arsenal WFC</v>
      </c>
      <c r="R44" s="119" t="s">
        <v>170</v>
      </c>
      <c r="S44" s="120" t="str">
        <f t="shared" si="9"/>
        <v>FC Twente</v>
      </c>
      <c r="T44" s="131">
        <v>46000</v>
      </c>
      <c r="U44" s="132">
        <v>0.875</v>
      </c>
      <c r="V44" s="87"/>
    </row>
    <row r="45" spans="1:22" ht="17.25" x14ac:dyDescent="0.25">
      <c r="A45" s="87"/>
      <c r="B45" s="87"/>
      <c r="C45" s="87"/>
      <c r="D45" s="87"/>
      <c r="E45" s="87"/>
      <c r="F45" s="100">
        <f t="shared" si="1"/>
        <v>0</v>
      </c>
      <c r="G45" s="100" t="str">
        <f t="shared" si="2"/>
        <v>1318</v>
      </c>
      <c r="H45" s="100" t="str">
        <f t="shared" si="3"/>
        <v>1813</v>
      </c>
      <c r="I45" s="100">
        <f>IF($G45="",0,COUNTIF($G$7:$G45,$H45))</f>
        <v>0</v>
      </c>
      <c r="J45" s="100"/>
      <c r="K45" s="112" t="s">
        <v>154</v>
      </c>
      <c r="L45" s="126"/>
      <c r="M45" s="127">
        <v>39</v>
      </c>
      <c r="N45" s="128">
        <v>13</v>
      </c>
      <c r="O45" s="129" t="s">
        <v>170</v>
      </c>
      <c r="P45" s="130">
        <v>18</v>
      </c>
      <c r="Q45" s="118" t="str">
        <f t="shared" si="8"/>
        <v>Real Madrid</v>
      </c>
      <c r="R45" s="119" t="s">
        <v>170</v>
      </c>
      <c r="S45" s="120" t="str">
        <f t="shared" si="9"/>
        <v>VfL Wolfsburg</v>
      </c>
      <c r="T45" s="131">
        <v>46000</v>
      </c>
      <c r="U45" s="132">
        <v>0.875</v>
      </c>
      <c r="V45" s="87"/>
    </row>
    <row r="46" spans="1:22" ht="17.25" x14ac:dyDescent="0.25">
      <c r="A46" s="87"/>
      <c r="B46" s="87"/>
      <c r="C46" s="87"/>
      <c r="D46" s="87"/>
      <c r="E46" s="87"/>
      <c r="F46" s="100">
        <f t="shared" si="1"/>
        <v>0</v>
      </c>
      <c r="G46" s="100" t="str">
        <f t="shared" si="2"/>
        <v>1209</v>
      </c>
      <c r="H46" s="100" t="str">
        <f t="shared" si="3"/>
        <v>0912</v>
      </c>
      <c r="I46" s="100">
        <f>IF($G46="",0,COUNTIF($G$7:$G46,$H46))</f>
        <v>0</v>
      </c>
      <c r="J46" s="100"/>
      <c r="K46" s="112" t="s">
        <v>154</v>
      </c>
      <c r="L46" s="126"/>
      <c r="M46" s="127">
        <v>40</v>
      </c>
      <c r="N46" s="128">
        <v>12</v>
      </c>
      <c r="O46" s="129" t="s">
        <v>170</v>
      </c>
      <c r="P46" s="130">
        <v>9</v>
      </c>
      <c r="Q46" s="118" t="str">
        <f t="shared" si="8"/>
        <v>Paris St. Germain</v>
      </c>
      <c r="R46" s="119" t="s">
        <v>170</v>
      </c>
      <c r="S46" s="120" t="str">
        <f t="shared" si="9"/>
        <v>Oud-Heverlee Leuven</v>
      </c>
      <c r="T46" s="131">
        <v>46000</v>
      </c>
      <c r="U46" s="132">
        <v>0.875</v>
      </c>
      <c r="V46" s="87"/>
    </row>
    <row r="47" spans="1:22" ht="17.25" x14ac:dyDescent="0.25">
      <c r="A47" s="87"/>
      <c r="B47" s="87"/>
      <c r="C47" s="87"/>
      <c r="D47" s="87"/>
      <c r="E47" s="87"/>
      <c r="F47" s="100">
        <f t="shared" si="1"/>
        <v>0</v>
      </c>
      <c r="G47" s="100" t="str">
        <f t="shared" si="2"/>
        <v>0305</v>
      </c>
      <c r="H47" s="100" t="str">
        <f t="shared" si="3"/>
        <v>0503</v>
      </c>
      <c r="I47" s="100">
        <f>IF($G47="",0,COUNTIF($G$7:$G47,$H47))</f>
        <v>0</v>
      </c>
      <c r="J47" s="100"/>
      <c r="K47" s="112" t="s">
        <v>154</v>
      </c>
      <c r="L47" s="126"/>
      <c r="M47" s="127">
        <v>41</v>
      </c>
      <c r="N47" s="128">
        <v>3</v>
      </c>
      <c r="O47" s="129" t="s">
        <v>170</v>
      </c>
      <c r="P47" s="130">
        <v>5</v>
      </c>
      <c r="Q47" s="118" t="str">
        <f t="shared" si="8"/>
        <v>FC Barcelona</v>
      </c>
      <c r="R47" s="119" t="s">
        <v>170</v>
      </c>
      <c r="S47" s="120" t="str">
        <f t="shared" si="9"/>
        <v>SL Benfica</v>
      </c>
      <c r="T47" s="131">
        <v>46001</v>
      </c>
      <c r="U47" s="132">
        <v>0.78125</v>
      </c>
      <c r="V47" s="87"/>
    </row>
    <row r="48" spans="1:22" ht="17.25" x14ac:dyDescent="0.25">
      <c r="A48" s="87"/>
      <c r="B48" s="87"/>
      <c r="C48" s="87"/>
      <c r="D48" s="87"/>
      <c r="E48" s="87"/>
      <c r="F48" s="100">
        <f t="shared" si="1"/>
        <v>0</v>
      </c>
      <c r="G48" s="100" t="str">
        <f t="shared" si="2"/>
        <v>1711</v>
      </c>
      <c r="H48" s="100" t="str">
        <f t="shared" si="3"/>
        <v>1117</v>
      </c>
      <c r="I48" s="100">
        <f>IF($G48="",0,COUNTIF($G$7:$G48,$H48))</f>
        <v>0</v>
      </c>
      <c r="J48" s="100"/>
      <c r="K48" s="112" t="s">
        <v>154</v>
      </c>
      <c r="L48" s="126"/>
      <c r="M48" s="127">
        <v>42</v>
      </c>
      <c r="N48" s="128">
        <v>17</v>
      </c>
      <c r="O48" s="129" t="s">
        <v>170</v>
      </c>
      <c r="P48" s="130">
        <v>11</v>
      </c>
      <c r="Q48" s="118" t="str">
        <f t="shared" si="8"/>
        <v>Valerenga IF</v>
      </c>
      <c r="R48" s="119" t="s">
        <v>170</v>
      </c>
      <c r="S48" s="120" t="str">
        <f t="shared" si="9"/>
        <v>Paris FC</v>
      </c>
      <c r="T48" s="131">
        <v>46001</v>
      </c>
      <c r="U48" s="132">
        <v>0.78125</v>
      </c>
      <c r="V48" s="87"/>
    </row>
    <row r="49" spans="1:22" ht="17.25" x14ac:dyDescent="0.25">
      <c r="A49" s="87"/>
      <c r="B49" s="87"/>
      <c r="C49" s="87"/>
      <c r="D49" s="87"/>
      <c r="E49" s="87"/>
      <c r="F49" s="100">
        <f t="shared" si="1"/>
        <v>0</v>
      </c>
      <c r="G49" s="100" t="str">
        <f t="shared" si="2"/>
        <v>0204</v>
      </c>
      <c r="H49" s="100" t="str">
        <f t="shared" si="3"/>
        <v>0402</v>
      </c>
      <c r="I49" s="100">
        <f>IF($G49="",0,COUNTIF($G$7:$G49,$H49))</f>
        <v>0</v>
      </c>
      <c r="J49" s="100"/>
      <c r="K49" s="112" t="s">
        <v>154</v>
      </c>
      <c r="L49" s="126"/>
      <c r="M49" s="127">
        <v>43</v>
      </c>
      <c r="N49" s="128">
        <v>2</v>
      </c>
      <c r="O49" s="129" t="s">
        <v>170</v>
      </c>
      <c r="P49" s="130">
        <v>4</v>
      </c>
      <c r="Q49" s="118" t="str">
        <f t="shared" si="8"/>
        <v>Atletico Madrid</v>
      </c>
      <c r="R49" s="119" t="s">
        <v>170</v>
      </c>
      <c r="S49" s="120" t="str">
        <f t="shared" si="9"/>
        <v>FC Bayern München</v>
      </c>
      <c r="T49" s="131">
        <v>46001</v>
      </c>
      <c r="U49" s="132">
        <v>0.875</v>
      </c>
      <c r="V49" s="87"/>
    </row>
    <row r="50" spans="1:22" ht="17.25" x14ac:dyDescent="0.25">
      <c r="A50" s="87"/>
      <c r="B50" s="87"/>
      <c r="C50" s="87"/>
      <c r="D50" s="87"/>
      <c r="E50" s="87"/>
      <c r="F50" s="100">
        <f t="shared" si="1"/>
        <v>0</v>
      </c>
      <c r="G50" s="100" t="str">
        <f t="shared" si="2"/>
        <v>0614</v>
      </c>
      <c r="H50" s="100" t="str">
        <f t="shared" si="3"/>
        <v>1406</v>
      </c>
      <c r="I50" s="100">
        <f>IF($G50="",0,COUNTIF($G$7:$G50,$H50))</f>
        <v>0</v>
      </c>
      <c r="J50" s="100"/>
      <c r="K50" s="112" t="s">
        <v>154</v>
      </c>
      <c r="L50" s="126"/>
      <c r="M50" s="127">
        <v>44</v>
      </c>
      <c r="N50" s="128">
        <v>6</v>
      </c>
      <c r="O50" s="129" t="s">
        <v>170</v>
      </c>
      <c r="P50" s="130">
        <v>14</v>
      </c>
      <c r="Q50" s="118" t="str">
        <f t="shared" si="8"/>
        <v>Chelsea FC</v>
      </c>
      <c r="R50" s="119" t="s">
        <v>170</v>
      </c>
      <c r="S50" s="120" t="str">
        <f t="shared" si="9"/>
        <v>AS Rom</v>
      </c>
      <c r="T50" s="131">
        <v>46001</v>
      </c>
      <c r="U50" s="132">
        <v>0.875</v>
      </c>
      <c r="V50" s="87"/>
    </row>
    <row r="51" spans="1:22" ht="18" thickBot="1" x14ac:dyDescent="0.3">
      <c r="A51" s="87"/>
      <c r="B51" s="87"/>
      <c r="C51" s="87"/>
      <c r="D51" s="87"/>
      <c r="E51" s="87"/>
      <c r="F51" s="100">
        <f t="shared" si="1"/>
        <v>0</v>
      </c>
      <c r="G51" s="100" t="str">
        <f t="shared" si="2"/>
        <v>0810</v>
      </c>
      <c r="H51" s="100" t="str">
        <f t="shared" si="3"/>
        <v>1008</v>
      </c>
      <c r="I51" s="100">
        <f>IF($G51="",0,COUNTIF($G$7:$G51,$H51))</f>
        <v>0</v>
      </c>
      <c r="J51" s="100"/>
      <c r="K51" s="112" t="s">
        <v>154</v>
      </c>
      <c r="L51" s="126"/>
      <c r="M51" s="127">
        <v>45</v>
      </c>
      <c r="N51" s="128">
        <v>8</v>
      </c>
      <c r="O51" s="129" t="s">
        <v>170</v>
      </c>
      <c r="P51" s="130">
        <v>10</v>
      </c>
      <c r="Q51" s="118" t="str">
        <f t="shared" si="8"/>
        <v>Manchester United</v>
      </c>
      <c r="R51" s="119" t="s">
        <v>170</v>
      </c>
      <c r="S51" s="120" t="str">
        <f t="shared" si="9"/>
        <v>OL Lyonnes</v>
      </c>
      <c r="T51" s="131">
        <v>46001</v>
      </c>
      <c r="U51" s="132">
        <v>0.875</v>
      </c>
      <c r="V51" s="87"/>
    </row>
    <row r="52" spans="1:22" ht="17.25" x14ac:dyDescent="0.25">
      <c r="A52" s="87"/>
      <c r="B52" s="87"/>
      <c r="C52" s="87"/>
      <c r="D52" s="87"/>
      <c r="E52" s="87"/>
      <c r="F52" s="100">
        <f t="shared" si="1"/>
        <v>0</v>
      </c>
      <c r="G52" s="100" t="str">
        <f t="shared" si="2"/>
        <v>0901</v>
      </c>
      <c r="H52" s="100" t="str">
        <f t="shared" si="3"/>
        <v>0109</v>
      </c>
      <c r="I52" s="100">
        <f>IF($G52="",0,COUNTIF($G$7:$G52,$H52))</f>
        <v>0</v>
      </c>
      <c r="J52" s="100"/>
      <c r="K52" s="112" t="s">
        <v>154</v>
      </c>
      <c r="L52" s="133">
        <v>6</v>
      </c>
      <c r="M52" s="134">
        <v>46</v>
      </c>
      <c r="N52" s="135">
        <v>9</v>
      </c>
      <c r="O52" s="136" t="s">
        <v>170</v>
      </c>
      <c r="P52" s="137">
        <v>1</v>
      </c>
      <c r="Q52" s="138" t="str">
        <f t="shared" si="8"/>
        <v>Oud-Heverlee Leuven</v>
      </c>
      <c r="R52" s="139" t="s">
        <v>170</v>
      </c>
      <c r="S52" s="140" t="str">
        <f t="shared" si="9"/>
        <v>Arsenal WFC</v>
      </c>
      <c r="T52" s="141">
        <v>46008</v>
      </c>
      <c r="U52" s="142">
        <v>0.875</v>
      </c>
      <c r="V52" s="87"/>
    </row>
    <row r="53" spans="1:22" ht="17.25" x14ac:dyDescent="0.25">
      <c r="A53" s="87"/>
      <c r="B53" s="87"/>
      <c r="C53" s="87"/>
      <c r="D53" s="87"/>
      <c r="E53" s="87"/>
      <c r="F53" s="100">
        <f t="shared" si="1"/>
        <v>0</v>
      </c>
      <c r="G53" s="100" t="str">
        <f t="shared" si="2"/>
        <v>1806</v>
      </c>
      <c r="H53" s="100" t="str">
        <f t="shared" si="3"/>
        <v>0618</v>
      </c>
      <c r="I53" s="100">
        <f>IF($G53="",0,COUNTIF($G$7:$G53,$H53))</f>
        <v>0</v>
      </c>
      <c r="J53" s="100"/>
      <c r="K53" s="112" t="s">
        <v>154</v>
      </c>
      <c r="L53" s="126"/>
      <c r="M53" s="127">
        <v>47</v>
      </c>
      <c r="N53" s="128">
        <v>18</v>
      </c>
      <c r="O53" s="129" t="s">
        <v>170</v>
      </c>
      <c r="P53" s="130">
        <v>6</v>
      </c>
      <c r="Q53" s="118" t="str">
        <f t="shared" si="8"/>
        <v>VfL Wolfsburg</v>
      </c>
      <c r="R53" s="119" t="s">
        <v>170</v>
      </c>
      <c r="S53" s="120" t="str">
        <f t="shared" si="9"/>
        <v>Chelsea FC</v>
      </c>
      <c r="T53" s="131">
        <v>46008</v>
      </c>
      <c r="U53" s="132">
        <v>0.875</v>
      </c>
      <c r="V53" s="87"/>
    </row>
    <row r="54" spans="1:22" ht="17.25" x14ac:dyDescent="0.25">
      <c r="A54" s="87"/>
      <c r="B54" s="87"/>
      <c r="C54" s="87"/>
      <c r="D54" s="87"/>
      <c r="E54" s="87"/>
      <c r="F54" s="100">
        <f t="shared" si="1"/>
        <v>0</v>
      </c>
      <c r="G54" s="100" t="str">
        <f t="shared" si="2"/>
        <v>0417</v>
      </c>
      <c r="H54" s="100" t="str">
        <f t="shared" si="3"/>
        <v>1704</v>
      </c>
      <c r="I54" s="100">
        <f>IF($G54="",0,COUNTIF($G$7:$G54,$H54))</f>
        <v>0</v>
      </c>
      <c r="J54" s="100"/>
      <c r="K54" s="112" t="s">
        <v>154</v>
      </c>
      <c r="L54" s="126"/>
      <c r="M54" s="127">
        <v>48</v>
      </c>
      <c r="N54" s="128">
        <v>4</v>
      </c>
      <c r="O54" s="129" t="s">
        <v>170</v>
      </c>
      <c r="P54" s="130">
        <v>17</v>
      </c>
      <c r="Q54" s="118" t="str">
        <f t="shared" si="8"/>
        <v>FC Bayern München</v>
      </c>
      <c r="R54" s="119" t="s">
        <v>170</v>
      </c>
      <c r="S54" s="120" t="str">
        <f t="shared" si="9"/>
        <v>Valerenga IF</v>
      </c>
      <c r="T54" s="131">
        <v>46008</v>
      </c>
      <c r="U54" s="132">
        <v>0.875</v>
      </c>
      <c r="V54" s="87"/>
    </row>
    <row r="55" spans="1:22" ht="17.25" x14ac:dyDescent="0.25">
      <c r="A55" s="87"/>
      <c r="B55" s="87"/>
      <c r="C55" s="87"/>
      <c r="D55" s="87"/>
      <c r="E55" s="87"/>
      <c r="F55" s="100">
        <f t="shared" si="1"/>
        <v>0</v>
      </c>
      <c r="G55" s="100" t="str">
        <f t="shared" si="2"/>
        <v>1002</v>
      </c>
      <c r="H55" s="100" t="str">
        <f t="shared" si="3"/>
        <v>0210</v>
      </c>
      <c r="I55" s="100">
        <f>IF($G55="",0,COUNTIF($G$7:$G55,$H55))</f>
        <v>0</v>
      </c>
      <c r="J55" s="100"/>
      <c r="K55" s="112" t="s">
        <v>154</v>
      </c>
      <c r="L55" s="126"/>
      <c r="M55" s="127">
        <v>49</v>
      </c>
      <c r="N55" s="128">
        <v>10</v>
      </c>
      <c r="O55" s="129" t="s">
        <v>170</v>
      </c>
      <c r="P55" s="130">
        <v>2</v>
      </c>
      <c r="Q55" s="118" t="str">
        <f t="shared" si="8"/>
        <v>OL Lyonnes</v>
      </c>
      <c r="R55" s="119" t="s">
        <v>170</v>
      </c>
      <c r="S55" s="120" t="str">
        <f t="shared" si="9"/>
        <v>Atletico Madrid</v>
      </c>
      <c r="T55" s="131">
        <v>46008</v>
      </c>
      <c r="U55" s="132">
        <v>0.875</v>
      </c>
      <c r="V55" s="87"/>
    </row>
    <row r="56" spans="1:22" ht="17.25" x14ac:dyDescent="0.25">
      <c r="A56" s="87"/>
      <c r="B56" s="87"/>
      <c r="C56" s="87"/>
      <c r="D56" s="87"/>
      <c r="E56" s="87"/>
      <c r="F56" s="100">
        <f t="shared" si="1"/>
        <v>0</v>
      </c>
      <c r="G56" s="100" t="str">
        <f t="shared" si="2"/>
        <v>1103</v>
      </c>
      <c r="H56" s="100" t="str">
        <f t="shared" si="3"/>
        <v>0311</v>
      </c>
      <c r="I56" s="100">
        <f>IF($G56="",0,COUNTIF($G$7:$G56,$H56))</f>
        <v>0</v>
      </c>
      <c r="J56" s="100"/>
      <c r="K56" s="112" t="s">
        <v>154</v>
      </c>
      <c r="L56" s="126"/>
      <c r="M56" s="127">
        <v>50</v>
      </c>
      <c r="N56" s="128">
        <v>11</v>
      </c>
      <c r="O56" s="129" t="s">
        <v>170</v>
      </c>
      <c r="P56" s="130">
        <v>3</v>
      </c>
      <c r="Q56" s="118" t="str">
        <f t="shared" si="8"/>
        <v>Paris FC</v>
      </c>
      <c r="R56" s="119" t="s">
        <v>170</v>
      </c>
      <c r="S56" s="120" t="str">
        <f t="shared" si="9"/>
        <v>FC Barcelona</v>
      </c>
      <c r="T56" s="131">
        <v>46008</v>
      </c>
      <c r="U56" s="132">
        <v>0.875</v>
      </c>
      <c r="V56" s="87"/>
    </row>
    <row r="57" spans="1:22" ht="17.25" x14ac:dyDescent="0.25">
      <c r="A57" s="87"/>
      <c r="B57" s="87"/>
      <c r="C57" s="87"/>
      <c r="D57" s="87"/>
      <c r="E57" s="87"/>
      <c r="F57" s="100">
        <f t="shared" si="1"/>
        <v>0</v>
      </c>
      <c r="G57" s="100" t="str">
        <f t="shared" si="2"/>
        <v>0512</v>
      </c>
      <c r="H57" s="100" t="str">
        <f t="shared" si="3"/>
        <v>1205</v>
      </c>
      <c r="I57" s="100">
        <f>IF($G57="",0,COUNTIF($G$7:$G57,$H57))</f>
        <v>0</v>
      </c>
      <c r="J57" s="100"/>
      <c r="K57" s="112" t="s">
        <v>154</v>
      </c>
      <c r="L57" s="126"/>
      <c r="M57" s="127">
        <v>51</v>
      </c>
      <c r="N57" s="128">
        <v>5</v>
      </c>
      <c r="O57" s="129" t="s">
        <v>170</v>
      </c>
      <c r="P57" s="130">
        <v>12</v>
      </c>
      <c r="Q57" s="118" t="str">
        <f t="shared" si="8"/>
        <v>SL Benfica</v>
      </c>
      <c r="R57" s="119" t="s">
        <v>170</v>
      </c>
      <c r="S57" s="120" t="str">
        <f t="shared" si="9"/>
        <v>Paris St. Germain</v>
      </c>
      <c r="T57" s="131">
        <v>46008</v>
      </c>
      <c r="U57" s="132">
        <v>0.875</v>
      </c>
      <c r="V57" s="87"/>
    </row>
    <row r="58" spans="1:22" ht="17.25" x14ac:dyDescent="0.25">
      <c r="A58" s="87"/>
      <c r="B58" s="87"/>
      <c r="C58" s="87"/>
      <c r="D58" s="87"/>
      <c r="E58" s="87"/>
      <c r="F58" s="100">
        <f t="shared" si="1"/>
        <v>0</v>
      </c>
      <c r="G58" s="100" t="str">
        <f t="shared" si="2"/>
        <v>1613</v>
      </c>
      <c r="H58" s="100" t="str">
        <f t="shared" si="3"/>
        <v>1316</v>
      </c>
      <c r="I58" s="100">
        <f>IF($G58="",0,COUNTIF($G$7:$G58,$H58))</f>
        <v>0</v>
      </c>
      <c r="J58" s="100"/>
      <c r="K58" s="112" t="s">
        <v>154</v>
      </c>
      <c r="L58" s="126"/>
      <c r="M58" s="127">
        <v>52</v>
      </c>
      <c r="N58" s="128">
        <v>16</v>
      </c>
      <c r="O58" s="129" t="s">
        <v>170</v>
      </c>
      <c r="P58" s="130">
        <v>13</v>
      </c>
      <c r="Q58" s="118" t="str">
        <f t="shared" si="8"/>
        <v>FC Twente</v>
      </c>
      <c r="R58" s="119" t="s">
        <v>170</v>
      </c>
      <c r="S58" s="120" t="str">
        <f t="shared" si="9"/>
        <v>Real Madrid</v>
      </c>
      <c r="T58" s="131">
        <v>46008</v>
      </c>
      <c r="U58" s="132">
        <v>0.875</v>
      </c>
      <c r="V58" s="87"/>
    </row>
    <row r="59" spans="1:22" ht="17.25" x14ac:dyDescent="0.25">
      <c r="A59" s="87"/>
      <c r="B59" s="87"/>
      <c r="C59" s="87"/>
      <c r="D59" s="87"/>
      <c r="E59" s="87"/>
      <c r="F59" s="100">
        <f t="shared" si="1"/>
        <v>0</v>
      </c>
      <c r="G59" s="100" t="str">
        <f t="shared" si="2"/>
        <v>0708</v>
      </c>
      <c r="H59" s="100" t="str">
        <f t="shared" si="3"/>
        <v>0807</v>
      </c>
      <c r="I59" s="100">
        <f>IF($G59="",0,COUNTIF($G$7:$G59,$H59))</f>
        <v>0</v>
      </c>
      <c r="J59" s="100"/>
      <c r="K59" s="112" t="s">
        <v>154</v>
      </c>
      <c r="L59" s="126"/>
      <c r="M59" s="127">
        <v>53</v>
      </c>
      <c r="N59" s="128">
        <v>7</v>
      </c>
      <c r="O59" s="129" t="s">
        <v>170</v>
      </c>
      <c r="P59" s="130">
        <v>8</v>
      </c>
      <c r="Q59" s="118" t="str">
        <f t="shared" si="8"/>
        <v>Juventus FC</v>
      </c>
      <c r="R59" s="119" t="s">
        <v>170</v>
      </c>
      <c r="S59" s="120" t="str">
        <f t="shared" si="9"/>
        <v>Manchester United</v>
      </c>
      <c r="T59" s="131">
        <v>46008</v>
      </c>
      <c r="U59" s="132">
        <v>0.875</v>
      </c>
      <c r="V59" s="87"/>
    </row>
    <row r="60" spans="1:22" ht="17.25" x14ac:dyDescent="0.25">
      <c r="A60" s="87"/>
      <c r="B60" s="87"/>
      <c r="C60" s="87"/>
      <c r="D60" s="87"/>
      <c r="E60" s="87"/>
      <c r="F60" s="100">
        <f t="shared" si="1"/>
        <v>0</v>
      </c>
      <c r="G60" s="100" t="str">
        <f t="shared" si="2"/>
        <v>1415</v>
      </c>
      <c r="H60" s="100" t="str">
        <f t="shared" si="3"/>
        <v>1514</v>
      </c>
      <c r="I60" s="100">
        <f>IF($G60="",0,COUNTIF($G$7:$G60,$H60))</f>
        <v>0</v>
      </c>
      <c r="J60" s="100"/>
      <c r="K60" s="112" t="s">
        <v>154</v>
      </c>
      <c r="L60" s="144"/>
      <c r="M60" s="145">
        <v>54</v>
      </c>
      <c r="N60" s="146">
        <v>14</v>
      </c>
      <c r="O60" s="147" t="s">
        <v>170</v>
      </c>
      <c r="P60" s="148">
        <v>15</v>
      </c>
      <c r="Q60" s="149" t="str">
        <f t="shared" si="8"/>
        <v>AS Rom</v>
      </c>
      <c r="R60" s="150" t="s">
        <v>170</v>
      </c>
      <c r="S60" s="203" t="str">
        <f t="shared" si="9"/>
        <v>SKN St. Pölten</v>
      </c>
      <c r="T60" s="151">
        <v>46008</v>
      </c>
      <c r="U60" s="152">
        <v>0.875</v>
      </c>
      <c r="V60" s="87"/>
    </row>
    <row r="61" spans="1:22" x14ac:dyDescent="0.25">
      <c r="A61" s="87"/>
      <c r="B61" s="87"/>
      <c r="C61" s="87"/>
      <c r="D61" s="87"/>
      <c r="E61" s="87"/>
      <c r="F61" s="100"/>
      <c r="G61" s="100"/>
      <c r="H61" s="100"/>
      <c r="I61" s="100"/>
      <c r="J61" s="100"/>
      <c r="K61" s="112" t="s">
        <v>154</v>
      </c>
      <c r="V61" s="87"/>
    </row>
    <row r="62" spans="1:22" hidden="1" x14ac:dyDescent="0.25">
      <c r="A62" s="87"/>
      <c r="B62" s="87"/>
      <c r="C62" s="87"/>
      <c r="D62" s="87"/>
      <c r="E62" s="87"/>
      <c r="F62" s="100"/>
      <c r="G62" s="100"/>
      <c r="H62" s="100"/>
      <c r="I62" s="100"/>
      <c r="J62" s="100"/>
      <c r="K62" s="112" t="s">
        <v>154</v>
      </c>
      <c r="V62" s="87"/>
    </row>
    <row r="63" spans="1:22" hidden="1" x14ac:dyDescent="0.25">
      <c r="A63" s="87"/>
      <c r="B63" s="87"/>
      <c r="C63" s="87"/>
      <c r="D63" s="87"/>
      <c r="E63" s="87"/>
      <c r="F63" s="100"/>
      <c r="G63" s="100"/>
      <c r="H63" s="100"/>
      <c r="I63" s="100"/>
      <c r="J63" s="100"/>
      <c r="K63" s="112" t="s">
        <v>154</v>
      </c>
      <c r="V63" s="87"/>
    </row>
    <row r="64" spans="1:22" hidden="1" x14ac:dyDescent="0.25">
      <c r="A64" s="87"/>
      <c r="B64" s="87"/>
      <c r="C64" s="87"/>
      <c r="D64" s="87"/>
      <c r="E64" s="87"/>
      <c r="F64" s="100"/>
      <c r="G64" s="100"/>
      <c r="H64" s="100"/>
      <c r="I64" s="100"/>
      <c r="J64" s="100"/>
      <c r="K64" s="112" t="s">
        <v>154</v>
      </c>
      <c r="V64" s="87"/>
    </row>
    <row r="65" spans="1:22" hidden="1" x14ac:dyDescent="0.25">
      <c r="A65" s="87"/>
      <c r="B65" s="87"/>
      <c r="C65" s="87"/>
      <c r="D65" s="87"/>
      <c r="E65" s="87"/>
      <c r="F65" s="100"/>
      <c r="G65" s="100"/>
      <c r="H65" s="100"/>
      <c r="I65" s="100"/>
      <c r="J65" s="100"/>
      <c r="K65" s="112" t="s">
        <v>154</v>
      </c>
      <c r="V65" s="87"/>
    </row>
    <row r="66" spans="1:22" hidden="1" x14ac:dyDescent="0.25">
      <c r="A66" s="87"/>
      <c r="B66" s="87"/>
      <c r="C66" s="87"/>
      <c r="D66" s="87"/>
      <c r="E66" s="87"/>
      <c r="F66" s="100"/>
      <c r="G66" s="100"/>
      <c r="H66" s="100"/>
      <c r="I66" s="100"/>
      <c r="J66" s="100"/>
      <c r="K66" s="112" t="s">
        <v>154</v>
      </c>
      <c r="V66" s="87"/>
    </row>
    <row r="67" spans="1:22" hidden="1" x14ac:dyDescent="0.25">
      <c r="A67" s="87"/>
      <c r="B67" s="87"/>
      <c r="C67" s="87"/>
      <c r="D67" s="87"/>
      <c r="E67" s="87"/>
      <c r="F67" s="100"/>
      <c r="G67" s="100"/>
      <c r="H67" s="100"/>
      <c r="I67" s="100"/>
      <c r="J67" s="100"/>
      <c r="K67" s="112" t="s">
        <v>154</v>
      </c>
      <c r="V67" s="87"/>
    </row>
    <row r="68" spans="1:22" hidden="1" x14ac:dyDescent="0.25">
      <c r="A68" s="87"/>
      <c r="B68" s="87"/>
      <c r="C68" s="87"/>
      <c r="D68" s="87"/>
      <c r="E68" s="87"/>
      <c r="F68" s="100"/>
      <c r="G68" s="100"/>
      <c r="H68" s="100"/>
      <c r="I68" s="100"/>
      <c r="J68" s="100"/>
      <c r="K68" s="112" t="s">
        <v>154</v>
      </c>
      <c r="V68" s="87"/>
    </row>
    <row r="69" spans="1:22" hidden="1" x14ac:dyDescent="0.25">
      <c r="A69" s="87"/>
      <c r="B69" s="87"/>
      <c r="C69" s="87"/>
      <c r="D69" s="87"/>
      <c r="E69" s="87"/>
      <c r="F69" s="100"/>
      <c r="G69" s="100"/>
      <c r="H69" s="100"/>
      <c r="I69" s="100"/>
      <c r="J69" s="100"/>
      <c r="K69" s="112" t="s">
        <v>154</v>
      </c>
      <c r="V69" s="87"/>
    </row>
    <row r="70" spans="1:22" hidden="1" x14ac:dyDescent="0.25">
      <c r="A70" s="87"/>
      <c r="B70" s="87"/>
      <c r="C70" s="87"/>
      <c r="D70" s="87"/>
      <c r="E70" s="87"/>
      <c r="F70" s="100"/>
      <c r="G70" s="100"/>
      <c r="H70" s="100"/>
      <c r="I70" s="100"/>
      <c r="J70" s="100"/>
      <c r="K70" s="112" t="s">
        <v>154</v>
      </c>
      <c r="V70" s="87"/>
    </row>
    <row r="71" spans="1:22" hidden="1" x14ac:dyDescent="0.25">
      <c r="A71" s="87"/>
      <c r="B71" s="87"/>
      <c r="C71" s="87"/>
      <c r="D71" s="87"/>
      <c r="E71" s="87"/>
      <c r="F71" s="100"/>
      <c r="G71" s="100"/>
      <c r="H71" s="100"/>
      <c r="I71" s="100"/>
      <c r="J71" s="100"/>
      <c r="K71" s="112" t="s">
        <v>154</v>
      </c>
      <c r="V71" s="87"/>
    </row>
    <row r="72" spans="1:22" hidden="1" x14ac:dyDescent="0.25">
      <c r="A72" s="87"/>
      <c r="B72" s="87"/>
      <c r="C72" s="87"/>
      <c r="D72" s="87"/>
      <c r="E72" s="87"/>
      <c r="F72" s="100"/>
      <c r="G72" s="100"/>
      <c r="H72" s="100"/>
      <c r="I72" s="100"/>
      <c r="J72" s="100"/>
      <c r="K72" s="112" t="s">
        <v>154</v>
      </c>
      <c r="V72" s="87"/>
    </row>
    <row r="73" spans="1:22" hidden="1" x14ac:dyDescent="0.25">
      <c r="A73" s="87"/>
      <c r="B73" s="87"/>
      <c r="C73" s="87"/>
      <c r="D73" s="87"/>
      <c r="E73" s="87"/>
      <c r="F73" s="100"/>
      <c r="G73" s="100"/>
      <c r="H73" s="100"/>
      <c r="I73" s="100"/>
      <c r="J73" s="100"/>
      <c r="K73" s="112" t="s">
        <v>154</v>
      </c>
      <c r="V73" s="87"/>
    </row>
    <row r="74" spans="1:22" hidden="1" x14ac:dyDescent="0.25">
      <c r="A74" s="87"/>
      <c r="B74" s="87"/>
      <c r="C74" s="87"/>
      <c r="D74" s="87"/>
      <c r="E74" s="87"/>
      <c r="F74" s="100"/>
      <c r="G74" s="100"/>
      <c r="H74" s="100"/>
      <c r="I74" s="100"/>
      <c r="J74" s="100"/>
      <c r="K74" s="112" t="s">
        <v>154</v>
      </c>
      <c r="V74" s="87"/>
    </row>
    <row r="75" spans="1:22" hidden="1" x14ac:dyDescent="0.25">
      <c r="A75" s="87"/>
      <c r="B75" s="87"/>
      <c r="C75" s="87"/>
      <c r="D75" s="87"/>
      <c r="E75" s="87"/>
      <c r="F75" s="100"/>
      <c r="G75" s="100"/>
      <c r="H75" s="100"/>
      <c r="I75" s="100"/>
      <c r="J75" s="100"/>
      <c r="K75" s="112" t="s">
        <v>154</v>
      </c>
      <c r="V75" s="87"/>
    </row>
    <row r="76" spans="1:22" hidden="1" x14ac:dyDescent="0.25">
      <c r="A76" s="87"/>
      <c r="B76" s="87"/>
      <c r="C76" s="87"/>
      <c r="D76" s="87"/>
      <c r="E76" s="87"/>
      <c r="F76" s="100"/>
      <c r="G76" s="100"/>
      <c r="H76" s="100"/>
      <c r="I76" s="100"/>
      <c r="J76" s="100"/>
      <c r="K76" s="112" t="s">
        <v>154</v>
      </c>
      <c r="V76" s="87"/>
    </row>
    <row r="77" spans="1:22" hidden="1" x14ac:dyDescent="0.25">
      <c r="A77" s="87"/>
      <c r="B77" s="87"/>
      <c r="C77" s="87"/>
      <c r="D77" s="87"/>
      <c r="E77" s="87"/>
      <c r="F77" s="100"/>
      <c r="G77" s="100"/>
      <c r="H77" s="100"/>
      <c r="I77" s="100"/>
      <c r="J77" s="100"/>
      <c r="K77" s="112" t="s">
        <v>154</v>
      </c>
      <c r="V77" s="87"/>
    </row>
    <row r="78" spans="1:22" hidden="1" x14ac:dyDescent="0.25">
      <c r="A78" s="87"/>
      <c r="B78" s="87"/>
      <c r="C78" s="87"/>
      <c r="D78" s="87"/>
      <c r="E78" s="87"/>
      <c r="F78" s="100"/>
      <c r="G78" s="100"/>
      <c r="H78" s="100"/>
      <c r="I78" s="100"/>
      <c r="J78" s="100"/>
      <c r="K78" s="112" t="s">
        <v>154</v>
      </c>
      <c r="V78" s="87"/>
    </row>
    <row r="79" spans="1:22" hidden="1" x14ac:dyDescent="0.25">
      <c r="A79" s="87"/>
      <c r="B79" s="87"/>
      <c r="C79" s="87"/>
      <c r="D79" s="87"/>
      <c r="E79" s="87"/>
      <c r="F79" s="100"/>
      <c r="G79" s="100"/>
      <c r="H79" s="100"/>
      <c r="I79" s="100"/>
      <c r="J79" s="100"/>
      <c r="K79" s="112" t="s">
        <v>154</v>
      </c>
      <c r="V79" s="87"/>
    </row>
    <row r="80" spans="1:22" hidden="1" x14ac:dyDescent="0.25">
      <c r="A80" s="87"/>
      <c r="B80" s="87"/>
      <c r="C80" s="87"/>
      <c r="D80" s="87"/>
      <c r="E80" s="87"/>
      <c r="F80" s="100"/>
      <c r="G80" s="100"/>
      <c r="H80" s="100"/>
      <c r="I80" s="100"/>
      <c r="J80" s="100"/>
      <c r="K80" s="112" t="s">
        <v>154</v>
      </c>
      <c r="V80" s="87"/>
    </row>
    <row r="81" spans="1:22" hidden="1" x14ac:dyDescent="0.25">
      <c r="A81" s="87"/>
      <c r="B81" s="87"/>
      <c r="C81" s="87"/>
      <c r="D81" s="87"/>
      <c r="E81" s="87"/>
      <c r="F81" s="100"/>
      <c r="G81" s="100"/>
      <c r="H81" s="100"/>
      <c r="I81" s="100"/>
      <c r="J81" s="100"/>
      <c r="K81" s="112" t="s">
        <v>154</v>
      </c>
      <c r="V81" s="87"/>
    </row>
    <row r="82" spans="1:22" hidden="1" x14ac:dyDescent="0.25">
      <c r="A82" s="87"/>
      <c r="B82" s="87"/>
      <c r="C82" s="87"/>
      <c r="D82" s="87"/>
      <c r="E82" s="87"/>
      <c r="F82" s="100"/>
      <c r="G82" s="100"/>
      <c r="H82" s="100"/>
      <c r="I82" s="100"/>
      <c r="J82" s="100"/>
      <c r="K82" s="112" t="s">
        <v>154</v>
      </c>
      <c r="V82" s="87"/>
    </row>
    <row r="83" spans="1:22" hidden="1" x14ac:dyDescent="0.25">
      <c r="A83" s="87"/>
      <c r="B83" s="87"/>
      <c r="C83" s="87"/>
      <c r="D83" s="87"/>
      <c r="E83" s="87"/>
      <c r="F83" s="100"/>
      <c r="G83" s="100"/>
      <c r="H83" s="100"/>
      <c r="I83" s="100"/>
      <c r="J83" s="100"/>
      <c r="K83" s="112" t="s">
        <v>154</v>
      </c>
      <c r="V83" s="87"/>
    </row>
    <row r="84" spans="1:22" hidden="1" x14ac:dyDescent="0.25">
      <c r="A84" s="87"/>
      <c r="B84" s="87"/>
      <c r="C84" s="87"/>
      <c r="D84" s="87"/>
      <c r="E84" s="87"/>
      <c r="F84" s="100"/>
      <c r="G84" s="100"/>
      <c r="H84" s="100"/>
      <c r="I84" s="100"/>
      <c r="J84" s="100"/>
      <c r="K84" s="112" t="s">
        <v>154</v>
      </c>
      <c r="V84" s="87"/>
    </row>
    <row r="85" spans="1:22" hidden="1" x14ac:dyDescent="0.25">
      <c r="A85" s="87"/>
      <c r="B85" s="87"/>
      <c r="C85" s="87"/>
      <c r="D85" s="87"/>
      <c r="E85" s="87"/>
      <c r="F85" s="100"/>
      <c r="G85" s="100"/>
      <c r="H85" s="100"/>
      <c r="I85" s="100"/>
      <c r="J85" s="100"/>
      <c r="K85" s="112" t="s">
        <v>154</v>
      </c>
      <c r="V85" s="87"/>
    </row>
    <row r="86" spans="1:22" hidden="1" x14ac:dyDescent="0.25">
      <c r="A86" s="87"/>
      <c r="B86" s="87"/>
      <c r="C86" s="87"/>
      <c r="D86" s="87"/>
      <c r="E86" s="87"/>
      <c r="F86" s="100"/>
      <c r="G86" s="100"/>
      <c r="H86" s="100"/>
      <c r="I86" s="100"/>
      <c r="J86" s="100"/>
      <c r="K86" s="112" t="s">
        <v>154</v>
      </c>
      <c r="V86" s="87"/>
    </row>
    <row r="87" spans="1:22" hidden="1" x14ac:dyDescent="0.25">
      <c r="A87" s="87"/>
      <c r="B87" s="87"/>
      <c r="C87" s="87"/>
      <c r="D87" s="87"/>
      <c r="E87" s="87"/>
      <c r="F87" s="100"/>
      <c r="G87" s="100"/>
      <c r="H87" s="100"/>
      <c r="I87" s="100"/>
      <c r="J87" s="100"/>
      <c r="K87" s="112" t="s">
        <v>154</v>
      </c>
      <c r="V87" s="87"/>
    </row>
    <row r="88" spans="1:22" hidden="1" x14ac:dyDescent="0.25">
      <c r="A88" s="87"/>
      <c r="B88" s="87"/>
      <c r="C88" s="87"/>
      <c r="D88" s="87"/>
      <c r="E88" s="87"/>
      <c r="F88" s="100"/>
      <c r="G88" s="100"/>
      <c r="H88" s="100"/>
      <c r="I88" s="100"/>
      <c r="J88" s="100"/>
      <c r="K88" s="112" t="s">
        <v>154</v>
      </c>
      <c r="V88" s="87"/>
    </row>
    <row r="89" spans="1:22" hidden="1" x14ac:dyDescent="0.25">
      <c r="A89" s="87"/>
      <c r="B89" s="87"/>
      <c r="C89" s="87"/>
      <c r="D89" s="87"/>
      <c r="E89" s="87"/>
      <c r="F89" s="100"/>
      <c r="G89" s="100"/>
      <c r="H89" s="100"/>
      <c r="I89" s="100"/>
      <c r="J89" s="100"/>
      <c r="K89" s="112" t="s">
        <v>154</v>
      </c>
      <c r="V89" s="87"/>
    </row>
    <row r="90" spans="1:22" hidden="1" x14ac:dyDescent="0.25">
      <c r="A90" s="87"/>
      <c r="B90" s="87"/>
      <c r="C90" s="87"/>
      <c r="D90" s="87"/>
      <c r="E90" s="87"/>
      <c r="F90" s="100"/>
      <c r="G90" s="100"/>
      <c r="H90" s="100"/>
      <c r="I90" s="100"/>
      <c r="J90" s="100"/>
      <c r="K90" s="112" t="s">
        <v>154</v>
      </c>
      <c r="V90" s="87"/>
    </row>
    <row r="91" spans="1:22" hidden="1" x14ac:dyDescent="0.25">
      <c r="A91" s="87"/>
      <c r="B91" s="87"/>
      <c r="C91" s="87"/>
      <c r="D91" s="87"/>
      <c r="E91" s="87"/>
      <c r="F91" s="100"/>
      <c r="G91" s="100"/>
      <c r="H91" s="100"/>
      <c r="I91" s="100"/>
      <c r="J91" s="100"/>
      <c r="K91" s="112" t="s">
        <v>154</v>
      </c>
      <c r="V91" s="87"/>
    </row>
    <row r="92" spans="1:22" hidden="1" x14ac:dyDescent="0.25">
      <c r="A92" s="87"/>
      <c r="B92" s="87"/>
      <c r="C92" s="87"/>
      <c r="D92" s="87"/>
      <c r="E92" s="87"/>
      <c r="F92" s="100"/>
      <c r="G92" s="100"/>
      <c r="H92" s="100"/>
      <c r="I92" s="100"/>
      <c r="J92" s="100"/>
      <c r="K92" s="112" t="s">
        <v>154</v>
      </c>
      <c r="V92" s="87"/>
    </row>
    <row r="93" spans="1:22" hidden="1" x14ac:dyDescent="0.25">
      <c r="A93" s="87"/>
      <c r="B93" s="87"/>
      <c r="C93" s="87"/>
      <c r="D93" s="87"/>
      <c r="E93" s="87"/>
      <c r="F93" s="100"/>
      <c r="G93" s="100"/>
      <c r="H93" s="100"/>
      <c r="I93" s="100"/>
      <c r="J93" s="100"/>
      <c r="K93" s="112" t="s">
        <v>154</v>
      </c>
      <c r="V93" s="87"/>
    </row>
    <row r="94" spans="1:22" hidden="1" x14ac:dyDescent="0.25">
      <c r="A94" s="87"/>
      <c r="B94" s="87"/>
      <c r="C94" s="87"/>
      <c r="D94" s="87"/>
      <c r="E94" s="87"/>
      <c r="F94" s="100"/>
      <c r="G94" s="100"/>
      <c r="H94" s="100"/>
      <c r="I94" s="100"/>
      <c r="J94" s="100"/>
      <c r="K94" s="112" t="s">
        <v>154</v>
      </c>
      <c r="V94" s="87"/>
    </row>
    <row r="95" spans="1:22" hidden="1" x14ac:dyDescent="0.25">
      <c r="A95" s="87"/>
      <c r="B95" s="87"/>
      <c r="C95" s="87"/>
      <c r="D95" s="87"/>
      <c r="E95" s="87"/>
      <c r="F95" s="100"/>
      <c r="G95" s="100"/>
      <c r="H95" s="100"/>
      <c r="I95" s="100"/>
      <c r="J95" s="100"/>
      <c r="K95" s="112" t="s">
        <v>154</v>
      </c>
      <c r="V95" s="87"/>
    </row>
    <row r="96" spans="1:22" hidden="1" x14ac:dyDescent="0.25">
      <c r="A96" s="87"/>
      <c r="B96" s="87"/>
      <c r="C96" s="87"/>
      <c r="D96" s="87"/>
      <c r="E96" s="87"/>
      <c r="F96" s="100"/>
      <c r="G96" s="100"/>
      <c r="H96" s="100"/>
      <c r="I96" s="100"/>
      <c r="J96" s="100"/>
      <c r="K96" s="112" t="s">
        <v>154</v>
      </c>
      <c r="V96" s="87"/>
    </row>
    <row r="97" spans="1:22" hidden="1" x14ac:dyDescent="0.25">
      <c r="A97" s="87"/>
      <c r="B97" s="87"/>
      <c r="C97" s="87"/>
      <c r="D97" s="87"/>
      <c r="E97" s="87"/>
      <c r="F97" s="100"/>
      <c r="G97" s="100"/>
      <c r="H97" s="100"/>
      <c r="I97" s="100"/>
      <c r="J97" s="100"/>
      <c r="K97" s="112" t="s">
        <v>154</v>
      </c>
      <c r="V97" s="87"/>
    </row>
    <row r="98" spans="1:22" hidden="1" x14ac:dyDescent="0.25">
      <c r="A98" s="87"/>
      <c r="B98" s="87"/>
      <c r="C98" s="87"/>
      <c r="D98" s="87"/>
      <c r="E98" s="87"/>
      <c r="F98" s="100"/>
      <c r="G98" s="100"/>
      <c r="H98" s="100"/>
      <c r="I98" s="100"/>
      <c r="J98" s="100"/>
      <c r="K98" s="112" t="s">
        <v>154</v>
      </c>
      <c r="V98" s="87"/>
    </row>
    <row r="99" spans="1:22" hidden="1" x14ac:dyDescent="0.25">
      <c r="A99" s="87"/>
      <c r="B99" s="87"/>
      <c r="C99" s="87"/>
      <c r="D99" s="87"/>
      <c r="E99" s="87"/>
      <c r="F99" s="100"/>
      <c r="G99" s="100"/>
      <c r="H99" s="100"/>
      <c r="I99" s="100"/>
      <c r="J99" s="100"/>
      <c r="K99" s="112" t="s">
        <v>154</v>
      </c>
      <c r="V99" s="87"/>
    </row>
    <row r="100" spans="1:22" hidden="1" x14ac:dyDescent="0.25">
      <c r="A100" s="87"/>
      <c r="B100" s="87"/>
      <c r="C100" s="87"/>
      <c r="D100" s="87"/>
      <c r="E100" s="87"/>
      <c r="F100" s="100"/>
      <c r="G100" s="100"/>
      <c r="H100" s="100"/>
      <c r="I100" s="100"/>
      <c r="J100" s="100"/>
      <c r="K100" s="112" t="s">
        <v>154</v>
      </c>
      <c r="V100" s="87"/>
    </row>
    <row r="101" spans="1:22" hidden="1" x14ac:dyDescent="0.25">
      <c r="A101" s="87"/>
      <c r="B101" s="87"/>
      <c r="C101" s="87"/>
      <c r="D101" s="87"/>
      <c r="E101" s="87"/>
      <c r="F101" s="100"/>
      <c r="G101" s="100"/>
      <c r="H101" s="100"/>
      <c r="I101" s="100"/>
      <c r="J101" s="100"/>
      <c r="K101" s="112" t="s">
        <v>154</v>
      </c>
      <c r="V101" s="87"/>
    </row>
    <row r="102" spans="1:22" hidden="1" x14ac:dyDescent="0.25">
      <c r="A102" s="87"/>
      <c r="B102" s="87"/>
      <c r="C102" s="87"/>
      <c r="D102" s="87"/>
      <c r="E102" s="87"/>
      <c r="F102" s="100"/>
      <c r="G102" s="100"/>
      <c r="H102" s="100"/>
      <c r="I102" s="100"/>
      <c r="J102" s="100"/>
      <c r="K102" s="112" t="s">
        <v>154</v>
      </c>
      <c r="V102" s="87"/>
    </row>
    <row r="103" spans="1:22" hidden="1" x14ac:dyDescent="0.25">
      <c r="A103" s="87"/>
      <c r="B103" s="87"/>
      <c r="C103" s="87"/>
      <c r="D103" s="87"/>
      <c r="E103" s="87"/>
      <c r="F103" s="100"/>
      <c r="G103" s="100"/>
      <c r="H103" s="100"/>
      <c r="I103" s="100"/>
      <c r="J103" s="100"/>
      <c r="K103" s="112" t="s">
        <v>154</v>
      </c>
      <c r="V103" s="87"/>
    </row>
    <row r="104" spans="1:22" hidden="1" x14ac:dyDescent="0.25">
      <c r="A104" s="87"/>
      <c r="B104" s="87"/>
      <c r="C104" s="87"/>
      <c r="D104" s="87"/>
      <c r="E104" s="87"/>
      <c r="F104" s="100"/>
      <c r="G104" s="100"/>
      <c r="H104" s="100"/>
      <c r="I104" s="100"/>
      <c r="J104" s="100"/>
      <c r="K104" s="112" t="s">
        <v>154</v>
      </c>
      <c r="V104" s="87"/>
    </row>
    <row r="105" spans="1:22" hidden="1" x14ac:dyDescent="0.25">
      <c r="A105" s="87"/>
      <c r="B105" s="87"/>
      <c r="C105" s="87"/>
      <c r="D105" s="87"/>
      <c r="E105" s="87"/>
      <c r="F105" s="100"/>
      <c r="G105" s="100"/>
      <c r="H105" s="100"/>
      <c r="I105" s="100"/>
      <c r="J105" s="100"/>
      <c r="K105" s="112" t="s">
        <v>154</v>
      </c>
      <c r="V105" s="87"/>
    </row>
    <row r="106" spans="1:22" hidden="1" x14ac:dyDescent="0.25">
      <c r="A106" s="87"/>
      <c r="B106" s="87"/>
      <c r="C106" s="87"/>
      <c r="D106" s="87"/>
      <c r="E106" s="87"/>
      <c r="F106" s="100"/>
      <c r="G106" s="100"/>
      <c r="H106" s="100"/>
      <c r="I106" s="100"/>
      <c r="J106" s="100"/>
      <c r="K106" s="112" t="s">
        <v>154</v>
      </c>
      <c r="V106" s="87"/>
    </row>
    <row r="107" spans="1:22" hidden="1" x14ac:dyDescent="0.25">
      <c r="A107" s="87"/>
      <c r="B107" s="87"/>
      <c r="C107" s="87"/>
      <c r="D107" s="87"/>
      <c r="E107" s="87"/>
      <c r="F107" s="100"/>
      <c r="G107" s="100"/>
      <c r="H107" s="100"/>
      <c r="I107" s="100"/>
      <c r="J107" s="100"/>
      <c r="K107" s="112" t="s">
        <v>154</v>
      </c>
      <c r="V107" s="87"/>
    </row>
    <row r="108" spans="1:22" hidden="1" x14ac:dyDescent="0.25">
      <c r="A108" s="87"/>
      <c r="B108" s="87"/>
      <c r="C108" s="87"/>
      <c r="D108" s="87"/>
      <c r="E108" s="87"/>
      <c r="F108" s="100"/>
      <c r="G108" s="100"/>
      <c r="H108" s="100"/>
      <c r="I108" s="100"/>
      <c r="J108" s="100"/>
      <c r="K108" s="112" t="s">
        <v>154</v>
      </c>
      <c r="V108" s="87"/>
    </row>
    <row r="109" spans="1:22" hidden="1" x14ac:dyDescent="0.25">
      <c r="A109" s="87"/>
      <c r="B109" s="87"/>
      <c r="C109" s="87"/>
      <c r="D109" s="87"/>
      <c r="E109" s="87"/>
      <c r="F109" s="100"/>
      <c r="G109" s="100"/>
      <c r="H109" s="100"/>
      <c r="I109" s="100"/>
      <c r="J109" s="100"/>
      <c r="K109" s="112" t="s">
        <v>154</v>
      </c>
      <c r="V109" s="87"/>
    </row>
    <row r="110" spans="1:22" hidden="1" x14ac:dyDescent="0.25">
      <c r="A110" s="87"/>
      <c r="B110" s="87"/>
      <c r="C110" s="87"/>
      <c r="D110" s="87"/>
      <c r="E110" s="87"/>
      <c r="F110" s="100"/>
      <c r="G110" s="100"/>
      <c r="H110" s="100"/>
      <c r="I110" s="100"/>
      <c r="J110" s="100"/>
      <c r="K110" s="112" t="s">
        <v>154</v>
      </c>
      <c r="V110" s="87"/>
    </row>
    <row r="111" spans="1:22" hidden="1" x14ac:dyDescent="0.25">
      <c r="A111" s="87"/>
      <c r="B111" s="87"/>
      <c r="C111" s="87"/>
      <c r="D111" s="87"/>
      <c r="E111" s="87"/>
      <c r="F111" s="100"/>
      <c r="G111" s="100"/>
      <c r="H111" s="100"/>
      <c r="I111" s="100"/>
      <c r="J111" s="100"/>
      <c r="K111" s="112" t="s">
        <v>154</v>
      </c>
      <c r="V111" s="87"/>
    </row>
    <row r="112" spans="1:22" hidden="1" x14ac:dyDescent="0.25">
      <c r="A112" s="87"/>
      <c r="B112" s="87"/>
      <c r="C112" s="87"/>
      <c r="D112" s="87"/>
      <c r="E112" s="87"/>
      <c r="F112" s="100"/>
      <c r="G112" s="100"/>
      <c r="H112" s="100"/>
      <c r="I112" s="100"/>
      <c r="J112" s="100"/>
      <c r="K112" s="112" t="s">
        <v>154</v>
      </c>
      <c r="V112" s="87"/>
    </row>
    <row r="113" spans="1:22" hidden="1" x14ac:dyDescent="0.25">
      <c r="A113" s="87"/>
      <c r="B113" s="87"/>
      <c r="C113" s="87"/>
      <c r="D113" s="87"/>
      <c r="E113" s="87"/>
      <c r="F113" s="100"/>
      <c r="G113" s="100"/>
      <c r="H113" s="100"/>
      <c r="I113" s="100"/>
      <c r="J113" s="100"/>
      <c r="K113" s="112" t="s">
        <v>154</v>
      </c>
      <c r="V113" s="87"/>
    </row>
    <row r="114" spans="1:22" hidden="1" x14ac:dyDescent="0.25">
      <c r="A114" s="87"/>
      <c r="B114" s="87"/>
      <c r="C114" s="87"/>
      <c r="D114" s="87"/>
      <c r="E114" s="87"/>
      <c r="F114" s="100"/>
      <c r="G114" s="100"/>
      <c r="H114" s="100"/>
      <c r="I114" s="100"/>
      <c r="J114" s="100"/>
      <c r="K114" s="112" t="s">
        <v>154</v>
      </c>
      <c r="V114" s="87"/>
    </row>
  </sheetData>
  <sheetProtection sheet="1" objects="1" scenarios="1" selectLockedCells="1"/>
  <mergeCells count="4">
    <mergeCell ref="Q2:T2"/>
    <mergeCell ref="C5:D5"/>
    <mergeCell ref="N6:P6"/>
    <mergeCell ref="Q6:S6"/>
  </mergeCells>
  <conditionalFormatting sqref="Q2 U2:V2">
    <cfRule type="expression" dxfId="9" priority="10">
      <formula>$F$6&gt;2</formula>
    </cfRule>
  </conditionalFormatting>
  <conditionalFormatting sqref="Q4:S4">
    <cfRule type="expression" dxfId="8" priority="9">
      <formula>$F$6=2</formula>
    </cfRule>
  </conditionalFormatting>
  <conditionalFormatting sqref="C5:E5">
    <cfRule type="expression" dxfId="7" priority="8">
      <formula>$B$6&gt;1</formula>
    </cfRule>
  </conditionalFormatting>
  <conditionalFormatting sqref="D7">
    <cfRule type="expression" dxfId="6" priority="7">
      <formula>$B7&gt;1</formula>
    </cfRule>
  </conditionalFormatting>
  <conditionalFormatting sqref="D8 D10 D12 D14 D16 D18 D20 D22 D24">
    <cfRule type="expression" dxfId="5" priority="6">
      <formula>$B8&gt;1</formula>
    </cfRule>
  </conditionalFormatting>
  <conditionalFormatting sqref="D9 D11 D13 D15 D17 D19 D21 D23 D25:D42">
    <cfRule type="expression" dxfId="4" priority="5">
      <formula>$B9&gt;1</formula>
    </cfRule>
  </conditionalFormatting>
  <conditionalFormatting sqref="E7">
    <cfRule type="expression" dxfId="3" priority="4">
      <formula>$B7&gt;1</formula>
    </cfRule>
  </conditionalFormatting>
  <conditionalFormatting sqref="E8 E10 E12 E14 E16 E18 E20 E22 E24">
    <cfRule type="expression" dxfId="2" priority="3">
      <formula>$B8&gt;1</formula>
    </cfRule>
  </conditionalFormatting>
  <conditionalFormatting sqref="E9 E11 E13 E15 E17 E19 E21 E23 E25:E42">
    <cfRule type="expression" dxfId="1" priority="2">
      <formula>$B9&gt;1</formula>
    </cfRule>
  </conditionalFormatting>
  <conditionalFormatting sqref="K7:K114">
    <cfRule type="expression" dxfId="0" priority="1">
      <formula>$F7=101</formula>
    </cfRule>
  </conditionalFormatting>
  <dataValidations count="1">
    <dataValidation type="whole" allowBlank="1" showInputMessage="1" showErrorMessage="1" sqref="O7:O60" xr:uid="{00000000-0002-0000-0200-000000000000}">
      <formula1>1</formula1>
      <formula2>20</formula2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showGridLines="0" showRowColHeaders="0" workbookViewId="0">
      <selection activeCell="K22" sqref="K22"/>
    </sheetView>
  </sheetViews>
  <sheetFormatPr baseColWidth="10" defaultColWidth="0" defaultRowHeight="15" zeroHeight="1" x14ac:dyDescent="0.25"/>
  <cols>
    <col min="1" max="2" width="4.7109375" customWidth="1"/>
    <col min="3" max="3" width="8.140625" customWidth="1"/>
    <col min="4" max="4" width="9.140625" customWidth="1"/>
    <col min="5" max="5" width="7.140625" customWidth="1"/>
    <col min="6" max="6" width="18.140625" customWidth="1"/>
    <col min="7" max="19" width="11.5703125" customWidth="1"/>
    <col min="20" max="20" width="14" customWidth="1"/>
    <col min="21" max="23" width="11.5703125" customWidth="1"/>
    <col min="24" max="16384" width="11.5703125" hidden="1"/>
  </cols>
  <sheetData>
    <row r="1" spans="2:22" x14ac:dyDescent="0.25">
      <c r="S1" s="330" t="s">
        <v>193</v>
      </c>
    </row>
    <row r="2" spans="2:22" x14ac:dyDescent="0.25">
      <c r="O2" t="s">
        <v>31</v>
      </c>
    </row>
    <row r="3" spans="2:22" ht="15.75" thickBot="1" x14ac:dyDescent="0.3">
      <c r="F3" s="329" t="s">
        <v>117</v>
      </c>
      <c r="G3" s="331" t="s">
        <v>51</v>
      </c>
      <c r="H3" s="331" t="s">
        <v>194</v>
      </c>
      <c r="I3" s="331" t="s">
        <v>47</v>
      </c>
      <c r="J3" s="331" t="s">
        <v>232</v>
      </c>
      <c r="K3" s="331" t="s">
        <v>233</v>
      </c>
      <c r="L3" s="331" t="s">
        <v>39</v>
      </c>
      <c r="M3" s="331" t="s">
        <v>41</v>
      </c>
      <c r="N3" s="331" t="s">
        <v>43</v>
      </c>
      <c r="O3" s="331" t="s">
        <v>52</v>
      </c>
      <c r="P3" s="331" t="s">
        <v>54</v>
      </c>
      <c r="Q3" s="331" t="s">
        <v>195</v>
      </c>
      <c r="S3" s="332" t="s">
        <v>117</v>
      </c>
      <c r="T3" s="333" t="s">
        <v>196</v>
      </c>
      <c r="U3" s="333" t="s">
        <v>8</v>
      </c>
      <c r="V3" s="334" t="s">
        <v>69</v>
      </c>
    </row>
    <row r="4" spans="2:22" ht="15.75" thickTop="1" x14ac:dyDescent="0.25">
      <c r="B4" s="321">
        <v>1</v>
      </c>
      <c r="C4" s="335">
        <f>RANK(D4,$D$4:$D$21,1)</f>
        <v>5</v>
      </c>
      <c r="D4" s="325">
        <f>E4+ROW()/1000</f>
        <v>5.0039999999999996</v>
      </c>
      <c r="E4">
        <f>RANK(V4,V$4:V$21,1)</f>
        <v>5</v>
      </c>
      <c r="F4" t="str">
        <f>Calc2!$C4</f>
        <v>Arsenal WFC</v>
      </c>
      <c r="G4">
        <f>SUMIFS(Calc2!$H$4:$H$57,Calc2!$F$4:$F$57,F4)+SUMIFS(Calc2!$I$4:$I$57,Calc2!$G$4:$G$57,$F4)</f>
        <v>11</v>
      </c>
      <c r="H4">
        <f>SUMIFS(Calc2!$I$4:$I$57,Calc2!$F$4:$F$57,$F4)+SUMIFS(Calc2!$H$4:$H$57,Calc2!$G$4:$G$57,$F4)</f>
        <v>6</v>
      </c>
      <c r="I4">
        <f>G4-H4</f>
        <v>5</v>
      </c>
      <c r="J4">
        <f>L4*3+M4+$Q4</f>
        <v>12</v>
      </c>
      <c r="K4">
        <f t="array" ref="K4">SUMPRODUCT((Calc2!$F$4:$F$57=F4)*(Calc2!$H$4:$H$57&lt;&gt;""))+SUMPRODUCT((Calc2!$G$4:$G$57=F4)*(Calc2!$I$4:$I$57&lt;&gt;""))</f>
        <v>6</v>
      </c>
      <c r="L4" s="325">
        <f t="array" ref="L4">SUMPRODUCT((Calc2!$F$4:$F$57=F4)*(Calc2!$H$4:$H$57&gt;Calc2!$I$4:$I$57))+SUMPRODUCT((Calc2!$G$4:$G$57=F4)*(Calc2!$H$4:$H$57&lt;Calc2!$I$4:$I$57))</f>
        <v>4</v>
      </c>
      <c r="M4">
        <f t="array" ref="M4">SUMPRODUCT((Calc2!$F$4:$G$57=F4)*(Calc2!$H$4:$H$57=Calc2!$I$4:$I$57)*(Calc2!$H$4:$H$57&lt;&gt;"")*(Calc2!$I$4:$I$57&lt;&gt;""))</f>
        <v>0</v>
      </c>
      <c r="N4">
        <f t="array" ref="N4">SUMPRODUCT((Calc2!$F$4:$F$57=F4)*(Calc2!$H$4:$H$57&lt;Calc2!$I$4:$I$57))+SUMPRODUCT((Calc2!$G$4:$G$57=F4)*(Calc2!$H$4:$H$57&gt;Calc2!$I$4:$I$57))</f>
        <v>2</v>
      </c>
      <c r="O4">
        <f>SUMIFS(Calc2!$I$4:$I$57,Calc2!$G$4:$G$57,$F4)</f>
        <v>7</v>
      </c>
      <c r="P4">
        <f t="array" ref="P4">SUMPRODUCT((Calc2!$G$4:$G$57=F4)*(Calc2!$H$4:$H$57&lt;Calc2!$I$4:$I$57))</f>
        <v>2</v>
      </c>
      <c r="Q4">
        <f>SUMPRODUCT((F4=Calc2!$F$4:$F$57)*Calc2!$M$4:$M$57)+SUMPRODUCT((F4=Calc2!$G$4:$G$57)*Calc2!$N$4:$N$57)</f>
        <v>0</v>
      </c>
      <c r="S4" t="str">
        <f>Calc2!$C4</f>
        <v>Arsenal WFC</v>
      </c>
      <c r="T4" s="406">
        <f>J4*Factors!$B$4+(I4+Factors!$D$5)*Factors!$B$5+G4*Factors!$B$6+O4*Factors!$B$7+L4*Factors!$B$8+P4*Factors!$B$9</f>
        <v>12505110.741999999</v>
      </c>
      <c r="U4">
        <f>'Tie-Break'!$D6</f>
        <v>0</v>
      </c>
      <c r="V4" s="326">
        <f>RANK($T4,$T$4:$T$21)+(9-$U4)/10000+(F4="")*1000</f>
        <v>5.0008999999999997</v>
      </c>
    </row>
    <row r="5" spans="2:22" x14ac:dyDescent="0.25">
      <c r="B5" s="321">
        <v>2</v>
      </c>
      <c r="C5" s="336">
        <f t="shared" ref="C5:C21" si="0">RANK(D5,$D$4:$D$21,1)</f>
        <v>11</v>
      </c>
      <c r="D5" s="325">
        <f t="shared" ref="D5:D21" si="1">E5+ROW()/1000</f>
        <v>11.005000000000001</v>
      </c>
      <c r="E5">
        <f t="shared" ref="E5:E21" si="2">RANK(V5,V$4:V$21,1)</f>
        <v>11</v>
      </c>
      <c r="F5" t="str">
        <f>Calc2!$C5</f>
        <v>Atletico Madrid</v>
      </c>
      <c r="G5">
        <f>SUMIFS(Calc2!$H$4:$H$57,Calc2!$F$4:$F$57,F5)+SUMIFS(Calc2!$I$4:$I$57,Calc2!$G$4:$G$57,$F5)</f>
        <v>13</v>
      </c>
      <c r="H5">
        <f>SUMIFS(Calc2!$I$4:$I$57,Calc2!$F$4:$F$57,$F5)+SUMIFS(Calc2!$H$4:$H$57,Calc2!$G$4:$G$57,$F5)</f>
        <v>9</v>
      </c>
      <c r="I5">
        <f t="shared" ref="I5:I21" si="3">G5-H5</f>
        <v>4</v>
      </c>
      <c r="J5">
        <f t="shared" ref="J5:J21" si="4">L5*3+M5+$Q5</f>
        <v>7</v>
      </c>
      <c r="K5">
        <f t="array" ref="K5">SUMPRODUCT((Calc2!$F$4:$F$57=F5)*(Calc2!$H$4:$H$57&lt;&gt;""))+SUMPRODUCT((Calc2!$G$4:$G$57=F5)*(Calc2!$I$4:$I$57&lt;&gt;""))</f>
        <v>6</v>
      </c>
      <c r="L5" s="325">
        <f t="array" ref="L5">SUMPRODUCT((Calc2!$F$4:$F$57=F5)*(Calc2!$H$4:$H$57&gt;Calc2!$I$4:$I$57))+SUMPRODUCT((Calc2!$G$4:$G$57=F5)*(Calc2!$H$4:$H$57&lt;Calc2!$I$4:$I$57))</f>
        <v>2</v>
      </c>
      <c r="M5">
        <f t="array" ref="M5">SUMPRODUCT((Calc2!$F$4:$G$57=F5)*(Calc2!$H$4:$H$57=Calc2!$I$4:$I$57)*(Calc2!$H$4:$H$57&lt;&gt;"")*(Calc2!$I$4:$I$57&lt;&gt;""))</f>
        <v>1</v>
      </c>
      <c r="N5">
        <f t="array" ref="N5">SUMPRODUCT((Calc2!$F$4:$F$57=F5)*(Calc2!$H$4:$H$57&lt;Calc2!$I$4:$I$57))+SUMPRODUCT((Calc2!$G$4:$G$57=F5)*(Calc2!$H$4:$H$57&gt;Calc2!$I$4:$I$57))</f>
        <v>3</v>
      </c>
      <c r="O5">
        <f>SUMIFS(Calc2!$I$4:$I$57,Calc2!$G$4:$G$57,$F5)</f>
        <v>10</v>
      </c>
      <c r="P5">
        <f t="array" ref="P5">SUMPRODUCT((Calc2!$G$4:$G$57=F5)*(Calc2!$H$4:$H$57&lt;Calc2!$I$4:$I$57))</f>
        <v>2</v>
      </c>
      <c r="Q5">
        <f>SUMPRODUCT((F5=Calc2!$F$4:$F$57)*Calc2!$M$4:$M$57)+SUMPRODUCT((F5=Calc2!$G$4:$G$57)*Calc2!$N$4:$N$57)</f>
        <v>0</v>
      </c>
      <c r="S5" t="str">
        <f>Calc2!$C5</f>
        <v>Atletico Madrid</v>
      </c>
      <c r="T5" s="406">
        <f>J5*Factors!$B$4+(I5+Factors!$D$5)*Factors!$B$5+G5*Factors!$B$6+O5*Factors!$B$7+L5*Factors!$B$8+P5*Factors!$B$9</f>
        <v>7504131.0219999999</v>
      </c>
      <c r="U5">
        <f>'Tie-Break'!$D7</f>
        <v>0</v>
      </c>
      <c r="V5" s="327">
        <f>RANK($T5,$T$4:$T$21)+(9-$U5)/10000+(F5="")*1000</f>
        <v>11.0009</v>
      </c>
    </row>
    <row r="6" spans="2:22" x14ac:dyDescent="0.25">
      <c r="B6" s="321">
        <v>3</v>
      </c>
      <c r="C6" s="336">
        <f t="shared" si="0"/>
        <v>1</v>
      </c>
      <c r="D6" s="325">
        <f t="shared" si="1"/>
        <v>1.006</v>
      </c>
      <c r="E6">
        <f t="shared" si="2"/>
        <v>1</v>
      </c>
      <c r="F6" t="str">
        <f>Calc2!$C6</f>
        <v>FC Barcelona</v>
      </c>
      <c r="G6">
        <f>SUMIFS(Calc2!$H$4:$H$57,Calc2!$F$4:$F$57,F6)+SUMIFS(Calc2!$I$4:$I$57,Calc2!$G$4:$G$57,$F6)</f>
        <v>20</v>
      </c>
      <c r="H6">
        <f>SUMIFS(Calc2!$I$4:$I$57,Calc2!$F$4:$F$57,$F6)+SUMIFS(Calc2!$H$4:$H$57,Calc2!$G$4:$G$57,$F6)</f>
        <v>3</v>
      </c>
      <c r="I6">
        <f t="shared" si="3"/>
        <v>17</v>
      </c>
      <c r="J6">
        <f t="shared" si="4"/>
        <v>16</v>
      </c>
      <c r="K6">
        <f t="array" ref="K6">SUMPRODUCT((Calc2!$F$4:$F$57=F6)*(Calc2!$H$4:$H$57&lt;&gt;""))+SUMPRODUCT((Calc2!$G$4:$G$57=F6)*(Calc2!$I$4:$I$57&lt;&gt;""))</f>
        <v>6</v>
      </c>
      <c r="L6" s="325">
        <f t="array" ref="L6">SUMPRODUCT((Calc2!$F$4:$F$57=F6)*(Calc2!$H$4:$H$57&gt;Calc2!$I$4:$I$57))+SUMPRODUCT((Calc2!$G$4:$G$57=F6)*(Calc2!$H$4:$H$57&lt;Calc2!$I$4:$I$57))</f>
        <v>5</v>
      </c>
      <c r="M6">
        <f t="array" ref="M6">SUMPRODUCT((Calc2!$F$4:$G$57=F6)*(Calc2!$H$4:$H$57=Calc2!$I$4:$I$57)*(Calc2!$H$4:$H$57&lt;&gt;"")*(Calc2!$I$4:$I$57&lt;&gt;""))</f>
        <v>1</v>
      </c>
      <c r="N6">
        <f t="array" ref="N6">SUMPRODUCT((Calc2!$F$4:$F$57=F6)*(Calc2!$H$4:$H$57&lt;Calc2!$I$4:$I$57))+SUMPRODUCT((Calc2!$G$4:$G$57=F6)*(Calc2!$H$4:$H$57&gt;Calc2!$I$4:$I$57))</f>
        <v>0</v>
      </c>
      <c r="O6">
        <f>SUMIFS(Calc2!$I$4:$I$57,Calc2!$G$4:$G$57,$F6)</f>
        <v>7</v>
      </c>
      <c r="P6">
        <f t="array" ref="P6">SUMPRODUCT((Calc2!$G$4:$G$57=F6)*(Calc2!$H$4:$H$57&lt;Calc2!$I$4:$I$57))</f>
        <v>2</v>
      </c>
      <c r="Q6">
        <f>SUMPRODUCT((F6=Calc2!$F$4:$F$57)*Calc2!$M$4:$M$57)+SUMPRODUCT((F6=Calc2!$G$4:$G$57)*Calc2!$N$4:$N$57)</f>
        <v>0</v>
      </c>
      <c r="S6" t="str">
        <f>Calc2!$C6</f>
        <v>FC Barcelona</v>
      </c>
      <c r="T6" s="406">
        <f>J6*Factors!$B$4+(I6+Factors!$D$5)*Factors!$B$5+G6*Factors!$B$6+O6*Factors!$B$7+L6*Factors!$B$8+P6*Factors!$B$9</f>
        <v>16517200.752</v>
      </c>
      <c r="U6">
        <f>'Tie-Break'!$D8</f>
        <v>0</v>
      </c>
      <c r="V6" s="327">
        <f t="shared" ref="V6:V21" si="5">RANK($T6,$T$4:$T$21)+(9-$U6)/10000+(F6="")*1000</f>
        <v>1.0008999999999999</v>
      </c>
    </row>
    <row r="7" spans="2:22" x14ac:dyDescent="0.25">
      <c r="B7" s="321">
        <v>4</v>
      </c>
      <c r="C7" s="336">
        <f t="shared" si="0"/>
        <v>4</v>
      </c>
      <c r="D7" s="325">
        <f t="shared" si="1"/>
        <v>4.0069999999999997</v>
      </c>
      <c r="E7">
        <f t="shared" si="2"/>
        <v>4</v>
      </c>
      <c r="F7" t="str">
        <f>Calc2!$C7</f>
        <v>FC Bayern München</v>
      </c>
      <c r="G7">
        <f>SUMIFS(Calc2!$H$4:$H$57,Calc2!$F$4:$F$57,F7)+SUMIFS(Calc2!$I$4:$I$57,Calc2!$G$4:$G$57,$F7)</f>
        <v>14</v>
      </c>
      <c r="H7">
        <f>SUMIFS(Calc2!$I$4:$I$57,Calc2!$F$4:$F$57,$F7)+SUMIFS(Calc2!$H$4:$H$57,Calc2!$G$4:$G$57,$F7)</f>
        <v>13</v>
      </c>
      <c r="I7">
        <f t="shared" si="3"/>
        <v>1</v>
      </c>
      <c r="J7">
        <f t="shared" si="4"/>
        <v>13</v>
      </c>
      <c r="K7">
        <f t="array" ref="K7">SUMPRODUCT((Calc2!$F$4:$F$57=F7)*(Calc2!$H$4:$H$57&lt;&gt;""))+SUMPRODUCT((Calc2!$G$4:$G$57=F7)*(Calc2!$I$4:$I$57&lt;&gt;""))</f>
        <v>6</v>
      </c>
      <c r="L7" s="325">
        <f t="array" ref="L7">SUMPRODUCT((Calc2!$F$4:$F$57=F7)*(Calc2!$H$4:$H$57&gt;Calc2!$I$4:$I$57))+SUMPRODUCT((Calc2!$G$4:$G$57=F7)*(Calc2!$H$4:$H$57&lt;Calc2!$I$4:$I$57))</f>
        <v>4</v>
      </c>
      <c r="M7">
        <f t="array" ref="M7">SUMPRODUCT((Calc2!$F$4:$G$57=F7)*(Calc2!$H$4:$H$57=Calc2!$I$4:$I$57)*(Calc2!$H$4:$H$57&lt;&gt;"")*(Calc2!$I$4:$I$57&lt;&gt;""))</f>
        <v>1</v>
      </c>
      <c r="N7">
        <f t="array" ref="N7">SUMPRODUCT((Calc2!$F$4:$F$57=F7)*(Calc2!$H$4:$H$57&lt;Calc2!$I$4:$I$57))+SUMPRODUCT((Calc2!$G$4:$G$57=F7)*(Calc2!$H$4:$H$57&gt;Calc2!$I$4:$I$57))</f>
        <v>1</v>
      </c>
      <c r="O7">
        <f>SUMIFS(Calc2!$I$4:$I$57,Calc2!$G$4:$G$57,$F7)</f>
        <v>6</v>
      </c>
      <c r="P7">
        <f t="array" ref="P7">SUMPRODUCT((Calc2!$G$4:$G$57=F7)*(Calc2!$H$4:$H$57&lt;Calc2!$I$4:$I$57))</f>
        <v>1</v>
      </c>
      <c r="Q7">
        <f>SUMPRODUCT((F7=Calc2!$F$4:$F$57)*Calc2!$M$4:$M$57)+SUMPRODUCT((F7=Calc2!$G$4:$G$57)*Calc2!$N$4:$N$57)</f>
        <v>0</v>
      </c>
      <c r="S7" t="str">
        <f>Calc2!$C7</f>
        <v>FC Bayern München</v>
      </c>
      <c r="T7" s="406">
        <f>J7*Factors!$B$4+(I7+Factors!$D$5)*Factors!$B$5+G7*Factors!$B$6+O7*Factors!$B$7+L7*Factors!$B$8+P7*Factors!$B$9</f>
        <v>13501140.640999999</v>
      </c>
      <c r="U7">
        <f>'Tie-Break'!$D9</f>
        <v>0</v>
      </c>
      <c r="V7" s="327">
        <f t="shared" si="5"/>
        <v>4.0008999999999997</v>
      </c>
    </row>
    <row r="8" spans="2:22" x14ac:dyDescent="0.25">
      <c r="B8" s="321">
        <v>5</v>
      </c>
      <c r="C8" s="336">
        <f t="shared" si="0"/>
        <v>16</v>
      </c>
      <c r="D8" s="325">
        <f t="shared" si="1"/>
        <v>16.007999999999999</v>
      </c>
      <c r="E8">
        <f t="shared" si="2"/>
        <v>16</v>
      </c>
      <c r="F8" t="str">
        <f>Calc2!$C8</f>
        <v>SL Benfica</v>
      </c>
      <c r="G8">
        <f>SUMIFS(Calc2!$H$4:$H$57,Calc2!$F$4:$F$57,F8)+SUMIFS(Calc2!$I$4:$I$57,Calc2!$G$4:$G$57,$F8)</f>
        <v>4</v>
      </c>
      <c r="H8">
        <f>SUMIFS(Calc2!$I$4:$I$57,Calc2!$F$4:$F$57,$F8)+SUMIFS(Calc2!$H$4:$H$57,Calc2!$G$4:$G$57,$F8)</f>
        <v>11</v>
      </c>
      <c r="I8">
        <f t="shared" si="3"/>
        <v>-7</v>
      </c>
      <c r="J8">
        <f t="shared" si="4"/>
        <v>2</v>
      </c>
      <c r="K8">
        <f t="array" ref="K8">SUMPRODUCT((Calc2!$F$4:$F$57=F8)*(Calc2!$H$4:$H$57&lt;&gt;""))+SUMPRODUCT((Calc2!$G$4:$G$57=F8)*(Calc2!$I$4:$I$57&lt;&gt;""))</f>
        <v>6</v>
      </c>
      <c r="L8" s="325">
        <f t="array" ref="L8">SUMPRODUCT((Calc2!$F$4:$F$57=F8)*(Calc2!$H$4:$H$57&gt;Calc2!$I$4:$I$57))+SUMPRODUCT((Calc2!$G$4:$G$57=F8)*(Calc2!$H$4:$H$57&lt;Calc2!$I$4:$I$57))</f>
        <v>0</v>
      </c>
      <c r="M8">
        <f t="array" ref="M8">SUMPRODUCT((Calc2!$F$4:$G$57=F8)*(Calc2!$H$4:$H$57=Calc2!$I$4:$I$57)*(Calc2!$H$4:$H$57&lt;&gt;"")*(Calc2!$I$4:$I$57&lt;&gt;""))</f>
        <v>2</v>
      </c>
      <c r="N8">
        <f t="array" ref="N8">SUMPRODUCT((Calc2!$F$4:$F$57=F8)*(Calc2!$H$4:$H$57&lt;Calc2!$I$4:$I$57))+SUMPRODUCT((Calc2!$G$4:$G$57=F8)*(Calc2!$H$4:$H$57&gt;Calc2!$I$4:$I$57))</f>
        <v>4</v>
      </c>
      <c r="O8">
        <f>SUMIFS(Calc2!$I$4:$I$57,Calc2!$G$4:$G$57,$F8)</f>
        <v>2</v>
      </c>
      <c r="P8">
        <f t="array" ref="P8">SUMPRODUCT((Calc2!$G$4:$G$57=F8)*(Calc2!$H$4:$H$57&lt;Calc2!$I$4:$I$57))</f>
        <v>0</v>
      </c>
      <c r="Q8">
        <f>SUMPRODUCT((F8=Calc2!$F$4:$F$57)*Calc2!$M$4:$M$57)+SUMPRODUCT((F8=Calc2!$G$4:$G$57)*Calc2!$N$4:$N$57)</f>
        <v>0</v>
      </c>
      <c r="S8" t="str">
        <f>Calc2!$C8</f>
        <v>SL Benfica</v>
      </c>
      <c r="T8" s="406">
        <f>J8*Factors!$B$4+(I8+Factors!$D$5)*Factors!$B$5+G8*Factors!$B$6+O8*Factors!$B$7+L8*Factors!$B$8+P8*Factors!$B$9</f>
        <v>2493040.2000000002</v>
      </c>
      <c r="U8">
        <f>'Tie-Break'!$D10</f>
        <v>0</v>
      </c>
      <c r="V8" s="327">
        <f t="shared" si="5"/>
        <v>16.000900000000001</v>
      </c>
    </row>
    <row r="9" spans="2:22" x14ac:dyDescent="0.25">
      <c r="B9" s="321">
        <v>6</v>
      </c>
      <c r="C9" s="336">
        <f t="shared" si="0"/>
        <v>3</v>
      </c>
      <c r="D9" s="325">
        <f t="shared" si="1"/>
        <v>3.0089999999999999</v>
      </c>
      <c r="E9">
        <f t="shared" si="2"/>
        <v>3</v>
      </c>
      <c r="F9" t="str">
        <f>Calc2!$C9</f>
        <v>Chelsea FC</v>
      </c>
      <c r="G9">
        <f>SUMIFS(Calc2!$H$4:$H$57,Calc2!$F$4:$F$57,F9)+SUMIFS(Calc2!$I$4:$I$57,Calc2!$G$4:$G$57,$F9)</f>
        <v>20</v>
      </c>
      <c r="H9">
        <f>SUMIFS(Calc2!$I$4:$I$57,Calc2!$F$4:$F$57,$F9)+SUMIFS(Calc2!$H$4:$H$57,Calc2!$G$4:$G$57,$F9)</f>
        <v>3</v>
      </c>
      <c r="I9">
        <f t="shared" si="3"/>
        <v>17</v>
      </c>
      <c r="J9">
        <f t="shared" si="4"/>
        <v>14</v>
      </c>
      <c r="K9">
        <f t="array" ref="K9">SUMPRODUCT((Calc2!$F$4:$F$57=F9)*(Calc2!$H$4:$H$57&lt;&gt;""))+SUMPRODUCT((Calc2!$G$4:$G$57=F9)*(Calc2!$I$4:$I$57&lt;&gt;""))</f>
        <v>6</v>
      </c>
      <c r="L9" s="325">
        <f t="array" ref="L9">SUMPRODUCT((Calc2!$F$4:$F$57=F9)*(Calc2!$H$4:$H$57&gt;Calc2!$I$4:$I$57))+SUMPRODUCT((Calc2!$G$4:$G$57=F9)*(Calc2!$H$4:$H$57&lt;Calc2!$I$4:$I$57))</f>
        <v>4</v>
      </c>
      <c r="M9">
        <f t="array" ref="M9">SUMPRODUCT((Calc2!$F$4:$G$57=F9)*(Calc2!$H$4:$H$57=Calc2!$I$4:$I$57)*(Calc2!$H$4:$H$57&lt;&gt;"")*(Calc2!$I$4:$I$57&lt;&gt;""))</f>
        <v>2</v>
      </c>
      <c r="N9">
        <f t="array" ref="N9">SUMPRODUCT((Calc2!$F$4:$F$57=F9)*(Calc2!$H$4:$H$57&lt;Calc2!$I$4:$I$57))+SUMPRODUCT((Calc2!$G$4:$G$57=F9)*(Calc2!$H$4:$H$57&gt;Calc2!$I$4:$I$57))</f>
        <v>0</v>
      </c>
      <c r="O9">
        <f>SUMIFS(Calc2!$I$4:$I$57,Calc2!$G$4:$G$57,$F9)</f>
        <v>9</v>
      </c>
      <c r="P9">
        <f t="array" ref="P9">SUMPRODUCT((Calc2!$G$4:$G$57=F9)*(Calc2!$H$4:$H$57&lt;Calc2!$I$4:$I$57))</f>
        <v>2</v>
      </c>
      <c r="Q9">
        <f>SUMPRODUCT((F9=Calc2!$F$4:$F$57)*Calc2!$M$4:$M$57)+SUMPRODUCT((F9=Calc2!$G$4:$G$57)*Calc2!$N$4:$N$57)</f>
        <v>0</v>
      </c>
      <c r="S9" t="str">
        <f>Calc2!$C9</f>
        <v>Chelsea FC</v>
      </c>
      <c r="T9" s="406">
        <f>J9*Factors!$B$4+(I9+Factors!$D$5)*Factors!$B$5+G9*Factors!$B$6+O9*Factors!$B$7+L9*Factors!$B$8+P9*Factors!$B$9</f>
        <v>14517200.942</v>
      </c>
      <c r="U9">
        <f>'Tie-Break'!$D11</f>
        <v>0</v>
      </c>
      <c r="V9" s="327">
        <f t="shared" si="5"/>
        <v>3.0009000000000001</v>
      </c>
    </row>
    <row r="10" spans="2:22" x14ac:dyDescent="0.25">
      <c r="B10" s="321">
        <v>7</v>
      </c>
      <c r="C10" s="336">
        <f t="shared" si="0"/>
        <v>8</v>
      </c>
      <c r="D10" s="325">
        <f t="shared" si="1"/>
        <v>8.01</v>
      </c>
      <c r="E10">
        <f t="shared" si="2"/>
        <v>8</v>
      </c>
      <c r="F10" t="str">
        <f>Calc2!$C10</f>
        <v>Juventus FC</v>
      </c>
      <c r="G10">
        <f>SUMIFS(Calc2!$H$4:$H$57,Calc2!$F$4:$F$57,F10)+SUMIFS(Calc2!$I$4:$I$57,Calc2!$G$4:$G$57,$F10)</f>
        <v>13</v>
      </c>
      <c r="H10">
        <f>SUMIFS(Calc2!$I$4:$I$57,Calc2!$F$4:$F$57,$F10)+SUMIFS(Calc2!$H$4:$H$57,Calc2!$G$4:$G$57,$F10)</f>
        <v>8</v>
      </c>
      <c r="I10">
        <f t="shared" si="3"/>
        <v>5</v>
      </c>
      <c r="J10">
        <f t="shared" si="4"/>
        <v>10</v>
      </c>
      <c r="K10">
        <f t="array" ref="K10">SUMPRODUCT((Calc2!$F$4:$F$57=F10)*(Calc2!$H$4:$H$57&lt;&gt;""))+SUMPRODUCT((Calc2!$G$4:$G$57=F10)*(Calc2!$I$4:$I$57&lt;&gt;""))</f>
        <v>6</v>
      </c>
      <c r="L10" s="325">
        <f t="array" ref="L10">SUMPRODUCT((Calc2!$F$4:$F$57=F10)*(Calc2!$H$4:$H$57&gt;Calc2!$I$4:$I$57))+SUMPRODUCT((Calc2!$G$4:$G$57=F10)*(Calc2!$H$4:$H$57&lt;Calc2!$I$4:$I$57))</f>
        <v>3</v>
      </c>
      <c r="M10">
        <f t="array" ref="M10">SUMPRODUCT((Calc2!$F$4:$G$57=F10)*(Calc2!$H$4:$H$57=Calc2!$I$4:$I$57)*(Calc2!$H$4:$H$57&lt;&gt;"")*(Calc2!$I$4:$I$57&lt;&gt;""))</f>
        <v>1</v>
      </c>
      <c r="N10">
        <f t="array" ref="N10">SUMPRODUCT((Calc2!$F$4:$F$57=F10)*(Calc2!$H$4:$H$57&lt;Calc2!$I$4:$I$57))+SUMPRODUCT((Calc2!$G$4:$G$57=F10)*(Calc2!$H$4:$H$57&gt;Calc2!$I$4:$I$57))</f>
        <v>2</v>
      </c>
      <c r="O10">
        <f>SUMIFS(Calc2!$I$4:$I$57,Calc2!$G$4:$G$57,$F10)</f>
        <v>8</v>
      </c>
      <c r="P10">
        <f t="array" ref="P10">SUMPRODUCT((Calc2!$G$4:$G$57=F10)*(Calc2!$H$4:$H$57&lt;Calc2!$I$4:$I$57))</f>
        <v>2</v>
      </c>
      <c r="Q10">
        <f>SUMPRODUCT((F10=Calc2!$F$4:$F$57)*Calc2!$M$4:$M$57)+SUMPRODUCT((F10=Calc2!$G$4:$G$57)*Calc2!$N$4:$N$57)</f>
        <v>0</v>
      </c>
      <c r="S10" t="str">
        <f>Calc2!$C10</f>
        <v>Juventus FC</v>
      </c>
      <c r="T10" s="406">
        <f>J10*Factors!$B$4+(I10+Factors!$D$5)*Factors!$B$5+G10*Factors!$B$6+O10*Factors!$B$7+L10*Factors!$B$8+P10*Factors!$B$9</f>
        <v>10505130.832</v>
      </c>
      <c r="U10">
        <f>'Tie-Break'!$D12</f>
        <v>0</v>
      </c>
      <c r="V10" s="327">
        <f t="shared" si="5"/>
        <v>8.0008999999999997</v>
      </c>
    </row>
    <row r="11" spans="2:22" x14ac:dyDescent="0.25">
      <c r="B11" s="321">
        <v>8</v>
      </c>
      <c r="C11" s="336">
        <f t="shared" si="0"/>
        <v>6</v>
      </c>
      <c r="D11" s="325">
        <f t="shared" si="1"/>
        <v>6.0110000000000001</v>
      </c>
      <c r="E11">
        <f t="shared" si="2"/>
        <v>6</v>
      </c>
      <c r="F11" t="str">
        <f>Calc2!$C11</f>
        <v>Manchester United</v>
      </c>
      <c r="G11">
        <f>SUMIFS(Calc2!$H$4:$H$57,Calc2!$F$4:$F$57,F11)+SUMIFS(Calc2!$I$4:$I$57,Calc2!$G$4:$G$57,$F11)</f>
        <v>7</v>
      </c>
      <c r="H11">
        <f>SUMIFS(Calc2!$I$4:$I$57,Calc2!$F$4:$F$57,$F11)+SUMIFS(Calc2!$H$4:$H$57,Calc2!$G$4:$G$57,$F11)</f>
        <v>9</v>
      </c>
      <c r="I11">
        <f t="shared" si="3"/>
        <v>-2</v>
      </c>
      <c r="J11">
        <f t="shared" si="4"/>
        <v>12</v>
      </c>
      <c r="K11">
        <f t="array" ref="K11">SUMPRODUCT((Calc2!$F$4:$F$57=F11)*(Calc2!$H$4:$H$57&lt;&gt;""))+SUMPRODUCT((Calc2!$G$4:$G$57=F11)*(Calc2!$I$4:$I$57&lt;&gt;""))</f>
        <v>6</v>
      </c>
      <c r="L11" s="325">
        <f t="array" ref="L11">SUMPRODUCT((Calc2!$F$4:$F$57=F11)*(Calc2!$H$4:$H$57&gt;Calc2!$I$4:$I$57))+SUMPRODUCT((Calc2!$G$4:$G$57=F11)*(Calc2!$H$4:$H$57&lt;Calc2!$I$4:$I$57))</f>
        <v>4</v>
      </c>
      <c r="M11">
        <f t="array" ref="M11">SUMPRODUCT((Calc2!$F$4:$G$57=F11)*(Calc2!$H$4:$H$57=Calc2!$I$4:$I$57)*(Calc2!$H$4:$H$57&lt;&gt;"")*(Calc2!$I$4:$I$57&lt;&gt;""))</f>
        <v>0</v>
      </c>
      <c r="N11">
        <f t="array" ref="N11">SUMPRODUCT((Calc2!$F$4:$F$57=F11)*(Calc2!$H$4:$H$57&lt;Calc2!$I$4:$I$57))+SUMPRODUCT((Calc2!$G$4:$G$57=F11)*(Calc2!$H$4:$H$57&gt;Calc2!$I$4:$I$57))</f>
        <v>2</v>
      </c>
      <c r="O11">
        <f>SUMIFS(Calc2!$I$4:$I$57,Calc2!$G$4:$G$57,$F11)</f>
        <v>4</v>
      </c>
      <c r="P11">
        <f t="array" ref="P11">SUMPRODUCT((Calc2!$G$4:$G$57=F11)*(Calc2!$H$4:$H$57&lt;Calc2!$I$4:$I$57))</f>
        <v>2</v>
      </c>
      <c r="Q11">
        <f>SUMPRODUCT((F11=Calc2!$F$4:$F$57)*Calc2!$M$4:$M$57)+SUMPRODUCT((F11=Calc2!$G$4:$G$57)*Calc2!$N$4:$N$57)</f>
        <v>0</v>
      </c>
      <c r="S11" t="str">
        <f>Calc2!$C11</f>
        <v>Manchester United</v>
      </c>
      <c r="T11" s="406">
        <f>J11*Factors!$B$4+(I11+Factors!$D$5)*Factors!$B$5+G11*Factors!$B$6+O11*Factors!$B$7+L11*Factors!$B$8+P11*Factors!$B$9</f>
        <v>12498070.442</v>
      </c>
      <c r="U11">
        <f>'Tie-Break'!$D13</f>
        <v>0</v>
      </c>
      <c r="V11" s="327">
        <f t="shared" si="5"/>
        <v>6.0008999999999997</v>
      </c>
    </row>
    <row r="12" spans="2:22" x14ac:dyDescent="0.25">
      <c r="B12" s="321">
        <v>9</v>
      </c>
      <c r="C12" s="336">
        <f t="shared" si="0"/>
        <v>12</v>
      </c>
      <c r="D12" s="325">
        <f t="shared" si="1"/>
        <v>12.012</v>
      </c>
      <c r="E12">
        <f t="shared" si="2"/>
        <v>12</v>
      </c>
      <c r="F12" t="str">
        <f>Calc2!$C12</f>
        <v>Oud-Heverlee Leuven</v>
      </c>
      <c r="G12">
        <f>SUMIFS(Calc2!$H$4:$H$57,Calc2!$F$4:$F$57,F12)+SUMIFS(Calc2!$I$4:$I$57,Calc2!$G$4:$G$57,$F12)</f>
        <v>5</v>
      </c>
      <c r="H12">
        <f>SUMIFS(Calc2!$I$4:$I$57,Calc2!$F$4:$F$57,$F12)+SUMIFS(Calc2!$H$4:$H$57,Calc2!$G$4:$G$57,$F12)</f>
        <v>10</v>
      </c>
      <c r="I12">
        <f t="shared" si="3"/>
        <v>-5</v>
      </c>
      <c r="J12">
        <f t="shared" si="4"/>
        <v>6</v>
      </c>
      <c r="K12">
        <f t="array" ref="K12">SUMPRODUCT((Calc2!$F$4:$F$57=F12)*(Calc2!$H$4:$H$57&lt;&gt;""))+SUMPRODUCT((Calc2!$G$4:$G$57=F12)*(Calc2!$I$4:$I$57&lt;&gt;""))</f>
        <v>6</v>
      </c>
      <c r="L12" s="325">
        <f t="array" ref="L12">SUMPRODUCT((Calc2!$F$4:$F$57=F12)*(Calc2!$H$4:$H$57&gt;Calc2!$I$4:$I$57))+SUMPRODUCT((Calc2!$G$4:$G$57=F12)*(Calc2!$H$4:$H$57&lt;Calc2!$I$4:$I$57))</f>
        <v>1</v>
      </c>
      <c r="M12">
        <f t="array" ref="M12">SUMPRODUCT((Calc2!$F$4:$G$57=F12)*(Calc2!$H$4:$H$57=Calc2!$I$4:$I$57)*(Calc2!$H$4:$H$57&lt;&gt;"")*(Calc2!$I$4:$I$57&lt;&gt;""))</f>
        <v>3</v>
      </c>
      <c r="N12">
        <f t="array" ref="N12">SUMPRODUCT((Calc2!$F$4:$F$57=F12)*(Calc2!$H$4:$H$57&lt;Calc2!$I$4:$I$57))+SUMPRODUCT((Calc2!$G$4:$G$57=F12)*(Calc2!$H$4:$H$57&gt;Calc2!$I$4:$I$57))</f>
        <v>2</v>
      </c>
      <c r="O12">
        <f>SUMIFS(Calc2!$I$4:$I$57,Calc2!$G$4:$G$57,$F12)</f>
        <v>2</v>
      </c>
      <c r="P12">
        <f t="array" ref="P12">SUMPRODUCT((Calc2!$G$4:$G$57=F12)*(Calc2!$H$4:$H$57&lt;Calc2!$I$4:$I$57))</f>
        <v>0</v>
      </c>
      <c r="Q12">
        <f>SUMPRODUCT((F12=Calc2!$F$4:$F$57)*Calc2!$M$4:$M$57)+SUMPRODUCT((F12=Calc2!$G$4:$G$57)*Calc2!$N$4:$N$57)</f>
        <v>0</v>
      </c>
      <c r="S12" t="str">
        <f>Calc2!$C12</f>
        <v>Oud-Heverlee Leuven</v>
      </c>
      <c r="T12" s="406">
        <f>J12*Factors!$B$4+(I12+Factors!$D$5)*Factors!$B$5+G12*Factors!$B$6+O12*Factors!$B$7+L12*Factors!$B$8+P12*Factors!$B$9</f>
        <v>6495050.21</v>
      </c>
      <c r="U12">
        <f>'Tie-Break'!$D14</f>
        <v>0</v>
      </c>
      <c r="V12" s="327">
        <f t="shared" si="5"/>
        <v>12.0009</v>
      </c>
    </row>
    <row r="13" spans="2:22" x14ac:dyDescent="0.25">
      <c r="B13" s="321">
        <v>10</v>
      </c>
      <c r="C13" s="336">
        <f t="shared" si="0"/>
        <v>2</v>
      </c>
      <c r="D13" s="325">
        <f t="shared" si="1"/>
        <v>2.0129999999999999</v>
      </c>
      <c r="E13">
        <f t="shared" si="2"/>
        <v>2</v>
      </c>
      <c r="F13" t="str">
        <f>Calc2!$C13</f>
        <v>OL Lyonnes</v>
      </c>
      <c r="G13">
        <f>SUMIFS(Calc2!$H$4:$H$57,Calc2!$F$4:$F$57,F13)+SUMIFS(Calc2!$I$4:$I$57,Calc2!$G$4:$G$57,$F13)</f>
        <v>18</v>
      </c>
      <c r="H13">
        <f>SUMIFS(Calc2!$I$4:$I$57,Calc2!$F$4:$F$57,$F13)+SUMIFS(Calc2!$H$4:$H$57,Calc2!$G$4:$G$57,$F13)</f>
        <v>5</v>
      </c>
      <c r="I13">
        <f t="shared" si="3"/>
        <v>13</v>
      </c>
      <c r="J13">
        <f t="shared" si="4"/>
        <v>16</v>
      </c>
      <c r="K13">
        <f t="array" ref="K13">SUMPRODUCT((Calc2!$F$4:$F$57=F13)*(Calc2!$H$4:$H$57&lt;&gt;""))+SUMPRODUCT((Calc2!$G$4:$G$57=F13)*(Calc2!$I$4:$I$57&lt;&gt;""))</f>
        <v>6</v>
      </c>
      <c r="L13" s="325">
        <f t="array" ref="L13">SUMPRODUCT((Calc2!$F$4:$F$57=F13)*(Calc2!$H$4:$H$57&gt;Calc2!$I$4:$I$57))+SUMPRODUCT((Calc2!$G$4:$G$57=F13)*(Calc2!$H$4:$H$57&lt;Calc2!$I$4:$I$57))</f>
        <v>5</v>
      </c>
      <c r="M13">
        <f t="array" ref="M13">SUMPRODUCT((Calc2!$F$4:$G$57=F13)*(Calc2!$H$4:$H$57=Calc2!$I$4:$I$57)*(Calc2!$H$4:$H$57&lt;&gt;"")*(Calc2!$I$4:$I$57&lt;&gt;""))</f>
        <v>1</v>
      </c>
      <c r="N13">
        <f t="array" ref="N13">SUMPRODUCT((Calc2!$F$4:$F$57=F13)*(Calc2!$H$4:$H$57&lt;Calc2!$I$4:$I$57))+SUMPRODUCT((Calc2!$G$4:$G$57=F13)*(Calc2!$H$4:$H$57&gt;Calc2!$I$4:$I$57))</f>
        <v>0</v>
      </c>
      <c r="O13">
        <f>SUMIFS(Calc2!$I$4:$I$57,Calc2!$G$4:$G$57,$F13)</f>
        <v>8</v>
      </c>
      <c r="P13">
        <f t="array" ref="P13">SUMPRODUCT((Calc2!$G$4:$G$57=F13)*(Calc2!$H$4:$H$57&lt;Calc2!$I$4:$I$57))</f>
        <v>2</v>
      </c>
      <c r="Q13">
        <f>SUMPRODUCT((F13=Calc2!$F$4:$F$57)*Calc2!$M$4:$M$57)+SUMPRODUCT((F13=Calc2!$G$4:$G$57)*Calc2!$N$4:$N$57)</f>
        <v>0</v>
      </c>
      <c r="S13" t="str">
        <f>Calc2!$C13</f>
        <v>OL Lyonnes</v>
      </c>
      <c r="T13" s="406">
        <f>J13*Factors!$B$4+(I13+Factors!$D$5)*Factors!$B$5+G13*Factors!$B$6+O13*Factors!$B$7+L13*Factors!$B$8+P13*Factors!$B$9</f>
        <v>16513180.852000002</v>
      </c>
      <c r="U13">
        <f>'Tie-Break'!$D15</f>
        <v>0</v>
      </c>
      <c r="V13" s="327">
        <f t="shared" si="5"/>
        <v>2.0009000000000001</v>
      </c>
    </row>
    <row r="14" spans="2:22" x14ac:dyDescent="0.25">
      <c r="B14" s="321">
        <v>11</v>
      </c>
      <c r="C14" s="336">
        <f t="shared" si="0"/>
        <v>10</v>
      </c>
      <c r="D14" s="325">
        <f t="shared" si="1"/>
        <v>10.013999999999999</v>
      </c>
      <c r="E14">
        <f t="shared" si="2"/>
        <v>10</v>
      </c>
      <c r="F14" t="str">
        <f>Calc2!$C14</f>
        <v>Paris FC</v>
      </c>
      <c r="G14">
        <f>SUMIFS(Calc2!$H$4:$H$57,Calc2!$F$4:$F$57,F14)+SUMIFS(Calc2!$I$4:$I$57,Calc2!$G$4:$G$57,$F14)</f>
        <v>6</v>
      </c>
      <c r="H14">
        <f>SUMIFS(Calc2!$I$4:$I$57,Calc2!$F$4:$F$57,$F14)+SUMIFS(Calc2!$H$4:$H$57,Calc2!$G$4:$G$57,$F14)</f>
        <v>9</v>
      </c>
      <c r="I14">
        <f t="shared" si="3"/>
        <v>-3</v>
      </c>
      <c r="J14">
        <f t="shared" si="4"/>
        <v>8</v>
      </c>
      <c r="K14">
        <f t="array" ref="K14">SUMPRODUCT((Calc2!$F$4:$F$57=F14)*(Calc2!$H$4:$H$57&lt;&gt;""))+SUMPRODUCT((Calc2!$G$4:$G$57=F14)*(Calc2!$I$4:$I$57&lt;&gt;""))</f>
        <v>6</v>
      </c>
      <c r="L14" s="325">
        <f t="array" ref="L14">SUMPRODUCT((Calc2!$F$4:$F$57=F14)*(Calc2!$H$4:$H$57&gt;Calc2!$I$4:$I$57))+SUMPRODUCT((Calc2!$G$4:$G$57=F14)*(Calc2!$H$4:$H$57&lt;Calc2!$I$4:$I$57))</f>
        <v>2</v>
      </c>
      <c r="M14">
        <f t="array" ref="M14">SUMPRODUCT((Calc2!$F$4:$G$57=F14)*(Calc2!$H$4:$H$57=Calc2!$I$4:$I$57)*(Calc2!$H$4:$H$57&lt;&gt;"")*(Calc2!$I$4:$I$57&lt;&gt;""))</f>
        <v>2</v>
      </c>
      <c r="N14">
        <f t="array" ref="N14">SUMPRODUCT((Calc2!$F$4:$F$57=F14)*(Calc2!$H$4:$H$57&lt;Calc2!$I$4:$I$57))+SUMPRODUCT((Calc2!$G$4:$G$57=F14)*(Calc2!$H$4:$H$57&gt;Calc2!$I$4:$I$57))</f>
        <v>2</v>
      </c>
      <c r="O14">
        <f>SUMIFS(Calc2!$I$4:$I$57,Calc2!$G$4:$G$57,$F14)</f>
        <v>2</v>
      </c>
      <c r="P14">
        <f t="array" ref="P14">SUMPRODUCT((Calc2!$G$4:$G$57=F14)*(Calc2!$H$4:$H$57&lt;Calc2!$I$4:$I$57))</f>
        <v>1</v>
      </c>
      <c r="Q14">
        <f>SUMPRODUCT((F14=Calc2!$F$4:$F$57)*Calc2!$M$4:$M$57)+SUMPRODUCT((F14=Calc2!$G$4:$G$57)*Calc2!$N$4:$N$57)</f>
        <v>0</v>
      </c>
      <c r="S14" t="str">
        <f>Calc2!$C14</f>
        <v>Paris FC</v>
      </c>
      <c r="T14" s="406">
        <f>J14*Factors!$B$4+(I14+Factors!$D$5)*Factors!$B$5+G14*Factors!$B$6+O14*Factors!$B$7+L14*Factors!$B$8+P14*Factors!$B$9</f>
        <v>8497060.220999999</v>
      </c>
      <c r="U14">
        <f>'Tie-Break'!$D16</f>
        <v>0</v>
      </c>
      <c r="V14" s="327">
        <f t="shared" si="5"/>
        <v>10.0009</v>
      </c>
    </row>
    <row r="15" spans="2:22" x14ac:dyDescent="0.25">
      <c r="B15" s="321">
        <v>12</v>
      </c>
      <c r="C15" s="336">
        <f t="shared" si="0"/>
        <v>17</v>
      </c>
      <c r="D15" s="325">
        <f t="shared" si="1"/>
        <v>17.015000000000001</v>
      </c>
      <c r="E15">
        <f t="shared" si="2"/>
        <v>17</v>
      </c>
      <c r="F15" t="str">
        <f>Calc2!$C15</f>
        <v>Paris St. Germain</v>
      </c>
      <c r="G15">
        <f>SUMIFS(Calc2!$H$4:$H$57,Calc2!$F$4:$F$57,F15)+SUMIFS(Calc2!$I$4:$I$57,Calc2!$G$4:$G$57,$F15)</f>
        <v>4</v>
      </c>
      <c r="H15">
        <f>SUMIFS(Calc2!$I$4:$I$57,Calc2!$F$4:$F$57,$F15)+SUMIFS(Calc2!$H$4:$H$57,Calc2!$G$4:$G$57,$F15)</f>
        <v>12</v>
      </c>
      <c r="I15">
        <f t="shared" si="3"/>
        <v>-8</v>
      </c>
      <c r="J15">
        <f t="shared" si="4"/>
        <v>2</v>
      </c>
      <c r="K15">
        <f t="array" ref="K15">SUMPRODUCT((Calc2!$F$4:$F$57=F15)*(Calc2!$H$4:$H$57&lt;&gt;""))+SUMPRODUCT((Calc2!$G$4:$G$57=F15)*(Calc2!$I$4:$I$57&lt;&gt;""))</f>
        <v>6</v>
      </c>
      <c r="L15" s="325">
        <f t="array" ref="L15">SUMPRODUCT((Calc2!$F$4:$F$57=F15)*(Calc2!$H$4:$H$57&gt;Calc2!$I$4:$I$57))+SUMPRODUCT((Calc2!$G$4:$G$57=F15)*(Calc2!$H$4:$H$57&lt;Calc2!$I$4:$I$57))</f>
        <v>0</v>
      </c>
      <c r="M15">
        <f t="array" ref="M15">SUMPRODUCT((Calc2!$F$4:$G$57=F15)*(Calc2!$H$4:$H$57=Calc2!$I$4:$I$57)*(Calc2!$H$4:$H$57&lt;&gt;"")*(Calc2!$I$4:$I$57&lt;&gt;""))</f>
        <v>2</v>
      </c>
      <c r="N15">
        <f t="array" ref="N15">SUMPRODUCT((Calc2!$F$4:$F$57=F15)*(Calc2!$H$4:$H$57&lt;Calc2!$I$4:$I$57))+SUMPRODUCT((Calc2!$G$4:$G$57=F15)*(Calc2!$H$4:$H$57&gt;Calc2!$I$4:$I$57))</f>
        <v>4</v>
      </c>
      <c r="O15">
        <f>SUMIFS(Calc2!$I$4:$I$57,Calc2!$G$4:$G$57,$F15)</f>
        <v>2</v>
      </c>
      <c r="P15">
        <f t="array" ref="P15">SUMPRODUCT((Calc2!$G$4:$G$57=F15)*(Calc2!$H$4:$H$57&lt;Calc2!$I$4:$I$57))</f>
        <v>0</v>
      </c>
      <c r="Q15">
        <f>SUMPRODUCT((F15=Calc2!$F$4:$F$57)*Calc2!$M$4:$M$57)+SUMPRODUCT((F15=Calc2!$G$4:$G$57)*Calc2!$N$4:$N$57)</f>
        <v>0</v>
      </c>
      <c r="S15" t="str">
        <f>Calc2!$C15</f>
        <v>Paris St. Germain</v>
      </c>
      <c r="T15" s="406">
        <f>J15*Factors!$B$4+(I15+Factors!$D$5)*Factors!$B$5+G15*Factors!$B$6+O15*Factors!$B$7+L15*Factors!$B$8+P15*Factors!$B$9</f>
        <v>2492040.2000000002</v>
      </c>
      <c r="U15">
        <f>'Tie-Break'!$D17</f>
        <v>0</v>
      </c>
      <c r="V15" s="327">
        <f t="shared" si="5"/>
        <v>17.000900000000001</v>
      </c>
    </row>
    <row r="16" spans="2:22" x14ac:dyDescent="0.25">
      <c r="B16" s="321">
        <v>13</v>
      </c>
      <c r="C16" s="336">
        <f t="shared" si="0"/>
        <v>7</v>
      </c>
      <c r="D16" s="325">
        <f t="shared" si="1"/>
        <v>7.016</v>
      </c>
      <c r="E16">
        <f t="shared" si="2"/>
        <v>7</v>
      </c>
      <c r="F16" t="str">
        <f>Calc2!$C16</f>
        <v>Real Madrid</v>
      </c>
      <c r="G16">
        <f>SUMIFS(Calc2!$H$4:$H$57,Calc2!$F$4:$F$57,F16)+SUMIFS(Calc2!$I$4:$I$57,Calc2!$G$4:$G$57,$F16)</f>
        <v>13</v>
      </c>
      <c r="H16">
        <f>SUMIFS(Calc2!$I$4:$I$57,Calc2!$F$4:$F$57,$F16)+SUMIFS(Calc2!$H$4:$H$57,Calc2!$G$4:$G$57,$F16)</f>
        <v>7</v>
      </c>
      <c r="I16">
        <f t="shared" si="3"/>
        <v>6</v>
      </c>
      <c r="J16">
        <f t="shared" si="4"/>
        <v>11</v>
      </c>
      <c r="K16">
        <f t="array" ref="K16">SUMPRODUCT((Calc2!$F$4:$F$57=F16)*(Calc2!$H$4:$H$57&lt;&gt;""))+SUMPRODUCT((Calc2!$G$4:$G$57=F16)*(Calc2!$I$4:$I$57&lt;&gt;""))</f>
        <v>6</v>
      </c>
      <c r="L16" s="325">
        <f t="array" ref="L16">SUMPRODUCT((Calc2!$F$4:$F$57=F16)*(Calc2!$H$4:$H$57&gt;Calc2!$I$4:$I$57))+SUMPRODUCT((Calc2!$G$4:$G$57=F16)*(Calc2!$H$4:$H$57&lt;Calc2!$I$4:$I$57))</f>
        <v>3</v>
      </c>
      <c r="M16">
        <f t="array" ref="M16">SUMPRODUCT((Calc2!$F$4:$G$57=F16)*(Calc2!$H$4:$H$57=Calc2!$I$4:$I$57)*(Calc2!$H$4:$H$57&lt;&gt;"")*(Calc2!$I$4:$I$57&lt;&gt;""))</f>
        <v>2</v>
      </c>
      <c r="N16">
        <f t="array" ref="N16">SUMPRODUCT((Calc2!$F$4:$F$57=F16)*(Calc2!$H$4:$H$57&lt;Calc2!$I$4:$I$57))+SUMPRODUCT((Calc2!$G$4:$G$57=F16)*(Calc2!$H$4:$H$57&gt;Calc2!$I$4:$I$57))</f>
        <v>1</v>
      </c>
      <c r="O16">
        <f>SUMIFS(Calc2!$I$4:$I$57,Calc2!$G$4:$G$57,$F16)</f>
        <v>4</v>
      </c>
      <c r="P16">
        <f t="array" ref="P16">SUMPRODUCT((Calc2!$G$4:$G$57=F16)*(Calc2!$H$4:$H$57&lt;Calc2!$I$4:$I$57))</f>
        <v>1</v>
      </c>
      <c r="Q16">
        <f>SUMPRODUCT((F16=Calc2!$F$4:$F$57)*Calc2!$M$4:$M$57)+SUMPRODUCT((F16=Calc2!$G$4:$G$57)*Calc2!$N$4:$N$57)</f>
        <v>0</v>
      </c>
      <c r="S16" t="str">
        <f>Calc2!$C16</f>
        <v>Real Madrid</v>
      </c>
      <c r="T16" s="406">
        <f>J16*Factors!$B$4+(I16+Factors!$D$5)*Factors!$B$5+G16*Factors!$B$6+O16*Factors!$B$7+L16*Factors!$B$8+P16*Factors!$B$9</f>
        <v>11506130.431</v>
      </c>
      <c r="U16">
        <f>'Tie-Break'!$D18</f>
        <v>0</v>
      </c>
      <c r="V16" s="327">
        <f t="shared" si="5"/>
        <v>7.0008999999999997</v>
      </c>
    </row>
    <row r="17" spans="2:22" x14ac:dyDescent="0.25">
      <c r="B17" s="321">
        <v>14</v>
      </c>
      <c r="C17" s="336">
        <f t="shared" si="0"/>
        <v>14</v>
      </c>
      <c r="D17" s="325">
        <f t="shared" si="1"/>
        <v>14.016999999999999</v>
      </c>
      <c r="E17">
        <f t="shared" si="2"/>
        <v>14</v>
      </c>
      <c r="F17" t="str">
        <f>Calc2!$C17</f>
        <v>AS Rom</v>
      </c>
      <c r="G17">
        <f>SUMIFS(Calc2!$H$4:$H$57,Calc2!$F$4:$F$57,F17)+SUMIFS(Calc2!$I$4:$I$57,Calc2!$G$4:$G$57,$F17)</f>
        <v>9</v>
      </c>
      <c r="H17">
        <f>SUMIFS(Calc2!$I$4:$I$57,Calc2!$F$4:$F$57,$F17)+SUMIFS(Calc2!$H$4:$H$57,Calc2!$G$4:$G$57,$F17)</f>
        <v>19</v>
      </c>
      <c r="I17">
        <f t="shared" si="3"/>
        <v>-10</v>
      </c>
      <c r="J17">
        <f t="shared" si="4"/>
        <v>4</v>
      </c>
      <c r="K17">
        <f t="array" ref="K17">SUMPRODUCT((Calc2!$F$4:$F$57=F17)*(Calc2!$H$4:$H$57&lt;&gt;""))+SUMPRODUCT((Calc2!$G$4:$G$57=F17)*(Calc2!$I$4:$I$57&lt;&gt;""))</f>
        <v>6</v>
      </c>
      <c r="L17" s="325">
        <f t="array" ref="L17">SUMPRODUCT((Calc2!$F$4:$F$57=F17)*(Calc2!$H$4:$H$57&gt;Calc2!$I$4:$I$57))+SUMPRODUCT((Calc2!$G$4:$G$57=F17)*(Calc2!$H$4:$H$57&lt;Calc2!$I$4:$I$57))</f>
        <v>1</v>
      </c>
      <c r="M17">
        <f t="array" ref="M17">SUMPRODUCT((Calc2!$F$4:$G$57=F17)*(Calc2!$H$4:$H$57=Calc2!$I$4:$I$57)*(Calc2!$H$4:$H$57&lt;&gt;"")*(Calc2!$I$4:$I$57&lt;&gt;""))</f>
        <v>1</v>
      </c>
      <c r="N17">
        <f t="array" ref="N17">SUMPRODUCT((Calc2!$F$4:$F$57=F17)*(Calc2!$H$4:$H$57&lt;Calc2!$I$4:$I$57))+SUMPRODUCT((Calc2!$G$4:$G$57=F17)*(Calc2!$H$4:$H$57&gt;Calc2!$I$4:$I$57))</f>
        <v>4</v>
      </c>
      <c r="O17">
        <f>SUMIFS(Calc2!$I$4:$I$57,Calc2!$G$4:$G$57,$F17)</f>
        <v>3</v>
      </c>
      <c r="P17">
        <f t="array" ref="P17">SUMPRODUCT((Calc2!$G$4:$G$57=F17)*(Calc2!$H$4:$H$57&lt;Calc2!$I$4:$I$57))</f>
        <v>0</v>
      </c>
      <c r="Q17">
        <f>SUMPRODUCT((F17=Calc2!$F$4:$F$57)*Calc2!$M$4:$M$57)+SUMPRODUCT((F17=Calc2!$G$4:$G$57)*Calc2!$N$4:$N$57)</f>
        <v>0</v>
      </c>
      <c r="S17" t="str">
        <f>Calc2!$C17</f>
        <v>AS Rom</v>
      </c>
      <c r="T17" s="406">
        <f>J17*Factors!$B$4+(I17+Factors!$D$5)*Factors!$B$5+G17*Factors!$B$6+O17*Factors!$B$7+L17*Factors!$B$8+P17*Factors!$B$9</f>
        <v>4490090.3099999996</v>
      </c>
      <c r="U17">
        <f>'Tie-Break'!$D19</f>
        <v>0</v>
      </c>
      <c r="V17" s="327">
        <f t="shared" si="5"/>
        <v>14.0009</v>
      </c>
    </row>
    <row r="18" spans="2:22" x14ac:dyDescent="0.25">
      <c r="B18" s="321">
        <v>15</v>
      </c>
      <c r="C18" s="336">
        <f t="shared" si="0"/>
        <v>18</v>
      </c>
      <c r="D18" s="325">
        <f t="shared" si="1"/>
        <v>18.018000000000001</v>
      </c>
      <c r="E18">
        <f t="shared" si="2"/>
        <v>18</v>
      </c>
      <c r="F18" t="str">
        <f>Calc2!$C18</f>
        <v>SKN St. Pölten</v>
      </c>
      <c r="G18">
        <f>SUMIFS(Calc2!$H$4:$H$57,Calc2!$F$4:$F$57,F18)+SUMIFS(Calc2!$I$4:$I$57,Calc2!$G$4:$G$57,$F18)</f>
        <v>3</v>
      </c>
      <c r="H18">
        <f>SUMIFS(Calc2!$I$4:$I$57,Calc2!$F$4:$F$57,$F18)+SUMIFS(Calc2!$H$4:$H$57,Calc2!$G$4:$G$57,$F18)</f>
        <v>28</v>
      </c>
      <c r="I18">
        <f t="shared" si="3"/>
        <v>-25</v>
      </c>
      <c r="J18">
        <f t="shared" si="4"/>
        <v>1</v>
      </c>
      <c r="K18">
        <f t="array" ref="K18">SUMPRODUCT((Calc2!$F$4:$F$57=F18)*(Calc2!$H$4:$H$57&lt;&gt;""))+SUMPRODUCT((Calc2!$G$4:$G$57=F18)*(Calc2!$I$4:$I$57&lt;&gt;""))</f>
        <v>6</v>
      </c>
      <c r="L18" s="325">
        <f t="array" ref="L18">SUMPRODUCT((Calc2!$F$4:$F$57=F18)*(Calc2!$H$4:$H$57&gt;Calc2!$I$4:$I$57))+SUMPRODUCT((Calc2!$G$4:$G$57=F18)*(Calc2!$H$4:$H$57&lt;Calc2!$I$4:$I$57))</f>
        <v>0</v>
      </c>
      <c r="M18">
        <f t="array" ref="M18">SUMPRODUCT((Calc2!$F$4:$G$57=F18)*(Calc2!$H$4:$H$57=Calc2!$I$4:$I$57)*(Calc2!$H$4:$H$57&lt;&gt;"")*(Calc2!$I$4:$I$57&lt;&gt;""))</f>
        <v>1</v>
      </c>
      <c r="N18">
        <f t="array" ref="N18">SUMPRODUCT((Calc2!$F$4:$F$57=F18)*(Calc2!$H$4:$H$57&lt;Calc2!$I$4:$I$57))+SUMPRODUCT((Calc2!$G$4:$G$57=F18)*(Calc2!$H$4:$H$57&gt;Calc2!$I$4:$I$57))</f>
        <v>5</v>
      </c>
      <c r="O18">
        <f>SUMIFS(Calc2!$I$4:$I$57,Calc2!$G$4:$G$57,$F18)</f>
        <v>3</v>
      </c>
      <c r="P18">
        <f t="array" ref="P18">SUMPRODUCT((Calc2!$G$4:$G$57=F18)*(Calc2!$H$4:$H$57&lt;Calc2!$I$4:$I$57))</f>
        <v>0</v>
      </c>
      <c r="Q18">
        <f>SUMPRODUCT((F18=Calc2!$F$4:$F$57)*Calc2!$M$4:$M$57)+SUMPRODUCT((F18=Calc2!$G$4:$G$57)*Calc2!$N$4:$N$57)</f>
        <v>0</v>
      </c>
      <c r="S18" t="str">
        <f>Calc2!$C18</f>
        <v>SKN St. Pölten</v>
      </c>
      <c r="T18" s="406">
        <f>J18*Factors!$B$4+(I18+Factors!$D$5)*Factors!$B$5+G18*Factors!$B$6+O18*Factors!$B$7+L18*Factors!$B$8+P18*Factors!$B$9</f>
        <v>1475030.3</v>
      </c>
      <c r="U18">
        <f>'Tie-Break'!$D20</f>
        <v>0</v>
      </c>
      <c r="V18" s="327">
        <f t="shared" si="5"/>
        <v>18.000900000000001</v>
      </c>
    </row>
    <row r="19" spans="2:22" x14ac:dyDescent="0.25">
      <c r="B19" s="321">
        <v>16</v>
      </c>
      <c r="C19" s="336">
        <f t="shared" si="0"/>
        <v>15</v>
      </c>
      <c r="D19" s="325">
        <f t="shared" si="1"/>
        <v>15.019</v>
      </c>
      <c r="E19">
        <f t="shared" si="2"/>
        <v>15</v>
      </c>
      <c r="F19" t="str">
        <f>Calc2!$C19</f>
        <v>FC Twente</v>
      </c>
      <c r="G19">
        <f>SUMIFS(Calc2!$H$4:$H$57,Calc2!$F$4:$F$57,F19)+SUMIFS(Calc2!$I$4:$I$57,Calc2!$G$4:$G$57,$F19)</f>
        <v>4</v>
      </c>
      <c r="H19">
        <f>SUMIFS(Calc2!$I$4:$I$57,Calc2!$F$4:$F$57,$F19)+SUMIFS(Calc2!$H$4:$H$57,Calc2!$G$4:$G$57,$F19)</f>
        <v>10</v>
      </c>
      <c r="I19">
        <f t="shared" si="3"/>
        <v>-6</v>
      </c>
      <c r="J19">
        <f t="shared" si="4"/>
        <v>3</v>
      </c>
      <c r="K19">
        <f t="array" ref="K19">SUMPRODUCT((Calc2!$F$4:$F$57=F19)*(Calc2!$H$4:$H$57&lt;&gt;""))+SUMPRODUCT((Calc2!$G$4:$G$57=F19)*(Calc2!$I$4:$I$57&lt;&gt;""))</f>
        <v>6</v>
      </c>
      <c r="L19" s="325">
        <f t="array" ref="L19">SUMPRODUCT((Calc2!$F$4:$F$57=F19)*(Calc2!$H$4:$H$57&gt;Calc2!$I$4:$I$57))+SUMPRODUCT((Calc2!$G$4:$G$57=F19)*(Calc2!$H$4:$H$57&lt;Calc2!$I$4:$I$57))</f>
        <v>0</v>
      </c>
      <c r="M19">
        <f t="array" ref="M19">SUMPRODUCT((Calc2!$F$4:$G$57=F19)*(Calc2!$H$4:$H$57=Calc2!$I$4:$I$57)*(Calc2!$H$4:$H$57&lt;&gt;"")*(Calc2!$I$4:$I$57&lt;&gt;""))</f>
        <v>3</v>
      </c>
      <c r="N19">
        <f t="array" ref="N19">SUMPRODUCT((Calc2!$F$4:$F$57=F19)*(Calc2!$H$4:$H$57&lt;Calc2!$I$4:$I$57))+SUMPRODUCT((Calc2!$G$4:$G$57=F19)*(Calc2!$H$4:$H$57&gt;Calc2!$I$4:$I$57))</f>
        <v>3</v>
      </c>
      <c r="O19">
        <f>SUMIFS(Calc2!$I$4:$I$57,Calc2!$G$4:$G$57,$F19)</f>
        <v>2</v>
      </c>
      <c r="P19">
        <f t="array" ref="P19">SUMPRODUCT((Calc2!$G$4:$G$57=F19)*(Calc2!$H$4:$H$57&lt;Calc2!$I$4:$I$57))</f>
        <v>0</v>
      </c>
      <c r="Q19">
        <f>SUMPRODUCT((F19=Calc2!$F$4:$F$57)*Calc2!$M$4:$M$57)+SUMPRODUCT((F19=Calc2!$G$4:$G$57)*Calc2!$N$4:$N$57)</f>
        <v>0</v>
      </c>
      <c r="S19" t="str">
        <f>Calc2!$C19</f>
        <v>FC Twente</v>
      </c>
      <c r="T19" s="406">
        <f>J19*Factors!$B$4+(I19+Factors!$D$5)*Factors!$B$5+G19*Factors!$B$6+O19*Factors!$B$7+L19*Factors!$B$8+P19*Factors!$B$9</f>
        <v>3494040.2</v>
      </c>
      <c r="U19">
        <f>'Tie-Break'!$D21</f>
        <v>0</v>
      </c>
      <c r="V19" s="327">
        <f t="shared" si="5"/>
        <v>15.0009</v>
      </c>
    </row>
    <row r="20" spans="2:22" x14ac:dyDescent="0.25">
      <c r="B20" s="321">
        <v>17</v>
      </c>
      <c r="C20" s="336">
        <f t="shared" si="0"/>
        <v>13</v>
      </c>
      <c r="D20" s="325">
        <f t="shared" si="1"/>
        <v>13.02</v>
      </c>
      <c r="E20">
        <f t="shared" si="2"/>
        <v>13</v>
      </c>
      <c r="F20" t="str">
        <f>Calc2!$C20</f>
        <v>Valerenga IF</v>
      </c>
      <c r="G20">
        <f>SUMIFS(Calc2!$H$4:$H$57,Calc2!$F$4:$F$57,F20)+SUMIFS(Calc2!$I$4:$I$57,Calc2!$G$4:$G$57,$F20)</f>
        <v>4</v>
      </c>
      <c r="H20">
        <f>SUMIFS(Calc2!$I$4:$I$57,Calc2!$F$4:$F$57,$F20)+SUMIFS(Calc2!$H$4:$H$57,Calc2!$G$4:$G$57,$F20)</f>
        <v>9</v>
      </c>
      <c r="I20">
        <f t="shared" si="3"/>
        <v>-5</v>
      </c>
      <c r="J20">
        <f t="shared" si="4"/>
        <v>4</v>
      </c>
      <c r="K20">
        <f t="array" ref="K20">SUMPRODUCT((Calc2!$F$4:$F$57=F20)*(Calc2!$H$4:$H$57&lt;&gt;""))+SUMPRODUCT((Calc2!$G$4:$G$57=F20)*(Calc2!$I$4:$I$57&lt;&gt;""))</f>
        <v>6</v>
      </c>
      <c r="L20" s="325">
        <f t="array" ref="L20">SUMPRODUCT((Calc2!$F$4:$F$57=F20)*(Calc2!$H$4:$H$57&gt;Calc2!$I$4:$I$57))+SUMPRODUCT((Calc2!$G$4:$G$57=F20)*(Calc2!$H$4:$H$57&lt;Calc2!$I$4:$I$57))</f>
        <v>1</v>
      </c>
      <c r="M20">
        <f t="array" ref="M20">SUMPRODUCT((Calc2!$F$4:$G$57=F20)*(Calc2!$H$4:$H$57=Calc2!$I$4:$I$57)*(Calc2!$H$4:$H$57&lt;&gt;"")*(Calc2!$I$4:$I$57&lt;&gt;""))</f>
        <v>1</v>
      </c>
      <c r="N20">
        <f t="array" ref="N20">SUMPRODUCT((Calc2!$F$4:$F$57=F20)*(Calc2!$H$4:$H$57&lt;Calc2!$I$4:$I$57))+SUMPRODUCT((Calc2!$G$4:$G$57=F20)*(Calc2!$H$4:$H$57&gt;Calc2!$I$4:$I$57))</f>
        <v>4</v>
      </c>
      <c r="O20">
        <f>SUMIFS(Calc2!$I$4:$I$57,Calc2!$G$4:$G$57,$F20)</f>
        <v>1</v>
      </c>
      <c r="P20">
        <f t="array" ref="P20">SUMPRODUCT((Calc2!$G$4:$G$57=F20)*(Calc2!$H$4:$H$57&lt;Calc2!$I$4:$I$57))</f>
        <v>1</v>
      </c>
      <c r="Q20">
        <f>SUMPRODUCT((F20=Calc2!$F$4:$F$57)*Calc2!$M$4:$M$57)+SUMPRODUCT((F20=Calc2!$G$4:$G$57)*Calc2!$N$4:$N$57)</f>
        <v>0</v>
      </c>
      <c r="S20" t="str">
        <f>Calc2!$C20</f>
        <v>Valerenga IF</v>
      </c>
      <c r="T20" s="406">
        <f>J20*Factors!$B$4+(I20+Factors!$D$5)*Factors!$B$5+G20*Factors!$B$6+O20*Factors!$B$7+L20*Factors!$B$8+P20*Factors!$B$9</f>
        <v>4495040.1109999996</v>
      </c>
      <c r="U20">
        <f>'Tie-Break'!$D22</f>
        <v>0</v>
      </c>
      <c r="V20" s="327">
        <f t="shared" si="5"/>
        <v>13.0009</v>
      </c>
    </row>
    <row r="21" spans="2:22" ht="15.75" thickBot="1" x14ac:dyDescent="0.3">
      <c r="B21" s="321">
        <v>18</v>
      </c>
      <c r="C21" s="337">
        <f t="shared" si="0"/>
        <v>9</v>
      </c>
      <c r="D21" s="325">
        <f t="shared" si="1"/>
        <v>9.0210000000000008</v>
      </c>
      <c r="E21">
        <f t="shared" si="2"/>
        <v>9</v>
      </c>
      <c r="F21" t="str">
        <f>Calc2!$C21</f>
        <v>VfL Wolfsburg</v>
      </c>
      <c r="G21">
        <f>SUMIFS(Calc2!$H$4:$H$57,Calc2!$F$4:$F$57,F21)+SUMIFS(Calc2!$I$4:$I$57,Calc2!$G$4:$G$57,$F21)</f>
        <v>13</v>
      </c>
      <c r="H21">
        <f>SUMIFS(Calc2!$I$4:$I$57,Calc2!$F$4:$F$57,$F21)+SUMIFS(Calc2!$H$4:$H$57,Calc2!$G$4:$G$57,$F21)</f>
        <v>10</v>
      </c>
      <c r="I21">
        <f t="shared" si="3"/>
        <v>3</v>
      </c>
      <c r="J21">
        <f t="shared" si="4"/>
        <v>9</v>
      </c>
      <c r="K21">
        <f t="array" ref="K21">SUMPRODUCT((Calc2!$F$4:$F$57=F21)*(Calc2!$H$4:$H$57&lt;&gt;""))+SUMPRODUCT((Calc2!$G$4:$G$57=F21)*(Calc2!$I$4:$I$57&lt;&gt;""))</f>
        <v>6</v>
      </c>
      <c r="L21" s="325">
        <f t="array" ref="L21">SUMPRODUCT((Calc2!$F$4:$F$57=F21)*(Calc2!$H$4:$H$57&gt;Calc2!$I$4:$I$57))+SUMPRODUCT((Calc2!$G$4:$G$57=F21)*(Calc2!$H$4:$H$57&lt;Calc2!$I$4:$I$57))</f>
        <v>3</v>
      </c>
      <c r="M21">
        <f t="array" ref="M21">SUMPRODUCT((Calc2!$F$4:$G$57=F21)*(Calc2!$H$4:$H$57=Calc2!$I$4:$I$57)*(Calc2!$H$4:$H$57&lt;&gt;"")*(Calc2!$I$4:$I$57&lt;&gt;""))</f>
        <v>0</v>
      </c>
      <c r="N21">
        <f t="array" ref="N21">SUMPRODUCT((Calc2!$F$4:$F$57=F21)*(Calc2!$H$4:$H$57&lt;Calc2!$I$4:$I$57))+SUMPRODUCT((Calc2!$G$4:$G$57=F21)*(Calc2!$H$4:$H$57&gt;Calc2!$I$4:$I$57))</f>
        <v>3</v>
      </c>
      <c r="O21">
        <f>SUMIFS(Calc2!$I$4:$I$57,Calc2!$G$4:$G$57,$F21)</f>
        <v>3</v>
      </c>
      <c r="P21">
        <f t="array" ref="P21">SUMPRODUCT((Calc2!$G$4:$G$57=F21)*(Calc2!$H$4:$H$57&lt;Calc2!$I$4:$I$57))</f>
        <v>1</v>
      </c>
      <c r="Q21">
        <f>SUMPRODUCT((F21=Calc2!$F$4:$F$57)*Calc2!$M$4:$M$57)+SUMPRODUCT((F21=Calc2!$G$4:$G$57)*Calc2!$N$4:$N$57)</f>
        <v>0</v>
      </c>
      <c r="S21" t="str">
        <f>Calc2!$C21</f>
        <v>VfL Wolfsburg</v>
      </c>
      <c r="T21" s="406">
        <f>J21*Factors!$B$4+(I21+Factors!$D$5)*Factors!$B$5+G21*Factors!$B$6+O21*Factors!$B$7+L21*Factors!$B$8+P21*Factors!$B$9</f>
        <v>9503130.3310000002</v>
      </c>
      <c r="U21">
        <f>'Tie-Break'!$D23</f>
        <v>0</v>
      </c>
      <c r="V21" s="328">
        <f t="shared" si="5"/>
        <v>9.0008999999999997</v>
      </c>
    </row>
    <row r="22" spans="2:22" ht="15.75" thickTop="1" x14ac:dyDescent="0.25">
      <c r="F22" s="421">
        <f>18-COUNTBLANK($F$4:$F$21)</f>
        <v>18</v>
      </c>
      <c r="K22" s="484">
        <f>QUOTIENT(SUM(K4:K21),2)</f>
        <v>54</v>
      </c>
    </row>
    <row r="23" spans="2:22" ht="51" customHeight="1" x14ac:dyDescent="0.25">
      <c r="F23" s="422" t="s">
        <v>234</v>
      </c>
      <c r="K23" s="483" t="s">
        <v>242</v>
      </c>
    </row>
    <row r="24" spans="2:22" x14ac:dyDescent="0.25">
      <c r="F24" s="421">
        <f>QUOTIENT($F$22,2)</f>
        <v>9</v>
      </c>
    </row>
    <row r="25" spans="2:22" ht="45" x14ac:dyDescent="0.25">
      <c r="F25" s="422" t="s">
        <v>197</v>
      </c>
    </row>
    <row r="26" spans="2:22" x14ac:dyDescent="0.25"/>
  </sheetData>
  <sheetProtection sheet="1" objects="1" scenarios="1" selectLockedCell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12"/>
  <sheetViews>
    <sheetView showGridLines="0" showRowColHeaders="0" zoomScale="85" zoomScaleNormal="85" workbookViewId="0">
      <selection activeCell="C1" sqref="C1"/>
    </sheetView>
  </sheetViews>
  <sheetFormatPr baseColWidth="10" defaultColWidth="0" defaultRowHeight="15" zeroHeight="1" x14ac:dyDescent="0.25"/>
  <cols>
    <col min="1" max="2" width="11.5703125" customWidth="1"/>
    <col min="3" max="3" width="19.28515625" bestFit="1" customWidth="1"/>
    <col min="4" max="5" width="11.5703125" customWidth="1"/>
    <col min="6" max="7" width="19.28515625" bestFit="1" customWidth="1"/>
    <col min="8" max="8" width="11.5703125" customWidth="1"/>
    <col min="9" max="9" width="8.42578125" bestFit="1" customWidth="1"/>
    <col min="10" max="10" width="34.28515625" bestFit="1" customWidth="1"/>
    <col min="11" max="15" width="11.5703125" customWidth="1"/>
    <col min="16" max="16384" width="11.5703125" hidden="1"/>
  </cols>
  <sheetData>
    <row r="1" spans="1:14" x14ac:dyDescent="0.25">
      <c r="A1">
        <v>1</v>
      </c>
    </row>
    <row r="2" spans="1:14" x14ac:dyDescent="0.25">
      <c r="A2">
        <v>2</v>
      </c>
    </row>
    <row r="3" spans="1:14" x14ac:dyDescent="0.25">
      <c r="A3">
        <v>3</v>
      </c>
      <c r="J3" s="321" t="s">
        <v>189</v>
      </c>
      <c r="K3" s="321" t="s">
        <v>190</v>
      </c>
      <c r="L3" s="321" t="s">
        <v>191</v>
      </c>
      <c r="M3" s="559" t="s">
        <v>192</v>
      </c>
      <c r="N3" s="559"/>
    </row>
    <row r="4" spans="1:14" x14ac:dyDescent="0.25">
      <c r="A4">
        <v>4</v>
      </c>
      <c r="B4" s="322" t="s">
        <v>171</v>
      </c>
      <c r="C4" s="317" t="str">
        <f>IF(Plan!$D7="","",Plan!D7)</f>
        <v>Arsenal WFC</v>
      </c>
      <c r="E4" s="338">
        <v>1</v>
      </c>
      <c r="F4" s="352" t="str">
        <f>Plan!$Q7</f>
        <v>Juventus FC</v>
      </c>
      <c r="G4" s="353" t="str">
        <f>Plan!$S7</f>
        <v>SL Benfica</v>
      </c>
      <c r="H4" s="348">
        <f>IF(AND(Results!$Q$6&gt;0,$E4-1&gt;=Results!$Q$6*Calc!$F$24),"",IF(AND(Results!$I9&lt;&gt;"",Results!$K9&lt;&gt;"",Results!$F9&lt;&gt;Results!$H9,$F4&lt;&gt;"",$G4&lt;&gt;""),Results!$I9,""))</f>
        <v>2</v>
      </c>
      <c r="I4" s="345">
        <f>IF(AND(Results!$Q$6&gt;0,$E4-1&gt;=Results!$Q$6*Calc!$F$24),"",IF(AND(Results!$I9&lt;&gt;"",Results!$K9&lt;&gt;"",Results!$F9&lt;&gt;Results!$H9,$F4&lt;&gt;"",$G4&lt;&gt;""),Results!$K9,""))</f>
        <v>1</v>
      </c>
      <c r="J4" s="352" t="str">
        <f>IF(Plan!$I7=0,F4&amp;G4,"")</f>
        <v>Juventus FCSL Benfica</v>
      </c>
      <c r="K4" s="348">
        <f>IF(AND(F4&lt;&gt;"",G4&lt;&gt;"",F4&lt;&gt;G4,H4&lt;&gt;"",I4&lt;&gt;""),1,0)</f>
        <v>1</v>
      </c>
      <c r="L4" s="345" t="str">
        <f>IF(AND(K4&gt;0,Plan!$I7=0),H4&amp;Language!$E$90&amp;I4,"")</f>
        <v>2 : 1</v>
      </c>
      <c r="M4" s="348">
        <f>IF($H4="",0,Results!$L9)</f>
        <v>0</v>
      </c>
      <c r="N4" s="345">
        <f>IF($I4="",0,Results!$M9)</f>
        <v>0</v>
      </c>
    </row>
    <row r="5" spans="1:14" x14ac:dyDescent="0.25">
      <c r="A5">
        <v>5</v>
      </c>
      <c r="B5" s="323" t="s">
        <v>172</v>
      </c>
      <c r="C5" s="318" t="str">
        <f>IF(Plan!$D8="","",Plan!D8)</f>
        <v>Atletico Madrid</v>
      </c>
      <c r="E5" s="339">
        <v>2</v>
      </c>
      <c r="F5" s="354" t="str">
        <f>Plan!$Q8</f>
        <v>Arsenal WFC</v>
      </c>
      <c r="G5" s="355" t="str">
        <f>Plan!$S8</f>
        <v>OL Lyonnes</v>
      </c>
      <c r="H5" s="346">
        <f>IF(AND(Results!$Q$6&gt;0,$E5-1&gt;=Results!$Q$6*Calc!$F$24),"",IF(AND(Results!$I10&lt;&gt;"",Results!$K10&lt;&gt;"",Results!$F10&lt;&gt;Results!$H10,$F5&lt;&gt;"",$G5&lt;&gt;""),Results!$I10,""))</f>
        <v>1</v>
      </c>
      <c r="I5" s="346">
        <f>IF(AND(Results!$Q$6&gt;0,$E5-1&gt;=Results!$Q$6*Calc!$F$24),"",IF(AND(Results!$I10&lt;&gt;"",Results!$K10&lt;&gt;"",Results!$F10&lt;&gt;Results!$H10,$F5&lt;&gt;"",$G5&lt;&gt;""),Results!$K10,""))</f>
        <v>2</v>
      </c>
      <c r="J5" s="354" t="str">
        <f>IF(Plan!$I8=0,F5&amp;G5,"")</f>
        <v>Arsenal WFCOL Lyonnes</v>
      </c>
      <c r="K5" s="349">
        <f>IF(AND(F5&lt;&gt;"",G5&lt;&gt;"",F5&lt;&gt;G5,H5&lt;&gt;"",I5&lt;&gt;""),1,0)</f>
        <v>1</v>
      </c>
      <c r="L5" s="350" t="str">
        <f>IF(AND(K5&gt;0,Plan!$I8=0),H5&amp;Language!$E$90&amp;I5,"")</f>
        <v>1 : 2</v>
      </c>
      <c r="M5" s="349">
        <f>IF($H5="",0,Results!$L10)</f>
        <v>0</v>
      </c>
      <c r="N5" s="350">
        <f>IF($I5="",0,Results!$M10)</f>
        <v>0</v>
      </c>
    </row>
    <row r="6" spans="1:14" x14ac:dyDescent="0.25">
      <c r="A6">
        <v>6</v>
      </c>
      <c r="B6" s="323" t="s">
        <v>173</v>
      </c>
      <c r="C6" s="318" t="str">
        <f>IF(Plan!$D9="","",Plan!D9)</f>
        <v>FC Barcelona</v>
      </c>
      <c r="E6" s="339">
        <v>3</v>
      </c>
      <c r="F6" s="354" t="str">
        <f>Plan!$Q9</f>
        <v>FC Barcelona</v>
      </c>
      <c r="G6" s="355" t="str">
        <f>Plan!$S9</f>
        <v>FC Bayern München</v>
      </c>
      <c r="H6" s="346">
        <f>IF(AND(Results!$Q$6&gt;0,$E6-1&gt;=Results!$Q$6*Calc!$F$24),"",IF(AND(Results!$I11&lt;&gt;"",Results!$K11&lt;&gt;"",Results!$F11&lt;&gt;Results!$H11,$F6&lt;&gt;"",$G6&lt;&gt;""),Results!$I11,""))</f>
        <v>7</v>
      </c>
      <c r="I6" s="346">
        <f>IF(AND(Results!$Q$6&gt;0,$E6-1&gt;=Results!$Q$6*Calc!$F$24),"",IF(AND(Results!$I11&lt;&gt;"",Results!$K11&lt;&gt;"",Results!$F11&lt;&gt;Results!$H11,$F6&lt;&gt;"",$G6&lt;&gt;""),Results!$K11,""))</f>
        <v>1</v>
      </c>
      <c r="J6" s="354" t="str">
        <f>IF(Plan!$I9=0,F6&amp;G6,"")</f>
        <v>FC BarcelonaFC Bayern München</v>
      </c>
      <c r="K6" s="349">
        <f t="shared" ref="K6:K57" si="0">IF(AND(F6&lt;&gt;"",G6&lt;&gt;"",F6&lt;&gt;G6,H6&lt;&gt;"",I6&lt;&gt;""),1,0)</f>
        <v>1</v>
      </c>
      <c r="L6" s="350" t="str">
        <f>IF(AND(K6&gt;0,Plan!$I9=0),H6&amp;Language!$E$90&amp;I6,"")</f>
        <v>7 : 1</v>
      </c>
      <c r="M6" s="349">
        <f>IF($H6="",0,Results!$L11)</f>
        <v>0</v>
      </c>
      <c r="N6" s="350">
        <f>IF($I6="",0,Results!$M11)</f>
        <v>0</v>
      </c>
    </row>
    <row r="7" spans="1:14" x14ac:dyDescent="0.25">
      <c r="B7" s="323" t="s">
        <v>174</v>
      </c>
      <c r="C7" s="318" t="str">
        <f>IF(Plan!$D10="","",Plan!D10)</f>
        <v>FC Bayern München</v>
      </c>
      <c r="E7" s="339">
        <v>4</v>
      </c>
      <c r="F7" s="354" t="str">
        <f>Plan!$Q10</f>
        <v>Paris FC</v>
      </c>
      <c r="G7" s="355" t="str">
        <f>Plan!$S10</f>
        <v>Oud-Heverlee Leuven</v>
      </c>
      <c r="H7" s="346">
        <f>IF(AND(Results!$Q$6&gt;0,$E7-1&gt;=Results!$Q$6*Calc!$F$24),"",IF(AND(Results!$I12&lt;&gt;"",Results!$K12&lt;&gt;"",Results!$F12&lt;&gt;Results!$H12,$F7&lt;&gt;"",$G7&lt;&gt;""),Results!$I12,""))</f>
        <v>2</v>
      </c>
      <c r="I7" s="346">
        <f>IF(AND(Results!$Q$6&gt;0,$E7-1&gt;=Results!$Q$6*Calc!$F$24),"",IF(AND(Results!$I12&lt;&gt;"",Results!$K12&lt;&gt;"",Results!$F12&lt;&gt;Results!$H12,$F7&lt;&gt;"",$G7&lt;&gt;""),Results!$K12,""))</f>
        <v>2</v>
      </c>
      <c r="J7" s="354" t="str">
        <f>IF(Plan!$I10=0,F7&amp;G7,"")</f>
        <v>Paris FCOud-Heverlee Leuven</v>
      </c>
      <c r="K7" s="349">
        <f t="shared" si="0"/>
        <v>1</v>
      </c>
      <c r="L7" s="350" t="str">
        <f>IF(AND(K7&gt;0,Plan!$I10=0),H7&amp;Language!$E$90&amp;I7,"")</f>
        <v>2 : 2</v>
      </c>
      <c r="M7" s="349">
        <f>IF($H7="",0,Results!$L12)</f>
        <v>0</v>
      </c>
      <c r="N7" s="350">
        <f>IF($I7="",0,Results!$M12)</f>
        <v>0</v>
      </c>
    </row>
    <row r="8" spans="1:14" x14ac:dyDescent="0.25">
      <c r="B8" s="323" t="s">
        <v>175</v>
      </c>
      <c r="C8" s="318" t="str">
        <f>IF(Plan!$D11="","",Plan!D11)</f>
        <v>SL Benfica</v>
      </c>
      <c r="E8" s="339">
        <v>5</v>
      </c>
      <c r="F8" s="354" t="str">
        <f>Plan!$Q11</f>
        <v>FC Twente</v>
      </c>
      <c r="G8" s="355" t="str">
        <f>Plan!$S11</f>
        <v>Chelsea FC</v>
      </c>
      <c r="H8" s="346">
        <f>IF(AND(Results!$Q$6&gt;0,$E8-1&gt;=Results!$Q$6*Calc!$F$24),"",IF(AND(Results!$I13&lt;&gt;"",Results!$K13&lt;&gt;"",Results!$F13&lt;&gt;Results!$H13,$F8&lt;&gt;"",$G8&lt;&gt;""),Results!$I13,""))</f>
        <v>1</v>
      </c>
      <c r="I8" s="346">
        <f>IF(AND(Results!$Q$6&gt;0,$E8-1&gt;=Results!$Q$6*Calc!$F$24),"",IF(AND(Results!$I13&lt;&gt;"",Results!$K13&lt;&gt;"",Results!$F13&lt;&gt;Results!$H13,$F8&lt;&gt;"",$G8&lt;&gt;""),Results!$K13,""))</f>
        <v>1</v>
      </c>
      <c r="J8" s="354" t="str">
        <f>IF(Plan!$I11=0,F8&amp;G8,"")</f>
        <v>FC TwenteChelsea FC</v>
      </c>
      <c r="K8" s="349">
        <f t="shared" si="0"/>
        <v>1</v>
      </c>
      <c r="L8" s="350" t="str">
        <f>IF(AND(K8&gt;0,Plan!$I11=0),H8&amp;Language!$E$90&amp;I8,"")</f>
        <v>1 : 1</v>
      </c>
      <c r="M8" s="349">
        <f>IF($H8="",0,Results!$L13)</f>
        <v>0</v>
      </c>
      <c r="N8" s="350">
        <f>IF($I8="",0,Results!$M13)</f>
        <v>0</v>
      </c>
    </row>
    <row r="9" spans="1:14" x14ac:dyDescent="0.25">
      <c r="B9" s="323" t="s">
        <v>176</v>
      </c>
      <c r="C9" s="318" t="str">
        <f>IF(Plan!$D12="","",Plan!D12)</f>
        <v>Chelsea FC</v>
      </c>
      <c r="E9" s="339">
        <v>6</v>
      </c>
      <c r="F9" s="354" t="str">
        <f>Plan!$Q12</f>
        <v>Real Madrid</v>
      </c>
      <c r="G9" s="355" t="str">
        <f>Plan!$S12</f>
        <v>AS Rom</v>
      </c>
      <c r="H9" s="346">
        <f>IF(AND(Results!$Q$6&gt;0,$E9-1&gt;=Results!$Q$6*Calc!$F$24),"",IF(AND(Results!$I14&lt;&gt;"",Results!$K14&lt;&gt;"",Results!$F14&lt;&gt;Results!$H14,$F9&lt;&gt;"",$G9&lt;&gt;""),Results!$I14,""))</f>
        <v>6</v>
      </c>
      <c r="I9" s="346">
        <f>IF(AND(Results!$Q$6&gt;0,$E9-1&gt;=Results!$Q$6*Calc!$F$24),"",IF(AND(Results!$I14&lt;&gt;"",Results!$K14&lt;&gt;"",Results!$F14&lt;&gt;Results!$H14,$F9&lt;&gt;"",$G9&lt;&gt;""),Results!$K14,""))</f>
        <v>2</v>
      </c>
      <c r="J9" s="354" t="str">
        <f>IF(Plan!$I12=0,F9&amp;G9,"")</f>
        <v>Real MadridAS Rom</v>
      </c>
      <c r="K9" s="349">
        <f t="shared" si="0"/>
        <v>1</v>
      </c>
      <c r="L9" s="350" t="str">
        <f>IF(AND(K9&gt;0,Plan!$I12=0),H9&amp;Language!$E$90&amp;I9,"")</f>
        <v>6 : 2</v>
      </c>
      <c r="M9" s="349">
        <f>IF($H9="",0,Results!$L14)</f>
        <v>0</v>
      </c>
      <c r="N9" s="350">
        <f>IF($I9="",0,Results!$M14)</f>
        <v>0</v>
      </c>
    </row>
    <row r="10" spans="1:14" x14ac:dyDescent="0.25">
      <c r="B10" s="323" t="s">
        <v>177</v>
      </c>
      <c r="C10" s="318" t="str">
        <f>IF(Plan!$D13="","",Plan!D13)</f>
        <v>Juventus FC</v>
      </c>
      <c r="E10" s="339">
        <v>7</v>
      </c>
      <c r="F10" s="354" t="str">
        <f>Plan!$Q13</f>
        <v>VfL Wolfsburg</v>
      </c>
      <c r="G10" s="355" t="str">
        <f>Plan!$S13</f>
        <v>Paris St. Germain</v>
      </c>
      <c r="H10" s="346">
        <f>IF(AND(Results!$Q$6&gt;0,$E10-1&gt;=Results!$Q$6*Calc!$F$24),"",IF(AND(Results!$I15&lt;&gt;"",Results!$K15&lt;&gt;"",Results!$F15&lt;&gt;Results!$H15,$F10&lt;&gt;"",$G10&lt;&gt;""),Results!$I15,""))</f>
        <v>4</v>
      </c>
      <c r="I10" s="346">
        <f>IF(AND(Results!$Q$6&gt;0,$E10-1&gt;=Results!$Q$6*Calc!$F$24),"",IF(AND(Results!$I15&lt;&gt;"",Results!$K15&lt;&gt;"",Results!$F15&lt;&gt;Results!$H15,$F10&lt;&gt;"",$G10&lt;&gt;""),Results!$K15,""))</f>
        <v>0</v>
      </c>
      <c r="J10" s="354" t="str">
        <f>IF(Plan!$I13=0,F10&amp;G10,"")</f>
        <v>VfL WolfsburgParis St. Germain</v>
      </c>
      <c r="K10" s="349">
        <f t="shared" si="0"/>
        <v>1</v>
      </c>
      <c r="L10" s="350" t="str">
        <f>IF(AND(K10&gt;0,Plan!$I13=0),H10&amp;Language!$E$90&amp;I10,"")</f>
        <v>4 : 0</v>
      </c>
      <c r="M10" s="349">
        <f>IF($H10="",0,Results!$L15)</f>
        <v>0</v>
      </c>
      <c r="N10" s="350">
        <f>IF($I10="",0,Results!$M15)</f>
        <v>0</v>
      </c>
    </row>
    <row r="11" spans="1:14" x14ac:dyDescent="0.25">
      <c r="B11" s="323" t="s">
        <v>178</v>
      </c>
      <c r="C11" s="318" t="str">
        <f>IF(Plan!$D14="","",Plan!D14)</f>
        <v>Manchester United</v>
      </c>
      <c r="E11" s="339">
        <v>8</v>
      </c>
      <c r="F11" s="354" t="str">
        <f>Plan!$Q14</f>
        <v>SKN St. Pölten</v>
      </c>
      <c r="G11" s="355" t="str">
        <f>Plan!$S14</f>
        <v>Atletico Madrid</v>
      </c>
      <c r="H11" s="346">
        <f>IF(AND(Results!$Q$6&gt;0,$E11-1&gt;=Results!$Q$6*Calc!$F$24),"",IF(AND(Results!$I16&lt;&gt;"",Results!$K16&lt;&gt;"",Results!$F16&lt;&gt;Results!$H16,$F11&lt;&gt;"",$G11&lt;&gt;""),Results!$I16,""))</f>
        <v>0</v>
      </c>
      <c r="I11" s="346">
        <f>IF(AND(Results!$Q$6&gt;0,$E11-1&gt;=Results!$Q$6*Calc!$F$24),"",IF(AND(Results!$I16&lt;&gt;"",Results!$K16&lt;&gt;"",Results!$F16&lt;&gt;Results!$H16,$F11&lt;&gt;"",$G11&lt;&gt;""),Results!$K16,""))</f>
        <v>6</v>
      </c>
      <c r="J11" s="354" t="str">
        <f>IF(Plan!$I14=0,F11&amp;G11,"")</f>
        <v>SKN St. PöltenAtletico Madrid</v>
      </c>
      <c r="K11" s="349">
        <f t="shared" si="0"/>
        <v>1</v>
      </c>
      <c r="L11" s="350" t="str">
        <f>IF(AND(K11&gt;0,Plan!$I14=0),H11&amp;Language!$E$90&amp;I11,"")</f>
        <v>0 : 6</v>
      </c>
      <c r="M11" s="349">
        <f>IF($H11="",0,Results!$L16)</f>
        <v>0</v>
      </c>
      <c r="N11" s="350">
        <f>IF($I11="",0,Results!$M16)</f>
        <v>0</v>
      </c>
    </row>
    <row r="12" spans="1:14" x14ac:dyDescent="0.25">
      <c r="B12" s="323" t="s">
        <v>179</v>
      </c>
      <c r="C12" s="318" t="str">
        <f>IF(Plan!$D15="","",Plan!D15)</f>
        <v>Oud-Heverlee Leuven</v>
      </c>
      <c r="E12" s="339">
        <v>9</v>
      </c>
      <c r="F12" s="354" t="str">
        <f>Plan!$Q15</f>
        <v>Manchester United</v>
      </c>
      <c r="G12" s="355" t="str">
        <f>Plan!$S15</f>
        <v>Valerenga IF</v>
      </c>
      <c r="H12" s="346">
        <f>IF(AND(Results!$Q$6&gt;0,$E12-1&gt;=Results!$Q$6*Calc!$F$24),"",IF(AND(Results!$I17&lt;&gt;"",Results!$K17&lt;&gt;"",Results!$F17&lt;&gt;Results!$H17,$F12&lt;&gt;"",$G12&lt;&gt;""),Results!$I17,""))</f>
        <v>1</v>
      </c>
      <c r="I12" s="346">
        <f>IF(AND(Results!$Q$6&gt;0,$E12-1&gt;=Results!$Q$6*Calc!$F$24),"",IF(AND(Results!$I17&lt;&gt;"",Results!$K17&lt;&gt;"",Results!$F17&lt;&gt;Results!$H17,$F12&lt;&gt;"",$G12&lt;&gt;""),Results!$K17,""))</f>
        <v>0</v>
      </c>
      <c r="J12" s="354" t="str">
        <f>IF(Plan!$I15=0,F12&amp;G12,"")</f>
        <v>Manchester UnitedValerenga IF</v>
      </c>
      <c r="K12" s="349">
        <f t="shared" si="0"/>
        <v>1</v>
      </c>
      <c r="L12" s="350" t="str">
        <f>IF(AND(K12&gt;0,Plan!$I15=0),H12&amp;Language!$E$90&amp;I12,"")</f>
        <v>1 : 0</v>
      </c>
      <c r="M12" s="349">
        <f>IF($H12="",0,Results!$L17)</f>
        <v>0</v>
      </c>
      <c r="N12" s="350">
        <f>IF($I12="",0,Results!$M17)</f>
        <v>0</v>
      </c>
    </row>
    <row r="13" spans="1:14" x14ac:dyDescent="0.25">
      <c r="B13" s="323" t="s">
        <v>180</v>
      </c>
      <c r="C13" s="318" t="str">
        <f>IF(Plan!$D16="","",Plan!D16)</f>
        <v>OL Lyonnes</v>
      </c>
      <c r="E13" s="339">
        <v>10</v>
      </c>
      <c r="F13" s="354" t="str">
        <f>Plan!$Q16</f>
        <v>Valerenga IF</v>
      </c>
      <c r="G13" s="355" t="str">
        <f>Plan!$S16</f>
        <v>VfL Wolfsburg</v>
      </c>
      <c r="H13" s="346">
        <f>IF(AND(Results!$Q$6&gt;0,$E13-1&gt;=Results!$Q$6*Calc!$F$24),"",IF(AND(Results!$I18&lt;&gt;"",Results!$K18&lt;&gt;"",Results!$F18&lt;&gt;Results!$H18,$F13&lt;&gt;"",$G13&lt;&gt;""),Results!$I18,""))</f>
        <v>1</v>
      </c>
      <c r="I13" s="346">
        <f>IF(AND(Results!$Q$6&gt;0,$E13-1&gt;=Results!$Q$6*Calc!$F$24),"",IF(AND(Results!$I18&lt;&gt;"",Results!$K18&lt;&gt;"",Results!$F18&lt;&gt;Results!$H18,$F13&lt;&gt;"",$G13&lt;&gt;""),Results!$K18,""))</f>
        <v>2</v>
      </c>
      <c r="J13" s="354" t="str">
        <f>IF(Plan!$I16=0,F13&amp;G13,"")</f>
        <v>Valerenga IFVfL Wolfsburg</v>
      </c>
      <c r="K13" s="349">
        <f t="shared" si="0"/>
        <v>1</v>
      </c>
      <c r="L13" s="350" t="str">
        <f>IF(AND(K13&gt;0,Plan!$I16=0),H13&amp;Language!$E$90&amp;I13,"")</f>
        <v>1 : 2</v>
      </c>
      <c r="M13" s="349">
        <f>IF($H13="",0,Results!$L18)</f>
        <v>0</v>
      </c>
      <c r="N13" s="350">
        <f>IF($I13="",0,Results!$M18)</f>
        <v>0</v>
      </c>
    </row>
    <row r="14" spans="1:14" x14ac:dyDescent="0.25">
      <c r="B14" s="323" t="s">
        <v>181</v>
      </c>
      <c r="C14" s="318" t="str">
        <f>IF(Plan!$D17="","",Plan!D17)</f>
        <v>Paris FC</v>
      </c>
      <c r="E14" s="339">
        <v>11</v>
      </c>
      <c r="F14" s="354" t="str">
        <f>Plan!$Q17</f>
        <v>OL Lyonnes</v>
      </c>
      <c r="G14" s="355" t="str">
        <f>Plan!$S17</f>
        <v>SKN St. Pölten</v>
      </c>
      <c r="H14" s="346">
        <f>IF(AND(Results!$Q$6&gt;0,$E14-1&gt;=Results!$Q$6*Calc!$F$24),"",IF(AND(Results!$I19&lt;&gt;"",Results!$K19&lt;&gt;"",Results!$F19&lt;&gt;Results!$H19,$F14&lt;&gt;"",$G14&lt;&gt;""),Results!$I19,""))</f>
        <v>3</v>
      </c>
      <c r="I14" s="346">
        <f>IF(AND(Results!$Q$6&gt;0,$E14-1&gt;=Results!$Q$6*Calc!$F$24),"",IF(AND(Results!$I19&lt;&gt;"",Results!$K19&lt;&gt;"",Results!$F19&lt;&gt;Results!$H19,$F14&lt;&gt;"",$G14&lt;&gt;""),Results!$K19,""))</f>
        <v>0</v>
      </c>
      <c r="J14" s="354" t="str">
        <f>IF(Plan!$I17=0,F14&amp;G14,"")</f>
        <v>OL LyonnesSKN St. Pölten</v>
      </c>
      <c r="K14" s="349">
        <f t="shared" si="0"/>
        <v>1</v>
      </c>
      <c r="L14" s="350" t="str">
        <f>IF(AND(K14&gt;0,Plan!$I17=0),H14&amp;Language!$E$90&amp;I14,"")</f>
        <v>3 : 0</v>
      </c>
      <c r="M14" s="349">
        <f>IF($H14="",0,Results!$L19)</f>
        <v>0</v>
      </c>
      <c r="N14" s="350">
        <f>IF($I14="",0,Results!$M19)</f>
        <v>0</v>
      </c>
    </row>
    <row r="15" spans="1:14" x14ac:dyDescent="0.25">
      <c r="B15" s="323" t="s">
        <v>182</v>
      </c>
      <c r="C15" s="318" t="str">
        <f>IF(Plan!$D18="","",Plan!D18)</f>
        <v>Paris St. Germain</v>
      </c>
      <c r="E15" s="339">
        <v>12</v>
      </c>
      <c r="F15" s="354" t="str">
        <f>Plan!$Q18</f>
        <v>Chelsea FC</v>
      </c>
      <c r="G15" s="355" t="str">
        <f>Plan!$S18</f>
        <v>Paris FC</v>
      </c>
      <c r="H15" s="346">
        <f>IF(AND(Results!$Q$6&gt;0,$E15-1&gt;=Results!$Q$6*Calc!$F$24),"",IF(AND(Results!$I20&lt;&gt;"",Results!$K20&lt;&gt;"",Results!$F20&lt;&gt;Results!$H20,$F15&lt;&gt;"",$G15&lt;&gt;""),Results!$I20,""))</f>
        <v>4</v>
      </c>
      <c r="I15" s="346">
        <f>IF(AND(Results!$Q$6&gt;0,$E15-1&gt;=Results!$Q$6*Calc!$F$24),"",IF(AND(Results!$I20&lt;&gt;"",Results!$K20&lt;&gt;"",Results!$F20&lt;&gt;Results!$H20,$F15&lt;&gt;"",$G15&lt;&gt;""),Results!$K20,""))</f>
        <v>0</v>
      </c>
      <c r="J15" s="354" t="str">
        <f>IF(Plan!$I18=0,F15&amp;G15,"")</f>
        <v>Chelsea FCParis FC</v>
      </c>
      <c r="K15" s="349">
        <f t="shared" si="0"/>
        <v>1</v>
      </c>
      <c r="L15" s="350" t="str">
        <f>IF(AND(K15&gt;0,Plan!$I18=0),H15&amp;Language!$E$90&amp;I15,"")</f>
        <v>4 : 0</v>
      </c>
      <c r="M15" s="349">
        <f>IF($H15="",0,Results!$L20)</f>
        <v>0</v>
      </c>
      <c r="N15" s="350">
        <f>IF($I15="",0,Results!$M20)</f>
        <v>0</v>
      </c>
    </row>
    <row r="16" spans="1:14" x14ac:dyDescent="0.25">
      <c r="B16" s="323" t="s">
        <v>183</v>
      </c>
      <c r="C16" s="318" t="str">
        <f>IF(Plan!$D19="","",Plan!D19)</f>
        <v>Real Madrid</v>
      </c>
      <c r="E16" s="339">
        <v>13</v>
      </c>
      <c r="F16" s="354" t="str">
        <f>Plan!$Q19</f>
        <v>AS Rom</v>
      </c>
      <c r="G16" s="355" t="str">
        <f>Plan!$S19</f>
        <v>FC Barcelona</v>
      </c>
      <c r="H16" s="346">
        <f>IF(AND(Results!$Q$6&gt;0,$E16-1&gt;=Results!$Q$6*Calc!$F$24),"",IF(AND(Results!$I21&lt;&gt;"",Results!$K21&lt;&gt;"",Results!$F21&lt;&gt;Results!$H21,$F16&lt;&gt;"",$G16&lt;&gt;""),Results!$I21,""))</f>
        <v>0</v>
      </c>
      <c r="I16" s="346">
        <f>IF(AND(Results!$Q$6&gt;0,$E16-1&gt;=Results!$Q$6*Calc!$F$24),"",IF(AND(Results!$I21&lt;&gt;"",Results!$K21&lt;&gt;"",Results!$F21&lt;&gt;Results!$H21,$F16&lt;&gt;"",$G16&lt;&gt;""),Results!$K21,""))</f>
        <v>4</v>
      </c>
      <c r="J16" s="354" t="str">
        <f>IF(Plan!$I19=0,F16&amp;G16,"")</f>
        <v>AS RomFC Barcelona</v>
      </c>
      <c r="K16" s="349">
        <f t="shared" si="0"/>
        <v>1</v>
      </c>
      <c r="L16" s="350" t="str">
        <f>IF(AND(K16&gt;0,Plan!$I19=0),H16&amp;Language!$E$90&amp;I16,"")</f>
        <v>0 : 4</v>
      </c>
      <c r="M16" s="349">
        <f>IF($H16="",0,Results!$L21)</f>
        <v>0</v>
      </c>
      <c r="N16" s="350">
        <f>IF($I16="",0,Results!$M21)</f>
        <v>0</v>
      </c>
    </row>
    <row r="17" spans="2:14" x14ac:dyDescent="0.25">
      <c r="B17" s="323" t="s">
        <v>184</v>
      </c>
      <c r="C17" s="318" t="str">
        <f>IF(Plan!$D20="","",Plan!D20)</f>
        <v>AS Rom</v>
      </c>
      <c r="E17" s="339">
        <v>14</v>
      </c>
      <c r="F17" s="354" t="str">
        <f>Plan!$Q20</f>
        <v>Oud-Heverlee Leuven</v>
      </c>
      <c r="G17" s="355" t="str">
        <f>Plan!$S20</f>
        <v>FC Twente</v>
      </c>
      <c r="H17" s="346">
        <f>IF(AND(Results!$Q$6&gt;0,$E17-1&gt;=Results!$Q$6*Calc!$F$24),"",IF(AND(Results!$I22&lt;&gt;"",Results!$K22&lt;&gt;"",Results!$F22&lt;&gt;Results!$H22,$F17&lt;&gt;"",$G17&lt;&gt;""),Results!$I22,""))</f>
        <v>2</v>
      </c>
      <c r="I17" s="346">
        <f>IF(AND(Results!$Q$6&gt;0,$E17-1&gt;=Results!$Q$6*Calc!$F$24),"",IF(AND(Results!$I22&lt;&gt;"",Results!$K22&lt;&gt;"",Results!$F22&lt;&gt;Results!$H22,$F17&lt;&gt;"",$G17&lt;&gt;""),Results!$K22,""))</f>
        <v>1</v>
      </c>
      <c r="J17" s="354" t="str">
        <f>IF(Plan!$I20=0,F17&amp;G17,"")</f>
        <v>Oud-Heverlee LeuvenFC Twente</v>
      </c>
      <c r="K17" s="349">
        <f t="shared" si="0"/>
        <v>1</v>
      </c>
      <c r="L17" s="350" t="str">
        <f>IF(AND(K17&gt;0,Plan!$I20=0),H17&amp;Language!$E$90&amp;I17,"")</f>
        <v>2 : 1</v>
      </c>
      <c r="M17" s="349">
        <f>IF($H17="",0,Results!$L22)</f>
        <v>0</v>
      </c>
      <c r="N17" s="350">
        <f>IF($I17="",0,Results!$M22)</f>
        <v>0</v>
      </c>
    </row>
    <row r="18" spans="2:14" x14ac:dyDescent="0.25">
      <c r="B18" s="323" t="s">
        <v>185</v>
      </c>
      <c r="C18" s="318" t="str">
        <f>IF(Plan!$D21="","",Plan!D21)</f>
        <v>SKN St. Pölten</v>
      </c>
      <c r="E18" s="339">
        <v>15</v>
      </c>
      <c r="F18" s="354" t="str">
        <f>Plan!$Q21</f>
        <v>Atletico Madrid</v>
      </c>
      <c r="G18" s="355" t="str">
        <f>Plan!$S21</f>
        <v>Manchester United</v>
      </c>
      <c r="H18" s="346">
        <f>IF(AND(Results!$Q$6&gt;0,$E18-1&gt;=Results!$Q$6*Calc!$F$24),"",IF(AND(Results!$I23&lt;&gt;"",Results!$K23&lt;&gt;"",Results!$F23&lt;&gt;Results!$H23,$F18&lt;&gt;"",$G18&lt;&gt;""),Results!$I23,""))</f>
        <v>0</v>
      </c>
      <c r="I18" s="346">
        <f>IF(AND(Results!$Q$6&gt;0,$E18-1&gt;=Results!$Q$6*Calc!$F$24),"",IF(AND(Results!$I23&lt;&gt;"",Results!$K23&lt;&gt;"",Results!$F23&lt;&gt;Results!$H23,$F18&lt;&gt;"",$G18&lt;&gt;""),Results!$K23,""))</f>
        <v>1</v>
      </c>
      <c r="J18" s="354" t="str">
        <f>IF(Plan!$I21=0,F18&amp;G18,"")</f>
        <v>Atletico MadridManchester United</v>
      </c>
      <c r="K18" s="349">
        <f t="shared" si="0"/>
        <v>1</v>
      </c>
      <c r="L18" s="350" t="str">
        <f>IF(AND(K18&gt;0,Plan!$I21=0),H18&amp;Language!$E$90&amp;I18,"")</f>
        <v>0 : 1</v>
      </c>
      <c r="M18" s="349">
        <f>IF($H18="",0,Results!$L23)</f>
        <v>0</v>
      </c>
      <c r="N18" s="350">
        <f>IF($I18="",0,Results!$M23)</f>
        <v>0</v>
      </c>
    </row>
    <row r="19" spans="2:14" x14ac:dyDescent="0.25">
      <c r="B19" s="323" t="s">
        <v>186</v>
      </c>
      <c r="C19" s="318" t="str">
        <f>IF(Plan!$D22="","",Plan!D22)</f>
        <v>FC Twente</v>
      </c>
      <c r="E19" s="339">
        <v>16</v>
      </c>
      <c r="F19" s="354" t="str">
        <f>Plan!$Q22</f>
        <v>SL Benfica</v>
      </c>
      <c r="G19" s="355" t="str">
        <f>Plan!$S22</f>
        <v>Arsenal WFC</v>
      </c>
      <c r="H19" s="346">
        <f>IF(AND(Results!$Q$6&gt;0,$E19-1&gt;=Results!$Q$6*Calc!$F$24),"",IF(AND(Results!$I24&lt;&gt;"",Results!$K24&lt;&gt;"",Results!$F24&lt;&gt;Results!$H24,$F19&lt;&gt;"",$G19&lt;&gt;""),Results!$I24,""))</f>
        <v>0</v>
      </c>
      <c r="I19" s="346">
        <f>IF(AND(Results!$Q$6&gt;0,$E19-1&gt;=Results!$Q$6*Calc!$F$24),"",IF(AND(Results!$I24&lt;&gt;"",Results!$K24&lt;&gt;"",Results!$F24&lt;&gt;Results!$H24,$F19&lt;&gt;"",$G19&lt;&gt;""),Results!$K24,""))</f>
        <v>2</v>
      </c>
      <c r="J19" s="354" t="str">
        <f>IF(Plan!$I22=0,F19&amp;G19,"")</f>
        <v>SL BenficaArsenal WFC</v>
      </c>
      <c r="K19" s="349">
        <f t="shared" si="0"/>
        <v>1</v>
      </c>
      <c r="L19" s="350" t="str">
        <f>IF(AND(K19&gt;0,Plan!$I22=0),H19&amp;Language!$E$90&amp;I19,"")</f>
        <v>0 : 2</v>
      </c>
      <c r="M19" s="349">
        <f>IF($H19="",0,Results!$L24)</f>
        <v>0</v>
      </c>
      <c r="N19" s="350">
        <f>IF($I19="",0,Results!$M24)</f>
        <v>0</v>
      </c>
    </row>
    <row r="20" spans="2:14" x14ac:dyDescent="0.25">
      <c r="B20" s="323" t="s">
        <v>187</v>
      </c>
      <c r="C20" s="318" t="str">
        <f>IF(Plan!$D23="","",Plan!D23)</f>
        <v>Valerenga IF</v>
      </c>
      <c r="E20" s="339">
        <v>17</v>
      </c>
      <c r="F20" s="354" t="str">
        <f>Plan!$Q23</f>
        <v>FC Bayern München</v>
      </c>
      <c r="G20" s="355" t="str">
        <f>Plan!$S23</f>
        <v>Juventus FC</v>
      </c>
      <c r="H20" s="346">
        <f>IF(AND(Results!$Q$6&gt;0,$E20-1&gt;=Results!$Q$6*Calc!$F$24),"",IF(AND(Results!$I25&lt;&gt;"",Results!$K25&lt;&gt;"",Results!$F25&lt;&gt;Results!$H25,$F20&lt;&gt;"",$G20&lt;&gt;""),Results!$I25,""))</f>
        <v>2</v>
      </c>
      <c r="I20" s="346">
        <f>IF(AND(Results!$Q$6&gt;0,$E20-1&gt;=Results!$Q$6*Calc!$F$24),"",IF(AND(Results!$I25&lt;&gt;"",Results!$K25&lt;&gt;"",Results!$F25&lt;&gt;Results!$H25,$F20&lt;&gt;"",$G20&lt;&gt;""),Results!$K25,""))</f>
        <v>1</v>
      </c>
      <c r="J20" s="354" t="str">
        <f>IF(Plan!$I23=0,F20&amp;G20,"")</f>
        <v>FC Bayern MünchenJuventus FC</v>
      </c>
      <c r="K20" s="349">
        <f t="shared" si="0"/>
        <v>1</v>
      </c>
      <c r="L20" s="350" t="str">
        <f>IF(AND(K20&gt;0,Plan!$I23=0),H20&amp;Language!$E$90&amp;I20,"")</f>
        <v>2 : 1</v>
      </c>
      <c r="M20" s="349">
        <f>IF($H20="",0,Results!$L25)</f>
        <v>0</v>
      </c>
      <c r="N20" s="350">
        <f>IF($I20="",0,Results!$M25)</f>
        <v>0</v>
      </c>
    </row>
    <row r="21" spans="2:14" x14ac:dyDescent="0.25">
      <c r="B21" s="324" t="s">
        <v>188</v>
      </c>
      <c r="C21" s="320" t="str">
        <f>IF(Plan!$D24="","",Plan!D24)</f>
        <v>VfL Wolfsburg</v>
      </c>
      <c r="E21" s="340">
        <v>18</v>
      </c>
      <c r="F21" s="354" t="str">
        <f>Plan!$Q24</f>
        <v>Paris St. Germain</v>
      </c>
      <c r="G21" s="355" t="str">
        <f>Plan!$S24</f>
        <v>Real Madrid</v>
      </c>
      <c r="H21" s="346">
        <f>IF(AND(Results!$Q$6&gt;0,$E21-1&gt;=Results!$Q$6*Calc!$F$24),"",IF(AND(Results!$I26&lt;&gt;"",Results!$K26&lt;&gt;"",Results!$F26&lt;&gt;Results!$H26,$F21&lt;&gt;"",$G21&lt;&gt;""),Results!$I26,""))</f>
        <v>1</v>
      </c>
      <c r="I21" s="346">
        <f>IF(AND(Results!$Q$6&gt;0,$E21-1&gt;=Results!$Q$6*Calc!$F$24),"",IF(AND(Results!$I26&lt;&gt;"",Results!$K26&lt;&gt;"",Results!$F26&lt;&gt;Results!$H26,$F21&lt;&gt;"",$G21&lt;&gt;""),Results!$K26,""))</f>
        <v>2</v>
      </c>
      <c r="J21" s="354" t="str">
        <f>IF(Plan!$I24=0,F21&amp;G21,"")</f>
        <v>Paris St. GermainReal Madrid</v>
      </c>
      <c r="K21" s="349">
        <f t="shared" si="0"/>
        <v>1</v>
      </c>
      <c r="L21" s="350" t="str">
        <f>IF(AND(K21&gt;0,Plan!$I24=0),H21&amp;Language!$E$90&amp;I21,"")</f>
        <v>1 : 2</v>
      </c>
      <c r="M21" s="349">
        <f>IF($H21="",0,Results!$L26)</f>
        <v>0</v>
      </c>
      <c r="N21" s="350">
        <f>IF($I21="",0,Results!$M26)</f>
        <v>0</v>
      </c>
    </row>
    <row r="22" spans="2:14" x14ac:dyDescent="0.25">
      <c r="E22" s="341">
        <v>19</v>
      </c>
      <c r="F22" s="354" t="str">
        <f>Plan!$Q25</f>
        <v>AS Rom</v>
      </c>
      <c r="G22" s="355" t="str">
        <f>Plan!$S25</f>
        <v>Valerenga IF</v>
      </c>
      <c r="H22" s="346">
        <f>IF(AND(Results!$Q$6&gt;0,$E22-1&gt;=Results!$Q$6*Calc!$F$24),"",IF(AND(Results!$I27&lt;&gt;"",Results!$K27&lt;&gt;"",Results!$F27&lt;&gt;Results!$H27,$F22&lt;&gt;"",$G22&lt;&gt;""),Results!$I27,""))</f>
        <v>0</v>
      </c>
      <c r="I22" s="346">
        <f>IF(AND(Results!$Q$6&gt;0,$E22-1&gt;=Results!$Q$6*Calc!$F$24),"",IF(AND(Results!$I27&lt;&gt;"",Results!$K27&lt;&gt;"",Results!$F27&lt;&gt;Results!$H27,$F22&lt;&gt;"",$G22&lt;&gt;""),Results!$K27,""))</f>
        <v>1</v>
      </c>
      <c r="J22" s="354" t="str">
        <f>IF(Plan!$I25=0,F22&amp;G22,"")</f>
        <v>AS RomValerenga IF</v>
      </c>
      <c r="K22" s="349">
        <f t="shared" si="0"/>
        <v>1</v>
      </c>
      <c r="L22" s="350" t="str">
        <f>IF(AND(K22&gt;0,Plan!$I25=0),H22&amp;Language!$E$90&amp;I22,"")</f>
        <v>0 : 1</v>
      </c>
      <c r="M22" s="349">
        <f>IF($H22="",0,Results!$L27)</f>
        <v>0</v>
      </c>
      <c r="N22" s="350">
        <f>IF($I22="",0,Results!$M27)</f>
        <v>0</v>
      </c>
    </row>
    <row r="23" spans="2:14" x14ac:dyDescent="0.25">
      <c r="E23" s="341">
        <v>20</v>
      </c>
      <c r="F23" s="354" t="str">
        <f>Plan!$Q26</f>
        <v>OL Lyonnes</v>
      </c>
      <c r="G23" s="355" t="str">
        <f>Plan!$S26</f>
        <v>VfL Wolfsburg</v>
      </c>
      <c r="H23" s="346">
        <f>IF(AND(Results!$Q$6&gt;0,$E23-1&gt;=Results!$Q$6*Calc!$F$24),"",IF(AND(Results!$I28&lt;&gt;"",Results!$K28&lt;&gt;"",Results!$F28&lt;&gt;Results!$H28,$F23&lt;&gt;"",$G23&lt;&gt;""),Results!$I28,""))</f>
        <v>3</v>
      </c>
      <c r="I23" s="346">
        <f>IF(AND(Results!$Q$6&gt;0,$E23-1&gt;=Results!$Q$6*Calc!$F$24),"",IF(AND(Results!$I28&lt;&gt;"",Results!$K28&lt;&gt;"",Results!$F28&lt;&gt;Results!$H28,$F23&lt;&gt;"",$G23&lt;&gt;""),Results!$K28,""))</f>
        <v>1</v>
      </c>
      <c r="J23" s="354" t="str">
        <f>IF(Plan!$I26=0,F23&amp;G23,"")</f>
        <v>OL LyonnesVfL Wolfsburg</v>
      </c>
      <c r="K23" s="349">
        <f t="shared" si="0"/>
        <v>1</v>
      </c>
      <c r="L23" s="350" t="str">
        <f>IF(AND(K23&gt;0,Plan!$I26=0),H23&amp;Language!$E$90&amp;I23,"")</f>
        <v>3 : 1</v>
      </c>
      <c r="M23" s="349">
        <f>IF($H23="",0,Results!$L28)</f>
        <v>0</v>
      </c>
      <c r="N23" s="350">
        <f>IF($I23="",0,Results!$M28)</f>
        <v>0</v>
      </c>
    </row>
    <row r="24" spans="2:14" x14ac:dyDescent="0.25">
      <c r="E24" s="341">
        <v>21</v>
      </c>
      <c r="F24" s="354" t="str">
        <f>Plan!$Q27</f>
        <v>SKN St. Pölten</v>
      </c>
      <c r="G24" s="355" t="str">
        <f>Plan!$S27</f>
        <v>Chelsea FC</v>
      </c>
      <c r="H24" s="346">
        <f>IF(AND(Results!$Q$6&gt;0,$E24-1&gt;=Results!$Q$6*Calc!$F$24),"",IF(AND(Results!$I29&lt;&gt;"",Results!$K29&lt;&gt;"",Results!$F29&lt;&gt;Results!$H29,$F24&lt;&gt;"",$G24&lt;&gt;""),Results!$I29,""))</f>
        <v>0</v>
      </c>
      <c r="I24" s="346">
        <f>IF(AND(Results!$Q$6&gt;0,$E24-1&gt;=Results!$Q$6*Calc!$F$24),"",IF(AND(Results!$I29&lt;&gt;"",Results!$K29&lt;&gt;"",Results!$F29&lt;&gt;Results!$H29,$F24&lt;&gt;"",$G24&lt;&gt;""),Results!$K29,""))</f>
        <v>6</v>
      </c>
      <c r="J24" s="354" t="str">
        <f>IF(Plan!$I27=0,F24&amp;G24,"")</f>
        <v>SKN St. PöltenChelsea FC</v>
      </c>
      <c r="K24" s="349">
        <f t="shared" si="0"/>
        <v>1</v>
      </c>
      <c r="L24" s="350" t="str">
        <f>IF(AND(K24&gt;0,Plan!$I27=0),H24&amp;Language!$E$90&amp;I24,"")</f>
        <v>0 : 6</v>
      </c>
      <c r="M24" s="349">
        <f>IF($H24="",0,Results!$L29)</f>
        <v>0</v>
      </c>
      <c r="N24" s="350">
        <f>IF($I24="",0,Results!$M29)</f>
        <v>0</v>
      </c>
    </row>
    <row r="25" spans="2:14" x14ac:dyDescent="0.25">
      <c r="E25" s="341">
        <v>22</v>
      </c>
      <c r="F25" s="354" t="str">
        <f>Plan!$Q28</f>
        <v>Real Madrid</v>
      </c>
      <c r="G25" s="355" t="str">
        <f>Plan!$S28</f>
        <v>Paris FC</v>
      </c>
      <c r="H25" s="346">
        <f>IF(AND(Results!$Q$6&gt;0,$E25-1&gt;=Results!$Q$6*Calc!$F$24),"",IF(AND(Results!$I30&lt;&gt;"",Results!$K30&lt;&gt;"",Results!$F30&lt;&gt;Results!$H30,$F25&lt;&gt;"",$G25&lt;&gt;""),Results!$I30,""))</f>
        <v>1</v>
      </c>
      <c r="I25" s="346">
        <f>IF(AND(Results!$Q$6&gt;0,$E25-1&gt;=Results!$Q$6*Calc!$F$24),"",IF(AND(Results!$I30&lt;&gt;"",Results!$K30&lt;&gt;"",Results!$F30&lt;&gt;Results!$H30,$F25&lt;&gt;"",$G25&lt;&gt;""),Results!$K30,""))</f>
        <v>1</v>
      </c>
      <c r="J25" s="354" t="str">
        <f>IF(Plan!$I28=0,F25&amp;G25,"")</f>
        <v>Real MadridParis FC</v>
      </c>
      <c r="K25" s="349">
        <f t="shared" si="0"/>
        <v>1</v>
      </c>
      <c r="L25" s="350" t="str">
        <f>IF(AND(K25&gt;0,Plan!$I28=0),H25&amp;Language!$E$90&amp;I25,"")</f>
        <v>1 : 1</v>
      </c>
      <c r="M25" s="349">
        <f>IF($H25="",0,Results!$L30)</f>
        <v>0</v>
      </c>
      <c r="N25" s="350">
        <f>IF($I25="",0,Results!$M30)</f>
        <v>0</v>
      </c>
    </row>
    <row r="26" spans="2:14" x14ac:dyDescent="0.25">
      <c r="E26" s="341">
        <v>23</v>
      </c>
      <c r="F26" s="354" t="str">
        <f>Plan!$Q29</f>
        <v>FC Bayern München</v>
      </c>
      <c r="G26" s="355" t="str">
        <f>Plan!$S29</f>
        <v>Arsenal WFC</v>
      </c>
      <c r="H26" s="346">
        <f>IF(AND(Results!$Q$6&gt;0,$E26-1&gt;=Results!$Q$6*Calc!$F$24),"",IF(AND(Results!$I31&lt;&gt;"",Results!$K31&lt;&gt;"",Results!$F31&lt;&gt;Results!$H31,$F26&lt;&gt;"",$G26&lt;&gt;""),Results!$I31,""))</f>
        <v>3</v>
      </c>
      <c r="I26" s="346">
        <f>IF(AND(Results!$Q$6&gt;0,$E26-1&gt;=Results!$Q$6*Calc!$F$24),"",IF(AND(Results!$I31&lt;&gt;"",Results!$K31&lt;&gt;"",Results!$F31&lt;&gt;Results!$H31,$F26&lt;&gt;"",$G26&lt;&gt;""),Results!$K31,""))</f>
        <v>2</v>
      </c>
      <c r="J26" s="354" t="str">
        <f>IF(Plan!$I29=0,F26&amp;G26,"")</f>
        <v>FC Bayern MünchenArsenal WFC</v>
      </c>
      <c r="K26" s="349">
        <f t="shared" si="0"/>
        <v>1</v>
      </c>
      <c r="L26" s="350" t="str">
        <f>IF(AND(K26&gt;0,Plan!$I29=0),H26&amp;Language!$E$90&amp;I26,"")</f>
        <v>3 : 2</v>
      </c>
      <c r="M26" s="349">
        <f>IF($H26="",0,Results!$L31)</f>
        <v>0</v>
      </c>
      <c r="N26" s="350">
        <f>IF($I26="",0,Results!$M31)</f>
        <v>0</v>
      </c>
    </row>
    <row r="27" spans="2:14" x14ac:dyDescent="0.25">
      <c r="E27" s="341">
        <v>24</v>
      </c>
      <c r="F27" s="354" t="str">
        <f>Plan!$Q30</f>
        <v>FC Barcelona</v>
      </c>
      <c r="G27" s="355" t="str">
        <f>Plan!$S30</f>
        <v>Oud-Heverlee Leuven</v>
      </c>
      <c r="H27" s="346">
        <f>IF(AND(Results!$Q$6&gt;0,$E27-1&gt;=Results!$Q$6*Calc!$F$24),"",IF(AND(Results!$I32&lt;&gt;"",Results!$K32&lt;&gt;"",Results!$F32&lt;&gt;Results!$H32,$F27&lt;&gt;"",$G27&lt;&gt;""),Results!$I32,""))</f>
        <v>3</v>
      </c>
      <c r="I27" s="346">
        <f>IF(AND(Results!$Q$6&gt;0,$E27-1&gt;=Results!$Q$6*Calc!$F$24),"",IF(AND(Results!$I32&lt;&gt;"",Results!$K32&lt;&gt;"",Results!$F32&lt;&gt;Results!$H32,$F27&lt;&gt;"",$G27&lt;&gt;""),Results!$K32,""))</f>
        <v>0</v>
      </c>
      <c r="J27" s="354" t="str">
        <f>IF(Plan!$I30=0,F27&amp;G27,"")</f>
        <v>FC BarcelonaOud-Heverlee Leuven</v>
      </c>
      <c r="K27" s="349">
        <f t="shared" si="0"/>
        <v>1</v>
      </c>
      <c r="L27" s="350" t="str">
        <f>IF(AND(K27&gt;0,Plan!$I30=0),H27&amp;Language!$E$90&amp;I27,"")</f>
        <v>3 : 0</v>
      </c>
      <c r="M27" s="349">
        <f>IF($H27="",0,Results!$L32)</f>
        <v>0</v>
      </c>
      <c r="N27" s="350">
        <f>IF($I27="",0,Results!$M32)</f>
        <v>0</v>
      </c>
    </row>
    <row r="28" spans="2:14" x14ac:dyDescent="0.25">
      <c r="E28" s="341">
        <v>25</v>
      </c>
      <c r="F28" s="354" t="str">
        <f>Plan!$Q31</f>
        <v>Manchester United</v>
      </c>
      <c r="G28" s="355" t="str">
        <f>Plan!$S31</f>
        <v>Paris St. Germain</v>
      </c>
      <c r="H28" s="346">
        <f>IF(AND(Results!$Q$6&gt;0,$E28-1&gt;=Results!$Q$6*Calc!$F$24),"",IF(AND(Results!$I33&lt;&gt;"",Results!$K33&lt;&gt;"",Results!$F33&lt;&gt;Results!$H33,$F28&lt;&gt;"",$G28&lt;&gt;""),Results!$I33,""))</f>
        <v>2</v>
      </c>
      <c r="I28" s="346">
        <f>IF(AND(Results!$Q$6&gt;0,$E28-1&gt;=Results!$Q$6*Calc!$F$24),"",IF(AND(Results!$I33&lt;&gt;"",Results!$K33&lt;&gt;"",Results!$F33&lt;&gt;Results!$H33,$F28&lt;&gt;"",$G28&lt;&gt;""),Results!$K33,""))</f>
        <v>1</v>
      </c>
      <c r="J28" s="354" t="str">
        <f>IF(Plan!$I31=0,F28&amp;G28,"")</f>
        <v>Manchester UnitedParis St. Germain</v>
      </c>
      <c r="K28" s="349">
        <f t="shared" si="0"/>
        <v>1</v>
      </c>
      <c r="L28" s="350" t="str">
        <f>IF(AND(K28&gt;0,Plan!$I31=0),H28&amp;Language!$E$90&amp;I28,"")</f>
        <v>2 : 1</v>
      </c>
      <c r="M28" s="349">
        <f>IF($H28="",0,Results!$L33)</f>
        <v>0</v>
      </c>
      <c r="N28" s="350">
        <f>IF($I28="",0,Results!$M33)</f>
        <v>0</v>
      </c>
    </row>
    <row r="29" spans="2:14" x14ac:dyDescent="0.25">
      <c r="E29" s="341">
        <v>26</v>
      </c>
      <c r="F29" s="354" t="str">
        <f>Plan!$Q32</f>
        <v>Atletico Madrid</v>
      </c>
      <c r="G29" s="355" t="str">
        <f>Plan!$S32</f>
        <v>Juventus FC</v>
      </c>
      <c r="H29" s="346">
        <f>IF(AND(Results!$Q$6&gt;0,$E29-1&gt;=Results!$Q$6*Calc!$F$24),"",IF(AND(Results!$I34&lt;&gt;"",Results!$K34&lt;&gt;"",Results!$F34&lt;&gt;Results!$H34,$F29&lt;&gt;"",$G29&lt;&gt;""),Results!$I34,""))</f>
        <v>1</v>
      </c>
      <c r="I29" s="346">
        <f>IF(AND(Results!$Q$6&gt;0,$E29-1&gt;=Results!$Q$6*Calc!$F$24),"",IF(AND(Results!$I34&lt;&gt;"",Results!$K34&lt;&gt;"",Results!$F34&lt;&gt;Results!$H34,$F29&lt;&gt;"",$G29&lt;&gt;""),Results!$K34,""))</f>
        <v>2</v>
      </c>
      <c r="J29" s="354" t="str">
        <f>IF(Plan!$I32=0,F29&amp;G29,"")</f>
        <v>Atletico MadridJuventus FC</v>
      </c>
      <c r="K29" s="349">
        <f t="shared" si="0"/>
        <v>1</v>
      </c>
      <c r="L29" s="350" t="str">
        <f>IF(AND(K29&gt;0,Plan!$I32=0),H29&amp;Language!$E$90&amp;I29,"")</f>
        <v>1 : 2</v>
      </c>
      <c r="M29" s="349">
        <f>IF($H29="",0,Results!$L34)</f>
        <v>0</v>
      </c>
      <c r="N29" s="350">
        <f>IF($I29="",0,Results!$M34)</f>
        <v>0</v>
      </c>
    </row>
    <row r="30" spans="2:14" x14ac:dyDescent="0.25">
      <c r="E30" s="341">
        <v>27</v>
      </c>
      <c r="F30" s="354" t="str">
        <f>Plan!$Q33</f>
        <v>SL Benfica</v>
      </c>
      <c r="G30" s="355" t="str">
        <f>Plan!$S33</f>
        <v>FC Twente</v>
      </c>
      <c r="H30" s="346">
        <f>IF(AND(Results!$Q$6&gt;0,$E30-1&gt;=Results!$Q$6*Calc!$F$24),"",IF(AND(Results!$I35&lt;&gt;"",Results!$K35&lt;&gt;"",Results!$F35&lt;&gt;Results!$H35,$F30&lt;&gt;"",$G30&lt;&gt;""),Results!$I35,""))</f>
        <v>1</v>
      </c>
      <c r="I30" s="346">
        <f>IF(AND(Results!$Q$6&gt;0,$E30-1&gt;=Results!$Q$6*Calc!$F$24),"",IF(AND(Results!$I35&lt;&gt;"",Results!$K35&lt;&gt;"",Results!$F35&lt;&gt;Results!$H35,$F30&lt;&gt;"",$G30&lt;&gt;""),Results!$K35,""))</f>
        <v>1</v>
      </c>
      <c r="J30" s="354" t="str">
        <f>IF(Plan!$I33=0,F30&amp;G30,"")</f>
        <v>SL BenficaFC Twente</v>
      </c>
      <c r="K30" s="349">
        <f t="shared" si="0"/>
        <v>1</v>
      </c>
      <c r="L30" s="350" t="str">
        <f>IF(AND(K30&gt;0,Plan!$I33=0),H30&amp;Language!$E$90&amp;I30,"")</f>
        <v>1 : 1</v>
      </c>
      <c r="M30" s="349">
        <f>IF($H30="",0,Results!$L35)</f>
        <v>0</v>
      </c>
      <c r="N30" s="350">
        <f>IF($I30="",0,Results!$M35)</f>
        <v>0</v>
      </c>
    </row>
    <row r="31" spans="2:14" x14ac:dyDescent="0.25">
      <c r="E31" s="341">
        <v>28</v>
      </c>
      <c r="F31" s="354" t="str">
        <f>Plan!$Q34</f>
        <v>VfL Wolfsburg</v>
      </c>
      <c r="G31" s="355" t="str">
        <f>Plan!$S34</f>
        <v>Manchester United</v>
      </c>
      <c r="H31" s="346">
        <f>IF(AND(Results!$Q$6&gt;0,$E31-1&gt;=Results!$Q$6*Calc!$F$24),"",IF(AND(Results!$I36&lt;&gt;"",Results!$K36&lt;&gt;"",Results!$F36&lt;&gt;Results!$H36,$F31&lt;&gt;"",$G31&lt;&gt;""),Results!$I36,""))</f>
        <v>5</v>
      </c>
      <c r="I31" s="346">
        <f>IF(AND(Results!$Q$6&gt;0,$E31-1&gt;=Results!$Q$6*Calc!$F$24),"",IF(AND(Results!$I36&lt;&gt;"",Results!$K36&lt;&gt;"",Results!$F36&lt;&gt;Results!$H36,$F31&lt;&gt;"",$G31&lt;&gt;""),Results!$K36,""))</f>
        <v>2</v>
      </c>
      <c r="J31" s="354" t="str">
        <f>IF(Plan!$I34=0,F31&amp;G31,"")</f>
        <v>VfL WolfsburgManchester United</v>
      </c>
      <c r="K31" s="349">
        <f t="shared" si="0"/>
        <v>1</v>
      </c>
      <c r="L31" s="350" t="str">
        <f>IF(AND(K31&gt;0,Plan!$I34=0),H31&amp;Language!$E$90&amp;I31,"")</f>
        <v>5 : 2</v>
      </c>
      <c r="M31" s="349">
        <f>IF($H31="",0,Results!$L36)</f>
        <v>0</v>
      </c>
      <c r="N31" s="350">
        <f>IF($I31="",0,Results!$M36)</f>
        <v>0</v>
      </c>
    </row>
    <row r="32" spans="2:14" x14ac:dyDescent="0.25">
      <c r="E32" s="341">
        <v>29</v>
      </c>
      <c r="F32" s="354" t="str">
        <f>Plan!$Q35</f>
        <v>Juventus FC</v>
      </c>
      <c r="G32" s="355" t="str">
        <f>Plan!$S35</f>
        <v>OL Lyonnes</v>
      </c>
      <c r="H32" s="346">
        <f>IF(AND(Results!$Q$6&gt;0,$E32-1&gt;=Results!$Q$6*Calc!$F$24),"",IF(AND(Results!$I37&lt;&gt;"",Results!$K37&lt;&gt;"",Results!$F37&lt;&gt;Results!$H37,$F32&lt;&gt;"",$G32&lt;&gt;""),Results!$I37,""))</f>
        <v>3</v>
      </c>
      <c r="I32" s="346">
        <f>IF(AND(Results!$Q$6&gt;0,$E32-1&gt;=Results!$Q$6*Calc!$F$24),"",IF(AND(Results!$I37&lt;&gt;"",Results!$K37&lt;&gt;"",Results!$F37&lt;&gt;Results!$H37,$F32&lt;&gt;"",$G32&lt;&gt;""),Results!$K37,""))</f>
        <v>3</v>
      </c>
      <c r="J32" s="354" t="str">
        <f>IF(Plan!$I35=0,F32&amp;G32,"")</f>
        <v>Juventus FCOL Lyonnes</v>
      </c>
      <c r="K32" s="349">
        <f t="shared" si="0"/>
        <v>1</v>
      </c>
      <c r="L32" s="350" t="str">
        <f>IF(AND(K32&gt;0,Plan!$I35=0),H32&amp;Language!$E$90&amp;I32,"")</f>
        <v>3 : 3</v>
      </c>
      <c r="M32" s="349">
        <f>IF($H32="",0,Results!$L37)</f>
        <v>0</v>
      </c>
      <c r="N32" s="350">
        <f>IF($I32="",0,Results!$M37)</f>
        <v>0</v>
      </c>
    </row>
    <row r="33" spans="5:14" x14ac:dyDescent="0.25">
      <c r="E33" s="341">
        <v>30</v>
      </c>
      <c r="F33" s="354" t="str">
        <f>Plan!$Q36</f>
        <v>Arsenal WFC</v>
      </c>
      <c r="G33" s="355" t="str">
        <f>Plan!$S36</f>
        <v>Real Madrid</v>
      </c>
      <c r="H33" s="346">
        <f>IF(AND(Results!$Q$6&gt;0,$E33-1&gt;=Results!$Q$6*Calc!$F$24),"",IF(AND(Results!$I38&lt;&gt;"",Results!$K38&lt;&gt;"",Results!$F38&lt;&gt;Results!$H38,$F33&lt;&gt;"",$G33&lt;&gt;""),Results!$I38,""))</f>
        <v>2</v>
      </c>
      <c r="I33" s="346">
        <f>IF(AND(Results!$Q$6&gt;0,$E33-1&gt;=Results!$Q$6*Calc!$F$24),"",IF(AND(Results!$I38&lt;&gt;"",Results!$K38&lt;&gt;"",Results!$F38&lt;&gt;Results!$H38,$F33&lt;&gt;"",$G33&lt;&gt;""),Results!$K38,""))</f>
        <v>1</v>
      </c>
      <c r="J33" s="354" t="str">
        <f>IF(Plan!$I36=0,F33&amp;G33,"")</f>
        <v>Arsenal WFCReal Madrid</v>
      </c>
      <c r="K33" s="349">
        <f t="shared" si="0"/>
        <v>1</v>
      </c>
      <c r="L33" s="350" t="str">
        <f>IF(AND(K33&gt;0,Plan!$I36=0),H33&amp;Language!$E$90&amp;I33,"")</f>
        <v>2 : 1</v>
      </c>
      <c r="M33" s="349">
        <f>IF($H33="",0,Results!$L38)</f>
        <v>0</v>
      </c>
      <c r="N33" s="350">
        <f>IF($I33="",0,Results!$M38)</f>
        <v>0</v>
      </c>
    </row>
    <row r="34" spans="5:14" x14ac:dyDescent="0.25">
      <c r="E34" s="341">
        <v>31</v>
      </c>
      <c r="F34" s="354" t="str">
        <f>Plan!$Q37</f>
        <v>Paris FC</v>
      </c>
      <c r="G34" s="355" t="str">
        <f>Plan!$S37</f>
        <v>SL Benfica</v>
      </c>
      <c r="H34" s="346">
        <f>IF(AND(Results!$Q$6&gt;0,$E34-1&gt;=Results!$Q$6*Calc!$F$24),"",IF(AND(Results!$I39&lt;&gt;"",Results!$K39&lt;&gt;"",Results!$F39&lt;&gt;Results!$H39,$F34&lt;&gt;"",$G34&lt;&gt;""),Results!$I39,""))</f>
        <v>2</v>
      </c>
      <c r="I34" s="346">
        <f>IF(AND(Results!$Q$6&gt;0,$E34-1&gt;=Results!$Q$6*Calc!$F$24),"",IF(AND(Results!$I39&lt;&gt;"",Results!$K39&lt;&gt;"",Results!$F39&lt;&gt;Results!$H39,$F34&lt;&gt;"",$G34&lt;&gt;""),Results!$K39,""))</f>
        <v>0</v>
      </c>
      <c r="J34" s="354" t="str">
        <f>IF(Plan!$I37=0,F34&amp;G34,"")</f>
        <v>Paris FCSL Benfica</v>
      </c>
      <c r="K34" s="349">
        <f t="shared" si="0"/>
        <v>1</v>
      </c>
      <c r="L34" s="350" t="str">
        <f>IF(AND(K34&gt;0,Plan!$I37=0),H34&amp;Language!$E$90&amp;I34,"")</f>
        <v>2 : 0</v>
      </c>
      <c r="M34" s="349">
        <f>IF($H34="",0,Results!$L39)</f>
        <v>0</v>
      </c>
      <c r="N34" s="350">
        <f>IF($I34="",0,Results!$M39)</f>
        <v>0</v>
      </c>
    </row>
    <row r="35" spans="5:14" x14ac:dyDescent="0.25">
      <c r="E35" s="341">
        <v>32</v>
      </c>
      <c r="F35" s="354" t="str">
        <f>Plan!$Q38</f>
        <v>Valerenga IF</v>
      </c>
      <c r="G35" s="355" t="str">
        <f>Plan!$S38</f>
        <v>SKN St. Pölten</v>
      </c>
      <c r="H35" s="346">
        <f>IF(AND(Results!$Q$6&gt;0,$E35-1&gt;=Results!$Q$6*Calc!$F$24),"",IF(AND(Results!$I40&lt;&gt;"",Results!$K40&lt;&gt;"",Results!$F40&lt;&gt;Results!$H40,$F35&lt;&gt;"",$G35&lt;&gt;""),Results!$I40,""))</f>
        <v>2</v>
      </c>
      <c r="I35" s="346">
        <f>IF(AND(Results!$Q$6&gt;0,$E35-1&gt;=Results!$Q$6*Calc!$F$24),"",IF(AND(Results!$I40&lt;&gt;"",Results!$K40&lt;&gt;"",Results!$F40&lt;&gt;Results!$H40,$F35&lt;&gt;"",$G35&lt;&gt;""),Results!$K40,""))</f>
        <v>2</v>
      </c>
      <c r="J35" s="354" t="str">
        <f>IF(Plan!$I38=0,F35&amp;G35,"")</f>
        <v>Valerenga IFSKN St. Pölten</v>
      </c>
      <c r="K35" s="349">
        <f t="shared" si="0"/>
        <v>1</v>
      </c>
      <c r="L35" s="350" t="str">
        <f>IF(AND(K35&gt;0,Plan!$I38=0),H35&amp;Language!$E$90&amp;I35,"")</f>
        <v>2 : 2</v>
      </c>
      <c r="M35" s="349">
        <f>IF($H35="",0,Results!$L40)</f>
        <v>0</v>
      </c>
      <c r="N35" s="350">
        <f>IF($I35="",0,Results!$M40)</f>
        <v>0</v>
      </c>
    </row>
    <row r="36" spans="5:14" x14ac:dyDescent="0.25">
      <c r="E36" s="341">
        <v>33</v>
      </c>
      <c r="F36" s="354" t="str">
        <f>Plan!$Q39</f>
        <v>FC Twente</v>
      </c>
      <c r="G36" s="355" t="str">
        <f>Plan!$S39</f>
        <v>Atletico Madrid</v>
      </c>
      <c r="H36" s="346">
        <f>IF(AND(Results!$Q$6&gt;0,$E36-1&gt;=Results!$Q$6*Calc!$F$24),"",IF(AND(Results!$I41&lt;&gt;"",Results!$K41&lt;&gt;"",Results!$F41&lt;&gt;Results!$H41,$F36&lt;&gt;"",$G36&lt;&gt;""),Results!$I41,""))</f>
        <v>0</v>
      </c>
      <c r="I36" s="346">
        <f>IF(AND(Results!$Q$6&gt;0,$E36-1&gt;=Results!$Q$6*Calc!$F$24),"",IF(AND(Results!$I41&lt;&gt;"",Results!$K41&lt;&gt;"",Results!$F41&lt;&gt;Results!$H41,$F36&lt;&gt;"",$G36&lt;&gt;""),Results!$K41,""))</f>
        <v>4</v>
      </c>
      <c r="J36" s="354" t="str">
        <f>IF(Plan!$I39=0,F36&amp;G36,"")</f>
        <v>FC TwenteAtletico Madrid</v>
      </c>
      <c r="K36" s="349">
        <f t="shared" si="0"/>
        <v>1</v>
      </c>
      <c r="L36" s="350" t="str">
        <f>IF(AND(K36&gt;0,Plan!$I39=0),H36&amp;Language!$E$90&amp;I36,"")</f>
        <v>0 : 4</v>
      </c>
      <c r="M36" s="349">
        <f>IF($H36="",0,Results!$L41)</f>
        <v>0</v>
      </c>
      <c r="N36" s="350">
        <f>IF($I36="",0,Results!$M41)</f>
        <v>0</v>
      </c>
    </row>
    <row r="37" spans="5:14" x14ac:dyDescent="0.25">
      <c r="E37" s="341">
        <v>34</v>
      </c>
      <c r="F37" s="354" t="str">
        <f>Plan!$Q40</f>
        <v>Paris St. Germain</v>
      </c>
      <c r="G37" s="355" t="str">
        <f>Plan!$S40</f>
        <v>FC Bayern München</v>
      </c>
      <c r="H37" s="346">
        <f>IF(AND(Results!$Q$6&gt;0,$E37-1&gt;=Results!$Q$6*Calc!$F$24),"",IF(AND(Results!$I42&lt;&gt;"",Results!$K42&lt;&gt;"",Results!$F42&lt;&gt;Results!$H42,$F37&lt;&gt;"",$G37&lt;&gt;""),Results!$I42,""))</f>
        <v>1</v>
      </c>
      <c r="I37" s="346">
        <f>IF(AND(Results!$Q$6&gt;0,$E37-1&gt;=Results!$Q$6*Calc!$F$24),"",IF(AND(Results!$I42&lt;&gt;"",Results!$K42&lt;&gt;"",Results!$F42&lt;&gt;Results!$H42,$F37&lt;&gt;"",$G37&lt;&gt;""),Results!$K42,""))</f>
        <v>3</v>
      </c>
      <c r="J37" s="354" t="str">
        <f>IF(Plan!$I40=0,F37&amp;G37,"")</f>
        <v>Paris St. GermainFC Bayern München</v>
      </c>
      <c r="K37" s="349">
        <f t="shared" si="0"/>
        <v>1</v>
      </c>
      <c r="L37" s="350" t="str">
        <f>IF(AND(K37&gt;0,Plan!$I40=0),H37&amp;Language!$E$90&amp;I37,"")</f>
        <v>1 : 3</v>
      </c>
      <c r="M37" s="349">
        <f>IF($H37="",0,Results!$L42)</f>
        <v>0</v>
      </c>
      <c r="N37" s="350">
        <f>IF($I37="",0,Results!$M42)</f>
        <v>0</v>
      </c>
    </row>
    <row r="38" spans="5:14" x14ac:dyDescent="0.25">
      <c r="E38" s="341">
        <v>35</v>
      </c>
      <c r="F38" s="354" t="str">
        <f>Plan!$Q41</f>
        <v>Chelsea FC</v>
      </c>
      <c r="G38" s="355" t="str">
        <f>Plan!$S41</f>
        <v>FC Barcelona</v>
      </c>
      <c r="H38" s="346">
        <f>IF(AND(Results!$Q$6&gt;0,$E38-1&gt;=Results!$Q$6*Calc!$F$24),"",IF(AND(Results!$I43&lt;&gt;"",Results!$K43&lt;&gt;"",Results!$F43&lt;&gt;Results!$H43,$F38&lt;&gt;"",$G38&lt;&gt;""),Results!$I43,""))</f>
        <v>1</v>
      </c>
      <c r="I38" s="346">
        <f>IF(AND(Results!$Q$6&gt;0,$E38-1&gt;=Results!$Q$6*Calc!$F$24),"",IF(AND(Results!$I43&lt;&gt;"",Results!$K43&lt;&gt;"",Results!$F43&lt;&gt;Results!$H43,$F38&lt;&gt;"",$G38&lt;&gt;""),Results!$K43,""))</f>
        <v>1</v>
      </c>
      <c r="J38" s="354" t="str">
        <f>IF(Plan!$I41=0,F38&amp;G38,"")</f>
        <v>Chelsea FCFC Barcelona</v>
      </c>
      <c r="K38" s="349">
        <f t="shared" si="0"/>
        <v>1</v>
      </c>
      <c r="L38" s="350" t="str">
        <f>IF(AND(K38&gt;0,Plan!$I41=0),H38&amp;Language!$E$90&amp;I38,"")</f>
        <v>1 : 1</v>
      </c>
      <c r="M38" s="349">
        <f>IF($H38="",0,Results!$L43)</f>
        <v>0</v>
      </c>
      <c r="N38" s="350">
        <f>IF($I38="",0,Results!$M43)</f>
        <v>0</v>
      </c>
    </row>
    <row r="39" spans="5:14" x14ac:dyDescent="0.25">
      <c r="E39" s="341">
        <v>36</v>
      </c>
      <c r="F39" s="354" t="str">
        <f>Plan!$Q42</f>
        <v>Oud-Heverlee Leuven</v>
      </c>
      <c r="G39" s="355" t="str">
        <f>Plan!$S42</f>
        <v>AS Rom</v>
      </c>
      <c r="H39" s="346">
        <f>IF(AND(Results!$Q$6&gt;0,$E39-1&gt;=Results!$Q$6*Calc!$F$24),"",IF(AND(Results!$I44&lt;&gt;"",Results!$K44&lt;&gt;"",Results!$F44&lt;&gt;Results!$H44,$F39&lt;&gt;"",$G39&lt;&gt;""),Results!$I44,""))</f>
        <v>1</v>
      </c>
      <c r="I39" s="346">
        <f>IF(AND(Results!$Q$6&gt;0,$E39-1&gt;=Results!$Q$6*Calc!$F$24),"",IF(AND(Results!$I44&lt;&gt;"",Results!$K44&lt;&gt;"",Results!$F44&lt;&gt;Results!$H44,$F39&lt;&gt;"",$G39&lt;&gt;""),Results!$K44,""))</f>
        <v>1</v>
      </c>
      <c r="J39" s="354" t="str">
        <f>IF(Plan!$I42=0,F39&amp;G39,"")</f>
        <v>Oud-Heverlee LeuvenAS Rom</v>
      </c>
      <c r="K39" s="349">
        <f t="shared" si="0"/>
        <v>1</v>
      </c>
      <c r="L39" s="350" t="str">
        <f>IF(AND(K39&gt;0,Plan!$I42=0),H39&amp;Language!$E$90&amp;I39,"")</f>
        <v>1 : 1</v>
      </c>
      <c r="M39" s="349">
        <f>IF($H39="",0,Results!$L44)</f>
        <v>0</v>
      </c>
      <c r="N39" s="350">
        <f>IF($I39="",0,Results!$M44)</f>
        <v>0</v>
      </c>
    </row>
    <row r="40" spans="5:14" x14ac:dyDescent="0.25">
      <c r="E40" s="341">
        <v>37</v>
      </c>
      <c r="F40" s="354" t="str">
        <f>Plan!$Q43</f>
        <v>SKN St. Pölten</v>
      </c>
      <c r="G40" s="355" t="str">
        <f>Plan!$S43</f>
        <v>Juventus FC</v>
      </c>
      <c r="H40" s="346">
        <f>IF(AND(Results!$Q$6&gt;0,$E40-1&gt;=Results!$Q$6*Calc!$F$24),"",IF(AND(Results!$I45&lt;&gt;"",Results!$K45&lt;&gt;"",Results!$F45&lt;&gt;Results!$H45,$F40&lt;&gt;"",$G40&lt;&gt;""),Results!$I45,""))</f>
        <v>0</v>
      </c>
      <c r="I40" s="346">
        <f>IF(AND(Results!$Q$6&gt;0,$E40-1&gt;=Results!$Q$6*Calc!$F$24),"",IF(AND(Results!$I45&lt;&gt;"",Results!$K45&lt;&gt;"",Results!$F45&lt;&gt;Results!$H45,$F40&lt;&gt;"",$G40&lt;&gt;""),Results!$K45,""))</f>
        <v>5</v>
      </c>
      <c r="J40" s="354" t="str">
        <f>IF(Plan!$I43=0,F40&amp;G40,"")</f>
        <v>SKN St. PöltenJuventus FC</v>
      </c>
      <c r="K40" s="349">
        <f t="shared" si="0"/>
        <v>1</v>
      </c>
      <c r="L40" s="350" t="str">
        <f>IF(AND(K40&gt;0,Plan!$I43=0),H40&amp;Language!$E$90&amp;I40,"")</f>
        <v>0 : 5</v>
      </c>
      <c r="M40" s="349">
        <f>IF($H40="",0,Results!$L45)</f>
        <v>0</v>
      </c>
      <c r="N40" s="350">
        <f>IF($I40="",0,Results!$M45)</f>
        <v>0</v>
      </c>
    </row>
    <row r="41" spans="5:14" x14ac:dyDescent="0.25">
      <c r="E41" s="341">
        <v>38</v>
      </c>
      <c r="F41" s="354" t="str">
        <f>Plan!$Q44</f>
        <v>Arsenal WFC</v>
      </c>
      <c r="G41" s="355" t="str">
        <f>Plan!$S44</f>
        <v>FC Twente</v>
      </c>
      <c r="H41" s="346">
        <f>IF(AND(Results!$Q$6&gt;0,$E41-1&gt;=Results!$Q$6*Calc!$F$24),"",IF(AND(Results!$I46&lt;&gt;"",Results!$K46&lt;&gt;"",Results!$F46&lt;&gt;Results!$H46,$F41&lt;&gt;"",$G41&lt;&gt;""),Results!$I46,""))</f>
        <v>1</v>
      </c>
      <c r="I41" s="346">
        <f>IF(AND(Results!$Q$6&gt;0,$E41-1&gt;=Results!$Q$6*Calc!$F$24),"",IF(AND(Results!$I46&lt;&gt;"",Results!$K46&lt;&gt;"",Results!$F46&lt;&gt;Results!$H46,$F41&lt;&gt;"",$G41&lt;&gt;""),Results!$K46,""))</f>
        <v>0</v>
      </c>
      <c r="J41" s="354" t="str">
        <f>IF(Plan!$I44=0,F41&amp;G41,"")</f>
        <v>Arsenal WFCFC Twente</v>
      </c>
      <c r="K41" s="349">
        <f t="shared" si="0"/>
        <v>1</v>
      </c>
      <c r="L41" s="350" t="str">
        <f>IF(AND(K41&gt;0,Plan!$I44=0),H41&amp;Language!$E$90&amp;I41,"")</f>
        <v>1 : 0</v>
      </c>
      <c r="M41" s="349">
        <f>IF($H41="",0,Results!$L46)</f>
        <v>0</v>
      </c>
      <c r="N41" s="350">
        <f>IF($I41="",0,Results!$M46)</f>
        <v>0</v>
      </c>
    </row>
    <row r="42" spans="5:14" x14ac:dyDescent="0.25">
      <c r="E42" s="341">
        <v>39</v>
      </c>
      <c r="F42" s="354" t="str">
        <f>Plan!$Q45</f>
        <v>Real Madrid</v>
      </c>
      <c r="G42" s="355" t="str">
        <f>Plan!$S45</f>
        <v>VfL Wolfsburg</v>
      </c>
      <c r="H42" s="346">
        <f>IF(AND(Results!$Q$6&gt;0,$E42-1&gt;=Results!$Q$6*Calc!$F$24),"",IF(AND(Results!$I47&lt;&gt;"",Results!$K47&lt;&gt;"",Results!$F47&lt;&gt;Results!$H47,$F42&lt;&gt;"",$G42&lt;&gt;""),Results!$I47,""))</f>
        <v>2</v>
      </c>
      <c r="I42" s="346">
        <f>IF(AND(Results!$Q$6&gt;0,$E42-1&gt;=Results!$Q$6*Calc!$F$24),"",IF(AND(Results!$I47&lt;&gt;"",Results!$K47&lt;&gt;"",Results!$F47&lt;&gt;Results!$H47,$F42&lt;&gt;"",$G42&lt;&gt;""),Results!$K47,""))</f>
        <v>0</v>
      </c>
      <c r="J42" s="354" t="str">
        <f>IF(Plan!$I45=0,F42&amp;G42,"")</f>
        <v>Real MadridVfL Wolfsburg</v>
      </c>
      <c r="K42" s="349">
        <f t="shared" si="0"/>
        <v>1</v>
      </c>
      <c r="L42" s="350" t="str">
        <f>IF(AND(K42&gt;0,Plan!$I45=0),H42&amp;Language!$E$90&amp;I42,"")</f>
        <v>2 : 0</v>
      </c>
      <c r="M42" s="349">
        <f>IF($H42="",0,Results!$L47)</f>
        <v>0</v>
      </c>
      <c r="N42" s="350">
        <f>IF($I42="",0,Results!$M47)</f>
        <v>0</v>
      </c>
    </row>
    <row r="43" spans="5:14" x14ac:dyDescent="0.25">
      <c r="E43" s="341">
        <v>40</v>
      </c>
      <c r="F43" s="354" t="str">
        <f>Plan!$Q46</f>
        <v>Paris St. Germain</v>
      </c>
      <c r="G43" s="355" t="str">
        <f>Plan!$S46</f>
        <v>Oud-Heverlee Leuven</v>
      </c>
      <c r="H43" s="346">
        <f>IF(AND(Results!$Q$6&gt;0,$E43-1&gt;=Results!$Q$6*Calc!$F$24),"",IF(AND(Results!$I48&lt;&gt;"",Results!$K48&lt;&gt;"",Results!$F48&lt;&gt;Results!$H48,$F43&lt;&gt;"",$G43&lt;&gt;""),Results!$I48,""))</f>
        <v>0</v>
      </c>
      <c r="I43" s="346">
        <f>IF(AND(Results!$Q$6&gt;0,$E43-1&gt;=Results!$Q$6*Calc!$F$24),"",IF(AND(Results!$I48&lt;&gt;"",Results!$K48&lt;&gt;"",Results!$F48&lt;&gt;Results!$H48,$F43&lt;&gt;"",$G43&lt;&gt;""),Results!$K48,""))</f>
        <v>0</v>
      </c>
      <c r="J43" s="354" t="str">
        <f>IF(Plan!$I46=0,F43&amp;G43,"")</f>
        <v>Paris St. GermainOud-Heverlee Leuven</v>
      </c>
      <c r="K43" s="349">
        <f t="shared" si="0"/>
        <v>1</v>
      </c>
      <c r="L43" s="350" t="str">
        <f>IF(AND(K43&gt;0,Plan!$I46=0),H43&amp;Language!$E$90&amp;I43,"")</f>
        <v>0 : 0</v>
      </c>
      <c r="M43" s="349">
        <f>IF($H43="",0,Results!$L48)</f>
        <v>0</v>
      </c>
      <c r="N43" s="350">
        <f>IF($I43="",0,Results!$M48)</f>
        <v>0</v>
      </c>
    </row>
    <row r="44" spans="5:14" x14ac:dyDescent="0.25">
      <c r="E44" s="341">
        <v>41</v>
      </c>
      <c r="F44" s="354" t="str">
        <f>Plan!$Q47</f>
        <v>FC Barcelona</v>
      </c>
      <c r="G44" s="355" t="str">
        <f>Plan!$S47</f>
        <v>SL Benfica</v>
      </c>
      <c r="H44" s="346">
        <f>IF(AND(Results!$Q$6&gt;0,$E44-1&gt;=Results!$Q$6*Calc!$F$24),"",IF(AND(Results!$I49&lt;&gt;"",Results!$K49&lt;&gt;"",Results!$F49&lt;&gt;Results!$H49,$F44&lt;&gt;"",$G44&lt;&gt;""),Results!$I49,""))</f>
        <v>3</v>
      </c>
      <c r="I44" s="346">
        <f>IF(AND(Results!$Q$6&gt;0,$E44-1&gt;=Results!$Q$6*Calc!$F$24),"",IF(AND(Results!$I49&lt;&gt;"",Results!$K49&lt;&gt;"",Results!$F49&lt;&gt;Results!$H49,$F44&lt;&gt;"",$G44&lt;&gt;""),Results!$K49,""))</f>
        <v>1</v>
      </c>
      <c r="J44" s="354" t="str">
        <f>IF(Plan!$I47=0,F44&amp;G44,"")</f>
        <v>FC BarcelonaSL Benfica</v>
      </c>
      <c r="K44" s="349">
        <f t="shared" si="0"/>
        <v>1</v>
      </c>
      <c r="L44" s="350" t="str">
        <f>IF(AND(K44&gt;0,Plan!$I47=0),H44&amp;Language!$E$90&amp;I44,"")</f>
        <v>3 : 1</v>
      </c>
      <c r="M44" s="349">
        <f>IF($H44="",0,Results!$L49)</f>
        <v>0</v>
      </c>
      <c r="N44" s="350">
        <f>IF($I44="",0,Results!$M49)</f>
        <v>0</v>
      </c>
    </row>
    <row r="45" spans="5:14" x14ac:dyDescent="0.25">
      <c r="E45" s="341">
        <v>42</v>
      </c>
      <c r="F45" s="354" t="str">
        <f>Plan!$Q48</f>
        <v>Valerenga IF</v>
      </c>
      <c r="G45" s="355" t="str">
        <f>Plan!$S48</f>
        <v>Paris FC</v>
      </c>
      <c r="H45" s="346">
        <f>IF(AND(Results!$Q$6&gt;0,$E45-1&gt;=Results!$Q$6*Calc!$F$24),"",IF(AND(Results!$I50&lt;&gt;"",Results!$K50&lt;&gt;"",Results!$F50&lt;&gt;Results!$H50,$F45&lt;&gt;"",$G45&lt;&gt;""),Results!$I50,""))</f>
        <v>0</v>
      </c>
      <c r="I45" s="346">
        <f>IF(AND(Results!$Q$6&gt;0,$E45-1&gt;=Results!$Q$6*Calc!$F$24),"",IF(AND(Results!$I50&lt;&gt;"",Results!$K50&lt;&gt;"",Results!$F50&lt;&gt;Results!$H50,$F45&lt;&gt;"",$G45&lt;&gt;""),Results!$K50,""))</f>
        <v>1</v>
      </c>
      <c r="J45" s="354" t="str">
        <f>IF(Plan!$I48=0,F45&amp;G45,"")</f>
        <v>Valerenga IFParis FC</v>
      </c>
      <c r="K45" s="349">
        <f t="shared" si="0"/>
        <v>1</v>
      </c>
      <c r="L45" s="350" t="str">
        <f>IF(AND(K45&gt;0,Plan!$I48=0),H45&amp;Language!$E$90&amp;I45,"")</f>
        <v>0 : 1</v>
      </c>
      <c r="M45" s="349">
        <f>IF($H45="",0,Results!$L50)</f>
        <v>0</v>
      </c>
      <c r="N45" s="350">
        <f>IF($I45="",0,Results!$M50)</f>
        <v>0</v>
      </c>
    </row>
    <row r="46" spans="5:14" x14ac:dyDescent="0.25">
      <c r="E46" s="341">
        <v>43</v>
      </c>
      <c r="F46" s="354" t="str">
        <f>Plan!$Q49</f>
        <v>Atletico Madrid</v>
      </c>
      <c r="G46" s="355" t="str">
        <f>Plan!$S49</f>
        <v>FC Bayern München</v>
      </c>
      <c r="H46" s="346">
        <f>IF(AND(Results!$Q$6&gt;0,$E46-1&gt;=Results!$Q$6*Calc!$F$24),"",IF(AND(Results!$I51&lt;&gt;"",Results!$K51&lt;&gt;"",Results!$F51&lt;&gt;Results!$H51,$F46&lt;&gt;"",$G46&lt;&gt;""),Results!$I51,""))</f>
        <v>2</v>
      </c>
      <c r="I46" s="346">
        <f>IF(AND(Results!$Q$6&gt;0,$E46-1&gt;=Results!$Q$6*Calc!$F$24),"",IF(AND(Results!$I51&lt;&gt;"",Results!$K51&lt;&gt;"",Results!$F51&lt;&gt;Results!$H51,$F46&lt;&gt;"",$G46&lt;&gt;""),Results!$K51,""))</f>
        <v>2</v>
      </c>
      <c r="J46" s="354" t="str">
        <f>IF(Plan!$I49=0,F46&amp;G46,"")</f>
        <v>Atletico MadridFC Bayern München</v>
      </c>
      <c r="K46" s="349">
        <f t="shared" si="0"/>
        <v>1</v>
      </c>
      <c r="L46" s="350" t="str">
        <f>IF(AND(K46&gt;0,Plan!$I49=0),H46&amp;Language!$E$90&amp;I46,"")</f>
        <v>2 : 2</v>
      </c>
      <c r="M46" s="349">
        <f>IF($H46="",0,Results!$L51)</f>
        <v>0</v>
      </c>
      <c r="N46" s="350">
        <f>IF($I46="",0,Results!$M51)</f>
        <v>0</v>
      </c>
    </row>
    <row r="47" spans="5:14" x14ac:dyDescent="0.25">
      <c r="E47" s="341">
        <v>44</v>
      </c>
      <c r="F47" s="354" t="str">
        <f>Plan!$Q50</f>
        <v>Chelsea FC</v>
      </c>
      <c r="G47" s="355" t="str">
        <f>Plan!$S50</f>
        <v>AS Rom</v>
      </c>
      <c r="H47" s="346">
        <f>IF(AND(Results!$Q$6&gt;0,$E47-1&gt;=Results!$Q$6*Calc!$F$24),"",IF(AND(Results!$I52&lt;&gt;"",Results!$K52&lt;&gt;"",Results!$F52&lt;&gt;Results!$H52,$F47&lt;&gt;"",$G47&lt;&gt;""),Results!$I52,""))</f>
        <v>6</v>
      </c>
      <c r="I47" s="346">
        <f>IF(AND(Results!$Q$6&gt;0,$E47-1&gt;=Results!$Q$6*Calc!$F$24),"",IF(AND(Results!$I52&lt;&gt;"",Results!$K52&lt;&gt;"",Results!$F52&lt;&gt;Results!$H52,$F47&lt;&gt;"",$G47&lt;&gt;""),Results!$K52,""))</f>
        <v>0</v>
      </c>
      <c r="J47" s="354" t="str">
        <f>IF(Plan!$I50=0,F47&amp;G47,"")</f>
        <v>Chelsea FCAS Rom</v>
      </c>
      <c r="K47" s="349">
        <f t="shared" si="0"/>
        <v>1</v>
      </c>
      <c r="L47" s="350" t="str">
        <f>IF(AND(K47&gt;0,Plan!$I50=0),H47&amp;Language!$E$90&amp;I47,"")</f>
        <v>6 : 0</v>
      </c>
      <c r="M47" s="349">
        <f>IF($H47="",0,Results!$L52)</f>
        <v>0</v>
      </c>
      <c r="N47" s="350">
        <f>IF($I47="",0,Results!$M52)</f>
        <v>0</v>
      </c>
    </row>
    <row r="48" spans="5:14" x14ac:dyDescent="0.25">
      <c r="E48" s="341">
        <v>45</v>
      </c>
      <c r="F48" s="354" t="str">
        <f>Plan!$Q51</f>
        <v>Manchester United</v>
      </c>
      <c r="G48" s="355" t="str">
        <f>Plan!$S51</f>
        <v>OL Lyonnes</v>
      </c>
      <c r="H48" s="346">
        <f>IF(AND(Results!$Q$6&gt;0,$E48-1&gt;=Results!$Q$6*Calc!$F$24),"",IF(AND(Results!$I53&lt;&gt;"",Results!$K53&lt;&gt;"",Results!$F53&lt;&gt;Results!$H53,$F48&lt;&gt;"",$G48&lt;&gt;""),Results!$I53,""))</f>
        <v>0</v>
      </c>
      <c r="I48" s="346">
        <f>IF(AND(Results!$Q$6&gt;0,$E48-1&gt;=Results!$Q$6*Calc!$F$24),"",IF(AND(Results!$I53&lt;&gt;"",Results!$K53&lt;&gt;"",Results!$F53&lt;&gt;Results!$H53,$F48&lt;&gt;"",$G48&lt;&gt;""),Results!$K53,""))</f>
        <v>3</v>
      </c>
      <c r="J48" s="354" t="str">
        <f>IF(Plan!$I51=0,F48&amp;G48,"")</f>
        <v>Manchester UnitedOL Lyonnes</v>
      </c>
      <c r="K48" s="349">
        <f t="shared" si="0"/>
        <v>1</v>
      </c>
      <c r="L48" s="350" t="str">
        <f>IF(AND(K48&gt;0,Plan!$I51=0),H48&amp;Language!$E$90&amp;I48,"")</f>
        <v>0 : 3</v>
      </c>
      <c r="M48" s="349">
        <f>IF($H48="",0,Results!$L53)</f>
        <v>0</v>
      </c>
      <c r="N48" s="350">
        <f>IF($I48="",0,Results!$M53)</f>
        <v>0</v>
      </c>
    </row>
    <row r="49" spans="5:14" x14ac:dyDescent="0.25">
      <c r="E49" s="341">
        <v>46</v>
      </c>
      <c r="F49" s="354" t="str">
        <f>Plan!$Q52</f>
        <v>Oud-Heverlee Leuven</v>
      </c>
      <c r="G49" s="355" t="str">
        <f>Plan!$S52</f>
        <v>Arsenal WFC</v>
      </c>
      <c r="H49" s="346">
        <f>IF(AND(Results!$Q$6&gt;0,$E49-1&gt;=Results!$Q$6*Calc!$F$24),"",IF(AND(Results!$I54&lt;&gt;"",Results!$K54&lt;&gt;"",Results!$F54&lt;&gt;Results!$H54,$F49&lt;&gt;"",$G49&lt;&gt;""),Results!$I54,""))</f>
        <v>0</v>
      </c>
      <c r="I49" s="346">
        <f>IF(AND(Results!$Q$6&gt;0,$E49-1&gt;=Results!$Q$6*Calc!$F$24),"",IF(AND(Results!$I54&lt;&gt;"",Results!$K54&lt;&gt;"",Results!$F54&lt;&gt;Results!$H54,$F49&lt;&gt;"",$G49&lt;&gt;""),Results!$K54,""))</f>
        <v>3</v>
      </c>
      <c r="J49" s="354" t="str">
        <f>IF(Plan!$I52=0,F49&amp;G49,"")</f>
        <v>Oud-Heverlee LeuvenArsenal WFC</v>
      </c>
      <c r="K49" s="349">
        <f t="shared" si="0"/>
        <v>1</v>
      </c>
      <c r="L49" s="350" t="str">
        <f>IF(AND(K49&gt;0,Plan!$I52=0),H49&amp;Language!$E$90&amp;I49,"")</f>
        <v>0 : 3</v>
      </c>
      <c r="M49" s="349">
        <f>IF($H49="",0,Results!$L54)</f>
        <v>0</v>
      </c>
      <c r="N49" s="350">
        <f>IF($I49="",0,Results!$M54)</f>
        <v>0</v>
      </c>
    </row>
    <row r="50" spans="5:14" x14ac:dyDescent="0.25">
      <c r="E50" s="341">
        <v>47</v>
      </c>
      <c r="F50" s="354" t="str">
        <f>Plan!$Q53</f>
        <v>VfL Wolfsburg</v>
      </c>
      <c r="G50" s="355" t="str">
        <f>Plan!$S53</f>
        <v>Chelsea FC</v>
      </c>
      <c r="H50" s="346">
        <f>IF(AND(Results!$Q$6&gt;0,$E50-1&gt;=Results!$Q$6*Calc!$F$24),"",IF(AND(Results!$I55&lt;&gt;"",Results!$K55&lt;&gt;"",Results!$F55&lt;&gt;Results!$H55,$F50&lt;&gt;"",$G50&lt;&gt;""),Results!$I55,""))</f>
        <v>1</v>
      </c>
      <c r="I50" s="346">
        <f>IF(AND(Results!$Q$6&gt;0,$E50-1&gt;=Results!$Q$6*Calc!$F$24),"",IF(AND(Results!$I55&lt;&gt;"",Results!$K55&lt;&gt;"",Results!$F55&lt;&gt;Results!$H55,$F50&lt;&gt;"",$G50&lt;&gt;""),Results!$K55,""))</f>
        <v>2</v>
      </c>
      <c r="J50" s="354" t="str">
        <f>IF(Plan!$I53=0,F50&amp;G50,"")</f>
        <v>VfL WolfsburgChelsea FC</v>
      </c>
      <c r="K50" s="349">
        <f t="shared" si="0"/>
        <v>1</v>
      </c>
      <c r="L50" s="350" t="str">
        <f>IF(AND(K50&gt;0,Plan!$I53=0),H50&amp;Language!$E$90&amp;I50,"")</f>
        <v>1 : 2</v>
      </c>
      <c r="M50" s="349">
        <f>IF($H50="",0,Results!$L55)</f>
        <v>0</v>
      </c>
      <c r="N50" s="350">
        <f>IF($I50="",0,Results!$M55)</f>
        <v>0</v>
      </c>
    </row>
    <row r="51" spans="5:14" x14ac:dyDescent="0.25">
      <c r="E51" s="341">
        <v>48</v>
      </c>
      <c r="F51" s="354" t="str">
        <f>Plan!$Q54</f>
        <v>FC Bayern München</v>
      </c>
      <c r="G51" s="355" t="str">
        <f>Plan!$S54</f>
        <v>Valerenga IF</v>
      </c>
      <c r="H51" s="346">
        <f>IF(AND(Results!$Q$6&gt;0,$E51-1&gt;=Results!$Q$6*Calc!$F$24),"",IF(AND(Results!$I56&lt;&gt;"",Results!$K56&lt;&gt;"",Results!$F56&lt;&gt;Results!$H56,$F51&lt;&gt;"",$G51&lt;&gt;""),Results!$I56,""))</f>
        <v>3</v>
      </c>
      <c r="I51" s="346">
        <f>IF(AND(Results!$Q$6&gt;0,$E51-1&gt;=Results!$Q$6*Calc!$F$24),"",IF(AND(Results!$I56&lt;&gt;"",Results!$K56&lt;&gt;"",Results!$F56&lt;&gt;Results!$H56,$F51&lt;&gt;"",$G51&lt;&gt;""),Results!$K56,""))</f>
        <v>0</v>
      </c>
      <c r="J51" s="354" t="str">
        <f>IF(Plan!$I54=0,F51&amp;G51,"")</f>
        <v>FC Bayern MünchenValerenga IF</v>
      </c>
      <c r="K51" s="349">
        <f t="shared" si="0"/>
        <v>1</v>
      </c>
      <c r="L51" s="350" t="str">
        <f>IF(AND(K51&gt;0,Plan!$I54=0),H51&amp;Language!$E$90&amp;I51,"")</f>
        <v>3 : 0</v>
      </c>
      <c r="M51" s="349">
        <f>IF($H51="",0,Results!$L56)</f>
        <v>0</v>
      </c>
      <c r="N51" s="350">
        <f>IF($I51="",0,Results!$M56)</f>
        <v>0</v>
      </c>
    </row>
    <row r="52" spans="5:14" x14ac:dyDescent="0.25">
      <c r="E52" s="341">
        <v>49</v>
      </c>
      <c r="F52" s="354" t="str">
        <f>Plan!$Q55</f>
        <v>OL Lyonnes</v>
      </c>
      <c r="G52" s="355" t="str">
        <f>Plan!$S55</f>
        <v>Atletico Madrid</v>
      </c>
      <c r="H52" s="346">
        <f>IF(AND(Results!$Q$6&gt;0,$E52-1&gt;=Results!$Q$6*Calc!$F$24),"",IF(AND(Results!$I57&lt;&gt;"",Results!$K57&lt;&gt;"",Results!$F57&lt;&gt;Results!$H57,$F52&lt;&gt;"",$G52&lt;&gt;""),Results!$I57,""))</f>
        <v>4</v>
      </c>
      <c r="I52" s="346">
        <f>IF(AND(Results!$Q$6&gt;0,$E52-1&gt;=Results!$Q$6*Calc!$F$24),"",IF(AND(Results!$I57&lt;&gt;"",Results!$K57&lt;&gt;"",Results!$F57&lt;&gt;Results!$H57,$F52&lt;&gt;"",$G52&lt;&gt;""),Results!$K57,""))</f>
        <v>0</v>
      </c>
      <c r="J52" s="354" t="str">
        <f>IF(Plan!$I55=0,F52&amp;G52,"")</f>
        <v>OL LyonnesAtletico Madrid</v>
      </c>
      <c r="K52" s="349">
        <f t="shared" si="0"/>
        <v>1</v>
      </c>
      <c r="L52" s="350" t="str">
        <f>IF(AND(K52&gt;0,Plan!$I55=0),H52&amp;Language!$E$90&amp;I52,"")</f>
        <v>4 : 0</v>
      </c>
      <c r="M52" s="349">
        <f>IF($H52="",0,Results!$L57)</f>
        <v>0</v>
      </c>
      <c r="N52" s="350">
        <f>IF($I52="",0,Results!$M57)</f>
        <v>0</v>
      </c>
    </row>
    <row r="53" spans="5:14" x14ac:dyDescent="0.25">
      <c r="E53" s="341">
        <v>50</v>
      </c>
      <c r="F53" s="354" t="str">
        <f>Plan!$Q56</f>
        <v>Paris FC</v>
      </c>
      <c r="G53" s="355" t="str">
        <f>Plan!$S56</f>
        <v>FC Barcelona</v>
      </c>
      <c r="H53" s="346">
        <f>IF(AND(Results!$Q$6&gt;0,$E53-1&gt;=Results!$Q$6*Calc!$F$24),"",IF(AND(Results!$I58&lt;&gt;"",Results!$K58&lt;&gt;"",Results!$F58&lt;&gt;Results!$H58,$F53&lt;&gt;"",$G53&lt;&gt;""),Results!$I58,""))</f>
        <v>0</v>
      </c>
      <c r="I53" s="346">
        <f>IF(AND(Results!$Q$6&gt;0,$E53-1&gt;=Results!$Q$6*Calc!$F$24),"",IF(AND(Results!$I58&lt;&gt;"",Results!$K58&lt;&gt;"",Results!$F58&lt;&gt;Results!$H58,$F53&lt;&gt;"",$G53&lt;&gt;""),Results!$K58,""))</f>
        <v>2</v>
      </c>
      <c r="J53" s="354" t="str">
        <f>IF(Plan!$I56=0,F53&amp;G53,"")</f>
        <v>Paris FCFC Barcelona</v>
      </c>
      <c r="K53" s="349">
        <f t="shared" si="0"/>
        <v>1</v>
      </c>
      <c r="L53" s="350" t="str">
        <f>IF(AND(K53&gt;0,Plan!$I56=0),H53&amp;Language!$E$90&amp;I53,"")</f>
        <v>0 : 2</v>
      </c>
      <c r="M53" s="349">
        <f>IF($H53="",0,Results!$L58)</f>
        <v>0</v>
      </c>
      <c r="N53" s="350">
        <f>IF($I53="",0,Results!$M58)</f>
        <v>0</v>
      </c>
    </row>
    <row r="54" spans="5:14" x14ac:dyDescent="0.25">
      <c r="E54" s="341">
        <v>51</v>
      </c>
      <c r="F54" s="354" t="str">
        <f>Plan!$Q57</f>
        <v>SL Benfica</v>
      </c>
      <c r="G54" s="355" t="str">
        <f>Plan!$S57</f>
        <v>Paris St. Germain</v>
      </c>
      <c r="H54" s="346">
        <f>IF(AND(Results!$Q$6&gt;0,$E54-1&gt;=Results!$Q$6*Calc!$F$24),"",IF(AND(Results!$I59&lt;&gt;"",Results!$K59&lt;&gt;"",Results!$F59&lt;&gt;Results!$H59,$F54&lt;&gt;"",$G54&lt;&gt;""),Results!$I59,""))</f>
        <v>1</v>
      </c>
      <c r="I54" s="346">
        <f>IF(AND(Results!$Q$6&gt;0,$E54-1&gt;=Results!$Q$6*Calc!$F$24),"",IF(AND(Results!$I59&lt;&gt;"",Results!$K59&lt;&gt;"",Results!$F59&lt;&gt;Results!$H59,$F54&lt;&gt;"",$G54&lt;&gt;""),Results!$K59,""))</f>
        <v>1</v>
      </c>
      <c r="J54" s="354" t="str">
        <f>IF(Plan!$I57=0,F54&amp;G54,"")</f>
        <v>SL BenficaParis St. Germain</v>
      </c>
      <c r="K54" s="349">
        <f t="shared" si="0"/>
        <v>1</v>
      </c>
      <c r="L54" s="350" t="str">
        <f>IF(AND(K54&gt;0,Plan!$I57=0),H54&amp;Language!$E$90&amp;I54,"")</f>
        <v>1 : 1</v>
      </c>
      <c r="M54" s="349">
        <f>IF($H54="",0,Results!$L59)</f>
        <v>0</v>
      </c>
      <c r="N54" s="350">
        <f>IF($I54="",0,Results!$M59)</f>
        <v>0</v>
      </c>
    </row>
    <row r="55" spans="5:14" x14ac:dyDescent="0.25">
      <c r="E55" s="341">
        <v>52</v>
      </c>
      <c r="F55" s="354" t="str">
        <f>Plan!$Q58</f>
        <v>FC Twente</v>
      </c>
      <c r="G55" s="355" t="str">
        <f>Plan!$S58</f>
        <v>Real Madrid</v>
      </c>
      <c r="H55" s="346">
        <f>IF(AND(Results!$Q$6&gt;0,$E55-1&gt;=Results!$Q$6*Calc!$F$24),"",IF(AND(Results!$I60&lt;&gt;"",Results!$K60&lt;&gt;"",Results!$F60&lt;&gt;Results!$H60,$F55&lt;&gt;"",$G55&lt;&gt;""),Results!$I60,""))</f>
        <v>1</v>
      </c>
      <c r="I55" s="346">
        <f>IF(AND(Results!$Q$6&gt;0,$E55-1&gt;=Results!$Q$6*Calc!$F$24),"",IF(AND(Results!$I60&lt;&gt;"",Results!$K60&lt;&gt;"",Results!$F60&lt;&gt;Results!$H60,$F55&lt;&gt;"",$G55&lt;&gt;""),Results!$K60,""))</f>
        <v>1</v>
      </c>
      <c r="J55" s="354" t="str">
        <f>IF(Plan!$I58=0,F55&amp;G55,"")</f>
        <v>FC TwenteReal Madrid</v>
      </c>
      <c r="K55" s="349">
        <f t="shared" si="0"/>
        <v>1</v>
      </c>
      <c r="L55" s="350" t="str">
        <f>IF(AND(K55&gt;0,Plan!$I58=0),H55&amp;Language!$E$90&amp;I55,"")</f>
        <v>1 : 1</v>
      </c>
      <c r="M55" s="349">
        <f>IF($H55="",0,Results!$L60)</f>
        <v>0</v>
      </c>
      <c r="N55" s="350">
        <f>IF($I55="",0,Results!$M60)</f>
        <v>0</v>
      </c>
    </row>
    <row r="56" spans="5:14" x14ac:dyDescent="0.25">
      <c r="E56" s="341">
        <v>53</v>
      </c>
      <c r="F56" s="354" t="str">
        <f>Plan!$Q59</f>
        <v>Juventus FC</v>
      </c>
      <c r="G56" s="355" t="str">
        <f>Plan!$S59</f>
        <v>Manchester United</v>
      </c>
      <c r="H56" s="346">
        <f>IF(AND(Results!$Q$6&gt;0,$E56-1&gt;=Results!$Q$6*Calc!$F$24),"",IF(AND(Results!$I61&lt;&gt;"",Results!$K61&lt;&gt;"",Results!$F61&lt;&gt;Results!$H61,$F56&lt;&gt;"",$G56&lt;&gt;""),Results!$I61,""))</f>
        <v>0</v>
      </c>
      <c r="I56" s="346">
        <f>IF(AND(Results!$Q$6&gt;0,$E56-1&gt;=Results!$Q$6*Calc!$F$24),"",IF(AND(Results!$I61&lt;&gt;"",Results!$K61&lt;&gt;"",Results!$F61&lt;&gt;Results!$H61,$F56&lt;&gt;"",$G56&lt;&gt;""),Results!$K61,""))</f>
        <v>1</v>
      </c>
      <c r="J56" s="354" t="str">
        <f>IF(Plan!$I59=0,F56&amp;G56,"")</f>
        <v>Juventus FCManchester United</v>
      </c>
      <c r="K56" s="349">
        <f t="shared" si="0"/>
        <v>1</v>
      </c>
      <c r="L56" s="350" t="str">
        <f>IF(AND(K56&gt;0,Plan!$I59=0),H56&amp;Language!$E$90&amp;I56,"")</f>
        <v>0 : 1</v>
      </c>
      <c r="M56" s="349">
        <f>IF($H56="",0,Results!$L61)</f>
        <v>0</v>
      </c>
      <c r="N56" s="350">
        <f>IF($I56="",0,Results!$M61)</f>
        <v>0</v>
      </c>
    </row>
    <row r="57" spans="5:14" x14ac:dyDescent="0.25">
      <c r="E57" s="342">
        <v>54</v>
      </c>
      <c r="F57" s="356" t="str">
        <f>Plan!$Q60</f>
        <v>AS Rom</v>
      </c>
      <c r="G57" s="357" t="str">
        <f>Plan!$S60</f>
        <v>SKN St. Pölten</v>
      </c>
      <c r="H57" s="347">
        <f>IF(AND(Results!$Q$6&gt;0,$E57-1&gt;=Results!$Q$6*Calc!$F$24),"",IF(AND(Results!$I62&lt;&gt;"",Results!$K62&lt;&gt;"",Results!$F62&lt;&gt;Results!$H62,$F57&lt;&gt;"",$G57&lt;&gt;""),Results!$I62,""))</f>
        <v>6</v>
      </c>
      <c r="I57" s="346">
        <f>IF(AND(Results!$Q$6&gt;0,$E57-1&gt;=Results!$Q$6*Calc!$F$24),"",IF(AND(Results!$I62&lt;&gt;"",Results!$K62&lt;&gt;"",Results!$F62&lt;&gt;Results!$H62,$F57&lt;&gt;"",$G57&lt;&gt;""),Results!$K62,""))</f>
        <v>1</v>
      </c>
      <c r="J57" s="356" t="str">
        <f>IF(Plan!$I60=0,F57&amp;G57,"")</f>
        <v>AS RomSKN St. Pölten</v>
      </c>
      <c r="K57" s="347">
        <f t="shared" si="0"/>
        <v>1</v>
      </c>
      <c r="L57" s="351" t="str">
        <f>IF(AND(K57&gt;0,Plan!$I60=0),H57&amp;Language!$E$90&amp;I57,"")</f>
        <v>6 : 1</v>
      </c>
      <c r="M57" s="347">
        <f>IF($H57="",0,Results!$L62)</f>
        <v>0</v>
      </c>
      <c r="N57" s="351">
        <f>IF($I57="",0,Results!$M62)</f>
        <v>0</v>
      </c>
    </row>
    <row r="58" spans="5:14" x14ac:dyDescent="0.25">
      <c r="I58" s="343">
        <v>1</v>
      </c>
      <c r="J58" s="316" t="str">
        <f>IF(Plan!$I7=0,G4&amp;F4,"")</f>
        <v>SL BenficaJuventus FC</v>
      </c>
      <c r="K58" s="348">
        <f>K4</f>
        <v>1</v>
      </c>
      <c r="L58" s="345" t="str">
        <f>IF(AND(K58&gt;0,Plan!$I7=0),I4&amp;Language!$E$90&amp;H4,"")</f>
        <v>1 : 2</v>
      </c>
    </row>
    <row r="59" spans="5:14" x14ac:dyDescent="0.25">
      <c r="I59" s="340">
        <v>2</v>
      </c>
      <c r="J59" s="223" t="str">
        <f>IF(Plan!$I8=0,G5&amp;F5,"")</f>
        <v>OL LyonnesArsenal WFC</v>
      </c>
      <c r="K59" s="358">
        <f>K5</f>
        <v>1</v>
      </c>
      <c r="L59" s="350" t="str">
        <f>IF(AND(K59&gt;0,Plan!$I8=0),I5&amp;Language!$E$90&amp;H5,"")</f>
        <v>2 : 1</v>
      </c>
    </row>
    <row r="60" spans="5:14" x14ac:dyDescent="0.25">
      <c r="I60" s="340">
        <v>3</v>
      </c>
      <c r="J60" s="223" t="str">
        <f>IF(Plan!$I9=0,G6&amp;F6,"")</f>
        <v>FC Bayern MünchenFC Barcelona</v>
      </c>
      <c r="K60" s="358">
        <f t="shared" ref="K60:K111" si="1">K6</f>
        <v>1</v>
      </c>
      <c r="L60" s="350" t="str">
        <f>IF(AND(K60&gt;0,Plan!$I9=0),I6&amp;Language!$E$90&amp;H6,"")</f>
        <v>1 : 7</v>
      </c>
    </row>
    <row r="61" spans="5:14" x14ac:dyDescent="0.25">
      <c r="I61" s="340">
        <v>4</v>
      </c>
      <c r="J61" s="223" t="str">
        <f>IF(Plan!$I10=0,G7&amp;F7,"")</f>
        <v>Oud-Heverlee LeuvenParis FC</v>
      </c>
      <c r="K61" s="358">
        <f t="shared" si="1"/>
        <v>1</v>
      </c>
      <c r="L61" s="350" t="str">
        <f>IF(AND(K61&gt;0,Plan!$I10=0),I7&amp;Language!$E$90&amp;H7,"")</f>
        <v>2 : 2</v>
      </c>
    </row>
    <row r="62" spans="5:14" x14ac:dyDescent="0.25">
      <c r="I62" s="340">
        <v>5</v>
      </c>
      <c r="J62" s="223" t="str">
        <f>IF(Plan!$I11=0,G8&amp;F8,"")</f>
        <v>Chelsea FCFC Twente</v>
      </c>
      <c r="K62" s="358">
        <f t="shared" si="1"/>
        <v>1</v>
      </c>
      <c r="L62" s="350" t="str">
        <f>IF(AND(K62&gt;0,Plan!$I11=0),I8&amp;Language!$E$90&amp;H8,"")</f>
        <v>1 : 1</v>
      </c>
    </row>
    <row r="63" spans="5:14" x14ac:dyDescent="0.25">
      <c r="I63" s="340">
        <v>6</v>
      </c>
      <c r="J63" s="223" t="str">
        <f>IF(Plan!$I12=0,G9&amp;F9,"")</f>
        <v>AS RomReal Madrid</v>
      </c>
      <c r="K63" s="358">
        <f t="shared" si="1"/>
        <v>1</v>
      </c>
      <c r="L63" s="350" t="str">
        <f>IF(AND(K63&gt;0,Plan!$I12=0),I9&amp;Language!$E$90&amp;H9,"")</f>
        <v>2 : 6</v>
      </c>
    </row>
    <row r="64" spans="5:14" x14ac:dyDescent="0.25">
      <c r="I64" s="340">
        <v>7</v>
      </c>
      <c r="J64" s="223" t="str">
        <f>IF(Plan!$I13=0,G10&amp;F10,"")</f>
        <v>Paris St. GermainVfL Wolfsburg</v>
      </c>
      <c r="K64" s="358">
        <f t="shared" si="1"/>
        <v>1</v>
      </c>
      <c r="L64" s="350" t="str">
        <f>IF(AND(K64&gt;0,Plan!$I13=0),I10&amp;Language!$E$90&amp;H10,"")</f>
        <v>0 : 4</v>
      </c>
    </row>
    <row r="65" spans="9:12" x14ac:dyDescent="0.25">
      <c r="I65" s="340">
        <v>8</v>
      </c>
      <c r="J65" s="223" t="str">
        <f>IF(Plan!$I14=0,G11&amp;F11,"")</f>
        <v>Atletico MadridSKN St. Pölten</v>
      </c>
      <c r="K65" s="358">
        <f t="shared" si="1"/>
        <v>1</v>
      </c>
      <c r="L65" s="350" t="str">
        <f>IF(AND(K65&gt;0,Plan!$I14=0),I11&amp;Language!$E$90&amp;H11,"")</f>
        <v>6 : 0</v>
      </c>
    </row>
    <row r="66" spans="9:12" x14ac:dyDescent="0.25">
      <c r="I66" s="340">
        <v>9</v>
      </c>
      <c r="J66" s="223" t="str">
        <f>IF(Plan!$I15=0,G12&amp;F12,"")</f>
        <v>Valerenga IFManchester United</v>
      </c>
      <c r="K66" s="358">
        <f t="shared" si="1"/>
        <v>1</v>
      </c>
      <c r="L66" s="350" t="str">
        <f>IF(AND(K66&gt;0,Plan!$I15=0),I12&amp;Language!$E$90&amp;H12,"")</f>
        <v>0 : 1</v>
      </c>
    </row>
    <row r="67" spans="9:12" x14ac:dyDescent="0.25">
      <c r="I67" s="340">
        <v>10</v>
      </c>
      <c r="J67" s="223" t="str">
        <f>IF(Plan!$I16=0,G13&amp;F13,"")</f>
        <v>VfL WolfsburgValerenga IF</v>
      </c>
      <c r="K67" s="358">
        <f t="shared" si="1"/>
        <v>1</v>
      </c>
      <c r="L67" s="350" t="str">
        <f>IF(AND(K67&gt;0,Plan!$I16=0),I13&amp;Language!$E$90&amp;H13,"")</f>
        <v>2 : 1</v>
      </c>
    </row>
    <row r="68" spans="9:12" x14ac:dyDescent="0.25">
      <c r="I68" s="340">
        <v>11</v>
      </c>
      <c r="J68" s="223" t="str">
        <f>IF(Plan!$I17=0,G14&amp;F14,"")</f>
        <v>SKN St. PöltenOL Lyonnes</v>
      </c>
      <c r="K68" s="358">
        <f t="shared" si="1"/>
        <v>1</v>
      </c>
      <c r="L68" s="350" t="str">
        <f>IF(AND(K68&gt;0,Plan!$I17=0),I14&amp;Language!$E$90&amp;H14,"")</f>
        <v>0 : 3</v>
      </c>
    </row>
    <row r="69" spans="9:12" x14ac:dyDescent="0.25">
      <c r="I69" s="340">
        <v>12</v>
      </c>
      <c r="J69" s="223" t="str">
        <f>IF(Plan!$I18=0,G15&amp;F15,"")</f>
        <v>Paris FCChelsea FC</v>
      </c>
      <c r="K69" s="358">
        <f t="shared" si="1"/>
        <v>1</v>
      </c>
      <c r="L69" s="350" t="str">
        <f>IF(AND(K69&gt;0,Plan!$I18=0),I15&amp;Language!$E$90&amp;H15,"")</f>
        <v>0 : 4</v>
      </c>
    </row>
    <row r="70" spans="9:12" x14ac:dyDescent="0.25">
      <c r="I70" s="340">
        <v>13</v>
      </c>
      <c r="J70" s="223" t="str">
        <f>IF(Plan!$I19=0,G16&amp;F16,"")</f>
        <v>FC BarcelonaAS Rom</v>
      </c>
      <c r="K70" s="358">
        <f t="shared" si="1"/>
        <v>1</v>
      </c>
      <c r="L70" s="350" t="str">
        <f>IF(AND(K70&gt;0,Plan!$I19=0),I16&amp;Language!$E$90&amp;H16,"")</f>
        <v>4 : 0</v>
      </c>
    </row>
    <row r="71" spans="9:12" x14ac:dyDescent="0.25">
      <c r="I71" s="340">
        <v>14</v>
      </c>
      <c r="J71" s="223" t="str">
        <f>IF(Plan!$I20=0,G17&amp;F17,"")</f>
        <v>FC TwenteOud-Heverlee Leuven</v>
      </c>
      <c r="K71" s="358">
        <f t="shared" si="1"/>
        <v>1</v>
      </c>
      <c r="L71" s="350" t="str">
        <f>IF(AND(K71&gt;0,Plan!$I20=0),I17&amp;Language!$E$90&amp;H17,"")</f>
        <v>1 : 2</v>
      </c>
    </row>
    <row r="72" spans="9:12" x14ac:dyDescent="0.25">
      <c r="I72" s="340">
        <v>15</v>
      </c>
      <c r="J72" s="223" t="str">
        <f>IF(Plan!$I21=0,G18&amp;F18,"")</f>
        <v>Manchester UnitedAtletico Madrid</v>
      </c>
      <c r="K72" s="358">
        <f t="shared" si="1"/>
        <v>1</v>
      </c>
      <c r="L72" s="350" t="str">
        <f>IF(AND(K72&gt;0,Plan!$I21=0),I18&amp;Language!$E$90&amp;H18,"")</f>
        <v>1 : 0</v>
      </c>
    </row>
    <row r="73" spans="9:12" x14ac:dyDescent="0.25">
      <c r="I73" s="340">
        <v>16</v>
      </c>
      <c r="J73" s="223" t="str">
        <f>IF(Plan!$I22=0,G19&amp;F19,"")</f>
        <v>Arsenal WFCSL Benfica</v>
      </c>
      <c r="K73" s="358">
        <f t="shared" si="1"/>
        <v>1</v>
      </c>
      <c r="L73" s="350" t="str">
        <f>IF(AND(K73&gt;0,Plan!$I22=0),I19&amp;Language!$E$90&amp;H19,"")</f>
        <v>2 : 0</v>
      </c>
    </row>
    <row r="74" spans="9:12" x14ac:dyDescent="0.25">
      <c r="I74" s="340">
        <v>17</v>
      </c>
      <c r="J74" s="223" t="str">
        <f>IF(Plan!$I23=0,G20&amp;F20,"")</f>
        <v>Juventus FCFC Bayern München</v>
      </c>
      <c r="K74" s="358">
        <f t="shared" si="1"/>
        <v>1</v>
      </c>
      <c r="L74" s="350" t="str">
        <f>IF(AND(K74&gt;0,Plan!$I23=0),I20&amp;Language!$E$90&amp;H20,"")</f>
        <v>1 : 2</v>
      </c>
    </row>
    <row r="75" spans="9:12" x14ac:dyDescent="0.25">
      <c r="I75" s="340">
        <v>18</v>
      </c>
      <c r="J75" s="223" t="str">
        <f>IF(Plan!$I24=0,G21&amp;F21,"")</f>
        <v>Real MadridParis St. Germain</v>
      </c>
      <c r="K75" s="358">
        <f t="shared" si="1"/>
        <v>1</v>
      </c>
      <c r="L75" s="350" t="str">
        <f>IF(AND(K75&gt;0,Plan!$I24=0),I21&amp;Language!$E$90&amp;H21,"")</f>
        <v>2 : 1</v>
      </c>
    </row>
    <row r="76" spans="9:12" x14ac:dyDescent="0.25">
      <c r="I76" s="340">
        <v>19</v>
      </c>
      <c r="J76" s="223" t="str">
        <f>IF(Plan!$I25=0,G22&amp;F22,"")</f>
        <v>Valerenga IFAS Rom</v>
      </c>
      <c r="K76" s="358">
        <f t="shared" si="1"/>
        <v>1</v>
      </c>
      <c r="L76" s="350" t="str">
        <f>IF(AND(K76&gt;0,Plan!$I25=0),I22&amp;Language!$E$90&amp;H22,"")</f>
        <v>1 : 0</v>
      </c>
    </row>
    <row r="77" spans="9:12" x14ac:dyDescent="0.25">
      <c r="I77" s="340">
        <v>20</v>
      </c>
      <c r="J77" s="223" t="str">
        <f>IF(Plan!$I26=0,G23&amp;F23,"")</f>
        <v>VfL WolfsburgOL Lyonnes</v>
      </c>
      <c r="K77" s="358">
        <f t="shared" si="1"/>
        <v>1</v>
      </c>
      <c r="L77" s="350" t="str">
        <f>IF(AND(K77&gt;0,Plan!$I26=0),I23&amp;Language!$E$90&amp;H23,"")</f>
        <v>1 : 3</v>
      </c>
    </row>
    <row r="78" spans="9:12" x14ac:dyDescent="0.25">
      <c r="I78" s="340">
        <v>21</v>
      </c>
      <c r="J78" s="223" t="str">
        <f>IF(Plan!$I27=0,G24&amp;F24,"")</f>
        <v>Chelsea FCSKN St. Pölten</v>
      </c>
      <c r="K78" s="358">
        <f t="shared" si="1"/>
        <v>1</v>
      </c>
      <c r="L78" s="350" t="str">
        <f>IF(AND(K78&gt;0,Plan!$I27=0),I24&amp;Language!$E$90&amp;H24,"")</f>
        <v>6 : 0</v>
      </c>
    </row>
    <row r="79" spans="9:12" x14ac:dyDescent="0.25">
      <c r="I79" s="340">
        <v>22</v>
      </c>
      <c r="J79" s="223" t="str">
        <f>IF(Plan!$I28=0,G25&amp;F25,"")</f>
        <v>Paris FCReal Madrid</v>
      </c>
      <c r="K79" s="358">
        <f t="shared" si="1"/>
        <v>1</v>
      </c>
      <c r="L79" s="350" t="str">
        <f>IF(AND(K79&gt;0,Plan!$I28=0),I25&amp;Language!$E$90&amp;H25,"")</f>
        <v>1 : 1</v>
      </c>
    </row>
    <row r="80" spans="9:12" x14ac:dyDescent="0.25">
      <c r="I80" s="340">
        <v>23</v>
      </c>
      <c r="J80" s="223" t="str">
        <f>IF(Plan!$I29=0,G26&amp;F26,"")</f>
        <v>Arsenal WFCFC Bayern München</v>
      </c>
      <c r="K80" s="358">
        <f t="shared" si="1"/>
        <v>1</v>
      </c>
      <c r="L80" s="350" t="str">
        <f>IF(AND(K80&gt;0,Plan!$I29=0),I26&amp;Language!$E$90&amp;H26,"")</f>
        <v>2 : 3</v>
      </c>
    </row>
    <row r="81" spans="9:12" x14ac:dyDescent="0.25">
      <c r="I81" s="340">
        <v>24</v>
      </c>
      <c r="J81" s="223" t="str">
        <f>IF(Plan!$I30=0,G27&amp;F27,"")</f>
        <v>Oud-Heverlee LeuvenFC Barcelona</v>
      </c>
      <c r="K81" s="358">
        <f t="shared" si="1"/>
        <v>1</v>
      </c>
      <c r="L81" s="350" t="str">
        <f>IF(AND(K81&gt;0,Plan!$I30=0),I27&amp;Language!$E$90&amp;H27,"")</f>
        <v>0 : 3</v>
      </c>
    </row>
    <row r="82" spans="9:12" x14ac:dyDescent="0.25">
      <c r="I82" s="340">
        <v>25</v>
      </c>
      <c r="J82" s="223" t="str">
        <f>IF(Plan!$I31=0,G28&amp;F28,"")</f>
        <v>Paris St. GermainManchester United</v>
      </c>
      <c r="K82" s="358">
        <f t="shared" si="1"/>
        <v>1</v>
      </c>
      <c r="L82" s="350" t="str">
        <f>IF(AND(K82&gt;0,Plan!$I31=0),I28&amp;Language!$E$90&amp;H28,"")</f>
        <v>1 : 2</v>
      </c>
    </row>
    <row r="83" spans="9:12" x14ac:dyDescent="0.25">
      <c r="I83" s="340">
        <v>26</v>
      </c>
      <c r="J83" s="223" t="str">
        <f>IF(Plan!$I32=0,G29&amp;F29,"")</f>
        <v>Juventus FCAtletico Madrid</v>
      </c>
      <c r="K83" s="358">
        <f t="shared" si="1"/>
        <v>1</v>
      </c>
      <c r="L83" s="350" t="str">
        <f>IF(AND(K83&gt;0,Plan!$I32=0),I29&amp;Language!$E$90&amp;H29,"")</f>
        <v>2 : 1</v>
      </c>
    </row>
    <row r="84" spans="9:12" x14ac:dyDescent="0.25">
      <c r="I84" s="340">
        <v>27</v>
      </c>
      <c r="J84" s="223" t="str">
        <f>IF(Plan!$I33=0,G30&amp;F30,"")</f>
        <v>FC TwenteSL Benfica</v>
      </c>
      <c r="K84" s="358">
        <f t="shared" si="1"/>
        <v>1</v>
      </c>
      <c r="L84" s="350" t="str">
        <f>IF(AND(K84&gt;0,Plan!$I33=0),I30&amp;Language!$E$90&amp;H30,"")</f>
        <v>1 : 1</v>
      </c>
    </row>
    <row r="85" spans="9:12" x14ac:dyDescent="0.25">
      <c r="I85" s="340">
        <v>28</v>
      </c>
      <c r="J85" s="223" t="str">
        <f>IF(Plan!$I34=0,G31&amp;F31,"")</f>
        <v>Manchester UnitedVfL Wolfsburg</v>
      </c>
      <c r="K85" s="358">
        <f t="shared" si="1"/>
        <v>1</v>
      </c>
      <c r="L85" s="350" t="str">
        <f>IF(AND(K85&gt;0,Plan!$I34=0),I31&amp;Language!$E$90&amp;H31,"")</f>
        <v>2 : 5</v>
      </c>
    </row>
    <row r="86" spans="9:12" x14ac:dyDescent="0.25">
      <c r="I86" s="340">
        <v>29</v>
      </c>
      <c r="J86" s="223" t="str">
        <f>IF(Plan!$I35=0,G32&amp;F32,"")</f>
        <v>OL LyonnesJuventus FC</v>
      </c>
      <c r="K86" s="358">
        <f t="shared" si="1"/>
        <v>1</v>
      </c>
      <c r="L86" s="350" t="str">
        <f>IF(AND(K86&gt;0,Plan!$I35=0),I32&amp;Language!$E$90&amp;H32,"")</f>
        <v>3 : 3</v>
      </c>
    </row>
    <row r="87" spans="9:12" x14ac:dyDescent="0.25">
      <c r="I87" s="340">
        <v>30</v>
      </c>
      <c r="J87" s="223" t="str">
        <f>IF(Plan!$I36=0,G33&amp;F33,"")</f>
        <v>Real MadridArsenal WFC</v>
      </c>
      <c r="K87" s="358">
        <f t="shared" si="1"/>
        <v>1</v>
      </c>
      <c r="L87" s="350" t="str">
        <f>IF(AND(K87&gt;0,Plan!$I36=0),I33&amp;Language!$E$90&amp;H33,"")</f>
        <v>1 : 2</v>
      </c>
    </row>
    <row r="88" spans="9:12" x14ac:dyDescent="0.25">
      <c r="I88" s="340">
        <v>31</v>
      </c>
      <c r="J88" s="223" t="str">
        <f>IF(Plan!$I37=0,G34&amp;F34,"")</f>
        <v>SL BenficaParis FC</v>
      </c>
      <c r="K88" s="358">
        <f t="shared" si="1"/>
        <v>1</v>
      </c>
      <c r="L88" s="350" t="str">
        <f>IF(AND(K88&gt;0,Plan!$I37=0),I34&amp;Language!$E$90&amp;H34,"")</f>
        <v>0 : 2</v>
      </c>
    </row>
    <row r="89" spans="9:12" x14ac:dyDescent="0.25">
      <c r="I89" s="340">
        <v>32</v>
      </c>
      <c r="J89" s="223" t="str">
        <f>IF(Plan!$I38=0,G35&amp;F35,"")</f>
        <v>SKN St. PöltenValerenga IF</v>
      </c>
      <c r="K89" s="358">
        <f t="shared" si="1"/>
        <v>1</v>
      </c>
      <c r="L89" s="350" t="str">
        <f>IF(AND(K89&gt;0,Plan!$I38=0),I35&amp;Language!$E$90&amp;H35,"")</f>
        <v>2 : 2</v>
      </c>
    </row>
    <row r="90" spans="9:12" x14ac:dyDescent="0.25">
      <c r="I90" s="340">
        <v>33</v>
      </c>
      <c r="J90" s="223" t="str">
        <f>IF(Plan!$I39=0,G36&amp;F36,"")</f>
        <v>Atletico MadridFC Twente</v>
      </c>
      <c r="K90" s="358">
        <f t="shared" si="1"/>
        <v>1</v>
      </c>
      <c r="L90" s="350" t="str">
        <f>IF(AND(K90&gt;0,Plan!$I39=0),I36&amp;Language!$E$90&amp;H36,"")</f>
        <v>4 : 0</v>
      </c>
    </row>
    <row r="91" spans="9:12" x14ac:dyDescent="0.25">
      <c r="I91" s="340">
        <v>34</v>
      </c>
      <c r="J91" s="223" t="str">
        <f>IF(Plan!$I40=0,G37&amp;F37,"")</f>
        <v>FC Bayern MünchenParis St. Germain</v>
      </c>
      <c r="K91" s="358">
        <f t="shared" si="1"/>
        <v>1</v>
      </c>
      <c r="L91" s="350" t="str">
        <f>IF(AND(K91&gt;0,Plan!$I40=0),I37&amp;Language!$E$90&amp;H37,"")</f>
        <v>3 : 1</v>
      </c>
    </row>
    <row r="92" spans="9:12" x14ac:dyDescent="0.25">
      <c r="I92" s="340">
        <v>35</v>
      </c>
      <c r="J92" s="223" t="str">
        <f>IF(Plan!$I41=0,G38&amp;F38,"")</f>
        <v>FC BarcelonaChelsea FC</v>
      </c>
      <c r="K92" s="358">
        <f t="shared" si="1"/>
        <v>1</v>
      </c>
      <c r="L92" s="350" t="str">
        <f>IF(AND(K92&gt;0,Plan!$I41=0),I38&amp;Language!$E$90&amp;H38,"")</f>
        <v>1 : 1</v>
      </c>
    </row>
    <row r="93" spans="9:12" x14ac:dyDescent="0.25">
      <c r="I93" s="340">
        <v>36</v>
      </c>
      <c r="J93" s="223" t="str">
        <f>IF(Plan!$I42=0,G39&amp;F39,"")</f>
        <v>AS RomOud-Heverlee Leuven</v>
      </c>
      <c r="K93" s="358">
        <f t="shared" si="1"/>
        <v>1</v>
      </c>
      <c r="L93" s="350" t="str">
        <f>IF(AND(K93&gt;0,Plan!$I42=0),I39&amp;Language!$E$90&amp;H39,"")</f>
        <v>1 : 1</v>
      </c>
    </row>
    <row r="94" spans="9:12" x14ac:dyDescent="0.25">
      <c r="I94" s="340">
        <v>37</v>
      </c>
      <c r="J94" s="223" t="str">
        <f>IF(Plan!$I43=0,G40&amp;F40,"")</f>
        <v>Juventus FCSKN St. Pölten</v>
      </c>
      <c r="K94" s="358">
        <f t="shared" si="1"/>
        <v>1</v>
      </c>
      <c r="L94" s="350" t="str">
        <f>IF(AND(K94&gt;0,Plan!$I43=0),I40&amp;Language!$E$90&amp;H40,"")</f>
        <v>5 : 0</v>
      </c>
    </row>
    <row r="95" spans="9:12" x14ac:dyDescent="0.25">
      <c r="I95" s="340">
        <v>38</v>
      </c>
      <c r="J95" s="223" t="str">
        <f>IF(Plan!$I44=0,G41&amp;F41,"")</f>
        <v>FC TwenteArsenal WFC</v>
      </c>
      <c r="K95" s="358">
        <f t="shared" si="1"/>
        <v>1</v>
      </c>
      <c r="L95" s="350" t="str">
        <f>IF(AND(K95&gt;0,Plan!$I44=0),I41&amp;Language!$E$90&amp;H41,"")</f>
        <v>0 : 1</v>
      </c>
    </row>
    <row r="96" spans="9:12" x14ac:dyDescent="0.25">
      <c r="I96" s="340">
        <v>39</v>
      </c>
      <c r="J96" s="223" t="str">
        <f>IF(Plan!$I45=0,G42&amp;F42,"")</f>
        <v>VfL WolfsburgReal Madrid</v>
      </c>
      <c r="K96" s="358">
        <f t="shared" si="1"/>
        <v>1</v>
      </c>
      <c r="L96" s="350" t="str">
        <f>IF(AND(K96&gt;0,Plan!$I45=0),I42&amp;Language!$E$90&amp;H42,"")</f>
        <v>0 : 2</v>
      </c>
    </row>
    <row r="97" spans="9:12" x14ac:dyDescent="0.25">
      <c r="I97" s="340">
        <v>40</v>
      </c>
      <c r="J97" s="223" t="str">
        <f>IF(Plan!$I46=0,G43&amp;F43,"")</f>
        <v>Oud-Heverlee LeuvenParis St. Germain</v>
      </c>
      <c r="K97" s="358">
        <f t="shared" si="1"/>
        <v>1</v>
      </c>
      <c r="L97" s="350" t="str">
        <f>IF(AND(K97&gt;0,Plan!$I46=0),I43&amp;Language!$E$90&amp;H43,"")</f>
        <v>0 : 0</v>
      </c>
    </row>
    <row r="98" spans="9:12" x14ac:dyDescent="0.25">
      <c r="I98" s="340">
        <v>41</v>
      </c>
      <c r="J98" s="223" t="str">
        <f>IF(Plan!$I47=0,G44&amp;F44,"")</f>
        <v>SL BenficaFC Barcelona</v>
      </c>
      <c r="K98" s="358">
        <f t="shared" si="1"/>
        <v>1</v>
      </c>
      <c r="L98" s="350" t="str">
        <f>IF(AND(K98&gt;0,Plan!$I47=0),I44&amp;Language!$E$90&amp;H44,"")</f>
        <v>1 : 3</v>
      </c>
    </row>
    <row r="99" spans="9:12" x14ac:dyDescent="0.25">
      <c r="I99" s="340">
        <v>42</v>
      </c>
      <c r="J99" s="223" t="str">
        <f>IF(Plan!$I48=0,G45&amp;F45,"")</f>
        <v>Paris FCValerenga IF</v>
      </c>
      <c r="K99" s="358">
        <f t="shared" si="1"/>
        <v>1</v>
      </c>
      <c r="L99" s="350" t="str">
        <f>IF(AND(K99&gt;0,Plan!$I48=0),I45&amp;Language!$E$90&amp;H45,"")</f>
        <v>1 : 0</v>
      </c>
    </row>
    <row r="100" spans="9:12" x14ac:dyDescent="0.25">
      <c r="I100" s="340">
        <v>43</v>
      </c>
      <c r="J100" s="223" t="str">
        <f>IF(Plan!$I49=0,G46&amp;F46,"")</f>
        <v>FC Bayern MünchenAtletico Madrid</v>
      </c>
      <c r="K100" s="358">
        <f t="shared" si="1"/>
        <v>1</v>
      </c>
      <c r="L100" s="350" t="str">
        <f>IF(AND(K100&gt;0,Plan!$I49=0),I46&amp;Language!$E$90&amp;H46,"")</f>
        <v>2 : 2</v>
      </c>
    </row>
    <row r="101" spans="9:12" x14ac:dyDescent="0.25">
      <c r="I101" s="340">
        <v>44</v>
      </c>
      <c r="J101" s="223" t="str">
        <f>IF(Plan!$I50=0,G47&amp;F47,"")</f>
        <v>AS RomChelsea FC</v>
      </c>
      <c r="K101" s="358">
        <f t="shared" si="1"/>
        <v>1</v>
      </c>
      <c r="L101" s="350" t="str">
        <f>IF(AND(K101&gt;0,Plan!$I50=0),I47&amp;Language!$E$90&amp;H47,"")</f>
        <v>0 : 6</v>
      </c>
    </row>
    <row r="102" spans="9:12" x14ac:dyDescent="0.25">
      <c r="I102" s="340">
        <v>45</v>
      </c>
      <c r="J102" s="223" t="str">
        <f>IF(Plan!$I51=0,G48&amp;F48,"")</f>
        <v>OL LyonnesManchester United</v>
      </c>
      <c r="K102" s="358">
        <f t="shared" si="1"/>
        <v>1</v>
      </c>
      <c r="L102" s="350" t="str">
        <f>IF(AND(K102&gt;0,Plan!$I51=0),I48&amp;Language!$E$90&amp;H48,"")</f>
        <v>3 : 0</v>
      </c>
    </row>
    <row r="103" spans="9:12" x14ac:dyDescent="0.25">
      <c r="I103" s="340">
        <v>46</v>
      </c>
      <c r="J103" s="223" t="str">
        <f>IF(Plan!$I52=0,G49&amp;F49,"")</f>
        <v>Arsenal WFCOud-Heverlee Leuven</v>
      </c>
      <c r="K103" s="358">
        <f t="shared" si="1"/>
        <v>1</v>
      </c>
      <c r="L103" s="350" t="str">
        <f>IF(AND(K103&gt;0,Plan!$I52=0),I49&amp;Language!$E$90&amp;H49,"")</f>
        <v>3 : 0</v>
      </c>
    </row>
    <row r="104" spans="9:12" x14ac:dyDescent="0.25">
      <c r="I104" s="340">
        <v>47</v>
      </c>
      <c r="J104" s="223" t="str">
        <f>IF(Plan!$I53=0,G50&amp;F50,"")</f>
        <v>Chelsea FCVfL Wolfsburg</v>
      </c>
      <c r="K104" s="358">
        <f t="shared" si="1"/>
        <v>1</v>
      </c>
      <c r="L104" s="350" t="str">
        <f>IF(AND(K104&gt;0,Plan!$I53=0),I50&amp;Language!$E$90&amp;H50,"")</f>
        <v>2 : 1</v>
      </c>
    </row>
    <row r="105" spans="9:12" x14ac:dyDescent="0.25">
      <c r="I105" s="340">
        <v>48</v>
      </c>
      <c r="J105" s="223" t="str">
        <f>IF(Plan!$I54=0,G51&amp;F51,"")</f>
        <v>Valerenga IFFC Bayern München</v>
      </c>
      <c r="K105" s="358">
        <f t="shared" si="1"/>
        <v>1</v>
      </c>
      <c r="L105" s="350" t="str">
        <f>IF(AND(K105&gt;0,Plan!$I54=0),I51&amp;Language!$E$90&amp;H51,"")</f>
        <v>0 : 3</v>
      </c>
    </row>
    <row r="106" spans="9:12" x14ac:dyDescent="0.25">
      <c r="I106" s="340">
        <v>49</v>
      </c>
      <c r="J106" s="223" t="str">
        <f>IF(Plan!$I55=0,G52&amp;F52,"")</f>
        <v>Atletico MadridOL Lyonnes</v>
      </c>
      <c r="K106" s="358">
        <f t="shared" si="1"/>
        <v>1</v>
      </c>
      <c r="L106" s="350" t="str">
        <f>IF(AND(K106&gt;0,Plan!$I55=0),I52&amp;Language!$E$90&amp;H52,"")</f>
        <v>0 : 4</v>
      </c>
    </row>
    <row r="107" spans="9:12" x14ac:dyDescent="0.25">
      <c r="I107" s="340">
        <v>50</v>
      </c>
      <c r="J107" s="223" t="str">
        <f>IF(Plan!$I56=0,G53&amp;F53,"")</f>
        <v>FC BarcelonaParis FC</v>
      </c>
      <c r="K107" s="358">
        <f t="shared" si="1"/>
        <v>1</v>
      </c>
      <c r="L107" s="350" t="str">
        <f>IF(AND(K107&gt;0,Plan!$I56=0),I53&amp;Language!$E$90&amp;H53,"")</f>
        <v>2 : 0</v>
      </c>
    </row>
    <row r="108" spans="9:12" x14ac:dyDescent="0.25">
      <c r="I108" s="340">
        <v>51</v>
      </c>
      <c r="J108" s="223" t="str">
        <f>IF(Plan!$I57=0,G54&amp;F54,"")</f>
        <v>Paris St. GermainSL Benfica</v>
      </c>
      <c r="K108" s="358">
        <f t="shared" si="1"/>
        <v>1</v>
      </c>
      <c r="L108" s="350" t="str">
        <f>IF(AND(K108&gt;0,Plan!$I57=0),I54&amp;Language!$E$90&amp;H54,"")</f>
        <v>1 : 1</v>
      </c>
    </row>
    <row r="109" spans="9:12" x14ac:dyDescent="0.25">
      <c r="I109" s="340">
        <v>52</v>
      </c>
      <c r="J109" s="223" t="str">
        <f>IF(Plan!$I58=0,G55&amp;F55,"")</f>
        <v>Real MadridFC Twente</v>
      </c>
      <c r="K109" s="358">
        <f t="shared" si="1"/>
        <v>1</v>
      </c>
      <c r="L109" s="350" t="str">
        <f>IF(AND(K109&gt;0,Plan!$I58=0),I55&amp;Language!$E$90&amp;H55,"")</f>
        <v>1 : 1</v>
      </c>
    </row>
    <row r="110" spans="9:12" x14ac:dyDescent="0.25">
      <c r="I110" s="340">
        <v>53</v>
      </c>
      <c r="J110" s="223" t="str">
        <f>IF(Plan!$I59=0,G56&amp;F56,"")</f>
        <v>Manchester UnitedJuventus FC</v>
      </c>
      <c r="K110" s="358">
        <f t="shared" si="1"/>
        <v>1</v>
      </c>
      <c r="L110" s="350" t="str">
        <f>IF(AND(K110&gt;0,Plan!$I59=0),I56&amp;Language!$E$90&amp;H56,"")</f>
        <v>1 : 0</v>
      </c>
    </row>
    <row r="111" spans="9:12" x14ac:dyDescent="0.25">
      <c r="I111" s="344">
        <v>54</v>
      </c>
      <c r="J111" s="319" t="str">
        <f>IF(Plan!$I60=0,G57&amp;F57,"")</f>
        <v>SKN St. PöltenAS Rom</v>
      </c>
      <c r="K111" s="359">
        <f t="shared" si="1"/>
        <v>1</v>
      </c>
      <c r="L111" s="351" t="str">
        <f>IF(AND(K111&gt;0,Plan!$I60=0),I57&amp;Language!$E$90&amp;H57,"")</f>
        <v>1 : 6</v>
      </c>
    </row>
    <row r="112" spans="9:12" x14ac:dyDescent="0.25"/>
  </sheetData>
  <sheetProtection sheet="1" objects="1" scenarios="1" selectLockedCells="1"/>
  <mergeCells count="1">
    <mergeCell ref="M3:N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showGridLines="0" showRowColHeaders="0" workbookViewId="0">
      <selection activeCell="A14" sqref="A14:XFD1048576"/>
    </sheetView>
  </sheetViews>
  <sheetFormatPr baseColWidth="10" defaultColWidth="0" defaultRowHeight="15" zeroHeight="1" x14ac:dyDescent="0.25"/>
  <cols>
    <col min="1" max="6" width="11.5703125" customWidth="1"/>
    <col min="7" max="16384" width="11.5703125" hidden="1"/>
  </cols>
  <sheetData>
    <row r="1" spans="2:5" x14ac:dyDescent="0.25"/>
    <row r="2" spans="2:5" x14ac:dyDescent="0.25"/>
    <row r="3" spans="2:5" ht="15.75" thickBot="1" x14ac:dyDescent="0.3">
      <c r="B3" s="6" t="s">
        <v>165</v>
      </c>
      <c r="C3" s="5"/>
      <c r="D3" s="5"/>
      <c r="E3" s="5"/>
    </row>
    <row r="4" spans="2:5" ht="15.75" thickBot="1" x14ac:dyDescent="0.3">
      <c r="B4" s="7">
        <v>1000000</v>
      </c>
      <c r="C4" s="8" t="s">
        <v>49</v>
      </c>
      <c r="D4" s="5"/>
      <c r="E4" s="5"/>
    </row>
    <row r="5" spans="2:5" ht="15.75" thickBot="1" x14ac:dyDescent="0.3">
      <c r="B5" s="9">
        <v>1000</v>
      </c>
      <c r="C5" s="10" t="s">
        <v>47</v>
      </c>
      <c r="D5" s="14">
        <v>500</v>
      </c>
      <c r="E5" s="11" t="s">
        <v>166</v>
      </c>
    </row>
    <row r="6" spans="2:5" x14ac:dyDescent="0.25">
      <c r="B6" s="9">
        <v>10</v>
      </c>
      <c r="C6" s="10" t="s">
        <v>51</v>
      </c>
      <c r="D6" s="5"/>
      <c r="E6" s="5"/>
    </row>
    <row r="7" spans="2:5" x14ac:dyDescent="0.25">
      <c r="B7" s="15">
        <v>0.1</v>
      </c>
      <c r="C7" s="16" t="s">
        <v>167</v>
      </c>
      <c r="D7" s="4"/>
      <c r="E7" s="4"/>
    </row>
    <row r="8" spans="2:5" x14ac:dyDescent="0.25">
      <c r="B8" s="15">
        <v>0.01</v>
      </c>
      <c r="C8" s="16" t="s">
        <v>168</v>
      </c>
      <c r="D8" s="4"/>
      <c r="E8" s="4"/>
    </row>
    <row r="9" spans="2:5" ht="15.75" thickBot="1" x14ac:dyDescent="0.3">
      <c r="B9" s="15">
        <v>1E-3</v>
      </c>
      <c r="C9" s="16" t="s">
        <v>169</v>
      </c>
      <c r="D9" s="4"/>
      <c r="E9" s="4"/>
    </row>
    <row r="10" spans="2:5" x14ac:dyDescent="0.25">
      <c r="B10" s="17"/>
      <c r="C10" s="18"/>
      <c r="D10" s="4"/>
      <c r="E10" s="4"/>
    </row>
    <row r="11" spans="2:5" ht="15.75" thickBot="1" x14ac:dyDescent="0.3">
      <c r="B11" s="4"/>
      <c r="C11" s="4"/>
      <c r="D11" s="4"/>
      <c r="E11" s="4"/>
    </row>
    <row r="12" spans="2:5" ht="15.75" thickBot="1" x14ac:dyDescent="0.3">
      <c r="B12" s="560" t="s">
        <v>105</v>
      </c>
      <c r="C12" s="560"/>
      <c r="D12" s="12">
        <v>7</v>
      </c>
      <c r="E12" s="13"/>
    </row>
    <row r="13" spans="2:5" x14ac:dyDescent="0.25"/>
  </sheetData>
  <sheetProtection sheet="1" objects="1" scenarios="1" selectLockedCells="1"/>
  <mergeCells count="1">
    <mergeCell ref="B12:C1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showGridLines="0" showRowColHeaders="0" workbookViewId="0">
      <selection activeCell="D6" sqref="D6"/>
    </sheetView>
  </sheetViews>
  <sheetFormatPr baseColWidth="10" defaultColWidth="0" defaultRowHeight="15" zeroHeight="1" x14ac:dyDescent="0.25"/>
  <cols>
    <col min="1" max="2" width="11.5703125" customWidth="1"/>
    <col min="3" max="3" width="29.7109375" bestFit="1" customWidth="1"/>
    <col min="4" max="5" width="11.5703125" customWidth="1"/>
    <col min="6" max="16384" width="11.5703125" hidden="1"/>
  </cols>
  <sheetData>
    <row r="1" spans="2:4" x14ac:dyDescent="0.25">
      <c r="B1" s="35"/>
      <c r="C1" s="35"/>
      <c r="D1" s="35"/>
    </row>
    <row r="2" spans="2:4" ht="33.75" x14ac:dyDescent="0.25">
      <c r="B2" s="561" t="str">
        <f>Language!$E$6</f>
        <v>Tie-Break</v>
      </c>
      <c r="C2" s="561"/>
      <c r="D2" s="561"/>
    </row>
    <row r="3" spans="2:4" ht="15.75" x14ac:dyDescent="0.25">
      <c r="B3" s="35"/>
      <c r="C3" s="44" t="str">
        <f>Language!$E$40</f>
        <v>in der Ligaphase</v>
      </c>
      <c r="D3" s="35"/>
    </row>
    <row r="4" spans="2:4" ht="15.75" thickBot="1" x14ac:dyDescent="0.3">
      <c r="B4" s="35"/>
      <c r="C4" s="35"/>
      <c r="D4" s="35"/>
    </row>
    <row r="5" spans="2:4" ht="16.5" thickTop="1" x14ac:dyDescent="0.25">
      <c r="B5" s="37" t="str">
        <f>Language!$E$9</f>
        <v>Nr.</v>
      </c>
      <c r="C5" s="42" t="str">
        <f>Language!$E$10</f>
        <v>Teilnehmer bzw. Mannschaft</v>
      </c>
      <c r="D5" s="38" t="str">
        <f>Language!$E$63</f>
        <v>Bonus</v>
      </c>
    </row>
    <row r="6" spans="2:4" ht="18.75" x14ac:dyDescent="0.25">
      <c r="B6" s="39">
        <v>1</v>
      </c>
      <c r="C6" s="43" t="str">
        <f>IF(Plan!$D7="","",Plan!$D7)</f>
        <v>Arsenal WFC</v>
      </c>
      <c r="D6" s="40"/>
    </row>
    <row r="7" spans="2:4" ht="18.75" x14ac:dyDescent="0.25">
      <c r="B7" s="36">
        <v>2</v>
      </c>
      <c r="C7" s="43" t="str">
        <f>IF(Plan!$D8="","",Plan!$D8)</f>
        <v>Atletico Madrid</v>
      </c>
      <c r="D7" s="41"/>
    </row>
    <row r="8" spans="2:4" ht="18.75" x14ac:dyDescent="0.25">
      <c r="B8" s="36">
        <v>3</v>
      </c>
      <c r="C8" s="43" t="str">
        <f>IF(Plan!$D9="","",Plan!$D9)</f>
        <v>FC Barcelona</v>
      </c>
      <c r="D8" s="41"/>
    </row>
    <row r="9" spans="2:4" ht="18.75" x14ac:dyDescent="0.25">
      <c r="B9" s="36">
        <v>4</v>
      </c>
      <c r="C9" s="43" t="str">
        <f>IF(Plan!$D10="","",Plan!$D10)</f>
        <v>FC Bayern München</v>
      </c>
      <c r="D9" s="41"/>
    </row>
    <row r="10" spans="2:4" ht="18.75" x14ac:dyDescent="0.25">
      <c r="B10" s="36">
        <v>5</v>
      </c>
      <c r="C10" s="43" t="str">
        <f>IF(Plan!$D11="","",Plan!$D11)</f>
        <v>SL Benfica</v>
      </c>
      <c r="D10" s="41"/>
    </row>
    <row r="11" spans="2:4" ht="18.75" x14ac:dyDescent="0.25">
      <c r="B11" s="36">
        <v>6</v>
      </c>
      <c r="C11" s="43" t="str">
        <f>IF(Plan!$D12="","",Plan!$D12)</f>
        <v>Chelsea FC</v>
      </c>
      <c r="D11" s="41"/>
    </row>
    <row r="12" spans="2:4" ht="18.75" x14ac:dyDescent="0.25">
      <c r="B12" s="36">
        <v>7</v>
      </c>
      <c r="C12" s="43" t="str">
        <f>IF(Plan!$D13="","",Plan!$D13)</f>
        <v>Juventus FC</v>
      </c>
      <c r="D12" s="41"/>
    </row>
    <row r="13" spans="2:4" ht="18.75" x14ac:dyDescent="0.25">
      <c r="B13" s="36">
        <v>8</v>
      </c>
      <c r="C13" s="43" t="str">
        <f>IF(Plan!$D14="","",Plan!$D14)</f>
        <v>Manchester United</v>
      </c>
      <c r="D13" s="41"/>
    </row>
    <row r="14" spans="2:4" ht="18.75" x14ac:dyDescent="0.25">
      <c r="B14" s="36">
        <v>9</v>
      </c>
      <c r="C14" s="43" t="str">
        <f>IF(Plan!$D15="","",Plan!$D15)</f>
        <v>Oud-Heverlee Leuven</v>
      </c>
      <c r="D14" s="41"/>
    </row>
    <row r="15" spans="2:4" ht="18.75" x14ac:dyDescent="0.25">
      <c r="B15" s="36">
        <v>10</v>
      </c>
      <c r="C15" s="43" t="str">
        <f>IF(Plan!$D16="","",Plan!$D16)</f>
        <v>OL Lyonnes</v>
      </c>
      <c r="D15" s="41"/>
    </row>
    <row r="16" spans="2:4" ht="18.75" x14ac:dyDescent="0.25">
      <c r="B16" s="36">
        <v>11</v>
      </c>
      <c r="C16" s="43" t="str">
        <f>IF(Plan!$D17="","",Plan!$D17)</f>
        <v>Paris FC</v>
      </c>
      <c r="D16" s="41"/>
    </row>
    <row r="17" spans="2:4" ht="18.75" x14ac:dyDescent="0.25">
      <c r="B17" s="36">
        <v>12</v>
      </c>
      <c r="C17" s="43" t="str">
        <f>IF(Plan!$D18="","",Plan!$D18)</f>
        <v>Paris St. Germain</v>
      </c>
      <c r="D17" s="41"/>
    </row>
    <row r="18" spans="2:4" ht="18.75" x14ac:dyDescent="0.25">
      <c r="B18" s="36">
        <v>13</v>
      </c>
      <c r="C18" s="43" t="str">
        <f>IF(Plan!$D19="","",Plan!$D19)</f>
        <v>Real Madrid</v>
      </c>
      <c r="D18" s="41"/>
    </row>
    <row r="19" spans="2:4" ht="18.75" x14ac:dyDescent="0.25">
      <c r="B19" s="36">
        <v>14</v>
      </c>
      <c r="C19" s="43" t="str">
        <f>IF(Plan!$D20="","",Plan!$D20)</f>
        <v>AS Rom</v>
      </c>
      <c r="D19" s="41"/>
    </row>
    <row r="20" spans="2:4" ht="18.75" x14ac:dyDescent="0.25">
      <c r="B20" s="36">
        <v>15</v>
      </c>
      <c r="C20" s="43" t="str">
        <f>IF(Plan!$D21="","",Plan!$D21)</f>
        <v>SKN St. Pölten</v>
      </c>
      <c r="D20" s="41"/>
    </row>
    <row r="21" spans="2:4" ht="18.75" x14ac:dyDescent="0.25">
      <c r="B21" s="36">
        <v>16</v>
      </c>
      <c r="C21" s="43" t="str">
        <f>IF(Plan!$D22="","",Plan!$D22)</f>
        <v>FC Twente</v>
      </c>
      <c r="D21" s="41"/>
    </row>
    <row r="22" spans="2:4" ht="18.75" x14ac:dyDescent="0.25">
      <c r="B22" s="36">
        <v>17</v>
      </c>
      <c r="C22" s="43" t="str">
        <f>IF(Plan!$D23="","",Plan!$D23)</f>
        <v>Valerenga IF</v>
      </c>
      <c r="D22" s="41"/>
    </row>
    <row r="23" spans="2:4" ht="19.5" thickBot="1" x14ac:dyDescent="0.3">
      <c r="B23" s="402">
        <v>18</v>
      </c>
      <c r="C23" s="403" t="str">
        <f>IF(Plan!$D24="","",Plan!$D24)</f>
        <v>VfL Wolfsburg</v>
      </c>
      <c r="D23" s="404"/>
    </row>
    <row r="24" spans="2:4" ht="15.75" thickTop="1" x14ac:dyDescent="0.25"/>
  </sheetData>
  <sheetProtection sheet="1" objects="1" scenarios="1" selectLockedCells="1"/>
  <mergeCells count="1">
    <mergeCell ref="B2:D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5"/>
  <sheetViews>
    <sheetView showGridLines="0" showRowColHeaders="0" workbookViewId="0">
      <selection activeCell="J1" sqref="J1"/>
    </sheetView>
  </sheetViews>
  <sheetFormatPr baseColWidth="10" defaultColWidth="0" defaultRowHeight="15" zeroHeight="1" x14ac:dyDescent="0.25"/>
  <cols>
    <col min="1" max="1" width="11.5703125" style="428" customWidth="1"/>
    <col min="2" max="3" width="11.5703125" style="428" hidden="1" customWidth="1"/>
    <col min="4" max="4" width="11.5703125" style="428" customWidth="1"/>
    <col min="5" max="5" width="25" style="428" hidden="1" customWidth="1"/>
    <col min="6" max="6" width="28.7109375" style="428" bestFit="1" customWidth="1"/>
    <col min="7" max="7" width="30" style="428" bestFit="1" customWidth="1"/>
    <col min="8" max="8" width="31.42578125" style="428" customWidth="1"/>
    <col min="9" max="9" width="11.5703125" style="428" customWidth="1"/>
    <col min="10" max="10" width="14" style="428" bestFit="1" customWidth="1"/>
    <col min="11" max="13" width="11.5703125" style="428" customWidth="1"/>
    <col min="14" max="16384" width="11.5703125" style="428" hidden="1"/>
  </cols>
  <sheetData>
    <row r="1" spans="2:12" ht="60.75" thickBot="1" x14ac:dyDescent="0.55000000000000004">
      <c r="B1" s="423"/>
      <c r="C1" s="424"/>
      <c r="D1" s="424"/>
      <c r="E1" s="424"/>
      <c r="F1" s="562" t="str">
        <f>$E$49</f>
        <v>Sprache wählen</v>
      </c>
      <c r="G1" s="562"/>
      <c r="H1" s="562"/>
      <c r="I1" s="425"/>
      <c r="J1" s="3" t="s">
        <v>1</v>
      </c>
      <c r="K1" s="426" t="s">
        <v>2</v>
      </c>
      <c r="L1" s="427" t="str">
        <f>$E$86</f>
        <v>Hier klicken und Sprache wählen</v>
      </c>
    </row>
    <row r="2" spans="2:12" ht="19.5" thickBot="1" x14ac:dyDescent="0.3">
      <c r="B2" s="424"/>
      <c r="C2" s="424"/>
      <c r="D2" s="424"/>
      <c r="E2" s="424"/>
      <c r="F2" s="565"/>
      <c r="G2" s="565"/>
      <c r="H2" s="424"/>
      <c r="I2" s="429"/>
      <c r="J2" s="1"/>
      <c r="K2" s="424"/>
      <c r="L2" s="424"/>
    </row>
    <row r="3" spans="2:12" ht="15.75" thickTop="1" x14ac:dyDescent="0.25">
      <c r="B3" s="424" t="s">
        <v>4</v>
      </c>
      <c r="C3" s="430">
        <f>IF(AND($J$1&lt;&gt;B4,$J$1&lt;&gt;B5),1,0)</f>
        <v>0</v>
      </c>
      <c r="D3" s="566"/>
      <c r="E3" s="568"/>
      <c r="F3" s="569" t="s">
        <v>4</v>
      </c>
      <c r="G3" s="571" t="s">
        <v>1</v>
      </c>
      <c r="H3" s="563" t="s">
        <v>5</v>
      </c>
      <c r="I3" s="2"/>
      <c r="J3" s="424"/>
      <c r="K3" s="424"/>
      <c r="L3" s="424"/>
    </row>
    <row r="4" spans="2:12" ht="15.75" thickBot="1" x14ac:dyDescent="0.3">
      <c r="B4" s="424" t="s">
        <v>1</v>
      </c>
      <c r="C4" s="430">
        <f>IF($J$1=B4,1,0)</f>
        <v>1</v>
      </c>
      <c r="D4" s="567"/>
      <c r="E4" s="568"/>
      <c r="F4" s="570"/>
      <c r="G4" s="572"/>
      <c r="H4" s="564"/>
      <c r="I4" s="431"/>
      <c r="J4" s="432"/>
      <c r="K4" s="424"/>
      <c r="L4" s="424"/>
    </row>
    <row r="5" spans="2:12" ht="29.25" thickTop="1" x14ac:dyDescent="0.45">
      <c r="B5" s="424" t="s">
        <v>5</v>
      </c>
      <c r="C5" s="430">
        <f>IF($J$1=B5,1,0)</f>
        <v>0</v>
      </c>
      <c r="D5" s="424"/>
      <c r="E5" s="424"/>
      <c r="F5" s="433" t="str">
        <f>$E$50</f>
        <v>Überschriften</v>
      </c>
      <c r="G5" s="434"/>
      <c r="H5" s="435"/>
      <c r="I5" s="431"/>
      <c r="J5" s="432"/>
      <c r="K5" s="424"/>
      <c r="L5" s="424"/>
    </row>
    <row r="6" spans="2:12" x14ac:dyDescent="0.25">
      <c r="B6" s="424"/>
      <c r="C6" s="424"/>
      <c r="D6" s="424"/>
      <c r="E6" s="424" t="str">
        <f>IF($C$3,F6,IF($C$4,G6,IF($H6&lt;&gt;"",$H6,$F6)))</f>
        <v>Tie-Break</v>
      </c>
      <c r="F6" s="436" t="s">
        <v>8</v>
      </c>
      <c r="G6" s="437" t="s">
        <v>7</v>
      </c>
      <c r="H6" s="438"/>
      <c r="I6" s="424"/>
      <c r="J6" s="424"/>
      <c r="K6" s="424"/>
      <c r="L6" s="424"/>
    </row>
    <row r="7" spans="2:12" x14ac:dyDescent="0.25">
      <c r="B7" s="424"/>
      <c r="C7" s="424"/>
      <c r="D7" s="424"/>
      <c r="E7" s="424" t="str">
        <f t="shared" ref="E7:E70" si="0">IF($C$3,F7,IF($C$4,G7,IF($H7&lt;&gt;"",$H7,$F7)))</f>
        <v>Einstellungen</v>
      </c>
      <c r="F7" s="436" t="s">
        <v>10</v>
      </c>
      <c r="G7" s="437" t="s">
        <v>9</v>
      </c>
      <c r="H7" s="439"/>
      <c r="I7" s="424"/>
      <c r="J7" s="424"/>
      <c r="K7" s="424"/>
      <c r="L7" s="424"/>
    </row>
    <row r="8" spans="2:12" x14ac:dyDescent="0.25">
      <c r="B8" s="424"/>
      <c r="C8" s="424"/>
      <c r="D8" s="424"/>
      <c r="E8" s="424" t="str">
        <f t="shared" si="0"/>
        <v>Dein Datum</v>
      </c>
      <c r="F8" s="440" t="s">
        <v>12</v>
      </c>
      <c r="G8" s="441" t="s">
        <v>11</v>
      </c>
      <c r="H8" s="439"/>
      <c r="I8" s="424"/>
      <c r="J8" s="424"/>
      <c r="K8" s="424"/>
      <c r="L8" s="424"/>
    </row>
    <row r="9" spans="2:12" ht="28.5" x14ac:dyDescent="0.45">
      <c r="B9" s="424"/>
      <c r="C9" s="424"/>
      <c r="D9" s="424"/>
      <c r="E9" s="424" t="str">
        <f t="shared" si="0"/>
        <v>Nr.</v>
      </c>
      <c r="F9" s="442" t="s">
        <v>14</v>
      </c>
      <c r="G9" s="443" t="s">
        <v>13</v>
      </c>
      <c r="H9" s="439"/>
      <c r="I9" s="444"/>
      <c r="J9" s="424"/>
      <c r="K9" s="424"/>
      <c r="L9" s="424"/>
    </row>
    <row r="10" spans="2:12" ht="28.5" x14ac:dyDescent="0.45">
      <c r="B10" s="424"/>
      <c r="C10" s="424"/>
      <c r="D10" s="424"/>
      <c r="E10" s="424" t="str">
        <f t="shared" si="0"/>
        <v>Teilnehmer bzw. Mannschaft</v>
      </c>
      <c r="F10" s="442" t="s">
        <v>16</v>
      </c>
      <c r="G10" s="443" t="s">
        <v>15</v>
      </c>
      <c r="H10" s="439"/>
      <c r="I10" s="444"/>
      <c r="J10" s="424"/>
      <c r="K10" s="424"/>
      <c r="L10" s="424"/>
    </row>
    <row r="11" spans="2:12" ht="28.5" x14ac:dyDescent="0.45">
      <c r="B11" s="424"/>
      <c r="C11" s="424"/>
      <c r="D11" s="424"/>
      <c r="E11" s="424" t="str">
        <f t="shared" si="0"/>
        <v>Ergebnisse</v>
      </c>
      <c r="F11" s="442" t="s">
        <v>18</v>
      </c>
      <c r="G11" s="443" t="s">
        <v>17</v>
      </c>
      <c r="H11" s="439"/>
      <c r="I11" s="444"/>
      <c r="J11" s="424"/>
      <c r="K11" s="424"/>
      <c r="L11" s="424"/>
    </row>
    <row r="12" spans="2:12" ht="28.5" x14ac:dyDescent="0.45">
      <c r="B12" s="424"/>
      <c r="C12" s="424"/>
      <c r="D12" s="424"/>
      <c r="E12" s="424" t="str">
        <f t="shared" si="0"/>
        <v>Tabelle</v>
      </c>
      <c r="F12" s="442" t="s">
        <v>20</v>
      </c>
      <c r="G12" s="443" t="s">
        <v>19</v>
      </c>
      <c r="H12" s="439"/>
      <c r="I12" s="444"/>
      <c r="J12" s="424"/>
      <c r="K12" s="424"/>
      <c r="L12" s="424"/>
    </row>
    <row r="13" spans="2:12" ht="28.5" x14ac:dyDescent="0.45">
      <c r="B13" s="424"/>
      <c r="C13" s="424"/>
      <c r="D13" s="424"/>
      <c r="E13" s="424" t="str">
        <f t="shared" si="0"/>
        <v>Spielpaarungen</v>
      </c>
      <c r="F13" s="442" t="s">
        <v>22</v>
      </c>
      <c r="G13" s="443" t="s">
        <v>21</v>
      </c>
      <c r="H13" s="439"/>
      <c r="I13" s="444"/>
      <c r="J13" s="424"/>
      <c r="K13" s="424"/>
      <c r="L13" s="424"/>
    </row>
    <row r="14" spans="2:12" ht="28.5" x14ac:dyDescent="0.45">
      <c r="B14" s="424"/>
      <c r="C14" s="424"/>
      <c r="D14" s="424"/>
      <c r="E14" s="424" t="str">
        <f t="shared" si="0"/>
        <v>Spielpaarung</v>
      </c>
      <c r="F14" s="442" t="s">
        <v>24</v>
      </c>
      <c r="G14" s="443" t="s">
        <v>23</v>
      </c>
      <c r="H14" s="439"/>
      <c r="I14" s="444"/>
      <c r="J14" s="424"/>
      <c r="K14" s="424"/>
      <c r="L14" s="424"/>
    </row>
    <row r="15" spans="2:12" ht="28.5" x14ac:dyDescent="0.45">
      <c r="B15" s="424"/>
      <c r="C15" s="424"/>
      <c r="D15" s="424"/>
      <c r="E15" s="424" t="str">
        <f t="shared" si="0"/>
        <v>Ergebnis</v>
      </c>
      <c r="F15" s="442" t="s">
        <v>26</v>
      </c>
      <c r="G15" s="443" t="s">
        <v>25</v>
      </c>
      <c r="H15" s="439"/>
      <c r="I15" s="444"/>
      <c r="J15" s="424"/>
      <c r="K15" s="424"/>
      <c r="L15" s="424"/>
    </row>
    <row r="16" spans="2:12" ht="28.5" x14ac:dyDescent="0.45">
      <c r="B16" s="424"/>
      <c r="C16" s="424"/>
      <c r="D16" s="424"/>
      <c r="E16" s="424" t="str">
        <f t="shared" si="0"/>
        <v>Spieltage</v>
      </c>
      <c r="F16" s="442" t="s">
        <v>28</v>
      </c>
      <c r="G16" s="443" t="s">
        <v>27</v>
      </c>
      <c r="H16" s="439"/>
      <c r="I16" s="444"/>
      <c r="J16" s="424"/>
      <c r="K16" s="424"/>
      <c r="L16" s="424"/>
    </row>
    <row r="17" spans="5:13" ht="28.5" x14ac:dyDescent="0.45">
      <c r="E17" s="424" t="str">
        <f t="shared" si="0"/>
        <v>Spieltag</v>
      </c>
      <c r="F17" s="442" t="s">
        <v>30</v>
      </c>
      <c r="G17" s="443" t="s">
        <v>29</v>
      </c>
      <c r="H17" s="439"/>
      <c r="I17" s="444"/>
      <c r="J17" s="424"/>
      <c r="K17" s="424"/>
      <c r="L17" s="424"/>
      <c r="M17" s="424"/>
    </row>
    <row r="18" spans="5:13" ht="28.5" x14ac:dyDescent="0.45">
      <c r="E18" s="424" t="str">
        <f t="shared" si="0"/>
        <v>Auswärtsspiele</v>
      </c>
      <c r="F18" s="442" t="s">
        <v>32</v>
      </c>
      <c r="G18" s="443" t="s">
        <v>31</v>
      </c>
      <c r="H18" s="439"/>
      <c r="I18" s="444"/>
      <c r="J18" s="424"/>
      <c r="K18" s="424"/>
      <c r="L18" s="424"/>
      <c r="M18" s="424"/>
    </row>
    <row r="19" spans="5:13" ht="28.5" x14ac:dyDescent="0.45">
      <c r="E19" s="424" t="str">
        <f t="shared" si="0"/>
        <v>Rückspiele</v>
      </c>
      <c r="F19" s="442" t="s">
        <v>34</v>
      </c>
      <c r="G19" s="443" t="s">
        <v>33</v>
      </c>
      <c r="H19" s="439"/>
      <c r="I19" s="444"/>
      <c r="J19" s="424"/>
      <c r="K19" s="424"/>
      <c r="L19" s="424"/>
      <c r="M19" s="424"/>
    </row>
    <row r="20" spans="5:13" x14ac:dyDescent="0.25">
      <c r="E20" s="424" t="str">
        <f t="shared" si="0"/>
        <v>Name</v>
      </c>
      <c r="F20" s="440" t="s">
        <v>35</v>
      </c>
      <c r="G20" s="441" t="s">
        <v>35</v>
      </c>
      <c r="H20" s="439"/>
      <c r="I20" s="445"/>
      <c r="J20" s="445"/>
      <c r="K20" s="445"/>
      <c r="L20" s="445"/>
      <c r="M20" s="445"/>
    </row>
    <row r="21" spans="5:13" x14ac:dyDescent="0.25">
      <c r="E21" s="424" t="str">
        <f t="shared" si="0"/>
        <v>Sp</v>
      </c>
      <c r="F21" s="440" t="s">
        <v>37</v>
      </c>
      <c r="G21" s="441" t="s">
        <v>36</v>
      </c>
      <c r="H21" s="439"/>
      <c r="I21" s="445"/>
      <c r="J21" s="445"/>
      <c r="K21" s="445"/>
      <c r="L21" s="445"/>
      <c r="M21" s="445"/>
    </row>
    <row r="22" spans="5:13" x14ac:dyDescent="0.25">
      <c r="E22" s="424" t="str">
        <f t="shared" si="0"/>
        <v>G</v>
      </c>
      <c r="F22" s="440" t="s">
        <v>39</v>
      </c>
      <c r="G22" s="441" t="s">
        <v>38</v>
      </c>
      <c r="H22" s="439"/>
      <c r="I22" s="445"/>
      <c r="J22" s="445"/>
      <c r="K22" s="445"/>
      <c r="L22" s="445"/>
      <c r="M22" s="445"/>
    </row>
    <row r="23" spans="5:13" x14ac:dyDescent="0.25">
      <c r="E23" s="424" t="str">
        <f t="shared" si="0"/>
        <v>U</v>
      </c>
      <c r="F23" s="440" t="s">
        <v>41</v>
      </c>
      <c r="G23" s="441" t="s">
        <v>40</v>
      </c>
      <c r="H23" s="439"/>
      <c r="I23" s="445"/>
      <c r="J23" s="445"/>
      <c r="K23" s="445"/>
      <c r="L23" s="445"/>
      <c r="M23" s="445"/>
    </row>
    <row r="24" spans="5:13" x14ac:dyDescent="0.25">
      <c r="E24" s="424" t="str">
        <f t="shared" si="0"/>
        <v>V</v>
      </c>
      <c r="F24" s="440" t="s">
        <v>43</v>
      </c>
      <c r="G24" s="441" t="s">
        <v>42</v>
      </c>
      <c r="H24" s="439"/>
      <c r="I24" s="445"/>
      <c r="J24" s="445"/>
      <c r="K24" s="445"/>
      <c r="L24" s="445"/>
      <c r="M24" s="445"/>
    </row>
    <row r="25" spans="5:13" x14ac:dyDescent="0.25">
      <c r="E25" s="424" t="str">
        <f t="shared" si="0"/>
        <v>Tore</v>
      </c>
      <c r="F25" s="440" t="s">
        <v>45</v>
      </c>
      <c r="G25" s="441" t="s">
        <v>44</v>
      </c>
      <c r="H25" s="439"/>
      <c r="I25" s="445"/>
      <c r="J25" s="445"/>
      <c r="K25" s="445"/>
      <c r="L25" s="445"/>
      <c r="M25" s="445"/>
    </row>
    <row r="26" spans="5:13" x14ac:dyDescent="0.25">
      <c r="E26" s="424" t="str">
        <f t="shared" si="0"/>
        <v>TD</v>
      </c>
      <c r="F26" s="440" t="s">
        <v>47</v>
      </c>
      <c r="G26" s="441" t="s">
        <v>46</v>
      </c>
      <c r="H26" s="439"/>
      <c r="I26" s="445"/>
      <c r="J26" s="445"/>
      <c r="K26" s="445"/>
      <c r="L26" s="445"/>
      <c r="M26" s="445"/>
    </row>
    <row r="27" spans="5:13" x14ac:dyDescent="0.25">
      <c r="E27" s="424" t="str">
        <f t="shared" si="0"/>
        <v>Pkt</v>
      </c>
      <c r="F27" s="440" t="s">
        <v>49</v>
      </c>
      <c r="G27" s="441" t="s">
        <v>48</v>
      </c>
      <c r="H27" s="439"/>
      <c r="I27" s="445"/>
      <c r="J27" s="445"/>
      <c r="K27" s="445"/>
      <c r="L27" s="445"/>
      <c r="M27" s="445"/>
    </row>
    <row r="28" spans="5:13" x14ac:dyDescent="0.25">
      <c r="E28" s="424" t="str">
        <f t="shared" si="0"/>
        <v>erz. Tore</v>
      </c>
      <c r="F28" s="440" t="s">
        <v>51</v>
      </c>
      <c r="G28" s="441" t="s">
        <v>50</v>
      </c>
      <c r="H28" s="439"/>
      <c r="I28" s="445"/>
      <c r="J28" s="445"/>
      <c r="K28" s="445"/>
      <c r="L28" s="445"/>
      <c r="M28" s="445"/>
    </row>
    <row r="29" spans="5:13" x14ac:dyDescent="0.25">
      <c r="E29" s="424" t="str">
        <f t="shared" si="0"/>
        <v>ATore</v>
      </c>
      <c r="F29" s="440" t="s">
        <v>53</v>
      </c>
      <c r="G29" s="441" t="s">
        <v>52</v>
      </c>
      <c r="H29" s="439"/>
      <c r="I29" s="445"/>
      <c r="J29" s="445"/>
      <c r="K29" s="445"/>
      <c r="L29" s="445"/>
      <c r="M29" s="445"/>
    </row>
    <row r="30" spans="5:13" x14ac:dyDescent="0.25">
      <c r="E30" s="424" t="str">
        <f t="shared" si="0"/>
        <v>AGew</v>
      </c>
      <c r="F30" s="440" t="s">
        <v>55</v>
      </c>
      <c r="G30" s="441" t="s">
        <v>54</v>
      </c>
      <c r="H30" s="439"/>
      <c r="I30" s="445"/>
      <c r="J30" s="445"/>
      <c r="K30" s="445"/>
      <c r="L30" s="445"/>
      <c r="M30" s="445"/>
    </row>
    <row r="31" spans="5:13" x14ac:dyDescent="0.25">
      <c r="E31" s="424" t="str">
        <f t="shared" si="0"/>
        <v>Hinspiel</v>
      </c>
      <c r="F31" s="440" t="s">
        <v>57</v>
      </c>
      <c r="G31" s="441" t="s">
        <v>56</v>
      </c>
      <c r="H31" s="439"/>
      <c r="I31" s="445"/>
      <c r="J31" s="445"/>
      <c r="K31" s="445"/>
      <c r="L31" s="445"/>
      <c r="M31" s="445"/>
    </row>
    <row r="32" spans="5:13" x14ac:dyDescent="0.25">
      <c r="E32" s="424" t="str">
        <f t="shared" si="0"/>
        <v>Rückspiel</v>
      </c>
      <c r="F32" s="440" t="s">
        <v>59</v>
      </c>
      <c r="G32" s="441" t="s">
        <v>58</v>
      </c>
      <c r="H32" s="439"/>
      <c r="I32" s="445"/>
      <c r="J32" s="445"/>
      <c r="K32" s="445"/>
      <c r="L32" s="445"/>
      <c r="M32" s="445"/>
    </row>
    <row r="33" spans="5:13" x14ac:dyDescent="0.25">
      <c r="E33" s="424" t="str">
        <f t="shared" si="0"/>
        <v>Elfmeter-schießen</v>
      </c>
      <c r="F33" s="440" t="s">
        <v>61</v>
      </c>
      <c r="G33" s="441" t="s">
        <v>60</v>
      </c>
      <c r="H33" s="439"/>
      <c r="I33" s="445"/>
      <c r="J33" s="445"/>
      <c r="K33" s="445"/>
      <c r="L33" s="445"/>
      <c r="M33" s="445"/>
    </row>
    <row r="34" spans="5:13" x14ac:dyDescent="0.25">
      <c r="E34" s="424" t="str">
        <f t="shared" si="0"/>
        <v>Achtelfinale</v>
      </c>
      <c r="F34" s="440" t="s">
        <v>63</v>
      </c>
      <c r="G34" s="441" t="s">
        <v>62</v>
      </c>
      <c r="H34" s="439"/>
      <c r="I34" s="445"/>
      <c r="J34" s="445"/>
      <c r="K34" s="445"/>
      <c r="L34" s="445"/>
      <c r="M34" s="445"/>
    </row>
    <row r="35" spans="5:13" x14ac:dyDescent="0.25">
      <c r="E35" s="424" t="str">
        <f t="shared" si="0"/>
        <v>Viertelfinale</v>
      </c>
      <c r="F35" s="440" t="s">
        <v>65</v>
      </c>
      <c r="G35" s="441" t="s">
        <v>64</v>
      </c>
      <c r="H35" s="439"/>
      <c r="I35" s="445"/>
      <c r="J35" s="445"/>
      <c r="K35" s="445"/>
      <c r="L35" s="445"/>
      <c r="M35" s="445"/>
    </row>
    <row r="36" spans="5:13" x14ac:dyDescent="0.25">
      <c r="E36" s="424" t="str">
        <f t="shared" si="0"/>
        <v>Halbfinale</v>
      </c>
      <c r="F36" s="440" t="s">
        <v>67</v>
      </c>
      <c r="G36" s="441" t="s">
        <v>66</v>
      </c>
      <c r="H36" s="439"/>
      <c r="I36" s="445"/>
      <c r="J36" s="445"/>
      <c r="K36" s="445"/>
      <c r="L36" s="445"/>
      <c r="M36" s="445"/>
    </row>
    <row r="37" spans="5:13" x14ac:dyDescent="0.25">
      <c r="E37" s="424" t="str">
        <f t="shared" si="0"/>
        <v>Finale</v>
      </c>
      <c r="F37" s="440" t="s">
        <v>69</v>
      </c>
      <c r="G37" s="441" t="s">
        <v>68</v>
      </c>
      <c r="H37" s="439"/>
      <c r="I37" s="445"/>
      <c r="J37" s="445"/>
      <c r="K37" s="445"/>
      <c r="L37" s="445"/>
      <c r="M37" s="445"/>
    </row>
    <row r="38" spans="5:13" x14ac:dyDescent="0.25">
      <c r="E38" s="424" t="str">
        <f t="shared" si="0"/>
        <v>Play-Offs</v>
      </c>
      <c r="F38" s="440" t="s">
        <v>71</v>
      </c>
      <c r="G38" s="441" t="s">
        <v>70</v>
      </c>
      <c r="H38" s="439"/>
      <c r="I38" s="445"/>
      <c r="J38" s="445"/>
      <c r="K38" s="445"/>
      <c r="L38" s="445"/>
      <c r="M38" s="445"/>
    </row>
    <row r="39" spans="5:13" x14ac:dyDescent="0.25">
      <c r="E39" s="424" t="str">
        <f t="shared" si="0"/>
        <v>Liga-Rang</v>
      </c>
      <c r="F39" s="440" t="s">
        <v>73</v>
      </c>
      <c r="G39" s="441" t="s">
        <v>72</v>
      </c>
      <c r="H39" s="439"/>
      <c r="I39" s="445"/>
      <c r="J39" s="445"/>
      <c r="K39" s="445"/>
      <c r="L39" s="445"/>
      <c r="M39" s="445"/>
    </row>
    <row r="40" spans="5:13" x14ac:dyDescent="0.25">
      <c r="E40" s="424" t="str">
        <f t="shared" si="0"/>
        <v>in der Ligaphase</v>
      </c>
      <c r="F40" s="440" t="s">
        <v>75</v>
      </c>
      <c r="G40" s="441" t="s">
        <v>74</v>
      </c>
      <c r="H40" s="439"/>
      <c r="I40" s="445"/>
      <c r="J40" s="445"/>
      <c r="K40" s="445"/>
      <c r="L40" s="445"/>
      <c r="M40" s="445"/>
    </row>
    <row r="41" spans="5:13" x14ac:dyDescent="0.25">
      <c r="E41" s="424"/>
      <c r="F41" s="440"/>
      <c r="G41" s="441"/>
      <c r="H41" s="439"/>
      <c r="I41" s="445"/>
      <c r="J41" s="445"/>
      <c r="K41" s="445"/>
      <c r="L41" s="445"/>
      <c r="M41" s="445"/>
    </row>
    <row r="42" spans="5:13" x14ac:dyDescent="0.25">
      <c r="E42" s="424" t="str">
        <f t="shared" si="0"/>
        <v>Liga-Tabelle</v>
      </c>
      <c r="F42" s="440" t="s">
        <v>77</v>
      </c>
      <c r="G42" s="441" t="s">
        <v>76</v>
      </c>
      <c r="H42" s="439"/>
      <c r="I42" s="445"/>
      <c r="J42" s="445"/>
      <c r="K42" s="445"/>
      <c r="L42" s="445"/>
      <c r="M42" s="445"/>
    </row>
    <row r="43" spans="5:13" x14ac:dyDescent="0.25">
      <c r="E43" s="424" t="str">
        <f t="shared" si="0"/>
        <v>TABELLE UNGÜLTIG</v>
      </c>
      <c r="F43" s="440" t="s">
        <v>79</v>
      </c>
      <c r="G43" s="441" t="s">
        <v>78</v>
      </c>
      <c r="H43" s="439"/>
      <c r="I43" s="424"/>
      <c r="J43" s="424"/>
      <c r="K43" s="424"/>
      <c r="L43" s="424"/>
      <c r="M43" s="424"/>
    </row>
    <row r="44" spans="5:13" x14ac:dyDescent="0.25">
      <c r="E44" s="424" t="str">
        <f t="shared" si="0"/>
        <v>Teilnehmer und Ablaufplan</v>
      </c>
      <c r="F44" s="440" t="s">
        <v>81</v>
      </c>
      <c r="G44" s="441" t="s">
        <v>80</v>
      </c>
      <c r="H44" s="439"/>
      <c r="I44" s="424"/>
      <c r="J44" s="424"/>
      <c r="K44" s="424"/>
      <c r="L44" s="424"/>
      <c r="M44" s="424"/>
    </row>
    <row r="45" spans="5:13" x14ac:dyDescent="0.25">
      <c r="E45" s="424" t="str">
        <f t="shared" si="0"/>
        <v>Teilnehmer</v>
      </c>
      <c r="F45" s="440" t="s">
        <v>83</v>
      </c>
      <c r="G45" s="441" t="s">
        <v>82</v>
      </c>
      <c r="H45" s="439"/>
      <c r="I45" s="424"/>
      <c r="J45" s="424"/>
      <c r="K45" s="424"/>
      <c r="L45" s="424"/>
      <c r="M45" s="424"/>
    </row>
    <row r="46" spans="5:13" x14ac:dyDescent="0.25">
      <c r="E46" s="424" t="str">
        <f t="shared" si="0"/>
        <v>Ablaufplan</v>
      </c>
      <c r="F46" s="440" t="s">
        <v>85</v>
      </c>
      <c r="G46" s="441" t="s">
        <v>84</v>
      </c>
      <c r="H46" s="439"/>
      <c r="I46" s="424"/>
      <c r="J46" s="424"/>
      <c r="K46" s="424"/>
      <c r="L46" s="424"/>
      <c r="M46" s="424"/>
    </row>
    <row r="47" spans="5:13" x14ac:dyDescent="0.25">
      <c r="E47" s="424" t="str">
        <f t="shared" si="0"/>
        <v>Spiel-Nr.</v>
      </c>
      <c r="F47" s="440" t="s">
        <v>87</v>
      </c>
      <c r="G47" s="441" t="s">
        <v>86</v>
      </c>
      <c r="H47" s="439"/>
      <c r="I47" s="424"/>
      <c r="J47" s="424"/>
      <c r="K47" s="424"/>
      <c r="L47" s="424"/>
      <c r="M47" s="424"/>
    </row>
    <row r="48" spans="5:13" x14ac:dyDescent="0.25">
      <c r="E48" s="424" t="str">
        <f t="shared" si="0"/>
        <v>Paarungen</v>
      </c>
      <c r="F48" s="440" t="s">
        <v>89</v>
      </c>
      <c r="G48" s="441" t="s">
        <v>88</v>
      </c>
      <c r="H48" s="439"/>
      <c r="I48" s="424"/>
      <c r="J48" s="424"/>
      <c r="K48" s="424"/>
      <c r="L48" s="424"/>
      <c r="M48" s="424"/>
    </row>
    <row r="49" spans="5:8" x14ac:dyDescent="0.25">
      <c r="E49" s="424" t="str">
        <f t="shared" si="0"/>
        <v>Sprache wählen</v>
      </c>
      <c r="F49" s="440" t="s">
        <v>90</v>
      </c>
      <c r="G49" s="441" t="s">
        <v>0</v>
      </c>
      <c r="H49" s="439"/>
    </row>
    <row r="50" spans="5:8" x14ac:dyDescent="0.25">
      <c r="E50" s="424" t="str">
        <f t="shared" si="0"/>
        <v>Überschriften</v>
      </c>
      <c r="F50" s="440" t="s">
        <v>91</v>
      </c>
      <c r="G50" s="441" t="s">
        <v>6</v>
      </c>
      <c r="H50" s="439"/>
    </row>
    <row r="51" spans="5:8" x14ac:dyDescent="0.25">
      <c r="E51" s="424" t="str">
        <f t="shared" si="0"/>
        <v>Meldungen</v>
      </c>
      <c r="F51" s="440" t="s">
        <v>93</v>
      </c>
      <c r="G51" s="441" t="s">
        <v>92</v>
      </c>
      <c r="H51" s="439"/>
    </row>
    <row r="52" spans="5:8" x14ac:dyDescent="0.25">
      <c r="E52" s="424" t="str">
        <f t="shared" si="0"/>
        <v>Deine Überschriften</v>
      </c>
      <c r="F52" s="440" t="s">
        <v>95</v>
      </c>
      <c r="G52" s="441" t="s">
        <v>94</v>
      </c>
      <c r="H52" s="439"/>
    </row>
    <row r="53" spans="5:8" x14ac:dyDescent="0.25">
      <c r="E53" s="424" t="str">
        <f t="shared" si="0"/>
        <v>Anzahl der Punkte für einen Sieg:</v>
      </c>
      <c r="F53" s="440" t="s">
        <v>97</v>
      </c>
      <c r="G53" s="441" t="s">
        <v>96</v>
      </c>
      <c r="H53" s="439"/>
    </row>
    <row r="54" spans="5:8" ht="25.5" x14ac:dyDescent="0.25">
      <c r="E54" s="424" t="str">
        <f t="shared" si="0"/>
        <v>Einzelne Teams im Vergleich für einen bestimmten Zeitraum</v>
      </c>
      <c r="F54" s="446" t="s">
        <v>99</v>
      </c>
      <c r="G54" s="447" t="s">
        <v>98</v>
      </c>
      <c r="H54" s="439"/>
    </row>
    <row r="55" spans="5:8" x14ac:dyDescent="0.25">
      <c r="E55" s="424" t="str">
        <f t="shared" si="0"/>
        <v>von</v>
      </c>
      <c r="F55" s="440" t="s">
        <v>101</v>
      </c>
      <c r="G55" s="441" t="s">
        <v>100</v>
      </c>
      <c r="H55" s="439"/>
    </row>
    <row r="56" spans="5:8" x14ac:dyDescent="0.25">
      <c r="E56" s="424" t="str">
        <f t="shared" si="0"/>
        <v>Abkürzung</v>
      </c>
      <c r="F56" s="440" t="s">
        <v>103</v>
      </c>
      <c r="G56" s="441" t="s">
        <v>102</v>
      </c>
      <c r="H56" s="439"/>
    </row>
    <row r="57" spans="5:8" x14ac:dyDescent="0.25">
      <c r="E57" s="424" t="str">
        <f t="shared" si="0"/>
        <v>Länge der Abkürzungen:</v>
      </c>
      <c r="F57" s="440" t="s">
        <v>105</v>
      </c>
      <c r="G57" s="441" t="s">
        <v>104</v>
      </c>
      <c r="H57" s="439"/>
    </row>
    <row r="58" spans="5:8" x14ac:dyDescent="0.25">
      <c r="E58" s="424" t="str">
        <f t="shared" si="0"/>
        <v>bis</v>
      </c>
      <c r="F58" s="440" t="s">
        <v>107</v>
      </c>
      <c r="G58" s="441" t="s">
        <v>106</v>
      </c>
      <c r="H58" s="439"/>
    </row>
    <row r="59" spans="5:8" x14ac:dyDescent="0.25">
      <c r="E59" s="424" t="str">
        <f t="shared" si="0"/>
        <v>Datum</v>
      </c>
      <c r="F59" s="440" t="s">
        <v>109</v>
      </c>
      <c r="G59" s="441" t="s">
        <v>108</v>
      </c>
      <c r="H59" s="439"/>
    </row>
    <row r="60" spans="5:8" x14ac:dyDescent="0.25">
      <c r="E60" s="424" t="str">
        <f t="shared" si="0"/>
        <v>Spiel gegen</v>
      </c>
      <c r="F60" s="440" t="s">
        <v>111</v>
      </c>
      <c r="G60" s="441" t="s">
        <v>110</v>
      </c>
      <c r="H60" s="439"/>
    </row>
    <row r="61" spans="5:8" x14ac:dyDescent="0.25">
      <c r="E61" s="424" t="str">
        <f t="shared" si="0"/>
        <v>Anmerkung</v>
      </c>
      <c r="F61" s="440" t="s">
        <v>113</v>
      </c>
      <c r="G61" s="441" t="s">
        <v>112</v>
      </c>
      <c r="H61" s="439"/>
    </row>
    <row r="62" spans="5:8" x14ac:dyDescent="0.25">
      <c r="E62" s="424" t="str">
        <f t="shared" si="0"/>
        <v>Zeit</v>
      </c>
      <c r="F62" s="440" t="s">
        <v>115</v>
      </c>
      <c r="G62" s="441" t="s">
        <v>114</v>
      </c>
      <c r="H62" s="439"/>
    </row>
    <row r="63" spans="5:8" x14ac:dyDescent="0.25">
      <c r="E63" s="424" t="str">
        <f t="shared" si="0"/>
        <v>Bonus</v>
      </c>
      <c r="F63" s="436" t="s">
        <v>116</v>
      </c>
      <c r="G63" s="437" t="s">
        <v>116</v>
      </c>
      <c r="H63" s="439"/>
    </row>
    <row r="64" spans="5:8" x14ac:dyDescent="0.25">
      <c r="E64" s="424" t="str">
        <f t="shared" si="0"/>
        <v>Team</v>
      </c>
      <c r="F64" s="440" t="s">
        <v>117</v>
      </c>
      <c r="G64" s="441" t="s">
        <v>117</v>
      </c>
      <c r="H64" s="448"/>
    </row>
    <row r="65" spans="5:8" x14ac:dyDescent="0.25">
      <c r="E65" s="424" t="str">
        <f t="shared" si="0"/>
        <v>Strafpunkte</v>
      </c>
      <c r="F65" s="440" t="s">
        <v>119</v>
      </c>
      <c r="G65" s="441" t="s">
        <v>118</v>
      </c>
      <c r="H65" s="448"/>
    </row>
    <row r="66" spans="5:8" x14ac:dyDescent="0.25">
      <c r="E66" s="424" t="str">
        <f t="shared" si="0"/>
        <v>Strafp.</v>
      </c>
      <c r="F66" s="440" t="s">
        <v>121</v>
      </c>
      <c r="G66" s="441" t="s">
        <v>120</v>
      </c>
      <c r="H66" s="448"/>
    </row>
    <row r="67" spans="5:8" ht="28.5" x14ac:dyDescent="0.45">
      <c r="E67" s="424"/>
      <c r="F67" s="449" t="str">
        <f>$E$51</f>
        <v>Meldungen</v>
      </c>
      <c r="G67" s="450"/>
      <c r="H67" s="451"/>
    </row>
    <row r="68" spans="5:8" x14ac:dyDescent="0.25">
      <c r="E68" s="424"/>
      <c r="F68" s="452"/>
      <c r="G68" s="453"/>
      <c r="H68" s="454"/>
    </row>
    <row r="69" spans="5:8" ht="51" x14ac:dyDescent="0.25">
      <c r="E69" s="424" t="str">
        <f t="shared" si="0"/>
        <v>Doppelte Spielpaarungen und Spiele gegen sich selbst
führen in der Gesamttabelle zu falschen Werten!</v>
      </c>
      <c r="F69" s="446" t="s">
        <v>123</v>
      </c>
      <c r="G69" s="447" t="s">
        <v>122</v>
      </c>
      <c r="H69" s="454"/>
    </row>
    <row r="70" spans="5:8" ht="25.5" x14ac:dyDescent="0.25">
      <c r="E70" s="424" t="str">
        <f t="shared" si="0"/>
        <v>Bei Punktgleichheit entscheiden folgende Kriterien:</v>
      </c>
      <c r="F70" s="446" t="s">
        <v>125</v>
      </c>
      <c r="G70" s="453" t="s">
        <v>124</v>
      </c>
      <c r="H70" s="454"/>
    </row>
    <row r="71" spans="5:8" x14ac:dyDescent="0.25">
      <c r="E71" s="424" t="str">
        <f t="shared" ref="E71:E90" si="1">IF($C$3,F71,IF($C$4,G71,IF($H71&lt;&gt;"",$H71,$F71)))</f>
        <v>Bessere Tordifferenz</v>
      </c>
      <c r="F71" s="446" t="s">
        <v>127</v>
      </c>
      <c r="G71" s="455" t="s">
        <v>126</v>
      </c>
      <c r="H71" s="456"/>
    </row>
    <row r="72" spans="5:8" x14ac:dyDescent="0.25">
      <c r="E72" s="424" t="str">
        <f t="shared" si="1"/>
        <v>Höhere Anzahl erzielter Tore</v>
      </c>
      <c r="F72" s="446" t="s">
        <v>129</v>
      </c>
      <c r="G72" s="455" t="s">
        <v>128</v>
      </c>
      <c r="H72" s="456"/>
    </row>
    <row r="73" spans="5:8" ht="25.5" x14ac:dyDescent="0.25">
      <c r="E73" s="424" t="str">
        <f t="shared" si="1"/>
        <v>Höhere Anzahl erzielter Auswärtstore</v>
      </c>
      <c r="F73" s="446" t="s">
        <v>131</v>
      </c>
      <c r="G73" s="455" t="s">
        <v>130</v>
      </c>
      <c r="H73" s="456"/>
    </row>
    <row r="74" spans="5:8" x14ac:dyDescent="0.25">
      <c r="E74" s="424" t="str">
        <f t="shared" si="1"/>
        <v>Höhere Anzahl von Siegen</v>
      </c>
      <c r="F74" s="446" t="s">
        <v>133</v>
      </c>
      <c r="G74" s="455" t="s">
        <v>132</v>
      </c>
      <c r="H74" s="456"/>
    </row>
    <row r="75" spans="5:8" ht="25.5" x14ac:dyDescent="0.25">
      <c r="E75" s="424" t="str">
        <f t="shared" si="1"/>
        <v>Höhere Anzahl von Auswärtssiegen</v>
      </c>
      <c r="F75" s="446" t="s">
        <v>135</v>
      </c>
      <c r="G75" s="455" t="s">
        <v>134</v>
      </c>
      <c r="H75" s="456"/>
    </row>
    <row r="76" spans="5:8" ht="25.5" x14ac:dyDescent="0.25">
      <c r="E76" s="424" t="str">
        <f t="shared" si="1"/>
        <v>Diese fünf Kriterien werden in der Tabelle oben berücksichtigt.</v>
      </c>
      <c r="F76" s="446" t="s">
        <v>137</v>
      </c>
      <c r="G76" s="455" t="s">
        <v>136</v>
      </c>
      <c r="H76" s="456"/>
    </row>
    <row r="77" spans="5:8" ht="51" x14ac:dyDescent="0.25">
      <c r="E77" s="424" t="str">
        <f t="shared" si="1"/>
        <v>Am Ende der Ligaphase werden bei Gleichstand zusätzlich folgende Kriterien herangezogen:</v>
      </c>
      <c r="F77" s="446" t="s">
        <v>139</v>
      </c>
      <c r="G77" s="455" t="s">
        <v>138</v>
      </c>
      <c r="H77" s="456"/>
    </row>
    <row r="78" spans="5:8" ht="38.25" x14ac:dyDescent="0.25">
      <c r="E78" s="424" t="str">
        <f t="shared" si="1"/>
        <v>Höhere Anzahl von Punkten, die die acht Gegner des betreffenden Klubs erspielt haben</v>
      </c>
      <c r="F78" s="446" t="s">
        <v>141</v>
      </c>
      <c r="G78" s="455" t="s">
        <v>140</v>
      </c>
      <c r="H78" s="456"/>
    </row>
    <row r="79" spans="5:8" ht="25.5" x14ac:dyDescent="0.25">
      <c r="E79" s="424" t="str">
        <f t="shared" si="1"/>
        <v>Bessere gemeinsame Tordifferenz der acht Gegner</v>
      </c>
      <c r="F79" s="446" t="s">
        <v>143</v>
      </c>
      <c r="G79" s="455" t="s">
        <v>142</v>
      </c>
      <c r="H79" s="456"/>
    </row>
    <row r="80" spans="5:8" ht="25.5" x14ac:dyDescent="0.25">
      <c r="E80" s="424" t="str">
        <f t="shared" si="1"/>
        <v>Höhere Anzahl erzielter Tore der acht Gegner</v>
      </c>
      <c r="F80" s="446" t="s">
        <v>145</v>
      </c>
      <c r="G80" s="455" t="s">
        <v>144</v>
      </c>
      <c r="H80" s="456"/>
    </row>
    <row r="81" spans="5:9" x14ac:dyDescent="0.25">
      <c r="E81" s="424" t="str">
        <f t="shared" si="1"/>
        <v>Fairplay-Wertung</v>
      </c>
      <c r="F81" s="446" t="s">
        <v>147</v>
      </c>
      <c r="G81" s="455" t="s">
        <v>146</v>
      </c>
      <c r="H81" s="456"/>
      <c r="I81" s="424"/>
    </row>
    <row r="82" spans="5:9" x14ac:dyDescent="0.25">
      <c r="E82" s="424" t="str">
        <f t="shared" si="1"/>
        <v>UEFA-Koeffizient</v>
      </c>
      <c r="F82" s="446" t="s">
        <v>149</v>
      </c>
      <c r="G82" s="455" t="s">
        <v>148</v>
      </c>
      <c r="H82" s="456"/>
      <c r="I82" s="424"/>
    </row>
    <row r="83" spans="5:9" ht="51" x14ac:dyDescent="0.25">
      <c r="E83" s="424" t="str">
        <f t="shared" si="1"/>
        <v>Sollte dieser Fall eintreten, kann auf dem Tabellenblatt 'Tie_Break' ein Bonuspunkt für das bessere Team eingetragen werden.</v>
      </c>
      <c r="F83" s="446" t="s">
        <v>151</v>
      </c>
      <c r="G83" s="455" t="s">
        <v>150</v>
      </c>
      <c r="H83" s="456"/>
      <c r="I83" s="424"/>
    </row>
    <row r="84" spans="5:9" x14ac:dyDescent="0.25">
      <c r="E84" s="424" t="str">
        <f t="shared" si="1"/>
        <v>Zum Vergleich:</v>
      </c>
      <c r="F84" s="446" t="s">
        <v>153</v>
      </c>
      <c r="G84" s="455" t="s">
        <v>152</v>
      </c>
      <c r="H84" s="456"/>
      <c r="I84" s="424"/>
    </row>
    <row r="85" spans="5:9" x14ac:dyDescent="0.25">
      <c r="E85" s="424" t="str">
        <f t="shared" si="1"/>
        <v>doppelt</v>
      </c>
      <c r="F85" s="457" t="s">
        <v>155</v>
      </c>
      <c r="G85" s="458" t="s">
        <v>154</v>
      </c>
      <c r="H85" s="459"/>
      <c r="I85" s="424"/>
    </row>
    <row r="86" spans="5:9" x14ac:dyDescent="0.25">
      <c r="E86" s="424" t="str">
        <f t="shared" si="1"/>
        <v>Hier klicken und Sprache wählen</v>
      </c>
      <c r="F86" s="460" t="s">
        <v>156</v>
      </c>
      <c r="G86" s="461" t="s">
        <v>3</v>
      </c>
      <c r="H86" s="462"/>
      <c r="I86" s="424"/>
    </row>
    <row r="87" spans="5:9" x14ac:dyDescent="0.25">
      <c r="E87" s="424" t="str">
        <f t="shared" si="1"/>
        <v>Doppelte Namen</v>
      </c>
      <c r="F87" s="463" t="s">
        <v>158</v>
      </c>
      <c r="G87" s="464" t="s">
        <v>157</v>
      </c>
      <c r="H87" s="462"/>
      <c r="I87" s="424"/>
    </row>
    <row r="88" spans="5:9" ht="25.5" x14ac:dyDescent="0.25">
      <c r="E88" s="424" t="str">
        <f t="shared" si="1"/>
        <v>Diese Teams haben beim Rückspiel Heimrecht.</v>
      </c>
      <c r="F88" s="465" t="s">
        <v>160</v>
      </c>
      <c r="G88" s="466" t="s">
        <v>159</v>
      </c>
      <c r="H88" s="456"/>
      <c r="I88" s="424"/>
    </row>
    <row r="89" spans="5:9" x14ac:dyDescent="0.25">
      <c r="E89" s="424" t="str">
        <f t="shared" si="1"/>
        <v>Erläuterung</v>
      </c>
      <c r="F89" s="465" t="s">
        <v>162</v>
      </c>
      <c r="G89" s="467" t="s">
        <v>161</v>
      </c>
      <c r="H89" s="456"/>
      <c r="I89" s="424"/>
    </row>
    <row r="90" spans="5:9" ht="15.75" thickBot="1" x14ac:dyDescent="0.3">
      <c r="E90" s="424" t="str">
        <f t="shared" si="1"/>
        <v xml:space="preserve"> : </v>
      </c>
      <c r="F90" s="468" t="s">
        <v>164</v>
      </c>
      <c r="G90" s="469" t="s">
        <v>163</v>
      </c>
      <c r="H90" s="470"/>
      <c r="I90" s="424"/>
    </row>
    <row r="91" spans="5:9" ht="15.75" thickTop="1" x14ac:dyDescent="0.25">
      <c r="E91" s="424"/>
      <c r="F91" s="424"/>
      <c r="G91" s="424"/>
      <c r="H91" s="424"/>
      <c r="I91" s="424"/>
    </row>
    <row r="92" spans="5:9" hidden="1" x14ac:dyDescent="0.25">
      <c r="E92" s="424"/>
      <c r="F92" s="424"/>
      <c r="G92" s="424"/>
      <c r="H92" s="424"/>
      <c r="I92" s="424"/>
    </row>
    <row r="93" spans="5:9" hidden="1" x14ac:dyDescent="0.25">
      <c r="E93" s="424"/>
      <c r="F93" s="424"/>
      <c r="G93" s="424"/>
      <c r="H93" s="424"/>
      <c r="I93" s="424"/>
    </row>
    <row r="94" spans="5:9" hidden="1" x14ac:dyDescent="0.25">
      <c r="E94" s="424"/>
      <c r="F94" s="424"/>
      <c r="G94" s="424"/>
      <c r="H94" s="424"/>
      <c r="I94" s="424"/>
    </row>
    <row r="95" spans="5:9" hidden="1" x14ac:dyDescent="0.25">
      <c r="E95" s="424"/>
      <c r="F95" s="424"/>
      <c r="G95" s="424"/>
      <c r="H95" s="424"/>
      <c r="I95" s="471"/>
    </row>
  </sheetData>
  <sheetProtection sheet="1" objects="1" scenarios="1" selectLockedCells="1"/>
  <mergeCells count="7">
    <mergeCell ref="F1:H1"/>
    <mergeCell ref="H3:H4"/>
    <mergeCell ref="F2:G2"/>
    <mergeCell ref="D3:D4"/>
    <mergeCell ref="E3:E4"/>
    <mergeCell ref="F3:F4"/>
    <mergeCell ref="G3:G4"/>
  </mergeCells>
  <dataValidations count="1">
    <dataValidation type="list" allowBlank="1" showInputMessage="1" showErrorMessage="1" sqref="J1" xr:uid="{00000000-0002-0000-0700-000000000000}">
      <formula1>$B$3:$B$5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E6:E90 C3:C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Results</vt:lpstr>
      <vt:lpstr>KO-Runde</vt:lpstr>
      <vt:lpstr>Plan</vt:lpstr>
      <vt:lpstr>Calc</vt:lpstr>
      <vt:lpstr>Calc2</vt:lpstr>
      <vt:lpstr>Factors</vt:lpstr>
      <vt:lpstr>Tie-Break</vt:lpstr>
      <vt:lpstr>Language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Hermann Baum</cp:lastModifiedBy>
  <dcterms:created xsi:type="dcterms:W3CDTF">2025-02-16T15:46:03Z</dcterms:created>
  <dcterms:modified xsi:type="dcterms:W3CDTF">2026-04-07T17:50:45Z</dcterms:modified>
</cp:coreProperties>
</file>